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xml" ContentType="application/vnd.openxmlformats-officedocument.spreadsheetml.worksheet+xml"/>
  <Override PartName="/xl/worksheets/sheet21.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9.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1.xml" ContentType="application/vnd.openxmlformats-officedocument.spreadsheetml.externalLink+xml"/>
  <Override PartName="/xl/externalLinks/externalLink20.xml" ContentType="application/vnd.openxmlformats-officedocument.spreadsheetml.externalLink+xml"/>
  <Override PartName="/xl/externalLinks/externalLink19.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16.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8.xml" ContentType="application/vnd.openxmlformats-officedocument.spreadsheetml.externalLink+xml"/>
  <Override PartName="/xl/externalLinks/externalLink17.xml" ContentType="application/vnd.openxmlformats-officedocument.spreadsheetml.externalLink+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9"/>
  <workbookPr codeName="ThisWorkbook" defaultThemeVersion="124226"/>
  <mc:AlternateContent xmlns:mc="http://schemas.openxmlformats.org/markup-compatibility/2006">
    <mc:Choice Requires="x15">
      <x15ac:absPath xmlns:x15ac="http://schemas.microsoft.com/office/spreadsheetml/2010/11/ac" url="https://projects.nwnatural.com/sites/operations/RateCase/WA2021/Testimony and Exhibits/Cost_Service/Testimony Workpapers/"/>
    </mc:Choice>
  </mc:AlternateContent>
  <xr:revisionPtr revIDLastSave="0" documentId="13_ncr:1_{165C7090-20FC-4E02-B56D-74A379E0BBF2}" xr6:coauthVersionLast="36" xr6:coauthVersionMax="36" xr10:uidLastSave="{00000000-0000-0000-0000-000000000000}"/>
  <bookViews>
    <workbookView xWindow="0" yWindow="0" windowWidth="51600" windowHeight="17025" tabRatio="896" xr2:uid="{AC0D29F4-7B12-477F-AF6F-7925C3430252}"/>
  </bookViews>
  <sheets>
    <sheet name="Index" sheetId="24" r:id="rId1"/>
    <sheet name="WA Volumes &amp; Revenues" sheetId="1" r:id="rId2"/>
    <sheet name="Rate Spread Proposal" sheetId="2" r:id="rId3"/>
    <sheet name="Allocation = ¢ per Therm" sheetId="3" state="hidden" r:id="rId4"/>
    <sheet name="Allocation = % of Margin" sheetId="4" r:id="rId5"/>
    <sheet name="Allocation = % of Revenue" sheetId="5" state="hidden" r:id="rId6"/>
    <sheet name="Rev Req Proof Yr1" sheetId="6" r:id="rId7"/>
    <sheet name="Rev Req Proof Yr2" sheetId="18" r:id="rId8"/>
    <sheet name="Temps Proof" sheetId="7" r:id="rId9"/>
    <sheet name="Combined Items Proof Yr1" sheetId="9" r:id="rId10"/>
    <sheet name="Combined Items Proof Yr2" sheetId="19" r:id="rId11"/>
    <sheet name="Rates in Detail" sheetId="10" r:id="rId12"/>
    <sheet name="Rates in summary" sheetId="11" r:id="rId13"/>
    <sheet name="Avg Bill by RS" sheetId="12" r:id="rId14"/>
    <sheet name="Rate Impacts - Rev Req ONLY" sheetId="13" r:id="rId15"/>
    <sheet name="Rate Impacts - COMBINED" sheetId="14" r:id="rId16"/>
    <sheet name="Proposed Rates - COMBINED" sheetId="17" r:id="rId17"/>
    <sheet name="Exh. RJW-3 RR" sheetId="20" r:id="rId18"/>
    <sheet name="Exh. RJW-3 Combined" sheetId="21" r:id="rId19"/>
    <sheet name="Exh. RJW-4 RR" sheetId="22" r:id="rId20"/>
    <sheet name="Exh. RJW-4 Combined" sheetId="23"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0" localSheetId="10">#REF!</definedName>
    <definedName name="\0" localSheetId="18">#REF!</definedName>
    <definedName name="\0" localSheetId="17">#REF!</definedName>
    <definedName name="\0" localSheetId="20">#REF!</definedName>
    <definedName name="\0" localSheetId="19">#REF!</definedName>
    <definedName name="\0" localSheetId="7">#REF!</definedName>
    <definedName name="\0">#REF!</definedName>
    <definedName name="_000000" localSheetId="10">#REF!</definedName>
    <definedName name="_000000" localSheetId="18">#REF!</definedName>
    <definedName name="_000000" localSheetId="17">#REF!</definedName>
    <definedName name="_000000" localSheetId="20">#REF!</definedName>
    <definedName name="_000000" localSheetId="19">#REF!</definedName>
    <definedName name="_000000" localSheetId="7">#REF!</definedName>
    <definedName name="_000000">#REF!</definedName>
    <definedName name="_AtRisk_FitDataRange_FIT_B5E8B_D24B5" localSheetId="4" hidden="1">#REF!</definedName>
    <definedName name="_AtRisk_FitDataRange_FIT_B5E8B_D24B5" localSheetId="9" hidden="1">#REF!</definedName>
    <definedName name="_AtRisk_FitDataRange_FIT_B5E8B_D24B5" localSheetId="10" hidden="1">#REF!</definedName>
    <definedName name="_AtRisk_FitDataRange_FIT_B5E8B_D24B5" localSheetId="18" hidden="1">#REF!</definedName>
    <definedName name="_AtRisk_FitDataRange_FIT_B5E8B_D24B5" localSheetId="17" hidden="1">#REF!</definedName>
    <definedName name="_AtRisk_FitDataRange_FIT_B5E8B_D24B5" localSheetId="20" hidden="1">#REF!</definedName>
    <definedName name="_AtRisk_FitDataRange_FIT_B5E8B_D24B5" localSheetId="19" hidden="1">#REF!</definedName>
    <definedName name="_AtRisk_FitDataRange_FIT_B5E8B_D24B5" localSheetId="15" hidden="1">#REF!</definedName>
    <definedName name="_AtRisk_FitDataRange_FIT_B5E8B_D24B5" localSheetId="14" hidden="1">#REF!</definedName>
    <definedName name="_AtRisk_FitDataRange_FIT_B5E8B_D24B5" localSheetId="7" hidden="1">#REF!</definedName>
    <definedName name="_AtRisk_FitDataRange_FIT_B5E8B_D24B5" localSheetId="8" hidden="1">#REF!</definedName>
    <definedName name="_AtRisk_FitDataRange_FIT_B5E8B_D24B5" hidden="1">#REF!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4" hidden="1">#REF!</definedName>
    <definedName name="_Fill" localSheetId="9" hidden="1">#REF!</definedName>
    <definedName name="_Fill" localSheetId="10" hidden="1">#REF!</definedName>
    <definedName name="_Fill" localSheetId="18" hidden="1">#REF!</definedName>
    <definedName name="_Fill" localSheetId="17" hidden="1">#REF!</definedName>
    <definedName name="_Fill" localSheetId="20" hidden="1">#REF!</definedName>
    <definedName name="_Fill" localSheetId="19" hidden="1">#REF!</definedName>
    <definedName name="_Fill" localSheetId="15" hidden="1">#REF!</definedName>
    <definedName name="_Fill" localSheetId="14" hidden="1">#REF!</definedName>
    <definedName name="_Fill" localSheetId="7" hidden="1">#REF!</definedName>
    <definedName name="_Fill" localSheetId="8" hidden="1">#REF!</definedName>
    <definedName name="_Fill" hidden="1">#REF!</definedName>
    <definedName name="_Order1" hidden="1">255</definedName>
    <definedName name="_Order2" hidden="1">255</definedName>
    <definedName name="_PG3">#N/A</definedName>
    <definedName name="A" localSheetId="10">[1]DEPR!#REF!</definedName>
    <definedName name="A" localSheetId="18">[1]DEPR!#REF!</definedName>
    <definedName name="A" localSheetId="17">[1]DEPR!#REF!</definedName>
    <definedName name="A" localSheetId="20">[1]DEPR!#REF!</definedName>
    <definedName name="A" localSheetId="19">[1]DEPR!#REF!</definedName>
    <definedName name="A" localSheetId="7">[1]DEPR!#REF!</definedName>
    <definedName name="A">[1]DEPR!#REF!</definedName>
    <definedName name="AcctData" localSheetId="10">#REF!</definedName>
    <definedName name="AcctData" localSheetId="18">#REF!</definedName>
    <definedName name="AcctData" localSheetId="17">#REF!</definedName>
    <definedName name="AcctData" localSheetId="20">#REF!</definedName>
    <definedName name="AcctData" localSheetId="19">#REF!</definedName>
    <definedName name="AcctData" localSheetId="7">#REF!</definedName>
    <definedName name="AcctData">#REF!</definedName>
    <definedName name="Alloc0" localSheetId="10">[2]Allocators!#REF!</definedName>
    <definedName name="Alloc0" localSheetId="18">[2]Allocators!#REF!</definedName>
    <definedName name="Alloc0" localSheetId="17">[2]Allocators!#REF!</definedName>
    <definedName name="Alloc0" localSheetId="20">[2]Allocators!#REF!</definedName>
    <definedName name="Alloc0" localSheetId="19">[2]Allocators!#REF!</definedName>
    <definedName name="Alloc0" localSheetId="7">[2]Allocators!#REF!</definedName>
    <definedName name="Alloc0">[2]Allocators!#REF!</definedName>
    <definedName name="ALLOCATION" localSheetId="10">#REF!</definedName>
    <definedName name="ALLOCATION" localSheetId="18">#REF!</definedName>
    <definedName name="ALLOCATION" localSheetId="17">#REF!</definedName>
    <definedName name="ALLOCATION" localSheetId="20">#REF!</definedName>
    <definedName name="ALLOCATION" localSheetId="19">#REF!</definedName>
    <definedName name="ALLOCATION" localSheetId="7">#REF!</definedName>
    <definedName name="ALLOCATION">#REF!</definedName>
    <definedName name="AllocPct" localSheetId="10">[2]Allocators!#REF!</definedName>
    <definedName name="AllocPct" localSheetId="18">[2]Allocators!#REF!</definedName>
    <definedName name="AllocPct" localSheetId="17">[2]Allocators!#REF!</definedName>
    <definedName name="AllocPct" localSheetId="20">[2]Allocators!#REF!</definedName>
    <definedName name="AllocPct" localSheetId="19">[2]Allocators!#REF!</definedName>
    <definedName name="AllocPct" localSheetId="7">[2]Allocators!#REF!</definedName>
    <definedName name="AllocPct">[2]Allocators!#REF!</definedName>
    <definedName name="AllocRevReq" localSheetId="10">#REF!</definedName>
    <definedName name="AllocRevReq" localSheetId="18">#REF!</definedName>
    <definedName name="AllocRevReq" localSheetId="17">#REF!</definedName>
    <definedName name="AllocRevReq" localSheetId="20">#REF!</definedName>
    <definedName name="AllocRevReq" localSheetId="19">#REF!</definedName>
    <definedName name="AllocRevReq" localSheetId="7">#REF!</definedName>
    <definedName name="AllocRevReq">#REF!</definedName>
    <definedName name="AT" localSheetId="10">#REF!</definedName>
    <definedName name="AT" localSheetId="18">#REF!</definedName>
    <definedName name="AT" localSheetId="17">#REF!</definedName>
    <definedName name="AT" localSheetId="20">#REF!</definedName>
    <definedName name="AT" localSheetId="19">#REF!</definedName>
    <definedName name="AT" localSheetId="7">#REF!</definedName>
    <definedName name="AT">#REF!</definedName>
    <definedName name="Bank" localSheetId="10">[3]Input!#REF!</definedName>
    <definedName name="Bank" localSheetId="18">[3]Input!#REF!</definedName>
    <definedName name="Bank" localSheetId="17">[3]Input!#REF!</definedName>
    <definedName name="Bank" localSheetId="20">[3]Input!#REF!</definedName>
    <definedName name="Bank" localSheetId="19">[3]Input!#REF!</definedName>
    <definedName name="Bank" localSheetId="7">[3]Input!#REF!</definedName>
    <definedName name="Bank">[3]Input!#REF!</definedName>
    <definedName name="BillROR" localSheetId="10">'[4]Unit Cost'!#REF!</definedName>
    <definedName name="BillROR" localSheetId="18">'[4]Unit Cost'!#REF!</definedName>
    <definedName name="BillROR" localSheetId="17">'[4]Unit Cost'!#REF!</definedName>
    <definedName name="BillROR" localSheetId="20">'[4]Unit Cost'!#REF!</definedName>
    <definedName name="BillROR" localSheetId="19">'[4]Unit Cost'!#REF!</definedName>
    <definedName name="BillROR" localSheetId="7">'[4]Unit Cost'!#REF!</definedName>
    <definedName name="BillROR">'[4]Unit Cost'!#REF!</definedName>
    <definedName name="BKLIFE" localSheetId="10">#REF!</definedName>
    <definedName name="BKLIFE" localSheetId="18">#REF!</definedName>
    <definedName name="BKLIFE" localSheetId="17">#REF!</definedName>
    <definedName name="BKLIFE" localSheetId="20">#REF!</definedName>
    <definedName name="BKLIFE" localSheetId="19">#REF!</definedName>
    <definedName name="BKLIFE" localSheetId="7">#REF!</definedName>
    <definedName name="BKLIFE">#REF!</definedName>
    <definedName name="BOOK" localSheetId="10">#REF!</definedName>
    <definedName name="BOOK" localSheetId="18">#REF!</definedName>
    <definedName name="BOOK" localSheetId="17">#REF!</definedName>
    <definedName name="BOOK" localSheetId="20">#REF!</definedName>
    <definedName name="BOOK" localSheetId="19">#REF!</definedName>
    <definedName name="BOOK" localSheetId="7">#REF!</definedName>
    <definedName name="BOOK">#REF!</definedName>
    <definedName name="calcsheet1">#N/A</definedName>
    <definedName name="calcsheet2">#N/A</definedName>
    <definedName name="calcsheet3">#N/A</definedName>
    <definedName name="Case" localSheetId="10">[5]Input!#REF!</definedName>
    <definedName name="Case" localSheetId="18">[5]Input!#REF!</definedName>
    <definedName name="Case" localSheetId="17">[5]Input!#REF!</definedName>
    <definedName name="Case" localSheetId="20">[5]Input!#REF!</definedName>
    <definedName name="Case" localSheetId="19">[5]Input!#REF!</definedName>
    <definedName name="Case" localSheetId="7">[5]Input!#REF!</definedName>
    <definedName name="Case">[5]Input!#REF!</definedName>
    <definedName name="casepg1">#N/A</definedName>
    <definedName name="ccc" localSheetId="10">#REF!</definedName>
    <definedName name="ccc" localSheetId="18">#REF!</definedName>
    <definedName name="ccc" localSheetId="17">#REF!</definedName>
    <definedName name="ccc" localSheetId="20">#REF!</definedName>
    <definedName name="ccc" localSheetId="19">#REF!</definedName>
    <definedName name="ccc" localSheetId="7">#REF!</definedName>
    <definedName name="ccc">#REF!</definedName>
    <definedName name="CEX_21110_ACT_DATA" localSheetId="10">#REF!</definedName>
    <definedName name="CEX_21110_ACT_DATA" localSheetId="18">#REF!</definedName>
    <definedName name="CEX_21110_ACT_DATA" localSheetId="17">#REF!</definedName>
    <definedName name="CEX_21110_ACT_DATA" localSheetId="20">#REF!</definedName>
    <definedName name="CEX_21110_ACT_DATA" localSheetId="19">#REF!</definedName>
    <definedName name="CEX_21110_ACT_DATA" localSheetId="7">#REF!</definedName>
    <definedName name="CEX_21110_ACT_DATA">#REF!</definedName>
    <definedName name="CEX_21110_ACT_GRP" localSheetId="10">#REF!</definedName>
    <definedName name="CEX_21110_ACT_GRP" localSheetId="18">#REF!</definedName>
    <definedName name="CEX_21110_ACT_GRP" localSheetId="17">#REF!</definedName>
    <definedName name="CEX_21110_ACT_GRP" localSheetId="20">#REF!</definedName>
    <definedName name="CEX_21110_ACT_GRP" localSheetId="19">#REF!</definedName>
    <definedName name="CEX_21110_ACT_GRP" localSheetId="7">#REF!</definedName>
    <definedName name="CEX_21110_ACT_GRP">#REF!</definedName>
    <definedName name="CEX_21110_EST_DATA" localSheetId="10">#REF!</definedName>
    <definedName name="CEX_21110_EST_DATA" localSheetId="18">#REF!</definedName>
    <definedName name="CEX_21110_EST_DATA" localSheetId="17">#REF!</definedName>
    <definedName name="CEX_21110_EST_DATA" localSheetId="20">#REF!</definedName>
    <definedName name="CEX_21110_EST_DATA" localSheetId="19">#REF!</definedName>
    <definedName name="CEX_21110_EST_DATA" localSheetId="7">#REF!</definedName>
    <definedName name="CEX_21110_EST_DATA">#REF!</definedName>
    <definedName name="CEX_21110_EST_GRP" localSheetId="10">#REF!</definedName>
    <definedName name="CEX_21110_EST_GRP" localSheetId="18">#REF!</definedName>
    <definedName name="CEX_21110_EST_GRP" localSheetId="17">#REF!</definedName>
    <definedName name="CEX_21110_EST_GRP" localSheetId="20">#REF!</definedName>
    <definedName name="CEX_21110_EST_GRP" localSheetId="19">#REF!</definedName>
    <definedName name="CEX_21110_EST_GRP" localSheetId="7">#REF!</definedName>
    <definedName name="CEX_21110_EST_GRP">#REF!</definedName>
    <definedName name="Classes" localSheetId="10">#REF!</definedName>
    <definedName name="Classes" localSheetId="18">#REF!</definedName>
    <definedName name="Classes" localSheetId="17">#REF!</definedName>
    <definedName name="Classes" localSheetId="20">#REF!</definedName>
    <definedName name="Classes" localSheetId="19">#REF!</definedName>
    <definedName name="Classes" localSheetId="7">#REF!</definedName>
    <definedName name="Classes">#REF!</definedName>
    <definedName name="Classes1" localSheetId="10">#REF!</definedName>
    <definedName name="Classes1" localSheetId="18">#REF!</definedName>
    <definedName name="Classes1" localSheetId="17">#REF!</definedName>
    <definedName name="Classes1" localSheetId="20">#REF!</definedName>
    <definedName name="Classes1" localSheetId="19">#REF!</definedName>
    <definedName name="Classes1" localSheetId="7">#REF!</definedName>
    <definedName name="Classes1">#REF!</definedName>
    <definedName name="ClassSum" localSheetId="10">#REF!</definedName>
    <definedName name="ClassSum" localSheetId="18">#REF!</definedName>
    <definedName name="ClassSum" localSheetId="17">#REF!</definedName>
    <definedName name="ClassSum" localSheetId="20">#REF!</definedName>
    <definedName name="ClassSum" localSheetId="19">#REF!</definedName>
    <definedName name="ClassSum" localSheetId="7">#REF!</definedName>
    <definedName name="ClassSum">#REF!</definedName>
    <definedName name="CMonth" localSheetId="10">#REF!</definedName>
    <definedName name="CMonth" localSheetId="18">#REF!</definedName>
    <definedName name="CMonth" localSheetId="17">#REF!</definedName>
    <definedName name="CMonth" localSheetId="20">#REF!</definedName>
    <definedName name="CMonth" localSheetId="19">#REF!</definedName>
    <definedName name="CMonth" localSheetId="7">#REF!</definedName>
    <definedName name="CMonth">#REF!</definedName>
    <definedName name="Company">[6]Registry!$E$94</definedName>
    <definedName name="coname">[3]A!$A$1</definedName>
    <definedName name="ContractInflator" localSheetId="10">'[7]Meter-Service'!#REF!</definedName>
    <definedName name="ContractInflator" localSheetId="18">'[7]Meter-Service'!#REF!</definedName>
    <definedName name="ContractInflator" localSheetId="17">'[7]Meter-Service'!#REF!</definedName>
    <definedName name="ContractInflator" localSheetId="20">'[7]Meter-Service'!#REF!</definedName>
    <definedName name="ContractInflator" localSheetId="19">'[7]Meter-Service'!#REF!</definedName>
    <definedName name="ContractInflator" localSheetId="7">'[7]Meter-Service'!#REF!</definedName>
    <definedName name="ContractInflator">'[7]Meter-Service'!#REF!</definedName>
    <definedName name="Corp_Serv_Print_CEX" localSheetId="10">#REF!</definedName>
    <definedName name="Corp_Serv_Print_CEX" localSheetId="18">#REF!</definedName>
    <definedName name="Corp_Serv_Print_CEX" localSheetId="17">#REF!</definedName>
    <definedName name="Corp_Serv_Print_CEX" localSheetId="20">#REF!</definedName>
    <definedName name="Corp_Serv_Print_CEX" localSheetId="19">#REF!</definedName>
    <definedName name="Corp_Serv_Print_CEX" localSheetId="7">#REF!</definedName>
    <definedName name="Corp_Serv_Print_CEX">#REF!</definedName>
    <definedName name="CustBills" localSheetId="10">#REF!</definedName>
    <definedName name="CustBills" localSheetId="18">#REF!</definedName>
    <definedName name="CustBills" localSheetId="17">#REF!</definedName>
    <definedName name="CustBills" localSheetId="20">#REF!</definedName>
    <definedName name="CustBills" localSheetId="19">#REF!</definedName>
    <definedName name="CustBills" localSheetId="7">#REF!</definedName>
    <definedName name="CustBills">#REF!</definedName>
    <definedName name="CYTD" localSheetId="10">#REF!</definedName>
    <definedName name="CYTD" localSheetId="18">#REF!</definedName>
    <definedName name="CYTD" localSheetId="17">#REF!</definedName>
    <definedName name="CYTD" localSheetId="20">#REF!</definedName>
    <definedName name="CYTD" localSheetId="19">#REF!</definedName>
    <definedName name="CYTD" localSheetId="7">#REF!</definedName>
    <definedName name="CYTD">#REF!</definedName>
    <definedName name="DATA11" localSheetId="10">[8]data!#REF!</definedName>
    <definedName name="DATA11" localSheetId="18">[8]data!#REF!</definedName>
    <definedName name="DATA11" localSheetId="17">[8]data!#REF!</definedName>
    <definedName name="DATA11" localSheetId="20">[8]data!#REF!</definedName>
    <definedName name="DATA11" localSheetId="19">[8]data!#REF!</definedName>
    <definedName name="DATA11" localSheetId="7">[8]data!#REF!</definedName>
    <definedName name="DATA11">[8]data!#REF!</definedName>
    <definedName name="DATA5" localSheetId="10">[8]data!#REF!</definedName>
    <definedName name="DATA5" localSheetId="18">[8]data!#REF!</definedName>
    <definedName name="DATA5" localSheetId="17">[8]data!#REF!</definedName>
    <definedName name="DATA5" localSheetId="20">[8]data!#REF!</definedName>
    <definedName name="DATA5" localSheetId="19">[8]data!#REF!</definedName>
    <definedName name="DATA5" localSheetId="7">[8]data!#REF!</definedName>
    <definedName name="DATA5">[8]data!#REF!</definedName>
    <definedName name="DATA8" localSheetId="10">[8]data!#REF!</definedName>
    <definedName name="DATA8" localSheetId="18">[8]data!#REF!</definedName>
    <definedName name="DATA8" localSheetId="17">[8]data!#REF!</definedName>
    <definedName name="DATA8" localSheetId="20">[8]data!#REF!</definedName>
    <definedName name="DATA8" localSheetId="19">[8]data!#REF!</definedName>
    <definedName name="DATA8" localSheetId="7">[8]data!#REF!</definedName>
    <definedName name="DATA8">[8]data!#REF!</definedName>
    <definedName name="DATA9" localSheetId="10">[8]data!#REF!</definedName>
    <definedName name="DATA9" localSheetId="18">[8]data!#REF!</definedName>
    <definedName name="DATA9" localSheetId="17">[8]data!#REF!</definedName>
    <definedName name="DATA9" localSheetId="20">[8]data!#REF!</definedName>
    <definedName name="DATA9" localSheetId="19">[8]data!#REF!</definedName>
    <definedName name="DATA9" localSheetId="7">[8]data!#REF!</definedName>
    <definedName name="DATA9">[8]data!#REF!</definedName>
    <definedName name="DataEntry">'[9]June10 revenue by rate schedule'!$F$10:$I$23,'[9]June10 revenue by rate schedule'!$K$10:$N$23,'[9]June10 revenue by rate schedule'!$F$33:$I$43,'[9]June10 revenue by rate schedule'!$F$45:$I$52,'[9]June10 revenue by rate schedule'!$F$54:$I$54,'[9]June10 revenue by rate schedule'!$K$33:$N$43,'[9]June10 revenue by rate schedule'!$K$45:$N$52,'[9]June10 revenue by rate schedule'!$K$54:$N$54,'[9]June10 revenue by rate schedule'!$F$63:$I$77,'[9]June10 revenue by rate schedule'!$K$63:$N$77,'[9]June10 revenue by rate schedule'!$F$87:$I$92,'[9]June10 revenue by rate schedule'!$K$87:$N$92,'[9]June10 revenue by rate schedule'!$S$10:$V$23,'[9]June10 revenue by rate schedule'!$S$33:$V$43,'[9]June10 revenue by rate schedule'!$S$45:$V$52,'[9]June10 revenue by rate schedule'!$S$54:$V$54,'[9]June10 revenue by rate schedule'!$S$63:$V$77,'[9]June10 revenue by rate schedule'!$S$87:$V$92</definedName>
    <definedName name="dbYear200" localSheetId="10">#REF!</definedName>
    <definedName name="dbYear200" localSheetId="18">#REF!</definedName>
    <definedName name="dbYear200" localSheetId="17">#REF!</definedName>
    <definedName name="dbYear200" localSheetId="20">#REF!</definedName>
    <definedName name="dbYear200" localSheetId="19">#REF!</definedName>
    <definedName name="dbYear200" localSheetId="7">#REF!</definedName>
    <definedName name="dbYear200">#REF!</definedName>
    <definedName name="Desc">[10]Sheet1!$J$1:$K$298</definedName>
    <definedName name="DEX_21110_ACT_DATA" localSheetId="10">#REF!</definedName>
    <definedName name="DEX_21110_ACT_DATA" localSheetId="18">#REF!</definedName>
    <definedName name="DEX_21110_ACT_DATA" localSheetId="17">#REF!</definedName>
    <definedName name="DEX_21110_ACT_DATA" localSheetId="20">#REF!</definedName>
    <definedName name="DEX_21110_ACT_DATA" localSheetId="19">#REF!</definedName>
    <definedName name="DEX_21110_ACT_DATA" localSheetId="7">#REF!</definedName>
    <definedName name="DEX_21110_ACT_DATA">#REF!</definedName>
    <definedName name="DEX_21110_ACT_GRP" localSheetId="10">#REF!</definedName>
    <definedName name="DEX_21110_ACT_GRP" localSheetId="18">#REF!</definedName>
    <definedName name="DEX_21110_ACT_GRP" localSheetId="17">#REF!</definedName>
    <definedName name="DEX_21110_ACT_GRP" localSheetId="20">#REF!</definedName>
    <definedName name="DEX_21110_ACT_GRP" localSheetId="19">#REF!</definedName>
    <definedName name="DEX_21110_ACT_GRP" localSheetId="7">#REF!</definedName>
    <definedName name="DEX_21110_ACT_GRP">#REF!</definedName>
    <definedName name="DEX_21110_EST_DATA" localSheetId="10">#REF!</definedName>
    <definedName name="DEX_21110_EST_DATA" localSheetId="18">#REF!</definedName>
    <definedName name="DEX_21110_EST_DATA" localSheetId="17">#REF!</definedName>
    <definedName name="DEX_21110_EST_DATA" localSheetId="20">#REF!</definedName>
    <definedName name="DEX_21110_EST_DATA" localSheetId="19">#REF!</definedName>
    <definedName name="DEX_21110_EST_DATA" localSheetId="7">#REF!</definedName>
    <definedName name="DEX_21110_EST_DATA">#REF!</definedName>
    <definedName name="DEX_21110_EST_GRP" localSheetId="10">#REF!</definedName>
    <definedName name="DEX_21110_EST_GRP" localSheetId="18">#REF!</definedName>
    <definedName name="DEX_21110_EST_GRP" localSheetId="17">#REF!</definedName>
    <definedName name="DEX_21110_EST_GRP" localSheetId="20">#REF!</definedName>
    <definedName name="DEX_21110_EST_GRP" localSheetId="19">#REF!</definedName>
    <definedName name="DEX_21110_EST_GRP" localSheetId="7">#REF!</definedName>
    <definedName name="DEX_21110_EST_GRP">#REF!</definedName>
    <definedName name="DFRDFIT?" localSheetId="10">#REF!</definedName>
    <definedName name="DFRDFIT?" localSheetId="18">#REF!</definedName>
    <definedName name="DFRDFIT?" localSheetId="17">#REF!</definedName>
    <definedName name="DFRDFIT?" localSheetId="20">#REF!</definedName>
    <definedName name="DFRDFIT?" localSheetId="19">#REF!</definedName>
    <definedName name="DFRDFIT?" localSheetId="7">#REF!</definedName>
    <definedName name="DFRDFIT?">#REF!</definedName>
    <definedName name="Differences" localSheetId="10">#REF!</definedName>
    <definedName name="Differences" localSheetId="18">#REF!</definedName>
    <definedName name="Differences" localSheetId="17">#REF!</definedName>
    <definedName name="Differences" localSheetId="20">#REF!</definedName>
    <definedName name="Differences" localSheetId="19">#REF!</definedName>
    <definedName name="Differences" localSheetId="7">#REF!</definedName>
    <definedName name="Differences">#REF!</definedName>
    <definedName name="DISP?" localSheetId="10">#REF!</definedName>
    <definedName name="DISP?" localSheetId="18">#REF!</definedName>
    <definedName name="DISP?" localSheetId="17">#REF!</definedName>
    <definedName name="DISP?" localSheetId="20">#REF!</definedName>
    <definedName name="DISP?" localSheetId="19">#REF!</definedName>
    <definedName name="DISP?" localSheetId="7">#REF!</definedName>
    <definedName name="DISP?">#REF!</definedName>
    <definedName name="Distrib_Print_CEX" localSheetId="10">#REF!</definedName>
    <definedName name="Distrib_Print_CEX" localSheetId="18">#REF!</definedName>
    <definedName name="Distrib_Print_CEX" localSheetId="17">#REF!</definedName>
    <definedName name="Distrib_Print_CEX" localSheetId="20">#REF!</definedName>
    <definedName name="Distrib_Print_CEX" localSheetId="19">#REF!</definedName>
    <definedName name="Distrib_Print_CEX" localSheetId="7">#REF!</definedName>
    <definedName name="Distrib_Print_CEX">#REF!</definedName>
    <definedName name="DivM" localSheetId="10">#REF!</definedName>
    <definedName name="DivM" localSheetId="18">#REF!</definedName>
    <definedName name="DivM" localSheetId="17">#REF!</definedName>
    <definedName name="DivM" localSheetId="20">#REF!</definedName>
    <definedName name="DivM" localSheetId="19">#REF!</definedName>
    <definedName name="DivM" localSheetId="7">#REF!</definedName>
    <definedName name="DivM">#REF!</definedName>
    <definedName name="DivY" localSheetId="10">#REF!</definedName>
    <definedName name="DivY" localSheetId="18">#REF!</definedName>
    <definedName name="DivY" localSheetId="17">#REF!</definedName>
    <definedName name="DivY" localSheetId="20">#REF!</definedName>
    <definedName name="DivY" localSheetId="19">#REF!</definedName>
    <definedName name="DivY" localSheetId="7">#REF!</definedName>
    <definedName name="DivY">#REF!</definedName>
    <definedName name="EFFDATE">[11]Inputs!$B$82</definedName>
    <definedName name="EGC">[3]Input!$J$21</definedName>
    <definedName name="EGCDATE">[3]Input!$C$16</definedName>
    <definedName name="ELP_ACT_DATA">[12]ELP_ACTUAL!$A$2:$B$338</definedName>
    <definedName name="ELP_ACT_GRP">[12]ELP_ACTUAL!$A$2:$A$338</definedName>
    <definedName name="ELP_EST_DATA">[12]ELP_ESTIMATE!$A$2:$B$351</definedName>
    <definedName name="ELP_EST_GRP">[12]ELP_ESTIMATE!$A$2:$A$351</definedName>
    <definedName name="ELP_PREV_DATA">[12]ELP_PREV_YR!$A$2:$B$350</definedName>
    <definedName name="ELP_PREV_GRP">[12]ELP_PREV_YR!$A$2:$A$350</definedName>
    <definedName name="EMonth" localSheetId="10">[13]Data!$G$4:$G$4,[13]Data!#REF!</definedName>
    <definedName name="EMonth" localSheetId="18">[13]Data!$G$4:$G$4,[13]Data!#REF!</definedName>
    <definedName name="EMonth" localSheetId="17">[13]Data!$G$4:$G$4,[13]Data!#REF!</definedName>
    <definedName name="EMonth" localSheetId="20">[13]Data!$G$4:$G$4,[13]Data!#REF!</definedName>
    <definedName name="EMonth" localSheetId="19">[13]Data!$G$4:$G$4,[13]Data!#REF!</definedName>
    <definedName name="EMonth" localSheetId="7">[13]Data!$G$4:$G$4,[13]Data!#REF!</definedName>
    <definedName name="EMonth">[13]Data!$G$4:$G$4,[13]Data!#REF!</definedName>
    <definedName name="EnerROR" localSheetId="10">'[4]Unit Cost'!#REF!</definedName>
    <definedName name="EnerROR" localSheetId="18">'[4]Unit Cost'!#REF!</definedName>
    <definedName name="EnerROR" localSheetId="17">'[4]Unit Cost'!#REF!</definedName>
    <definedName name="EnerROR" localSheetId="20">'[4]Unit Cost'!#REF!</definedName>
    <definedName name="EnerROR" localSheetId="19">'[4]Unit Cost'!#REF!</definedName>
    <definedName name="EnerROR" localSheetId="7">'[4]Unit Cost'!#REF!</definedName>
    <definedName name="EnerROR">'[4]Unit Cost'!#REF!</definedName>
    <definedName name="EssbaseMonth">[14]Essbase!$D$6</definedName>
    <definedName name="EssLatest">"Beg Bal"</definedName>
    <definedName name="EssOptions">"A3100000000111000000011100010_01000"</definedName>
    <definedName name="EXHIBIT__" localSheetId="10">#REF!</definedName>
    <definedName name="EXHIBIT__" localSheetId="18">#REF!</definedName>
    <definedName name="EXHIBIT__" localSheetId="17">#REF!</definedName>
    <definedName name="EXHIBIT__" localSheetId="20">#REF!</definedName>
    <definedName name="EXHIBIT__" localSheetId="19">#REF!</definedName>
    <definedName name="EXHIBIT__" localSheetId="7">#REF!</definedName>
    <definedName name="EXHIBIT__">#REF!</definedName>
    <definedName name="ExpM" localSheetId="10">#REF!</definedName>
    <definedName name="ExpM" localSheetId="18">#REF!</definedName>
    <definedName name="ExpM" localSheetId="17">#REF!</definedName>
    <definedName name="ExpM" localSheetId="20">#REF!</definedName>
    <definedName name="ExpM" localSheetId="19">#REF!</definedName>
    <definedName name="ExpM" localSheetId="7">#REF!</definedName>
    <definedName name="ExpM">#REF!</definedName>
    <definedName name="ExpY" localSheetId="10">#REF!</definedName>
    <definedName name="ExpY" localSheetId="18">#REF!</definedName>
    <definedName name="ExpY" localSheetId="17">#REF!</definedName>
    <definedName name="ExpY" localSheetId="20">#REF!</definedName>
    <definedName name="ExpY" localSheetId="19">#REF!</definedName>
    <definedName name="ExpY" localSheetId="7">#REF!</definedName>
    <definedName name="ExpY">#REF!</definedName>
    <definedName name="EYTD" localSheetId="10">[13]Data!#REF!,[13]Data!#REF!</definedName>
    <definedName name="EYTD" localSheetId="18">[13]Data!#REF!,[13]Data!#REF!</definedName>
    <definedName name="EYTD" localSheetId="17">[13]Data!#REF!,[13]Data!#REF!</definedName>
    <definedName name="EYTD" localSheetId="20">[13]Data!#REF!,[13]Data!#REF!</definedName>
    <definedName name="EYTD" localSheetId="19">[13]Data!#REF!,[13]Data!#REF!</definedName>
    <definedName name="EYTD" localSheetId="7">[13]Data!#REF!,[13]Data!#REF!</definedName>
    <definedName name="EYTD">[13]Data!#REF!,[13]Data!#REF!</definedName>
    <definedName name="FERC_1" localSheetId="10">#REF!</definedName>
    <definedName name="FERC_1" localSheetId="18">#REF!</definedName>
    <definedName name="FERC_1" localSheetId="17">#REF!</definedName>
    <definedName name="FERC_1" localSheetId="20">#REF!</definedName>
    <definedName name="FERC_1" localSheetId="19">#REF!</definedName>
    <definedName name="FERC_1" localSheetId="7">#REF!</definedName>
    <definedName name="FERC_1">#REF!</definedName>
    <definedName name="ffff" localSheetId="10">'[15]HEO-Sch5'!#REF!</definedName>
    <definedName name="ffff" localSheetId="18">'[15]HEO-Sch5'!#REF!</definedName>
    <definedName name="ffff" localSheetId="17">'[15]HEO-Sch5'!#REF!</definedName>
    <definedName name="ffff" localSheetId="20">'[15]HEO-Sch5'!#REF!</definedName>
    <definedName name="ffff" localSheetId="19">'[15]HEO-Sch5'!#REF!</definedName>
    <definedName name="ffff" localSheetId="7">'[15]HEO-Sch5'!#REF!</definedName>
    <definedName name="ffff">'[15]HEO-Sch5'!#REF!</definedName>
    <definedName name="firmcom" localSheetId="10">[3]Input!#REF!</definedName>
    <definedName name="firmcom" localSheetId="18">[3]Input!#REF!</definedName>
    <definedName name="firmcom" localSheetId="17">[3]Input!#REF!</definedName>
    <definedName name="firmcom" localSheetId="20">[3]Input!#REF!</definedName>
    <definedName name="firmcom" localSheetId="19">[3]Input!#REF!</definedName>
    <definedName name="firmcom" localSheetId="7">[3]Input!#REF!</definedName>
    <definedName name="firmcom">[3]Input!#REF!</definedName>
    <definedName name="firmdem" localSheetId="10">[3]Input!#REF!</definedName>
    <definedName name="firmdem" localSheetId="18">[3]Input!#REF!</definedName>
    <definedName name="firmdem" localSheetId="17">[3]Input!#REF!</definedName>
    <definedName name="firmdem" localSheetId="20">[3]Input!#REF!</definedName>
    <definedName name="firmdem" localSheetId="19">[3]Input!#REF!</definedName>
    <definedName name="firmdem" localSheetId="7">[3]Input!#REF!</definedName>
    <definedName name="firmdem">[3]Input!#REF!</definedName>
    <definedName name="FIT" localSheetId="10">#REF!</definedName>
    <definedName name="FIT" localSheetId="18">#REF!</definedName>
    <definedName name="FIT" localSheetId="17">#REF!</definedName>
    <definedName name="FIT" localSheetId="20">#REF!</definedName>
    <definedName name="FIT" localSheetId="19">#REF!</definedName>
    <definedName name="FIT" localSheetId="7">#REF!</definedName>
    <definedName name="FIT">#REF!</definedName>
    <definedName name="Flex">[16]Index!$A$2:$C$693</definedName>
    <definedName name="FORMULA" localSheetId="10">#REF!</definedName>
    <definedName name="FORMULA" localSheetId="18">#REF!</definedName>
    <definedName name="FORMULA" localSheetId="17">#REF!</definedName>
    <definedName name="FORMULA" localSheetId="20">#REF!</definedName>
    <definedName name="FORMULA" localSheetId="19">#REF!</definedName>
    <definedName name="FORMULA" localSheetId="7">#REF!</definedName>
    <definedName name="FORMULA">#REF!</definedName>
    <definedName name="Freight" localSheetId="10">'[7]Meter-Service'!#REF!</definedName>
    <definedName name="Freight" localSheetId="18">'[7]Meter-Service'!#REF!</definedName>
    <definedName name="Freight" localSheetId="17">'[7]Meter-Service'!#REF!</definedName>
    <definedName name="Freight" localSheetId="20">'[7]Meter-Service'!#REF!</definedName>
    <definedName name="Freight" localSheetId="19">'[7]Meter-Service'!#REF!</definedName>
    <definedName name="Freight" localSheetId="7">'[7]Meter-Service'!#REF!</definedName>
    <definedName name="Freight">'[7]Meter-Service'!#REF!</definedName>
    <definedName name="FreqTable" localSheetId="10">#REF!</definedName>
    <definedName name="FreqTable" localSheetId="18">#REF!</definedName>
    <definedName name="FreqTable" localSheetId="17">#REF!</definedName>
    <definedName name="FreqTable" localSheetId="20">#REF!</definedName>
    <definedName name="FreqTable" localSheetId="19">#REF!</definedName>
    <definedName name="FreqTable" localSheetId="7">#REF!</definedName>
    <definedName name="FreqTable">#REF!</definedName>
    <definedName name="Function3" localSheetId="10">[4]Functions!#REF!</definedName>
    <definedName name="Function3" localSheetId="18">[4]Functions!#REF!</definedName>
    <definedName name="Function3" localSheetId="17">[4]Functions!#REF!</definedName>
    <definedName name="Function3" localSheetId="20">[4]Functions!#REF!</definedName>
    <definedName name="Function3" localSheetId="19">[4]Functions!#REF!</definedName>
    <definedName name="Function3" localSheetId="7">[4]Functions!#REF!</definedName>
    <definedName name="Function3">[4]Functions!#REF!</definedName>
    <definedName name="Function5" localSheetId="10">[4]Functions!#REF!</definedName>
    <definedName name="Function5" localSheetId="18">[4]Functions!#REF!</definedName>
    <definedName name="Function5" localSheetId="17">[4]Functions!#REF!</definedName>
    <definedName name="Function5" localSheetId="20">[4]Functions!#REF!</definedName>
    <definedName name="Function5" localSheetId="19">[4]Functions!#REF!</definedName>
    <definedName name="Function5" localSheetId="7">[4]Functions!#REF!</definedName>
    <definedName name="Function5">[4]Functions!#REF!</definedName>
    <definedName name="Function6" localSheetId="10">[4]Functions!#REF!</definedName>
    <definedName name="Function6" localSheetId="18">[4]Functions!#REF!</definedName>
    <definedName name="Function6" localSheetId="17">[4]Functions!#REF!</definedName>
    <definedName name="Function6" localSheetId="20">[4]Functions!#REF!</definedName>
    <definedName name="Function6" localSheetId="19">[4]Functions!#REF!</definedName>
    <definedName name="Function6" localSheetId="7">[4]Functions!#REF!</definedName>
    <definedName name="Function6">[4]Functions!#REF!</definedName>
    <definedName name="Gas" localSheetId="10">#REF!</definedName>
    <definedName name="Gas" localSheetId="18">#REF!</definedName>
    <definedName name="Gas" localSheetId="17">#REF!</definedName>
    <definedName name="Gas" localSheetId="20">#REF!</definedName>
    <definedName name="Gas" localSheetId="19">#REF!</definedName>
    <definedName name="Gas" localSheetId="7">#REF!</definedName>
    <definedName name="Gas">#REF!</definedName>
    <definedName name="GRT" localSheetId="10">#REF!</definedName>
    <definedName name="GRT" localSheetId="18">#REF!</definedName>
    <definedName name="GRT" localSheetId="17">#REF!</definedName>
    <definedName name="GRT" localSheetId="20">#REF!</definedName>
    <definedName name="GRT" localSheetId="19">#REF!</definedName>
    <definedName name="GRT" localSheetId="7">#REF!</definedName>
    <definedName name="GRT">#REF!</definedName>
    <definedName name="GRTFACT" localSheetId="10">#REF!</definedName>
    <definedName name="GRTFACT" localSheetId="18">#REF!</definedName>
    <definedName name="GRTFACT" localSheetId="17">#REF!</definedName>
    <definedName name="GRTFACT" localSheetId="20">#REF!</definedName>
    <definedName name="GRTFACT" localSheetId="19">#REF!</definedName>
    <definedName name="GRTFACT" localSheetId="7">#REF!</definedName>
    <definedName name="GRTFACT">#REF!</definedName>
    <definedName name="HousingAuth_Volumes_SumByMonth" localSheetId="10">#REF!</definedName>
    <definedName name="HousingAuth_Volumes_SumByMonth" localSheetId="18">#REF!</definedName>
    <definedName name="HousingAuth_Volumes_SumByMonth" localSheetId="17">#REF!</definedName>
    <definedName name="HousingAuth_Volumes_SumByMonth" localSheetId="20">#REF!</definedName>
    <definedName name="HousingAuth_Volumes_SumByMonth" localSheetId="19">#REF!</definedName>
    <definedName name="HousingAuth_Volumes_SumByMonth" localSheetId="7">#REF!</definedName>
    <definedName name="HousingAuth_Volumes_SumByMonth">#REF!</definedName>
    <definedName name="HR_Print" localSheetId="10">#REF!</definedName>
    <definedName name="HR_Print" localSheetId="18">#REF!</definedName>
    <definedName name="HR_Print" localSheetId="17">#REF!</definedName>
    <definedName name="HR_Print" localSheetId="20">#REF!</definedName>
    <definedName name="HR_Print" localSheetId="19">#REF!</definedName>
    <definedName name="HR_Print" localSheetId="7">#REF!</definedName>
    <definedName name="HR_Print">#REF!</definedName>
    <definedName name="HR_Print_CEX" localSheetId="10">#REF!</definedName>
    <definedName name="HR_Print_CEX" localSheetId="18">#REF!</definedName>
    <definedName name="HR_Print_CEX" localSheetId="17">#REF!</definedName>
    <definedName name="HR_Print_CEX" localSheetId="20">#REF!</definedName>
    <definedName name="HR_Print_CEX" localSheetId="19">#REF!</definedName>
    <definedName name="HR_Print_CEX" localSheetId="7">#REF!</definedName>
    <definedName name="HR_Print_CEX">#REF!</definedName>
    <definedName name="I">"a1..m50"</definedName>
    <definedName name="InfillSplitRatio" localSheetId="10">'[7]Meter-Service'!#REF!</definedName>
    <definedName name="InfillSplitRatio" localSheetId="18">'[7]Meter-Service'!#REF!</definedName>
    <definedName name="InfillSplitRatio" localSheetId="17">'[7]Meter-Service'!#REF!</definedName>
    <definedName name="InfillSplitRatio" localSheetId="20">'[7]Meter-Service'!#REF!</definedName>
    <definedName name="InfillSplitRatio" localSheetId="19">'[7]Meter-Service'!#REF!</definedName>
    <definedName name="InfillSplitRatio" localSheetId="7">'[7]Meter-Service'!#REF!</definedName>
    <definedName name="InfillSplitRatio">'[7]Meter-Service'!#REF!</definedName>
    <definedName name="kind" localSheetId="10">#REF!</definedName>
    <definedName name="kind" localSheetId="18">#REF!</definedName>
    <definedName name="kind" localSheetId="17">#REF!</definedName>
    <definedName name="kind" localSheetId="20">#REF!</definedName>
    <definedName name="kind" localSheetId="19">#REF!</definedName>
    <definedName name="kind" localSheetId="7">#REF!</definedName>
    <definedName name="kind">#REF!</definedName>
    <definedName name="LABELS" localSheetId="10">#REF!</definedName>
    <definedName name="LABELS" localSheetId="18">#REF!</definedName>
    <definedName name="LABELS" localSheetId="17">#REF!</definedName>
    <definedName name="LABELS" localSheetId="20">#REF!</definedName>
    <definedName name="LABELS" localSheetId="19">#REF!</definedName>
    <definedName name="LABELS" localSheetId="7">#REF!</definedName>
    <definedName name="LABELS">#REF!</definedName>
    <definedName name="LaborAcct" localSheetId="10">#REF!</definedName>
    <definedName name="LaborAcct" localSheetId="18">#REF!</definedName>
    <definedName name="LaborAcct" localSheetId="17">#REF!</definedName>
    <definedName name="LaborAcct" localSheetId="20">#REF!</definedName>
    <definedName name="LaborAcct" localSheetId="19">#REF!</definedName>
    <definedName name="LaborAcct" localSheetId="7">#REF!</definedName>
    <definedName name="LaborAcct">#REF!</definedName>
    <definedName name="LaborOR" localSheetId="10">#REF!</definedName>
    <definedName name="LaborOR" localSheetId="18">#REF!</definedName>
    <definedName name="LaborOR" localSheetId="17">#REF!</definedName>
    <definedName name="LaborOR" localSheetId="20">#REF!</definedName>
    <definedName name="LaborOR" localSheetId="19">#REF!</definedName>
    <definedName name="LaborOR" localSheetId="7">#REF!</definedName>
    <definedName name="LaborOR">#REF!</definedName>
    <definedName name="LaborP">[5]LaborPercentage!$A$3:$H$123</definedName>
    <definedName name="LIFE" localSheetId="10">#REF!</definedName>
    <definedName name="LIFE" localSheetId="18">#REF!</definedName>
    <definedName name="LIFE" localSheetId="17">#REF!</definedName>
    <definedName name="LIFE" localSheetId="20">#REF!</definedName>
    <definedName name="LIFE" localSheetId="19">#REF!</definedName>
    <definedName name="LIFE" localSheetId="7">#REF!</definedName>
    <definedName name="LIFE">#REF!</definedName>
    <definedName name="Line_Loss">'[17]General Inputs - Others'!$F$10</definedName>
    <definedName name="List" localSheetId="10">#REF!</definedName>
    <definedName name="List" localSheetId="18">#REF!</definedName>
    <definedName name="List" localSheetId="17">#REF!</definedName>
    <definedName name="List" localSheetId="20">#REF!</definedName>
    <definedName name="List" localSheetId="19">#REF!</definedName>
    <definedName name="List" localSheetId="7">#REF!</definedName>
    <definedName name="List">#REF!</definedName>
    <definedName name="LKACCT" localSheetId="10">#REF!</definedName>
    <definedName name="LKACCT" localSheetId="18">#REF!</definedName>
    <definedName name="LKACCT" localSheetId="17">#REF!</definedName>
    <definedName name="LKACCT" localSheetId="20">#REF!</definedName>
    <definedName name="LKACCT" localSheetId="19">#REF!</definedName>
    <definedName name="LKACCT" localSheetId="7">#REF!</definedName>
    <definedName name="LKACCT">#REF!</definedName>
    <definedName name="MACRO" localSheetId="10">#REF!</definedName>
    <definedName name="MACRO" localSheetId="18">#REF!</definedName>
    <definedName name="MACRO" localSheetId="17">#REF!</definedName>
    <definedName name="MACRO" localSheetId="20">#REF!</definedName>
    <definedName name="MACRO" localSheetId="19">#REF!</definedName>
    <definedName name="MACRO" localSheetId="7">#REF!</definedName>
    <definedName name="MACRO">#REF!</definedName>
    <definedName name="MeterHandling" localSheetId="10">'[7]Meter-Service'!#REF!</definedName>
    <definedName name="MeterHandling" localSheetId="18">'[7]Meter-Service'!#REF!</definedName>
    <definedName name="MeterHandling" localSheetId="17">'[7]Meter-Service'!#REF!</definedName>
    <definedName name="MeterHandling" localSheetId="20">'[7]Meter-Service'!#REF!</definedName>
    <definedName name="MeterHandling" localSheetId="19">'[7]Meter-Service'!#REF!</definedName>
    <definedName name="MeterHandling" localSheetId="7">'[7]Meter-Service'!#REF!</definedName>
    <definedName name="MeterHandling">'[7]Meter-Service'!#REF!</definedName>
    <definedName name="MISC_TAX" localSheetId="10">#REF!</definedName>
    <definedName name="MISC_TAX" localSheetId="18">#REF!</definedName>
    <definedName name="MISC_TAX" localSheetId="17">#REF!</definedName>
    <definedName name="MISC_TAX" localSheetId="20">#REF!</definedName>
    <definedName name="MISC_TAX" localSheetId="19">#REF!</definedName>
    <definedName name="MISC_TAX" localSheetId="7">#REF!</definedName>
    <definedName name="MISC_TAX">#REF!</definedName>
    <definedName name="MOAfee">[18]Inputs!$A$43</definedName>
    <definedName name="MOAfees" localSheetId="10">'[7]Meter-Service'!#REF!</definedName>
    <definedName name="MOAfees" localSheetId="18">'[7]Meter-Service'!#REF!</definedName>
    <definedName name="MOAfees" localSheetId="17">'[7]Meter-Service'!#REF!</definedName>
    <definedName name="MOAfees" localSheetId="20">'[7]Meter-Service'!#REF!</definedName>
    <definedName name="MOAfees" localSheetId="19">'[7]Meter-Service'!#REF!</definedName>
    <definedName name="MOAfees" localSheetId="7">'[7]Meter-Service'!#REF!</definedName>
    <definedName name="MOAfees">'[7]Meter-Service'!#REF!</definedName>
    <definedName name="MOApercent" localSheetId="10">'[7]Meter-Service'!#REF!</definedName>
    <definedName name="MOApercent" localSheetId="18">'[7]Meter-Service'!#REF!</definedName>
    <definedName name="MOApercent" localSheetId="17">'[7]Meter-Service'!#REF!</definedName>
    <definedName name="MOApercent" localSheetId="20">'[7]Meter-Service'!#REF!</definedName>
    <definedName name="MOApercent" localSheetId="19">'[7]Meter-Service'!#REF!</definedName>
    <definedName name="MOApercent" localSheetId="7">'[7]Meter-Service'!#REF!</definedName>
    <definedName name="MOApercent">'[7]Meter-Service'!#REF!</definedName>
    <definedName name="Month" localSheetId="10">#REF!</definedName>
    <definedName name="Month" localSheetId="18">#REF!</definedName>
    <definedName name="Month" localSheetId="17">#REF!</definedName>
    <definedName name="Month" localSheetId="20">#REF!</definedName>
    <definedName name="Month" localSheetId="19">#REF!</definedName>
    <definedName name="Month" localSheetId="7">#REF!</definedName>
    <definedName name="Month">#REF!</definedName>
    <definedName name="MonthPrev" localSheetId="10">[19]Report!#REF!</definedName>
    <definedName name="MonthPrev" localSheetId="18">[19]Report!#REF!</definedName>
    <definedName name="MonthPrev" localSheetId="17">[19]Report!#REF!</definedName>
    <definedName name="MonthPrev" localSheetId="20">[19]Report!#REF!</definedName>
    <definedName name="MonthPrev" localSheetId="19">[19]Report!#REF!</definedName>
    <definedName name="MonthPrev" localSheetId="7">[19]Report!#REF!</definedName>
    <definedName name="MonthPrev">[19]Report!#REF!</definedName>
    <definedName name="Months" localSheetId="10">#REF!</definedName>
    <definedName name="Months" localSheetId="18">#REF!</definedName>
    <definedName name="Months" localSheetId="17">#REF!</definedName>
    <definedName name="Months" localSheetId="20">#REF!</definedName>
    <definedName name="Months" localSheetId="19">#REF!</definedName>
    <definedName name="Months" localSheetId="7">#REF!</definedName>
    <definedName name="Months">#REF!</definedName>
    <definedName name="NAME" localSheetId="10">#REF!</definedName>
    <definedName name="NAME" localSheetId="18">#REF!</definedName>
    <definedName name="NAME" localSheetId="17">#REF!</definedName>
    <definedName name="NAME" localSheetId="20">#REF!</definedName>
    <definedName name="NAME" localSheetId="19">#REF!</definedName>
    <definedName name="NAME" localSheetId="7">#REF!</definedName>
    <definedName name="NAME">#REF!</definedName>
    <definedName name="NAME1" localSheetId="10">#REF!</definedName>
    <definedName name="NAME1" localSheetId="18">#REF!</definedName>
    <definedName name="NAME1" localSheetId="17">#REF!</definedName>
    <definedName name="NAME1" localSheetId="20">#REF!</definedName>
    <definedName name="NAME1" localSheetId="19">#REF!</definedName>
    <definedName name="NAME1" localSheetId="7">#REF!</definedName>
    <definedName name="NAME1">#REF!</definedName>
    <definedName name="NCOMRatio" localSheetId="10">'[7]Meter-Service'!#REF!</definedName>
    <definedName name="NCOMRatio" localSheetId="18">'[7]Meter-Service'!#REF!</definedName>
    <definedName name="NCOMRatio" localSheetId="17">'[7]Meter-Service'!#REF!</definedName>
    <definedName name="NCOMRatio" localSheetId="20">'[7]Meter-Service'!#REF!</definedName>
    <definedName name="NCOMRatio" localSheetId="19">'[7]Meter-Service'!#REF!</definedName>
    <definedName name="NCOMRatio" localSheetId="7">'[7]Meter-Service'!#REF!</definedName>
    <definedName name="NCOMRatio">'[7]Meter-Service'!#REF!</definedName>
    <definedName name="NoProposed" localSheetId="10">#REF!,#REF!</definedName>
    <definedName name="NoProposed" localSheetId="18">#REF!,#REF!</definedName>
    <definedName name="NoProposed" localSheetId="17">#REF!,#REF!</definedName>
    <definedName name="NoProposed" localSheetId="20">#REF!,#REF!</definedName>
    <definedName name="NoProposed" localSheetId="19">#REF!,#REF!</definedName>
    <definedName name="NoProposed" localSheetId="7">#REF!,#REF!</definedName>
    <definedName name="NoProposed">#REF!,#REF!</definedName>
    <definedName name="NoProposed1" localSheetId="10">#REF!</definedName>
    <definedName name="NoProposed1" localSheetId="18">#REF!</definedName>
    <definedName name="NoProposed1" localSheetId="17">#REF!</definedName>
    <definedName name="NoProposed1" localSheetId="20">#REF!</definedName>
    <definedName name="NoProposed1" localSheetId="19">#REF!</definedName>
    <definedName name="NoProposed1" localSheetId="7">#REF!</definedName>
    <definedName name="NoProposed1">#REF!</definedName>
    <definedName name="NoProposed2" localSheetId="10">#REF!</definedName>
    <definedName name="NoProposed2" localSheetId="18">#REF!</definedName>
    <definedName name="NoProposed2" localSheetId="17">#REF!</definedName>
    <definedName name="NoProposed2" localSheetId="20">#REF!</definedName>
    <definedName name="NoProposed2" localSheetId="19">#REF!</definedName>
    <definedName name="NoProposed2" localSheetId="7">#REF!</definedName>
    <definedName name="NoProposed2">#REF!</definedName>
    <definedName name="NORMALIZE" localSheetId="10">#REF!</definedName>
    <definedName name="NORMALIZE" localSheetId="18">#REF!</definedName>
    <definedName name="NORMALIZE" localSheetId="17">#REF!</definedName>
    <definedName name="NORMALIZE" localSheetId="20">#REF!</definedName>
    <definedName name="NORMALIZE" localSheetId="19">#REF!</definedName>
    <definedName name="NORMALIZE" localSheetId="7">#REF!</definedName>
    <definedName name="NORMALIZE">#REF!</definedName>
    <definedName name="Note__This_schedule_does_not_include_costs_or_revenues_identified_from_the_annual_ancillary_program_study." localSheetId="10">#REF!</definedName>
    <definedName name="Note__This_schedule_does_not_include_costs_or_revenues_identified_from_the_annual_ancillary_program_study." localSheetId="18">#REF!</definedName>
    <definedName name="Note__This_schedule_does_not_include_costs_or_revenues_identified_from_the_annual_ancillary_program_study." localSheetId="17">#REF!</definedName>
    <definedName name="Note__This_schedule_does_not_include_costs_or_revenues_identified_from_the_annual_ancillary_program_study." localSheetId="20">#REF!</definedName>
    <definedName name="Note__This_schedule_does_not_include_costs_or_revenues_identified_from_the_annual_ancillary_program_study." localSheetId="19">#REF!</definedName>
    <definedName name="Note__This_schedule_does_not_include_costs_or_revenues_identified_from_the_annual_ancillary_program_study." localSheetId="7">#REF!</definedName>
    <definedName name="Note__This_schedule_does_not_include_costs_or_revenues_identified_from_the_annual_ancillary_program_study.">#REF!</definedName>
    <definedName name="OH_HOME" localSheetId="10">[1]DEPR!#REF!</definedName>
    <definedName name="OH_HOME" localSheetId="18">[1]DEPR!#REF!</definedName>
    <definedName name="OH_HOME" localSheetId="17">[1]DEPR!#REF!</definedName>
    <definedName name="OH_HOME" localSheetId="20">[1]DEPR!#REF!</definedName>
    <definedName name="OH_HOME" localSheetId="19">[1]DEPR!#REF!</definedName>
    <definedName name="OH_HOME" localSheetId="7">[1]DEPR!#REF!</definedName>
    <definedName name="OH_HOME">[1]DEPR!#REF!</definedName>
    <definedName name="ONCOR_ELECTRIC_DELIVERY_COMPANY" localSheetId="10">#REF!</definedName>
    <definedName name="ONCOR_ELECTRIC_DELIVERY_COMPANY" localSheetId="18">#REF!</definedName>
    <definedName name="ONCOR_ELECTRIC_DELIVERY_COMPANY" localSheetId="17">#REF!</definedName>
    <definedName name="ONCOR_ELECTRIC_DELIVERY_COMPANY" localSheetId="20">#REF!</definedName>
    <definedName name="ONCOR_ELECTRIC_DELIVERY_COMPANY" localSheetId="19">#REF!</definedName>
    <definedName name="ONCOR_ELECTRIC_DELIVERY_COMPANY" localSheetId="7">#REF!</definedName>
    <definedName name="ONCOR_ELECTRIC_DELIVERY_COMPANY">#REF!</definedName>
    <definedName name="OperRev" localSheetId="10">#REF!</definedName>
    <definedName name="OperRev" localSheetId="18">#REF!</definedName>
    <definedName name="OperRev" localSheetId="17">#REF!</definedName>
    <definedName name="OperRev" localSheetId="20">#REF!</definedName>
    <definedName name="OperRev" localSheetId="19">#REF!</definedName>
    <definedName name="OperRev" localSheetId="7">#REF!</definedName>
    <definedName name="OperRev">#REF!</definedName>
    <definedName name="Over60_1" localSheetId="10">#REF!</definedName>
    <definedName name="Over60_1" localSheetId="18">#REF!</definedName>
    <definedName name="Over60_1" localSheetId="17">#REF!</definedName>
    <definedName name="Over60_1" localSheetId="20">#REF!</definedName>
    <definedName name="Over60_1" localSheetId="19">#REF!</definedName>
    <definedName name="Over60_1" localSheetId="7">#REF!</definedName>
    <definedName name="Over60_1">#REF!</definedName>
    <definedName name="page1">#N/A</definedName>
    <definedName name="page2">#N/A</definedName>
    <definedName name="page3">#N/A</definedName>
    <definedName name="Pal_Workbook_GUID" localSheetId="3" hidden="1">"VX3CWJGNQX2CCGI81U4N2V76"</definedName>
    <definedName name="Pal_Workbook_GUID" hidden="1">"BB4W2MDK8L28BDP7ZM28RT7Q"</definedName>
    <definedName name="pg_2c">#N/A</definedName>
    <definedName name="pg_2d">#N/A</definedName>
    <definedName name="pg_2e">#N/A</definedName>
    <definedName name="pg_2f">#N/A</definedName>
    <definedName name="pg_2h">#N/A</definedName>
    <definedName name="pg_2i">#N/A</definedName>
    <definedName name="pg_2j">#N/A</definedName>
    <definedName name="pg_2k">#N/A</definedName>
    <definedName name="pg_2l">#N/A</definedName>
    <definedName name="pg_2m">#N/A</definedName>
    <definedName name="pg_2n">#N/A</definedName>
    <definedName name="pg_2o">#N/A</definedName>
    <definedName name="PGA">#N/A</definedName>
    <definedName name="PGB">#N/A</definedName>
    <definedName name="PGC">#N/A</definedName>
    <definedName name="PGD">#N/A</definedName>
    <definedName name="PGE">#N/A</definedName>
    <definedName name="PGF">#N/A</definedName>
    <definedName name="PGG">#N/A</definedName>
    <definedName name="Planning" localSheetId="10">'[7]Meter-Service'!#REF!</definedName>
    <definedName name="Planning" localSheetId="18">'[7]Meter-Service'!#REF!</definedName>
    <definedName name="Planning" localSheetId="17">'[7]Meter-Service'!#REF!</definedName>
    <definedName name="Planning" localSheetId="20">'[7]Meter-Service'!#REF!</definedName>
    <definedName name="Planning" localSheetId="19">'[7]Meter-Service'!#REF!</definedName>
    <definedName name="Planning" localSheetId="7">'[7]Meter-Service'!#REF!</definedName>
    <definedName name="Planning">'[7]Meter-Service'!#REF!</definedName>
    <definedName name="PRINT" localSheetId="10">#REF!</definedName>
    <definedName name="PRINT" localSheetId="18">#REF!</definedName>
    <definedName name="PRINT" localSheetId="17">#REF!</definedName>
    <definedName name="PRINT" localSheetId="20">#REF!</definedName>
    <definedName name="PRINT" localSheetId="19">#REF!</definedName>
    <definedName name="PRINT" localSheetId="7">#REF!</definedName>
    <definedName name="PRINT">#REF!</definedName>
    <definedName name="_xlnm.Print_Area" localSheetId="18">'Exh. RJW-3 Combined'!$A$1:$V$53</definedName>
    <definedName name="_xlnm.Print_Area" localSheetId="17">'Exh. RJW-3 RR'!$A$1:$L$49</definedName>
    <definedName name="_xlnm.Print_Area" localSheetId="15">'Rate Impacts - COMBINED'!$A$2:$X$52</definedName>
    <definedName name="_xlnm.Print_Area" localSheetId="14">'Rate Impacts - Rev Req ONLY'!$A$1:$M$49</definedName>
    <definedName name="_xlnm.Print_Area">#REF!</definedName>
    <definedName name="_xlnm.Print_Titles">#REF!,#REF!</definedName>
    <definedName name="print55" localSheetId="10">#REF!</definedName>
    <definedName name="print55" localSheetId="18">#REF!</definedName>
    <definedName name="print55" localSheetId="17">#REF!</definedName>
    <definedName name="print55" localSheetId="20">#REF!</definedName>
    <definedName name="print55" localSheetId="19">#REF!</definedName>
    <definedName name="print55" localSheetId="7">#REF!</definedName>
    <definedName name="print55">#REF!</definedName>
    <definedName name="PrintClassMerDel" localSheetId="10">[4]Classify!#REF!</definedName>
    <definedName name="PrintClassMerDel" localSheetId="18">[4]Classify!#REF!</definedName>
    <definedName name="PrintClassMerDel" localSheetId="17">[4]Classify!#REF!</definedName>
    <definedName name="PrintClassMerDel" localSheetId="20">[4]Classify!#REF!</definedName>
    <definedName name="PrintClassMerDel" localSheetId="19">[4]Classify!#REF!</definedName>
    <definedName name="PrintClassMerDel" localSheetId="7">[4]Classify!#REF!</definedName>
    <definedName name="PrintClassMerDel">[4]Classify!#REF!</definedName>
    <definedName name="PrintFunctMerDel" localSheetId="10">[4]Functions!#REF!</definedName>
    <definedName name="PrintFunctMerDel" localSheetId="18">[4]Functions!#REF!</definedName>
    <definedName name="PrintFunctMerDel" localSheetId="17">[4]Functions!#REF!</definedName>
    <definedName name="PrintFunctMerDel" localSheetId="20">[4]Functions!#REF!</definedName>
    <definedName name="PrintFunctMerDel" localSheetId="19">[4]Functions!#REF!</definedName>
    <definedName name="PrintFunctMerDel" localSheetId="7">[4]Functions!#REF!</definedName>
    <definedName name="PrintFunctMerDel">[4]Functions!#REF!</definedName>
    <definedName name="PrintMainRB" localSheetId="10">#REF!</definedName>
    <definedName name="PrintMainRB" localSheetId="18">#REF!</definedName>
    <definedName name="PrintMainRB" localSheetId="17">#REF!</definedName>
    <definedName name="PrintMainRB" localSheetId="20">#REF!</definedName>
    <definedName name="PrintMainRB" localSheetId="19">#REF!</definedName>
    <definedName name="PrintMainRB" localSheetId="7">#REF!</definedName>
    <definedName name="PrintMainRB">#REF!</definedName>
    <definedName name="PrintMerDelMain" localSheetId="10">[4]Total!#REF!</definedName>
    <definedName name="PrintMerDelMain" localSheetId="18">[4]Total!#REF!</definedName>
    <definedName name="PrintMerDelMain" localSheetId="17">[4]Total!#REF!</definedName>
    <definedName name="PrintMerDelMain" localSheetId="20">[4]Total!#REF!</definedName>
    <definedName name="PrintMerDelMain" localSheetId="19">[4]Total!#REF!</definedName>
    <definedName name="PrintMerDelMain" localSheetId="7">[4]Total!#REF!</definedName>
    <definedName name="PrintMerDelMain">[4]Total!#REF!</definedName>
    <definedName name="PrintMSSDet" localSheetId="10">#REF!</definedName>
    <definedName name="PrintMSSDet" localSheetId="18">#REF!</definedName>
    <definedName name="PrintMSSDet" localSheetId="17">#REF!</definedName>
    <definedName name="PrintMSSDet" localSheetId="20">#REF!</definedName>
    <definedName name="PrintMSSDet" localSheetId="19">#REF!</definedName>
    <definedName name="PrintMSSDet" localSheetId="7">#REF!</definedName>
    <definedName name="PrintMSSDet">#REF!</definedName>
    <definedName name="PrintMSSSum" localSheetId="10">#REF!</definedName>
    <definedName name="PrintMSSSum" localSheetId="18">#REF!</definedName>
    <definedName name="PrintMSSSum" localSheetId="17">#REF!</definedName>
    <definedName name="PrintMSSSum" localSheetId="20">#REF!</definedName>
    <definedName name="PrintMSSSum" localSheetId="19">#REF!</definedName>
    <definedName name="PrintMSSSum" localSheetId="7">#REF!</definedName>
    <definedName name="PrintMSSSum">#REF!</definedName>
    <definedName name="PrintSpecDet" localSheetId="10">#REF!</definedName>
    <definedName name="PrintSpecDet" localSheetId="18">#REF!</definedName>
    <definedName name="PrintSpecDet" localSheetId="17">#REF!</definedName>
    <definedName name="PrintSpecDet" localSheetId="20">#REF!</definedName>
    <definedName name="PrintSpecDet" localSheetId="19">#REF!</definedName>
    <definedName name="PrintSpecDet" localSheetId="7">#REF!</definedName>
    <definedName name="PrintSpecDet">#REF!</definedName>
    <definedName name="PrintSpecSum" localSheetId="10">#REF!</definedName>
    <definedName name="PrintSpecSum" localSheetId="18">#REF!</definedName>
    <definedName name="PrintSpecSum" localSheetId="17">#REF!</definedName>
    <definedName name="PrintSpecSum" localSheetId="20">#REF!</definedName>
    <definedName name="PrintSpecSum" localSheetId="19">#REF!</definedName>
    <definedName name="PrintSpecSum" localSheetId="7">#REF!</definedName>
    <definedName name="PrintSpecSum">#REF!</definedName>
    <definedName name="PrintUnitMerDel" localSheetId="10">'[4]Unit Cost'!#REF!</definedName>
    <definedName name="PrintUnitMerDel" localSheetId="18">'[4]Unit Cost'!#REF!</definedName>
    <definedName name="PrintUnitMerDel" localSheetId="17">'[4]Unit Cost'!#REF!</definedName>
    <definedName name="PrintUnitMerDel" localSheetId="20">'[4]Unit Cost'!#REF!</definedName>
    <definedName name="PrintUnitMerDel" localSheetId="19">'[4]Unit Cost'!#REF!</definedName>
    <definedName name="PrintUnitMerDel" localSheetId="7">'[4]Unit Cost'!#REF!</definedName>
    <definedName name="PrintUnitMerDel">'[4]Unit Cost'!#REF!</definedName>
    <definedName name="PROP_TAX" localSheetId="10">#REF!</definedName>
    <definedName name="PROP_TAX" localSheetId="18">#REF!</definedName>
    <definedName name="PROP_TAX" localSheetId="17">#REF!</definedName>
    <definedName name="PROP_TAX" localSheetId="20">#REF!</definedName>
    <definedName name="PROP_TAX" localSheetId="19">#REF!</definedName>
    <definedName name="PROP_TAX" localSheetId="7">#REF!</definedName>
    <definedName name="PROP_TAX">#REF!</definedName>
    <definedName name="Q" localSheetId="10">[4]Factors!#REF!</definedName>
    <definedName name="Q" localSheetId="18">[4]Factors!#REF!</definedName>
    <definedName name="Q" localSheetId="17">[4]Factors!#REF!</definedName>
    <definedName name="Q" localSheetId="20">[4]Factors!#REF!</definedName>
    <definedName name="Q" localSheetId="19">[4]Factors!#REF!</definedName>
    <definedName name="Q" localSheetId="7">[4]Factors!#REF!</definedName>
    <definedName name="Q">[4]Factors!#REF!</definedName>
    <definedName name="rAdmin" localSheetId="10">#REF!</definedName>
    <definedName name="rAdmin" localSheetId="18">#REF!</definedName>
    <definedName name="rAdmin" localSheetId="17">#REF!</definedName>
    <definedName name="rAdmin" localSheetId="20">#REF!</definedName>
    <definedName name="rAdmin" localSheetId="19">#REF!</definedName>
    <definedName name="rAdmin" localSheetId="7">#REF!</definedName>
    <definedName name="rAdmin">#REF!</definedName>
    <definedName name="rAlloList" localSheetId="10">[4]Registry!#REF!</definedName>
    <definedName name="rAlloList" localSheetId="18">[4]Registry!#REF!</definedName>
    <definedName name="rAlloList" localSheetId="17">[4]Registry!#REF!</definedName>
    <definedName name="rAlloList" localSheetId="20">[4]Registry!#REF!</definedName>
    <definedName name="rAlloList" localSheetId="19">[4]Registry!#REF!</definedName>
    <definedName name="rAlloList" localSheetId="7">[4]Registry!#REF!</definedName>
    <definedName name="rAlloList">[4]Registry!#REF!</definedName>
    <definedName name="rEGC" localSheetId="10">#REF!</definedName>
    <definedName name="rEGC" localSheetId="18">#REF!</definedName>
    <definedName name="rEGC" localSheetId="17">#REF!</definedName>
    <definedName name="rEGC" localSheetId="20">#REF!</definedName>
    <definedName name="rEGC" localSheetId="19">#REF!</definedName>
    <definedName name="rEGC" localSheetId="7">#REF!</definedName>
    <definedName name="rEGC">#REF!</definedName>
    <definedName name="RESERVE_REPORT" localSheetId="10">[20]UTILPLNT!#REF!</definedName>
    <definedName name="RESERVE_REPORT" localSheetId="18">[20]UTILPLNT!#REF!</definedName>
    <definedName name="RESERVE_REPORT" localSheetId="17">[20]UTILPLNT!#REF!</definedName>
    <definedName name="RESERVE_REPORT" localSheetId="20">[20]UTILPLNT!#REF!</definedName>
    <definedName name="RESERVE_REPORT" localSheetId="19">[20]UTILPLNT!#REF!</definedName>
    <definedName name="RESERVE_REPORT" localSheetId="7">[20]UTILPLNT!#REF!</definedName>
    <definedName name="RESERVE_REPORT">[20]UTILPLNT!#REF!</definedName>
    <definedName name="RevM" localSheetId="10">#REF!</definedName>
    <definedName name="RevM" localSheetId="18">#REF!</definedName>
    <definedName name="RevM" localSheetId="17">#REF!</definedName>
    <definedName name="RevM" localSheetId="20">#REF!</definedName>
    <definedName name="RevM" localSheetId="19">#REF!</definedName>
    <definedName name="RevM" localSheetId="7">#REF!</definedName>
    <definedName name="RevM">#REF!</definedName>
    <definedName name="revsens" localSheetId="3">[21]Inputs!$B$30</definedName>
    <definedName name="revsens" localSheetId="10">#REF!</definedName>
    <definedName name="revsens" localSheetId="18">#REF!</definedName>
    <definedName name="revsens" localSheetId="17">#REF!</definedName>
    <definedName name="revsens" localSheetId="20">#REF!</definedName>
    <definedName name="revsens" localSheetId="19">#REF!</definedName>
    <definedName name="revsens" localSheetId="7">#REF!</definedName>
    <definedName name="revsens">#REF!</definedName>
    <definedName name="RevY" localSheetId="10">#REF!</definedName>
    <definedName name="RevY" localSheetId="18">#REF!</definedName>
    <definedName name="RevY" localSheetId="17">#REF!</definedName>
    <definedName name="RevY" localSheetId="20">#REF!</definedName>
    <definedName name="RevY" localSheetId="19">#REF!</definedName>
    <definedName name="RevY" localSheetId="7">#REF!</definedName>
    <definedName name="RevY">#REF!</definedName>
    <definedName name="rGRT" localSheetId="10">#REF!</definedName>
    <definedName name="rGRT" localSheetId="18">#REF!</definedName>
    <definedName name="rGRT" localSheetId="17">#REF!</definedName>
    <definedName name="rGRT" localSheetId="20">#REF!</definedName>
    <definedName name="rGRT" localSheetId="19">#REF!</definedName>
    <definedName name="rGRT" localSheetId="7">#REF!</definedName>
    <definedName name="rGRT">#REF!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localSheetId="3" hidden="1">6</definedName>
    <definedName name="RiskHasSettings" hidden="1">7</definedName>
    <definedName name="RiskIsInput" hidden="1">FALSE</definedName>
    <definedName name="RiskIsOptimization" hidden="1">FALSE</definedName>
    <definedName name="RiskIsOutput" hidden="1">FALSE</definedName>
    <definedName name="RiskIsStatistics" hidden="1">FALSE</definedName>
    <definedName name="RiskMinimizeOnStart" hidden="1">FALSE</definedName>
    <definedName name="RiskMonitorConvergence" hidden="1">FALSE</definedName>
    <definedName name="RiskMultipleCPUSupportEnabled" hidden="1">TRUE</definedName>
    <definedName name="RiskNumIterations" localSheetId="3" hidden="1">100</definedName>
    <definedName name="RiskNumIterations" hidden="1">1000</definedName>
    <definedName name="RiskNumSimulations" localSheetId="3" hidden="1">1</definedName>
    <definedName name="RiskNumSimulations" hidden="1">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r_1">#N/A</definedName>
    <definedName name="ror_2">#N/A</definedName>
    <definedName name="rPIP" localSheetId="10">#REF!</definedName>
    <definedName name="rPIP" localSheetId="18">#REF!</definedName>
    <definedName name="rPIP" localSheetId="17">#REF!</definedName>
    <definedName name="rPIP" localSheetId="20">#REF!</definedName>
    <definedName name="rPIP" localSheetId="19">#REF!</definedName>
    <definedName name="rPIP" localSheetId="7">#REF!</definedName>
    <definedName name="rPIP">#REF!</definedName>
    <definedName name="RptDate" localSheetId="10">#REF!</definedName>
    <definedName name="RptDate" localSheetId="18">#REF!</definedName>
    <definedName name="RptDate" localSheetId="17">#REF!</definedName>
    <definedName name="RptDate" localSheetId="20">#REF!</definedName>
    <definedName name="RptDate" localSheetId="19">#REF!</definedName>
    <definedName name="RptDate" localSheetId="7">#REF!</definedName>
    <definedName name="RptDate">#REF!</definedName>
    <definedName name="rSB" localSheetId="10">#REF!</definedName>
    <definedName name="rSB" localSheetId="18">#REF!</definedName>
    <definedName name="rSB" localSheetId="17">#REF!</definedName>
    <definedName name="rSB" localSheetId="20">#REF!</definedName>
    <definedName name="rSB" localSheetId="19">#REF!</definedName>
    <definedName name="rSB" localSheetId="7">#REF!</definedName>
    <definedName name="rSB">#REF!</definedName>
    <definedName name="rShare" localSheetId="10">#REF!</definedName>
    <definedName name="rShare" localSheetId="18">#REF!</definedName>
    <definedName name="rShare" localSheetId="17">#REF!</definedName>
    <definedName name="rShare" localSheetId="20">#REF!</definedName>
    <definedName name="rShare" localSheetId="19">#REF!</definedName>
    <definedName name="rShare" localSheetId="7">#REF!</definedName>
    <definedName name="rShare">#REF!</definedName>
    <definedName name="rTemp" localSheetId="10">#REF!</definedName>
    <definedName name="rTemp" localSheetId="18">#REF!</definedName>
    <definedName name="rTemp" localSheetId="17">#REF!</definedName>
    <definedName name="rTemp" localSheetId="20">#REF!</definedName>
    <definedName name="rTemp" localSheetId="19">#REF!</definedName>
    <definedName name="rTemp" localSheetId="7">#REF!</definedName>
    <definedName name="rTemp">#REF!</definedName>
    <definedName name="rUnc" localSheetId="10">#REF!</definedName>
    <definedName name="rUnc" localSheetId="18">#REF!</definedName>
    <definedName name="rUnc" localSheetId="17">#REF!</definedName>
    <definedName name="rUnc" localSheetId="20">#REF!</definedName>
    <definedName name="rUnc" localSheetId="19">#REF!</definedName>
    <definedName name="rUnc" localSheetId="7">#REF!</definedName>
    <definedName name="rUnc">#REF!</definedName>
    <definedName name="Sales_Print_CEX" localSheetId="10">#REF!</definedName>
    <definedName name="Sales_Print_CEX" localSheetId="18">#REF!</definedName>
    <definedName name="Sales_Print_CEX" localSheetId="17">#REF!</definedName>
    <definedName name="Sales_Print_CEX" localSheetId="20">#REF!</definedName>
    <definedName name="Sales_Print_CEX" localSheetId="19">#REF!</definedName>
    <definedName name="Sales_Print_CEX" localSheetId="7">#REF!</definedName>
    <definedName name="Sales_Print_CEX">#REF!</definedName>
    <definedName name="SALV" localSheetId="10">#REF!</definedName>
    <definedName name="SALV" localSheetId="18">#REF!</definedName>
    <definedName name="SALV" localSheetId="17">#REF!</definedName>
    <definedName name="SALV" localSheetId="20">#REF!</definedName>
    <definedName name="SALV" localSheetId="19">#REF!</definedName>
    <definedName name="SALV" localSheetId="7">#REF!</definedName>
    <definedName name="SALV">#REF!</definedName>
    <definedName name="SAS_GasCost" localSheetId="10">[3]Input!#REF!</definedName>
    <definedName name="SAS_GasCost" localSheetId="18">[3]Input!#REF!</definedName>
    <definedName name="SAS_GasCost" localSheetId="17">[3]Input!#REF!</definedName>
    <definedName name="SAS_GasCost" localSheetId="20">[3]Input!#REF!</definedName>
    <definedName name="SAS_GasCost" localSheetId="19">[3]Input!#REF!</definedName>
    <definedName name="SAS_GasCost" localSheetId="7">[3]Input!#REF!</definedName>
    <definedName name="SAS_GasCost">[3]Input!#REF!</definedName>
    <definedName name="sch10print" localSheetId="10">#REF!</definedName>
    <definedName name="sch10print" localSheetId="18">#REF!</definedName>
    <definedName name="sch10print" localSheetId="17">#REF!</definedName>
    <definedName name="sch10print" localSheetId="20">#REF!</definedName>
    <definedName name="sch10print" localSheetId="19">#REF!</definedName>
    <definedName name="sch10print" localSheetId="7">#REF!</definedName>
    <definedName name="sch10print">#REF!</definedName>
    <definedName name="sch3data" localSheetId="10">#REF!</definedName>
    <definedName name="sch3data" localSheetId="18">#REF!</definedName>
    <definedName name="sch3data" localSheetId="17">#REF!</definedName>
    <definedName name="sch3data" localSheetId="20">#REF!</definedName>
    <definedName name="sch3data" localSheetId="19">#REF!</definedName>
    <definedName name="sch3data" localSheetId="7">#REF!</definedName>
    <definedName name="sch3data">#REF!</definedName>
    <definedName name="sch3data_grp" localSheetId="10">#REF!</definedName>
    <definedName name="sch3data_grp" localSheetId="18">#REF!</definedName>
    <definedName name="sch3data_grp" localSheetId="17">#REF!</definedName>
    <definedName name="sch3data_grp" localSheetId="20">#REF!</definedName>
    <definedName name="sch3data_grp" localSheetId="19">#REF!</definedName>
    <definedName name="sch3data_grp" localSheetId="7">#REF!</definedName>
    <definedName name="sch3data_grp">#REF!</definedName>
    <definedName name="sch3print" localSheetId="10">#REF!</definedName>
    <definedName name="sch3print" localSheetId="18">#REF!</definedName>
    <definedName name="sch3print" localSheetId="17">#REF!</definedName>
    <definedName name="sch3print" localSheetId="20">#REF!</definedName>
    <definedName name="sch3print" localSheetId="19">#REF!</definedName>
    <definedName name="sch3print" localSheetId="7">#REF!</definedName>
    <definedName name="sch3print">#REF!</definedName>
    <definedName name="sch4_2data" localSheetId="10">#REF!</definedName>
    <definedName name="sch4_2data" localSheetId="18">#REF!</definedName>
    <definedName name="sch4_2data" localSheetId="17">#REF!</definedName>
    <definedName name="sch4_2data" localSheetId="20">#REF!</definedName>
    <definedName name="sch4_2data" localSheetId="19">#REF!</definedName>
    <definedName name="sch4_2data" localSheetId="7">#REF!</definedName>
    <definedName name="sch4_2data">#REF!</definedName>
    <definedName name="sch4_2data_grp" localSheetId="10">#REF!</definedName>
    <definedName name="sch4_2data_grp" localSheetId="18">#REF!</definedName>
    <definedName name="sch4_2data_grp" localSheetId="17">#REF!</definedName>
    <definedName name="sch4_2data_grp" localSheetId="20">#REF!</definedName>
    <definedName name="sch4_2data_grp" localSheetId="19">#REF!</definedName>
    <definedName name="sch4_2data_grp" localSheetId="7">#REF!</definedName>
    <definedName name="sch4_2data_grp">#REF!</definedName>
    <definedName name="sch4_2data1" localSheetId="10">#REF!</definedName>
    <definedName name="sch4_2data1" localSheetId="18">#REF!</definedName>
    <definedName name="sch4_2data1" localSheetId="17">#REF!</definedName>
    <definedName name="sch4_2data1" localSheetId="20">#REF!</definedName>
    <definedName name="sch4_2data1" localSheetId="19">#REF!</definedName>
    <definedName name="sch4_2data1" localSheetId="7">#REF!</definedName>
    <definedName name="sch4_2data1">#REF!</definedName>
    <definedName name="sch4_2data1_grp" localSheetId="10">#REF!</definedName>
    <definedName name="sch4_2data1_grp" localSheetId="18">#REF!</definedName>
    <definedName name="sch4_2data1_grp" localSheetId="17">#REF!</definedName>
    <definedName name="sch4_2data1_grp" localSheetId="20">#REF!</definedName>
    <definedName name="sch4_2data1_grp" localSheetId="19">#REF!</definedName>
    <definedName name="sch4_2data1_grp" localSheetId="7">#REF!</definedName>
    <definedName name="sch4_2data1_grp">#REF!</definedName>
    <definedName name="sch4_2print" localSheetId="10">#REF!</definedName>
    <definedName name="sch4_2print" localSheetId="18">#REF!</definedName>
    <definedName name="sch4_2print" localSheetId="17">#REF!</definedName>
    <definedName name="sch4_2print" localSheetId="20">#REF!</definedName>
    <definedName name="sch4_2print" localSheetId="19">#REF!</definedName>
    <definedName name="sch4_2print" localSheetId="7">#REF!</definedName>
    <definedName name="sch4_2print">#REF!</definedName>
    <definedName name="sch4_3print" localSheetId="10">#REF!</definedName>
    <definedName name="sch4_3print" localSheetId="18">#REF!</definedName>
    <definedName name="sch4_3print" localSheetId="17">#REF!</definedName>
    <definedName name="sch4_3print" localSheetId="20">#REF!</definedName>
    <definedName name="sch4_3print" localSheetId="19">#REF!</definedName>
    <definedName name="sch4_3print" localSheetId="7">#REF!</definedName>
    <definedName name="sch4_3print">#REF!</definedName>
    <definedName name="sch4print" localSheetId="10">#REF!</definedName>
    <definedName name="sch4print" localSheetId="18">#REF!</definedName>
    <definedName name="sch4print" localSheetId="17">#REF!</definedName>
    <definedName name="sch4print" localSheetId="20">#REF!</definedName>
    <definedName name="sch4print" localSheetId="19">#REF!</definedName>
    <definedName name="sch4print" localSheetId="7">#REF!</definedName>
    <definedName name="sch4print">#REF!</definedName>
    <definedName name="sch5_1print" localSheetId="10">#REF!</definedName>
    <definedName name="sch5_1print" localSheetId="18">#REF!</definedName>
    <definedName name="sch5_1print" localSheetId="17">#REF!</definedName>
    <definedName name="sch5_1print" localSheetId="20">#REF!</definedName>
    <definedName name="sch5_1print" localSheetId="19">#REF!</definedName>
    <definedName name="sch5_1print" localSheetId="7">#REF!</definedName>
    <definedName name="sch5_1print">#REF!</definedName>
    <definedName name="sch5_2print" localSheetId="10">#REF!</definedName>
    <definedName name="sch5_2print" localSheetId="18">#REF!</definedName>
    <definedName name="sch5_2print" localSheetId="17">#REF!</definedName>
    <definedName name="sch5_2print" localSheetId="20">#REF!</definedName>
    <definedName name="sch5_2print" localSheetId="19">#REF!</definedName>
    <definedName name="sch5_2print" localSheetId="7">#REF!</definedName>
    <definedName name="sch5_2print">#REF!</definedName>
    <definedName name="sch5_3print" localSheetId="10">#REF!</definedName>
    <definedName name="sch5_3print" localSheetId="18">#REF!</definedName>
    <definedName name="sch5_3print" localSheetId="17">#REF!</definedName>
    <definedName name="sch5_3print" localSheetId="20">#REF!</definedName>
    <definedName name="sch5_3print" localSheetId="19">#REF!</definedName>
    <definedName name="sch5_3print" localSheetId="7">#REF!</definedName>
    <definedName name="sch5_3print">#REF!</definedName>
    <definedName name="sch5_4print" localSheetId="10">#REF!</definedName>
    <definedName name="sch5_4print" localSheetId="18">#REF!</definedName>
    <definedName name="sch5_4print" localSheetId="17">#REF!</definedName>
    <definedName name="sch5_4print" localSheetId="20">#REF!</definedName>
    <definedName name="sch5_4print" localSheetId="19">#REF!</definedName>
    <definedName name="sch5_4print" localSheetId="7">#REF!</definedName>
    <definedName name="sch5_4print">#REF!</definedName>
    <definedName name="sch5_5print" localSheetId="10">#REF!</definedName>
    <definedName name="sch5_5print" localSheetId="18">#REF!</definedName>
    <definedName name="sch5_5print" localSheetId="17">#REF!</definedName>
    <definedName name="sch5_5print" localSheetId="20">#REF!</definedName>
    <definedName name="sch5_5print" localSheetId="19">#REF!</definedName>
    <definedName name="sch5_5print" localSheetId="7">#REF!</definedName>
    <definedName name="sch5_5print">#REF!</definedName>
    <definedName name="sch5print" localSheetId="10">#REF!</definedName>
    <definedName name="sch5print" localSheetId="18">#REF!</definedName>
    <definedName name="sch5print" localSheetId="17">#REF!</definedName>
    <definedName name="sch5print" localSheetId="20">#REF!</definedName>
    <definedName name="sch5print" localSheetId="19">#REF!</definedName>
    <definedName name="sch5print" localSheetId="7">#REF!</definedName>
    <definedName name="sch5print">#REF!</definedName>
    <definedName name="sch6print" localSheetId="10">#REF!</definedName>
    <definedName name="sch6print" localSheetId="18">#REF!</definedName>
    <definedName name="sch6print" localSheetId="17">#REF!</definedName>
    <definedName name="sch6print" localSheetId="20">#REF!</definedName>
    <definedName name="sch6print" localSheetId="19">#REF!</definedName>
    <definedName name="sch6print" localSheetId="7">#REF!</definedName>
    <definedName name="sch6print">#REF!</definedName>
    <definedName name="sch7_1_1print" localSheetId="10">#REF!</definedName>
    <definedName name="sch7_1_1print" localSheetId="18">#REF!</definedName>
    <definedName name="sch7_1_1print" localSheetId="17">#REF!</definedName>
    <definedName name="sch7_1_1print" localSheetId="20">#REF!</definedName>
    <definedName name="sch7_1_1print" localSheetId="19">#REF!</definedName>
    <definedName name="sch7_1_1print" localSheetId="7">#REF!</definedName>
    <definedName name="sch7_1_1print">#REF!</definedName>
    <definedName name="sch7_1_2print" localSheetId="10">#REF!</definedName>
    <definedName name="sch7_1_2print" localSheetId="18">#REF!</definedName>
    <definedName name="sch7_1_2print" localSheetId="17">#REF!</definedName>
    <definedName name="sch7_1_2print" localSheetId="20">#REF!</definedName>
    <definedName name="sch7_1_2print" localSheetId="19">#REF!</definedName>
    <definedName name="sch7_1_2print" localSheetId="7">#REF!</definedName>
    <definedName name="sch7_1_2print">#REF!</definedName>
    <definedName name="sch7_1_3print" localSheetId="10">#REF!</definedName>
    <definedName name="sch7_1_3print" localSheetId="18">#REF!</definedName>
    <definedName name="sch7_1_3print" localSheetId="17">#REF!</definedName>
    <definedName name="sch7_1_3print" localSheetId="20">#REF!</definedName>
    <definedName name="sch7_1_3print" localSheetId="19">#REF!</definedName>
    <definedName name="sch7_1_3print" localSheetId="7">#REF!</definedName>
    <definedName name="sch7_1_3print">#REF!</definedName>
    <definedName name="sch7_1_4print" localSheetId="10">#REF!</definedName>
    <definedName name="sch7_1_4print" localSheetId="18">#REF!</definedName>
    <definedName name="sch7_1_4print" localSheetId="17">#REF!</definedName>
    <definedName name="sch7_1_4print" localSheetId="20">#REF!</definedName>
    <definedName name="sch7_1_4print" localSheetId="19">#REF!</definedName>
    <definedName name="sch7_1_4print" localSheetId="7">#REF!</definedName>
    <definedName name="sch7_1_4print">#REF!</definedName>
    <definedName name="sch7_1_5print" localSheetId="10">#REF!</definedName>
    <definedName name="sch7_1_5print" localSheetId="18">#REF!</definedName>
    <definedName name="sch7_1_5print" localSheetId="17">#REF!</definedName>
    <definedName name="sch7_1_5print" localSheetId="20">#REF!</definedName>
    <definedName name="sch7_1_5print" localSheetId="19">#REF!</definedName>
    <definedName name="sch7_1_5print" localSheetId="7">#REF!</definedName>
    <definedName name="sch7_1_5print">#REF!</definedName>
    <definedName name="sch7_1_6print" localSheetId="10">#REF!</definedName>
    <definedName name="sch7_1_6print" localSheetId="18">#REF!</definedName>
    <definedName name="sch7_1_6print" localSheetId="17">#REF!</definedName>
    <definedName name="sch7_1_6print" localSheetId="20">#REF!</definedName>
    <definedName name="sch7_1_6print" localSheetId="19">#REF!</definedName>
    <definedName name="sch7_1_6print" localSheetId="7">#REF!</definedName>
    <definedName name="sch7_1_6print">#REF!</definedName>
    <definedName name="sch7_1_7print" localSheetId="10">#REF!</definedName>
    <definedName name="sch7_1_7print" localSheetId="18">#REF!</definedName>
    <definedName name="sch7_1_7print" localSheetId="17">#REF!</definedName>
    <definedName name="sch7_1_7print" localSheetId="20">#REF!</definedName>
    <definedName name="sch7_1_7print" localSheetId="19">#REF!</definedName>
    <definedName name="sch7_1_7print" localSheetId="7">#REF!</definedName>
    <definedName name="sch7_1_7print">#REF!</definedName>
    <definedName name="sch7_1print" localSheetId="10">#REF!</definedName>
    <definedName name="sch7_1print" localSheetId="18">#REF!</definedName>
    <definedName name="sch7_1print" localSheetId="17">#REF!</definedName>
    <definedName name="sch7_1print" localSheetId="20">#REF!</definedName>
    <definedName name="sch7_1print" localSheetId="19">#REF!</definedName>
    <definedName name="sch7_1print" localSheetId="7">#REF!</definedName>
    <definedName name="sch7_1print">#REF!</definedName>
    <definedName name="Sch7_2data">[22]sch7_2data!$A$1:$F$14</definedName>
    <definedName name="Sch7_2data_grp">[22]sch7_2data!$A$1:$A$65536</definedName>
    <definedName name="sch7_2print" localSheetId="10">#REF!</definedName>
    <definedName name="sch7_2print" localSheetId="18">#REF!</definedName>
    <definedName name="sch7_2print" localSheetId="17">#REF!</definedName>
    <definedName name="sch7_2print" localSheetId="20">#REF!</definedName>
    <definedName name="sch7_2print" localSheetId="19">#REF!</definedName>
    <definedName name="sch7_2print" localSheetId="7">#REF!</definedName>
    <definedName name="sch7_2print">#REF!</definedName>
    <definedName name="sch7_3print" localSheetId="10">#REF!</definedName>
    <definedName name="sch7_3print" localSheetId="18">#REF!</definedName>
    <definedName name="sch7_3print" localSheetId="17">#REF!</definedName>
    <definedName name="sch7_3print" localSheetId="20">#REF!</definedName>
    <definedName name="sch7_3print" localSheetId="19">#REF!</definedName>
    <definedName name="sch7_3print" localSheetId="7">#REF!</definedName>
    <definedName name="sch7_3print">#REF!</definedName>
    <definedName name="sch7_4print" localSheetId="10">#REF!</definedName>
    <definedName name="sch7_4print" localSheetId="18">#REF!</definedName>
    <definedName name="sch7_4print" localSheetId="17">#REF!</definedName>
    <definedName name="sch7_4print" localSheetId="20">#REF!</definedName>
    <definedName name="sch7_4print" localSheetId="19">#REF!</definedName>
    <definedName name="sch7_4print" localSheetId="7">#REF!</definedName>
    <definedName name="sch7_4print">#REF!</definedName>
    <definedName name="sch7_5print" localSheetId="10">#REF!</definedName>
    <definedName name="sch7_5print" localSheetId="18">#REF!</definedName>
    <definedName name="sch7_5print" localSheetId="17">#REF!</definedName>
    <definedName name="sch7_5print" localSheetId="20">#REF!</definedName>
    <definedName name="sch7_5print" localSheetId="19">#REF!</definedName>
    <definedName name="sch7_5print" localSheetId="7">#REF!</definedName>
    <definedName name="sch7_5print">#REF!</definedName>
    <definedName name="sch7_6print" localSheetId="10">#REF!</definedName>
    <definedName name="sch7_6print" localSheetId="18">#REF!</definedName>
    <definedName name="sch7_6print" localSheetId="17">#REF!</definedName>
    <definedName name="sch7_6print" localSheetId="20">#REF!</definedName>
    <definedName name="sch7_6print" localSheetId="19">#REF!</definedName>
    <definedName name="sch7_6print" localSheetId="7">#REF!</definedName>
    <definedName name="sch7_6print">#REF!</definedName>
    <definedName name="sch7print" localSheetId="10">#REF!</definedName>
    <definedName name="sch7print" localSheetId="18">#REF!</definedName>
    <definedName name="sch7print" localSheetId="17">#REF!</definedName>
    <definedName name="sch7print" localSheetId="20">#REF!</definedName>
    <definedName name="sch7print" localSheetId="19">#REF!</definedName>
    <definedName name="sch7print" localSheetId="7">#REF!</definedName>
    <definedName name="sch7print">#REF!</definedName>
    <definedName name="sch8print" localSheetId="10">#REF!</definedName>
    <definedName name="sch8print" localSheetId="18">#REF!</definedName>
    <definedName name="sch8print" localSheetId="17">#REF!</definedName>
    <definedName name="sch8print" localSheetId="20">#REF!</definedName>
    <definedName name="sch8print" localSheetId="19">#REF!</definedName>
    <definedName name="sch8print" localSheetId="7">#REF!</definedName>
    <definedName name="sch8print">#REF!</definedName>
    <definedName name="sch9print" localSheetId="10">#REF!</definedName>
    <definedName name="sch9print" localSheetId="18">#REF!</definedName>
    <definedName name="sch9print" localSheetId="17">#REF!</definedName>
    <definedName name="sch9print" localSheetId="20">#REF!</definedName>
    <definedName name="sch9print" localSheetId="19">#REF!</definedName>
    <definedName name="sch9print" localSheetId="7">#REF!</definedName>
    <definedName name="sch9print">#REF!</definedName>
    <definedName name="SewerConflictCost" localSheetId="10">'[7]Meter-Service'!#REF!</definedName>
    <definedName name="SewerConflictCost" localSheetId="18">'[7]Meter-Service'!#REF!</definedName>
    <definedName name="SewerConflictCost" localSheetId="17">'[7]Meter-Service'!#REF!</definedName>
    <definedName name="SewerConflictCost" localSheetId="20">'[7]Meter-Service'!#REF!</definedName>
    <definedName name="SewerConflictCost" localSheetId="19">'[7]Meter-Service'!#REF!</definedName>
    <definedName name="SewerConflictCost" localSheetId="7">'[7]Meter-Service'!#REF!</definedName>
    <definedName name="SewerConflictCost">'[7]Meter-Service'!#REF!</definedName>
    <definedName name="size" localSheetId="10">#REF!</definedName>
    <definedName name="size" localSheetId="18">#REF!</definedName>
    <definedName name="size" localSheetId="17">#REF!</definedName>
    <definedName name="size" localSheetId="20">#REF!</definedName>
    <definedName name="size" localSheetId="19">#REF!</definedName>
    <definedName name="size" localSheetId="7">#REF!</definedName>
    <definedName name="size">#REF!</definedName>
    <definedName name="START" localSheetId="10">#REF!</definedName>
    <definedName name="START" localSheetId="18">#REF!</definedName>
    <definedName name="START" localSheetId="17">#REF!</definedName>
    <definedName name="START" localSheetId="20">#REF!</definedName>
    <definedName name="START" localSheetId="19">#REF!</definedName>
    <definedName name="START" localSheetId="7">#REF!</definedName>
    <definedName name="START">#REF!</definedName>
    <definedName name="sue">#N/A</definedName>
    <definedName name="SumMerchantDel" localSheetId="10">[4]Total!#REF!</definedName>
    <definedName name="SumMerchantDel" localSheetId="18">[4]Total!#REF!</definedName>
    <definedName name="SumMerchantDel" localSheetId="17">[4]Total!#REF!</definedName>
    <definedName name="SumMerchantDel" localSheetId="20">[4]Total!#REF!</definedName>
    <definedName name="SumMerchantDel" localSheetId="19">[4]Total!#REF!</definedName>
    <definedName name="SumMerchantDel" localSheetId="7">[4]Total!#REF!</definedName>
    <definedName name="SumMerchantDel">[4]Total!#REF!</definedName>
    <definedName name="sumunitmerchdelivery" localSheetId="10">'[4]Unit Cost'!#REF!</definedName>
    <definedName name="sumunitmerchdelivery" localSheetId="18">'[4]Unit Cost'!#REF!</definedName>
    <definedName name="sumunitmerchdelivery" localSheetId="17">'[4]Unit Cost'!#REF!</definedName>
    <definedName name="sumunitmerchdelivery" localSheetId="20">'[4]Unit Cost'!#REF!</definedName>
    <definedName name="sumunitmerchdelivery" localSheetId="19">'[4]Unit Cost'!#REF!</definedName>
    <definedName name="sumunitmerchdelivery" localSheetId="7">'[4]Unit Cost'!#REF!</definedName>
    <definedName name="sumunitmerchdelivery">'[4]Unit Cost'!#REF!</definedName>
    <definedName name="t">'[23]Sched7-1'!$D$1:$K$19</definedName>
    <definedName name="tabCustChg" localSheetId="10">#REF!</definedName>
    <definedName name="tabCustChg" localSheetId="18">#REF!</definedName>
    <definedName name="tabCustChg" localSheetId="17">#REF!</definedName>
    <definedName name="tabCustChg" localSheetId="20">#REF!</definedName>
    <definedName name="tabCustChg" localSheetId="19">#REF!</definedName>
    <definedName name="tabCustChg" localSheetId="7">#REF!</definedName>
    <definedName name="tabCustChg">#REF!</definedName>
    <definedName name="tabDelChg" localSheetId="10">#REF!</definedName>
    <definedName name="tabDelChg" localSheetId="18">#REF!</definedName>
    <definedName name="tabDelChg" localSheetId="17">#REF!</definedName>
    <definedName name="tabDelChg" localSheetId="20">#REF!</definedName>
    <definedName name="tabDelChg" localSheetId="19">#REF!</definedName>
    <definedName name="tabDelChg" localSheetId="7">#REF!</definedName>
    <definedName name="tabDelChg">#REF!</definedName>
    <definedName name="TAXBASE" localSheetId="10">#REF!</definedName>
    <definedName name="TAXBASE" localSheetId="18">#REF!</definedName>
    <definedName name="TAXBASE" localSheetId="17">#REF!</definedName>
    <definedName name="TAXBASE" localSheetId="20">#REF!</definedName>
    <definedName name="TAXBASE" localSheetId="19">#REF!</definedName>
    <definedName name="TAXBASE" localSheetId="7">#REF!</definedName>
    <definedName name="TAXBASE">#REF!</definedName>
    <definedName name="TDRATE" localSheetId="10">#REF!</definedName>
    <definedName name="TDRATE" localSheetId="18">#REF!</definedName>
    <definedName name="TDRATE" localSheetId="17">#REF!</definedName>
    <definedName name="TDRATE" localSheetId="20">#REF!</definedName>
    <definedName name="TDRATE" localSheetId="19">#REF!</definedName>
    <definedName name="TDRATE" localSheetId="7">#REF!</definedName>
    <definedName name="TDRATE">#REF!</definedName>
    <definedName name="TEMP" localSheetId="10">#REF!</definedName>
    <definedName name="TEMP" localSheetId="18">#REF!</definedName>
    <definedName name="TEMP" localSheetId="17">#REF!</definedName>
    <definedName name="TEMP" localSheetId="20">#REF!</definedName>
    <definedName name="TEMP" localSheetId="19">#REF!</definedName>
    <definedName name="TEMP" localSheetId="7">#REF!</definedName>
    <definedName name="TEMP">#REF!</definedName>
    <definedName name="Title">[6]Registry!$E$95</definedName>
    <definedName name="TranROR" localSheetId="10">'[4]Unit Cost'!#REF!</definedName>
    <definedName name="TranROR" localSheetId="18">'[4]Unit Cost'!#REF!</definedName>
    <definedName name="TranROR" localSheetId="17">'[4]Unit Cost'!#REF!</definedName>
    <definedName name="TranROR" localSheetId="20">'[4]Unit Cost'!#REF!</definedName>
    <definedName name="TranROR" localSheetId="19">'[4]Unit Cost'!#REF!</definedName>
    <definedName name="TranROR" localSheetId="7">'[4]Unit Cost'!#REF!</definedName>
    <definedName name="TranROR">'[4]Unit Cost'!#REF!</definedName>
    <definedName name="TXADJST1" localSheetId="10">#REF!</definedName>
    <definedName name="TXADJST1" localSheetId="18">#REF!</definedName>
    <definedName name="TXADJST1" localSheetId="17">#REF!</definedName>
    <definedName name="TXADJST1" localSheetId="20">#REF!</definedName>
    <definedName name="TXADJST1" localSheetId="19">#REF!</definedName>
    <definedName name="TXADJST1" localSheetId="7">#REF!</definedName>
    <definedName name="TXADJST1">#REF!</definedName>
    <definedName name="TXLIFE" localSheetId="10">#REF!</definedName>
    <definedName name="TXLIFE" localSheetId="18">#REF!</definedName>
    <definedName name="TXLIFE" localSheetId="17">#REF!</definedName>
    <definedName name="TXLIFE" localSheetId="20">#REF!</definedName>
    <definedName name="TXLIFE" localSheetId="19">#REF!</definedName>
    <definedName name="TXLIFE" localSheetId="7">#REF!</definedName>
    <definedName name="TXLIFE">#REF!</definedName>
    <definedName name="TYDESC">[3]A!$A$3</definedName>
    <definedName name="Types" localSheetId="10">#REF!</definedName>
    <definedName name="Types" localSheetId="18">#REF!</definedName>
    <definedName name="Types" localSheetId="17">#REF!</definedName>
    <definedName name="Types" localSheetId="20">#REF!</definedName>
    <definedName name="Types" localSheetId="19">#REF!</definedName>
    <definedName name="Types" localSheetId="7">#REF!</definedName>
    <definedName name="Types">#REF!</definedName>
    <definedName name="UNITCOST" localSheetId="10">#REF!</definedName>
    <definedName name="UNITCOST" localSheetId="18">#REF!</definedName>
    <definedName name="UNITCOST" localSheetId="17">#REF!</definedName>
    <definedName name="UNITCOST" localSheetId="20">#REF!</definedName>
    <definedName name="UNITCOST" localSheetId="19">#REF!</definedName>
    <definedName name="UNITCOST" localSheetId="7">#REF!</definedName>
    <definedName name="UNITCOST">#REF!</definedName>
    <definedName name="UNITRATE_EXP" localSheetId="10">'[4]Unit Cost'!#REF!</definedName>
    <definedName name="UNITRATE_EXP" localSheetId="18">'[4]Unit Cost'!#REF!</definedName>
    <definedName name="UNITRATE_EXP" localSheetId="17">'[4]Unit Cost'!#REF!</definedName>
    <definedName name="UNITRATE_EXP" localSheetId="20">'[4]Unit Cost'!#REF!</definedName>
    <definedName name="UNITRATE_EXP" localSheetId="19">'[4]Unit Cost'!#REF!</definedName>
    <definedName name="UNITRATE_EXP" localSheetId="7">'[4]Unit Cost'!#REF!</definedName>
    <definedName name="UNITRATE_EXP">'[4]Unit Cost'!#REF!</definedName>
    <definedName name="Version" localSheetId="10">#REF!</definedName>
    <definedName name="Version" localSheetId="18">#REF!</definedName>
    <definedName name="Version" localSheetId="17">#REF!</definedName>
    <definedName name="Version" localSheetId="20">#REF!</definedName>
    <definedName name="Version" localSheetId="19">#REF!</definedName>
    <definedName name="Version" localSheetId="7">#REF!</definedName>
    <definedName name="Version">#REF!</definedName>
    <definedName name="Winter" localSheetId="10">'[7]Meter-Service'!#REF!</definedName>
    <definedName name="Winter" localSheetId="18">'[7]Meter-Service'!#REF!</definedName>
    <definedName name="Winter" localSheetId="17">'[7]Meter-Service'!#REF!</definedName>
    <definedName name="Winter" localSheetId="20">'[7]Meter-Service'!#REF!</definedName>
    <definedName name="Winter" localSheetId="19">'[7]Meter-Service'!#REF!</definedName>
    <definedName name="Winter" localSheetId="7">'[7]Meter-Service'!#REF!</definedName>
    <definedName name="Winter">'[7]Meter-Service'!#REF!</definedName>
    <definedName name="Witness">[3]Input!$B$14</definedName>
    <definedName name="WS3A2">#N/A</definedName>
    <definedName name="WTD_COST_PCT" localSheetId="10">#REF!</definedName>
    <definedName name="WTD_COST_PCT" localSheetId="18">#REF!</definedName>
    <definedName name="WTD_COST_PCT" localSheetId="17">#REF!</definedName>
    <definedName name="WTD_COST_PCT" localSheetId="20">#REF!</definedName>
    <definedName name="WTD_COST_PCT" localSheetId="19">#REF!</definedName>
    <definedName name="WTD_COST_PCT" localSheetId="7">#REF!</definedName>
    <definedName name="WTD_COST_PCT">#REF!</definedName>
    <definedName name="Z_37B35166_7378_4B00_BB4E_9E442A0D870E_.wvu.Cols" localSheetId="13" hidden="1">'Avg Bill by RS'!$Q:$S</definedName>
    <definedName name="Z_37B35166_7378_4B00_BB4E_9E442A0D870E_.wvu.Cols" localSheetId="9" hidden="1">'Combined Items Proof Yr1'!$AN:$AO</definedName>
    <definedName name="Z_37B35166_7378_4B00_BB4E_9E442A0D870E_.wvu.Cols" localSheetId="10" hidden="1">'Combined Items Proof Yr2'!$AN:$AO</definedName>
    <definedName name="Z_37B35166_7378_4B00_BB4E_9E442A0D870E_.wvu.Cols" localSheetId="6" hidden="1">'Rev Req Proof Yr1'!$AJ:$AK</definedName>
    <definedName name="Z_37B35166_7378_4B00_BB4E_9E442A0D870E_.wvu.Cols" localSheetId="7" hidden="1">'Rev Req Proof Yr2'!$AJ:$AK</definedName>
    <definedName name="Z_37B35166_7378_4B00_BB4E_9E442A0D870E_.wvu.Cols" localSheetId="1" hidden="1">'WA Volumes &amp; Revenues'!$D:$D,'WA Volumes &amp; Revenues'!#REF!</definedName>
    <definedName name="Z_37B35166_7378_4B00_BB4E_9E442A0D870E_.wvu.PrintArea" localSheetId="18" hidden="1">'Exh. RJW-3 Combined'!$A$1:$Z$53</definedName>
    <definedName name="Z_37B35166_7378_4B00_BB4E_9E442A0D870E_.wvu.PrintArea" localSheetId="17" hidden="1">'Exh. RJW-3 RR'!$A$1:$L$49</definedName>
    <definedName name="Z_37B35166_7378_4B00_BB4E_9E442A0D870E_.wvu.PrintArea" localSheetId="15" hidden="1">'Rate Impacts - COMBINED'!$A$2:$Y$52</definedName>
    <definedName name="Z_37B35166_7378_4B00_BB4E_9E442A0D870E_.wvu.PrintArea" localSheetId="14" hidden="1">'Rate Impacts - Rev Req ONLY'!$A$1:$M$49</definedName>
    <definedName name="Z_80646397_1CEF_4A79_B348_594AB32B8020_.wvu.Cols" localSheetId="13" hidden="1">'Avg Bill by RS'!$Q:$S</definedName>
    <definedName name="Z_80646397_1CEF_4A79_B348_594AB32B8020_.wvu.Cols" localSheetId="9" hidden="1">'Combined Items Proof Yr1'!$AN:$AO</definedName>
    <definedName name="Z_80646397_1CEF_4A79_B348_594AB32B8020_.wvu.Cols" localSheetId="10" hidden="1">'Combined Items Proof Yr2'!$AN:$AO</definedName>
    <definedName name="Z_80646397_1CEF_4A79_B348_594AB32B8020_.wvu.Cols" localSheetId="6" hidden="1">'Rev Req Proof Yr1'!$AJ:$AK</definedName>
    <definedName name="Z_80646397_1CEF_4A79_B348_594AB32B8020_.wvu.Cols" localSheetId="7" hidden="1">'Rev Req Proof Yr2'!$AJ:$AK</definedName>
    <definedName name="Z_80646397_1CEF_4A79_B348_594AB32B8020_.wvu.Cols" localSheetId="1" hidden="1">'WA Volumes &amp; Revenues'!$D:$D,'WA Volumes &amp; Revenues'!#REF!</definedName>
    <definedName name="Z_80646397_1CEF_4A79_B348_594AB32B8020_.wvu.PrintArea" localSheetId="18" hidden="1">'Exh. RJW-3 Combined'!$A$1:$Z$53</definedName>
    <definedName name="Z_80646397_1CEF_4A79_B348_594AB32B8020_.wvu.PrintArea" localSheetId="17" hidden="1">'Exh. RJW-3 RR'!$A$1:$L$49</definedName>
    <definedName name="Z_80646397_1CEF_4A79_B348_594AB32B8020_.wvu.PrintArea" localSheetId="15" hidden="1">'Rate Impacts - COMBINED'!$A$2:$Y$52</definedName>
    <definedName name="Z_80646397_1CEF_4A79_B348_594AB32B8020_.wvu.PrintArea" localSheetId="14" hidden="1">'Rate Impacts - Rev Req ONLY'!$A$1:$M$49</definedName>
  </definedNames>
  <calcPr calcId="191029"/>
  <customWorkbookViews>
    <customWorkbookView name="Wyman, Robert - Personal View" guid="{80646397-1CEF-4A79-B348-594AB32B8020}" mergeInterval="0" personalView="1" maximized="1" xWindow="1912" yWindow="-8" windowWidth="1936" windowHeight="1056" tabRatio="823" activeSheetId="18"/>
    <customWorkbookView name="Chao, Susan - Personal View" guid="{37B35166-7378-4B00-BB4E-9E442A0D870E}" mergeInterval="0" personalView="1" maximized="1" xWindow="1672" yWindow="-8" windowWidth="1696" windowHeight="1026" tabRatio="823" activeSheetId="19"/>
  </customWorkbookViews>
</workbook>
</file>

<file path=xl/calcChain.xml><?xml version="1.0" encoding="utf-8"?>
<calcChain xmlns="http://schemas.openxmlformats.org/spreadsheetml/2006/main">
  <c r="AA15" i="2" l="1"/>
  <c r="Z15" i="2"/>
  <c r="Y15" i="2"/>
  <c r="X15" i="2"/>
  <c r="W15" i="2"/>
  <c r="V15" i="2"/>
  <c r="U15" i="2"/>
  <c r="T15" i="2"/>
  <c r="S15" i="2"/>
  <c r="R15" i="2"/>
  <c r="Q15" i="2"/>
  <c r="P15" i="2"/>
  <c r="O15" i="2"/>
  <c r="N15" i="2"/>
  <c r="M15" i="2"/>
  <c r="L15" i="2"/>
  <c r="K15" i="2"/>
  <c r="J15" i="2"/>
  <c r="I15" i="2"/>
  <c r="H15" i="2"/>
  <c r="G15" i="2"/>
  <c r="F15" i="2"/>
  <c r="E15" i="2"/>
  <c r="AA14" i="2"/>
  <c r="Z14" i="2"/>
  <c r="Y14" i="2"/>
  <c r="X14" i="2"/>
  <c r="W14" i="2"/>
  <c r="V14" i="2"/>
  <c r="U14" i="2"/>
  <c r="T14" i="2"/>
  <c r="S14" i="2"/>
  <c r="R14" i="2"/>
  <c r="Q14" i="2"/>
  <c r="P14" i="2"/>
  <c r="O14" i="2"/>
  <c r="N14" i="2"/>
  <c r="M14" i="2"/>
  <c r="L14" i="2"/>
  <c r="K14" i="2"/>
  <c r="J14" i="2"/>
  <c r="I14" i="2"/>
  <c r="H14" i="2"/>
  <c r="G14" i="2"/>
  <c r="F14" i="2"/>
  <c r="E14" i="2"/>
  <c r="D28" i="2"/>
  <c r="D21" i="2"/>
  <c r="P8" i="11" l="1"/>
  <c r="K8" i="11"/>
  <c r="H8" i="7"/>
  <c r="K9" i="7"/>
  <c r="G8" i="7"/>
  <c r="AX9" i="17" l="1"/>
  <c r="N25" i="10"/>
  <c r="J25" i="10"/>
  <c r="M78" i="23" l="1"/>
  <c r="L78" i="23"/>
  <c r="K78" i="23"/>
  <c r="J78" i="23"/>
  <c r="H78" i="23"/>
  <c r="F78" i="23"/>
  <c r="C78" i="23"/>
  <c r="M77" i="23"/>
  <c r="L77" i="23"/>
  <c r="K77" i="23"/>
  <c r="J77" i="23"/>
  <c r="H77" i="23"/>
  <c r="G77" i="23"/>
  <c r="F77" i="23"/>
  <c r="C77" i="23"/>
  <c r="M76" i="23"/>
  <c r="L76" i="23"/>
  <c r="K76" i="23"/>
  <c r="J76" i="23"/>
  <c r="H76" i="23"/>
  <c r="G76" i="23"/>
  <c r="F76" i="23"/>
  <c r="C76" i="23"/>
  <c r="M75" i="23"/>
  <c r="L75" i="23"/>
  <c r="K75" i="23"/>
  <c r="J75" i="23"/>
  <c r="F75" i="23"/>
  <c r="M74" i="23"/>
  <c r="L74" i="23"/>
  <c r="K74" i="23"/>
  <c r="J74" i="23"/>
  <c r="F74" i="23"/>
  <c r="M73" i="23"/>
  <c r="L73" i="23"/>
  <c r="K73" i="23"/>
  <c r="J73" i="23"/>
  <c r="F73" i="23"/>
  <c r="M72" i="23"/>
  <c r="L72" i="23"/>
  <c r="K72" i="23"/>
  <c r="J72" i="23"/>
  <c r="F72" i="23"/>
  <c r="M71" i="23"/>
  <c r="L71" i="23"/>
  <c r="K71" i="23"/>
  <c r="J71" i="23"/>
  <c r="F71" i="23"/>
  <c r="M70" i="23"/>
  <c r="L70" i="23"/>
  <c r="K70" i="23"/>
  <c r="J70" i="23"/>
  <c r="I70" i="23"/>
  <c r="H70" i="23"/>
  <c r="F70" i="23"/>
  <c r="C70" i="23"/>
  <c r="M69" i="23"/>
  <c r="L69" i="23"/>
  <c r="K69" i="23"/>
  <c r="J69" i="23"/>
  <c r="F69" i="23"/>
  <c r="M68" i="23"/>
  <c r="L68" i="23"/>
  <c r="K68" i="23"/>
  <c r="J68" i="23"/>
  <c r="F68" i="23"/>
  <c r="M67" i="23"/>
  <c r="L67" i="23"/>
  <c r="K67" i="23"/>
  <c r="J67" i="23"/>
  <c r="F67" i="23"/>
  <c r="M66" i="23"/>
  <c r="L66" i="23"/>
  <c r="K66" i="23"/>
  <c r="J66" i="23"/>
  <c r="F66" i="23"/>
  <c r="M65" i="23"/>
  <c r="L65" i="23"/>
  <c r="K65" i="23"/>
  <c r="J65" i="23"/>
  <c r="N65" i="23" s="1"/>
  <c r="F65" i="23"/>
  <c r="M64" i="23"/>
  <c r="L64" i="23"/>
  <c r="K64" i="23"/>
  <c r="J64" i="23"/>
  <c r="H64" i="23"/>
  <c r="G64" i="23"/>
  <c r="F64" i="23"/>
  <c r="C64" i="23"/>
  <c r="M63" i="23"/>
  <c r="L63" i="23"/>
  <c r="K63" i="23"/>
  <c r="J63" i="23"/>
  <c r="F63" i="23"/>
  <c r="M62" i="23"/>
  <c r="L62" i="23"/>
  <c r="K62" i="23"/>
  <c r="J62" i="23"/>
  <c r="F62" i="23"/>
  <c r="M61" i="23"/>
  <c r="L61" i="23"/>
  <c r="K61" i="23"/>
  <c r="J61" i="23"/>
  <c r="F61" i="23"/>
  <c r="M60" i="23"/>
  <c r="L60" i="23"/>
  <c r="K60" i="23"/>
  <c r="J60" i="23"/>
  <c r="F60" i="23"/>
  <c r="M59" i="23"/>
  <c r="L59" i="23"/>
  <c r="K59" i="23"/>
  <c r="J59" i="23"/>
  <c r="F59" i="23"/>
  <c r="M58" i="23"/>
  <c r="L58" i="23"/>
  <c r="K58" i="23"/>
  <c r="J58" i="23"/>
  <c r="I58" i="23"/>
  <c r="H58" i="23"/>
  <c r="F58" i="23"/>
  <c r="C58" i="23"/>
  <c r="M57" i="23"/>
  <c r="L57" i="23"/>
  <c r="K57" i="23"/>
  <c r="J57" i="23"/>
  <c r="F57" i="23"/>
  <c r="M56" i="23"/>
  <c r="L56" i="23"/>
  <c r="K56" i="23"/>
  <c r="J56" i="23"/>
  <c r="F56" i="23"/>
  <c r="M55" i="23"/>
  <c r="L55" i="23"/>
  <c r="K55" i="23"/>
  <c r="J55" i="23"/>
  <c r="N55" i="23" s="1"/>
  <c r="F55" i="23"/>
  <c r="M54" i="23"/>
  <c r="L54" i="23"/>
  <c r="K54" i="23"/>
  <c r="J54" i="23"/>
  <c r="F54" i="23"/>
  <c r="M53" i="23"/>
  <c r="L53" i="23"/>
  <c r="K53" i="23"/>
  <c r="J53" i="23"/>
  <c r="F53" i="23"/>
  <c r="M52" i="23"/>
  <c r="L52" i="23"/>
  <c r="K52" i="23"/>
  <c r="J52" i="23"/>
  <c r="H52" i="23"/>
  <c r="F52" i="23"/>
  <c r="C52" i="23"/>
  <c r="M51" i="23"/>
  <c r="L51" i="23"/>
  <c r="K51" i="23"/>
  <c r="J51" i="23"/>
  <c r="F51" i="23"/>
  <c r="M50" i="23"/>
  <c r="L50" i="23"/>
  <c r="K50" i="23"/>
  <c r="J50" i="23"/>
  <c r="F50" i="23"/>
  <c r="M49" i="23"/>
  <c r="L49" i="23"/>
  <c r="K49" i="23"/>
  <c r="J49" i="23"/>
  <c r="N49" i="23" s="1"/>
  <c r="F49" i="23"/>
  <c r="M48" i="23"/>
  <c r="L48" i="23"/>
  <c r="K48" i="23"/>
  <c r="J48" i="23"/>
  <c r="F48" i="23"/>
  <c r="M47" i="23"/>
  <c r="L47" i="23"/>
  <c r="K47" i="23"/>
  <c r="J47" i="23"/>
  <c r="F47" i="23"/>
  <c r="M46" i="23"/>
  <c r="L46" i="23"/>
  <c r="K46" i="23"/>
  <c r="J46" i="23"/>
  <c r="H46" i="23"/>
  <c r="F46" i="23"/>
  <c r="C46" i="23"/>
  <c r="M45" i="23"/>
  <c r="L45" i="23"/>
  <c r="K45" i="23"/>
  <c r="J45" i="23"/>
  <c r="F45" i="23"/>
  <c r="M44" i="23"/>
  <c r="L44" i="23"/>
  <c r="K44" i="23"/>
  <c r="J44" i="23"/>
  <c r="F44" i="23"/>
  <c r="M43" i="23"/>
  <c r="L43" i="23"/>
  <c r="K43" i="23"/>
  <c r="J43" i="23"/>
  <c r="N43" i="23" s="1"/>
  <c r="F43" i="23"/>
  <c r="M42" i="23"/>
  <c r="L42" i="23"/>
  <c r="K42" i="23"/>
  <c r="J42" i="23"/>
  <c r="F42" i="23"/>
  <c r="M41" i="23"/>
  <c r="L41" i="23"/>
  <c r="K41" i="23"/>
  <c r="J41" i="23"/>
  <c r="F41" i="23"/>
  <c r="M40" i="23"/>
  <c r="L40" i="23"/>
  <c r="K40" i="23"/>
  <c r="J40" i="23"/>
  <c r="H40" i="23"/>
  <c r="F40" i="23"/>
  <c r="C40" i="23"/>
  <c r="M39" i="23"/>
  <c r="L39" i="23"/>
  <c r="K39" i="23"/>
  <c r="J39" i="23"/>
  <c r="F39" i="23"/>
  <c r="M38" i="23"/>
  <c r="L38" i="23"/>
  <c r="K38" i="23"/>
  <c r="J38" i="23"/>
  <c r="F38" i="23"/>
  <c r="M37" i="23"/>
  <c r="L37" i="23"/>
  <c r="K37" i="23"/>
  <c r="J37" i="23"/>
  <c r="F37" i="23"/>
  <c r="M36" i="23"/>
  <c r="L36" i="23"/>
  <c r="K36" i="23"/>
  <c r="J36" i="23"/>
  <c r="F36" i="23"/>
  <c r="M35" i="23"/>
  <c r="L35" i="23"/>
  <c r="K35" i="23"/>
  <c r="J35" i="23"/>
  <c r="F35" i="23"/>
  <c r="M34" i="23"/>
  <c r="L34" i="23"/>
  <c r="K34" i="23"/>
  <c r="J34" i="23"/>
  <c r="N34" i="23" s="1"/>
  <c r="H34" i="23"/>
  <c r="F34" i="23"/>
  <c r="C34" i="23"/>
  <c r="M33" i="23"/>
  <c r="L33" i="23"/>
  <c r="K33" i="23"/>
  <c r="J33" i="23"/>
  <c r="F33" i="23"/>
  <c r="M32" i="23"/>
  <c r="L32" i="23"/>
  <c r="K32" i="23"/>
  <c r="J32" i="23"/>
  <c r="F32" i="23"/>
  <c r="M31" i="23"/>
  <c r="L31" i="23"/>
  <c r="K31" i="23"/>
  <c r="J31" i="23"/>
  <c r="F31" i="23"/>
  <c r="M30" i="23"/>
  <c r="L30" i="23"/>
  <c r="K30" i="23"/>
  <c r="J30" i="23"/>
  <c r="F30" i="23"/>
  <c r="M29" i="23"/>
  <c r="L29" i="23"/>
  <c r="K29" i="23"/>
  <c r="J29" i="23"/>
  <c r="F29" i="23"/>
  <c r="M28" i="23"/>
  <c r="L28" i="23"/>
  <c r="K28" i="23"/>
  <c r="J28" i="23"/>
  <c r="H28" i="23"/>
  <c r="G28" i="23"/>
  <c r="F28" i="23"/>
  <c r="C28" i="23"/>
  <c r="M27" i="23"/>
  <c r="L27" i="23"/>
  <c r="K27" i="23"/>
  <c r="J27" i="23"/>
  <c r="F27" i="23"/>
  <c r="M26" i="23"/>
  <c r="L26" i="23"/>
  <c r="K26" i="23"/>
  <c r="J26" i="23"/>
  <c r="H26" i="23"/>
  <c r="G26" i="23"/>
  <c r="F26" i="23"/>
  <c r="C26" i="23"/>
  <c r="M25" i="23"/>
  <c r="L25" i="23"/>
  <c r="K25" i="23"/>
  <c r="J25" i="23"/>
  <c r="F25" i="23"/>
  <c r="M24" i="23"/>
  <c r="L24" i="23"/>
  <c r="K24" i="23"/>
  <c r="J24" i="23"/>
  <c r="H24" i="23"/>
  <c r="F24" i="23"/>
  <c r="C24" i="23"/>
  <c r="M23" i="23"/>
  <c r="L23" i="23"/>
  <c r="K23" i="23"/>
  <c r="J23" i="23"/>
  <c r="F23" i="23"/>
  <c r="M22" i="23"/>
  <c r="L22" i="23"/>
  <c r="K22" i="23"/>
  <c r="J22" i="23"/>
  <c r="H22" i="23"/>
  <c r="G22" i="23"/>
  <c r="F22" i="23"/>
  <c r="C22" i="23"/>
  <c r="M21" i="23"/>
  <c r="L21" i="23"/>
  <c r="K21" i="23"/>
  <c r="J21" i="23"/>
  <c r="F21" i="23"/>
  <c r="M20" i="23"/>
  <c r="L20" i="23"/>
  <c r="K20" i="23"/>
  <c r="J20" i="23"/>
  <c r="H20" i="23"/>
  <c r="G20" i="23"/>
  <c r="F20" i="23"/>
  <c r="C20" i="23"/>
  <c r="M19" i="23"/>
  <c r="L19" i="23"/>
  <c r="K19" i="23"/>
  <c r="J19" i="23"/>
  <c r="F19" i="23"/>
  <c r="M18" i="23"/>
  <c r="L18" i="23"/>
  <c r="K18" i="23"/>
  <c r="J18" i="23"/>
  <c r="N18" i="23" s="1"/>
  <c r="H18" i="23"/>
  <c r="F18" i="23"/>
  <c r="C18" i="23"/>
  <c r="M17" i="23"/>
  <c r="L17" i="23"/>
  <c r="K17" i="23"/>
  <c r="J17" i="23"/>
  <c r="F17" i="23"/>
  <c r="M16" i="23"/>
  <c r="L16" i="23"/>
  <c r="K16" i="23"/>
  <c r="J16" i="23"/>
  <c r="H16" i="23"/>
  <c r="G16" i="23"/>
  <c r="F16" i="23"/>
  <c r="C16" i="23"/>
  <c r="M15" i="23"/>
  <c r="L15" i="23"/>
  <c r="K15" i="23"/>
  <c r="J15" i="23"/>
  <c r="H15" i="23"/>
  <c r="G15" i="23"/>
  <c r="F15" i="23"/>
  <c r="C15" i="23"/>
  <c r="M14" i="23"/>
  <c r="L14" i="23"/>
  <c r="K14" i="23"/>
  <c r="J14" i="23"/>
  <c r="H14" i="23"/>
  <c r="F14" i="23"/>
  <c r="C14" i="23"/>
  <c r="M13" i="23"/>
  <c r="L13" i="23"/>
  <c r="K13" i="23"/>
  <c r="J13" i="23"/>
  <c r="H13" i="23"/>
  <c r="G13" i="23"/>
  <c r="F13" i="23"/>
  <c r="C13" i="23"/>
  <c r="M12" i="23"/>
  <c r="L12" i="23"/>
  <c r="K12" i="23"/>
  <c r="J12" i="23"/>
  <c r="H12" i="23"/>
  <c r="G12" i="23"/>
  <c r="F12" i="23"/>
  <c r="C12" i="23"/>
  <c r="M11" i="23"/>
  <c r="L11" i="23"/>
  <c r="K11" i="23"/>
  <c r="J11" i="23"/>
  <c r="H11" i="23"/>
  <c r="G11" i="23"/>
  <c r="F11" i="23"/>
  <c r="C11" i="23"/>
  <c r="B11" i="23"/>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M10" i="23"/>
  <c r="L10" i="23"/>
  <c r="K10" i="23"/>
  <c r="J10" i="23"/>
  <c r="H10" i="23"/>
  <c r="G10" i="23"/>
  <c r="F10" i="23"/>
  <c r="C10" i="23"/>
  <c r="R7" i="23"/>
  <c r="P7" i="23"/>
  <c r="M78" i="22"/>
  <c r="L78" i="22"/>
  <c r="K78" i="22"/>
  <c r="J78" i="22"/>
  <c r="H78" i="22"/>
  <c r="F78" i="22"/>
  <c r="C78" i="22"/>
  <c r="M77" i="22"/>
  <c r="L77" i="22"/>
  <c r="K77" i="22"/>
  <c r="J77" i="22"/>
  <c r="H77" i="22"/>
  <c r="G77" i="22"/>
  <c r="F77" i="22"/>
  <c r="C77" i="22"/>
  <c r="M76" i="22"/>
  <c r="L76" i="22"/>
  <c r="K76" i="22"/>
  <c r="J76" i="22"/>
  <c r="H76" i="22"/>
  <c r="G76" i="22"/>
  <c r="F76" i="22"/>
  <c r="C76" i="22"/>
  <c r="M75" i="22"/>
  <c r="L75" i="22"/>
  <c r="K75" i="22"/>
  <c r="J75" i="22"/>
  <c r="F75" i="22"/>
  <c r="M74" i="22"/>
  <c r="L74" i="22"/>
  <c r="K74" i="22"/>
  <c r="J74" i="22"/>
  <c r="F74" i="22"/>
  <c r="M73" i="22"/>
  <c r="L73" i="22"/>
  <c r="K73" i="22"/>
  <c r="J73" i="22"/>
  <c r="F73" i="22"/>
  <c r="M72" i="22"/>
  <c r="L72" i="22"/>
  <c r="K72" i="22"/>
  <c r="J72" i="22"/>
  <c r="F72" i="22"/>
  <c r="M71" i="22"/>
  <c r="L71" i="22"/>
  <c r="K71" i="22"/>
  <c r="J71" i="22"/>
  <c r="F71" i="22"/>
  <c r="M70" i="22"/>
  <c r="L70" i="22"/>
  <c r="K70" i="22"/>
  <c r="J70" i="22"/>
  <c r="I70" i="22"/>
  <c r="H70" i="22"/>
  <c r="F70" i="22"/>
  <c r="C70" i="22"/>
  <c r="M69" i="22"/>
  <c r="L69" i="22"/>
  <c r="K69" i="22"/>
  <c r="J69" i="22"/>
  <c r="F69" i="22"/>
  <c r="M68" i="22"/>
  <c r="L68" i="22"/>
  <c r="K68" i="22"/>
  <c r="J68" i="22"/>
  <c r="F68" i="22"/>
  <c r="M67" i="22"/>
  <c r="L67" i="22"/>
  <c r="K67" i="22"/>
  <c r="J67" i="22"/>
  <c r="F67" i="22"/>
  <c r="M66" i="22"/>
  <c r="L66" i="22"/>
  <c r="K66" i="22"/>
  <c r="J66" i="22"/>
  <c r="F66" i="22"/>
  <c r="M65" i="22"/>
  <c r="L65" i="22"/>
  <c r="K65" i="22"/>
  <c r="J65" i="22"/>
  <c r="F65" i="22"/>
  <c r="M64" i="22"/>
  <c r="L64" i="22"/>
  <c r="K64" i="22"/>
  <c r="J64" i="22"/>
  <c r="H64" i="22"/>
  <c r="G64" i="22"/>
  <c r="F64" i="22"/>
  <c r="C64" i="22"/>
  <c r="M63" i="22"/>
  <c r="L63" i="22"/>
  <c r="K63" i="22"/>
  <c r="J63" i="22"/>
  <c r="F63" i="22"/>
  <c r="M62" i="22"/>
  <c r="L62" i="22"/>
  <c r="K62" i="22"/>
  <c r="J62" i="22"/>
  <c r="F62" i="22"/>
  <c r="M61" i="22"/>
  <c r="L61" i="22"/>
  <c r="K61" i="22"/>
  <c r="J61" i="22"/>
  <c r="F61" i="22"/>
  <c r="M60" i="22"/>
  <c r="L60" i="22"/>
  <c r="K60" i="22"/>
  <c r="J60" i="22"/>
  <c r="F60" i="22"/>
  <c r="M59" i="22"/>
  <c r="L59" i="22"/>
  <c r="K59" i="22"/>
  <c r="J59" i="22"/>
  <c r="F59" i="22"/>
  <c r="M58" i="22"/>
  <c r="L58" i="22"/>
  <c r="K58" i="22"/>
  <c r="J58" i="22"/>
  <c r="I58" i="22"/>
  <c r="H58" i="22"/>
  <c r="F58" i="22"/>
  <c r="C58" i="22"/>
  <c r="M57" i="22"/>
  <c r="L57" i="22"/>
  <c r="K57" i="22"/>
  <c r="J57" i="22"/>
  <c r="F57" i="22"/>
  <c r="M56" i="22"/>
  <c r="L56" i="22"/>
  <c r="K56" i="22"/>
  <c r="J56" i="22"/>
  <c r="F56" i="22"/>
  <c r="M55" i="22"/>
  <c r="L55" i="22"/>
  <c r="K55" i="22"/>
  <c r="J55" i="22"/>
  <c r="F55" i="22"/>
  <c r="M54" i="22"/>
  <c r="L54" i="22"/>
  <c r="K54" i="22"/>
  <c r="J54" i="22"/>
  <c r="F54" i="22"/>
  <c r="M53" i="22"/>
  <c r="L53" i="22"/>
  <c r="K53" i="22"/>
  <c r="J53" i="22"/>
  <c r="F53" i="22"/>
  <c r="M52" i="22"/>
  <c r="L52" i="22"/>
  <c r="K52" i="22"/>
  <c r="J52" i="22"/>
  <c r="H52" i="22"/>
  <c r="F52" i="22"/>
  <c r="C52" i="22"/>
  <c r="M51" i="22"/>
  <c r="L51" i="22"/>
  <c r="K51" i="22"/>
  <c r="J51" i="22"/>
  <c r="F51" i="22"/>
  <c r="M50" i="22"/>
  <c r="L50" i="22"/>
  <c r="K50" i="22"/>
  <c r="J50" i="22"/>
  <c r="F50" i="22"/>
  <c r="M49" i="22"/>
  <c r="L49" i="22"/>
  <c r="K49" i="22"/>
  <c r="J49" i="22"/>
  <c r="F49" i="22"/>
  <c r="M48" i="22"/>
  <c r="L48" i="22"/>
  <c r="K48" i="22"/>
  <c r="J48" i="22"/>
  <c r="F48" i="22"/>
  <c r="M47" i="22"/>
  <c r="L47" i="22"/>
  <c r="K47" i="22"/>
  <c r="J47" i="22"/>
  <c r="F47" i="22"/>
  <c r="M46" i="22"/>
  <c r="L46" i="22"/>
  <c r="K46" i="22"/>
  <c r="J46" i="22"/>
  <c r="H46" i="22"/>
  <c r="F46" i="22"/>
  <c r="C46" i="22"/>
  <c r="M45" i="22"/>
  <c r="L45" i="22"/>
  <c r="K45" i="22"/>
  <c r="J45" i="22"/>
  <c r="F45" i="22"/>
  <c r="M44" i="22"/>
  <c r="L44" i="22"/>
  <c r="K44" i="22"/>
  <c r="J44" i="22"/>
  <c r="F44" i="22"/>
  <c r="M43" i="22"/>
  <c r="L43" i="22"/>
  <c r="K43" i="22"/>
  <c r="J43" i="22"/>
  <c r="F43" i="22"/>
  <c r="M42" i="22"/>
  <c r="L42" i="22"/>
  <c r="K42" i="22"/>
  <c r="J42" i="22"/>
  <c r="F42" i="22"/>
  <c r="M41" i="22"/>
  <c r="L41" i="22"/>
  <c r="K41" i="22"/>
  <c r="J41" i="22"/>
  <c r="F41" i="22"/>
  <c r="M40" i="22"/>
  <c r="L40" i="22"/>
  <c r="K40" i="22"/>
  <c r="J40" i="22"/>
  <c r="H40" i="22"/>
  <c r="F40" i="22"/>
  <c r="C40" i="22"/>
  <c r="M39" i="22"/>
  <c r="L39" i="22"/>
  <c r="K39" i="22"/>
  <c r="J39" i="22"/>
  <c r="F39" i="22"/>
  <c r="M38" i="22"/>
  <c r="L38" i="22"/>
  <c r="K38" i="22"/>
  <c r="J38" i="22"/>
  <c r="F38" i="22"/>
  <c r="M37" i="22"/>
  <c r="L37" i="22"/>
  <c r="K37" i="22"/>
  <c r="J37" i="22"/>
  <c r="F37" i="22"/>
  <c r="M36" i="22"/>
  <c r="L36" i="22"/>
  <c r="K36" i="22"/>
  <c r="J36" i="22"/>
  <c r="F36" i="22"/>
  <c r="M35" i="22"/>
  <c r="L35" i="22"/>
  <c r="K35" i="22"/>
  <c r="J35" i="22"/>
  <c r="F35" i="22"/>
  <c r="M34" i="22"/>
  <c r="L34" i="22"/>
  <c r="K34" i="22"/>
  <c r="J34" i="22"/>
  <c r="H34" i="22"/>
  <c r="F34" i="22"/>
  <c r="C34" i="22"/>
  <c r="M33" i="22"/>
  <c r="L33" i="22"/>
  <c r="K33" i="22"/>
  <c r="J33" i="22"/>
  <c r="F33" i="22"/>
  <c r="M32" i="22"/>
  <c r="L32" i="22"/>
  <c r="K32" i="22"/>
  <c r="J32" i="22"/>
  <c r="F32" i="22"/>
  <c r="M31" i="22"/>
  <c r="L31" i="22"/>
  <c r="K31" i="22"/>
  <c r="J31" i="22"/>
  <c r="F31" i="22"/>
  <c r="M30" i="22"/>
  <c r="L30" i="22"/>
  <c r="K30" i="22"/>
  <c r="J30" i="22"/>
  <c r="F30" i="22"/>
  <c r="M29" i="22"/>
  <c r="L29" i="22"/>
  <c r="K29" i="22"/>
  <c r="J29" i="22"/>
  <c r="F29" i="22"/>
  <c r="M28" i="22"/>
  <c r="L28" i="22"/>
  <c r="K28" i="22"/>
  <c r="J28" i="22"/>
  <c r="H28" i="22"/>
  <c r="G28" i="22"/>
  <c r="F28" i="22"/>
  <c r="C28" i="22"/>
  <c r="M27" i="22"/>
  <c r="L27" i="22"/>
  <c r="K27" i="22"/>
  <c r="J27" i="22"/>
  <c r="F27" i="22"/>
  <c r="M26" i="22"/>
  <c r="L26" i="22"/>
  <c r="K26" i="22"/>
  <c r="J26" i="22"/>
  <c r="H26" i="22"/>
  <c r="G26" i="22"/>
  <c r="F26" i="22"/>
  <c r="C26" i="22"/>
  <c r="M25" i="22"/>
  <c r="L25" i="22"/>
  <c r="K25" i="22"/>
  <c r="J25" i="22"/>
  <c r="F25" i="22"/>
  <c r="M24" i="22"/>
  <c r="L24" i="22"/>
  <c r="K24" i="22"/>
  <c r="J24" i="22"/>
  <c r="H24" i="22"/>
  <c r="F24" i="22"/>
  <c r="C24" i="22"/>
  <c r="M23" i="22"/>
  <c r="L23" i="22"/>
  <c r="K23" i="22"/>
  <c r="J23" i="22"/>
  <c r="F23" i="22"/>
  <c r="M22" i="22"/>
  <c r="L22" i="22"/>
  <c r="K22" i="22"/>
  <c r="J22" i="22"/>
  <c r="H22" i="22"/>
  <c r="G22" i="22"/>
  <c r="F22" i="22"/>
  <c r="C22" i="22"/>
  <c r="M21" i="22"/>
  <c r="L21" i="22"/>
  <c r="K21" i="22"/>
  <c r="J21" i="22"/>
  <c r="F21" i="22"/>
  <c r="M20" i="22"/>
  <c r="L20" i="22"/>
  <c r="K20" i="22"/>
  <c r="J20" i="22"/>
  <c r="H20" i="22"/>
  <c r="G20" i="22"/>
  <c r="F20" i="22"/>
  <c r="C20" i="22"/>
  <c r="M19" i="22"/>
  <c r="L19" i="22"/>
  <c r="K19" i="22"/>
  <c r="J19" i="22"/>
  <c r="F19" i="22"/>
  <c r="M18" i="22"/>
  <c r="L18" i="22"/>
  <c r="K18" i="22"/>
  <c r="J18" i="22"/>
  <c r="H18" i="22"/>
  <c r="F18" i="22"/>
  <c r="C18" i="22"/>
  <c r="M17" i="22"/>
  <c r="L17" i="22"/>
  <c r="K17" i="22"/>
  <c r="J17" i="22"/>
  <c r="F17" i="22"/>
  <c r="M16" i="22"/>
  <c r="L16" i="22"/>
  <c r="K16" i="22"/>
  <c r="J16" i="22"/>
  <c r="H16" i="22"/>
  <c r="G16" i="22"/>
  <c r="F16" i="22"/>
  <c r="C16" i="22"/>
  <c r="M15" i="22"/>
  <c r="L15" i="22"/>
  <c r="K15" i="22"/>
  <c r="J15" i="22"/>
  <c r="H15" i="22"/>
  <c r="G15" i="22"/>
  <c r="F15" i="22"/>
  <c r="C15" i="22"/>
  <c r="M14" i="22"/>
  <c r="L14" i="22"/>
  <c r="K14" i="22"/>
  <c r="J14" i="22"/>
  <c r="H14" i="22"/>
  <c r="F14" i="22"/>
  <c r="C14" i="22"/>
  <c r="M13" i="22"/>
  <c r="L13" i="22"/>
  <c r="K13" i="22"/>
  <c r="J13" i="22"/>
  <c r="H13" i="22"/>
  <c r="G13" i="22"/>
  <c r="F13" i="22"/>
  <c r="C13" i="22"/>
  <c r="M12" i="22"/>
  <c r="L12" i="22"/>
  <c r="K12" i="22"/>
  <c r="J12" i="22"/>
  <c r="H12" i="22"/>
  <c r="G12" i="22"/>
  <c r="F12" i="22"/>
  <c r="C12" i="22"/>
  <c r="M11" i="22"/>
  <c r="L11" i="22"/>
  <c r="K11" i="22"/>
  <c r="J11" i="22"/>
  <c r="H11" i="22"/>
  <c r="G11" i="22"/>
  <c r="F11" i="22"/>
  <c r="C11" i="22"/>
  <c r="B11" i="22"/>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B75" i="22" s="1"/>
  <c r="B76" i="22" s="1"/>
  <c r="B77" i="22" s="1"/>
  <c r="B78" i="22" s="1"/>
  <c r="M10" i="22"/>
  <c r="L10" i="22"/>
  <c r="K10" i="22"/>
  <c r="J10" i="22"/>
  <c r="H10" i="22"/>
  <c r="G10" i="22"/>
  <c r="F10" i="22"/>
  <c r="C10" i="22"/>
  <c r="P7" i="22"/>
  <c r="N39" i="23" l="1"/>
  <c r="N61" i="23"/>
  <c r="N22" i="23"/>
  <c r="N36" i="23"/>
  <c r="N42" i="23"/>
  <c r="N45" i="23"/>
  <c r="N51" i="23"/>
  <c r="N57" i="23"/>
  <c r="N14" i="23"/>
  <c r="N15" i="23"/>
  <c r="N16" i="23"/>
  <c r="N32" i="23"/>
  <c r="N38" i="23"/>
  <c r="N29" i="23"/>
  <c r="N44" i="23"/>
  <c r="N75" i="23"/>
  <c r="N77" i="23"/>
  <c r="N24" i="23"/>
  <c r="N23" i="23"/>
  <c r="N59" i="23"/>
  <c r="N21" i="23"/>
  <c r="N48" i="23"/>
  <c r="N52" i="23"/>
  <c r="N68" i="23"/>
  <c r="N72" i="23"/>
  <c r="N74" i="23"/>
  <c r="N76" i="23"/>
  <c r="N40" i="23"/>
  <c r="N46" i="23"/>
  <c r="N62" i="23"/>
  <c r="N66" i="23"/>
  <c r="N70" i="23"/>
  <c r="N26" i="23"/>
  <c r="N30" i="23"/>
  <c r="N53" i="23"/>
  <c r="N69" i="23"/>
  <c r="N13" i="23"/>
  <c r="N17" i="23"/>
  <c r="N25" i="23"/>
  <c r="N33" i="23"/>
  <c r="N37" i="23"/>
  <c r="N56" i="23"/>
  <c r="N60" i="23"/>
  <c r="N12" i="23"/>
  <c r="N20" i="23"/>
  <c r="N28" i="23"/>
  <c r="N41" i="23"/>
  <c r="N47" i="23"/>
  <c r="N63" i="23"/>
  <c r="N64" i="23"/>
  <c r="N67" i="23"/>
  <c r="N71" i="23"/>
  <c r="N73" i="23"/>
  <c r="N10" i="23"/>
  <c r="N11" i="23"/>
  <c r="N19" i="23"/>
  <c r="N27" i="23"/>
  <c r="N31" i="23"/>
  <c r="N35" i="23"/>
  <c r="N50" i="23"/>
  <c r="N54" i="23"/>
  <c r="N58" i="23"/>
  <c r="N78" i="23"/>
  <c r="N13" i="22"/>
  <c r="N59" i="22"/>
  <c r="N75" i="22"/>
  <c r="N25" i="22"/>
  <c r="N15" i="22"/>
  <c r="N50" i="22"/>
  <c r="N54" i="22"/>
  <c r="N57" i="22"/>
  <c r="N61" i="22"/>
  <c r="N47" i="22"/>
  <c r="N58" i="22"/>
  <c r="N22" i="22"/>
  <c r="N45" i="22"/>
  <c r="N49" i="22"/>
  <c r="N69" i="22"/>
  <c r="N18" i="22"/>
  <c r="N28" i="22"/>
  <c r="N53" i="22"/>
  <c r="N76" i="22"/>
  <c r="N23" i="22"/>
  <c r="N30" i="22"/>
  <c r="N41" i="22"/>
  <c r="N46" i="22"/>
  <c r="N10" i="22"/>
  <c r="N51" i="22"/>
  <c r="N60" i="22"/>
  <c r="N78" i="22"/>
  <c r="N55" i="22"/>
  <c r="N11" i="22"/>
  <c r="N19" i="22"/>
  <c r="N40" i="22"/>
  <c r="N42" i="22"/>
  <c r="N43" i="22"/>
  <c r="N62" i="22"/>
  <c r="N77" i="22"/>
  <c r="N33" i="22"/>
  <c r="N56" i="22"/>
  <c r="N74" i="22"/>
  <c r="N14" i="22"/>
  <c r="N26" i="22"/>
  <c r="N17" i="22"/>
  <c r="N20" i="22"/>
  <c r="N29" i="22"/>
  <c r="N31" i="22"/>
  <c r="N34" i="22"/>
  <c r="N35" i="22"/>
  <c r="N36" i="22"/>
  <c r="N39" i="22"/>
  <c r="N65" i="22"/>
  <c r="N12" i="22"/>
  <c r="N21" i="22"/>
  <c r="N27" i="22"/>
  <c r="N64" i="22"/>
  <c r="N70" i="22"/>
  <c r="N73" i="22"/>
  <c r="N68" i="22"/>
  <c r="N72" i="22"/>
  <c r="N16" i="22"/>
  <c r="N24" i="22"/>
  <c r="N32" i="22"/>
  <c r="N38" i="22"/>
  <c r="N44" i="22"/>
  <c r="N48" i="22"/>
  <c r="N66" i="22"/>
  <c r="N37" i="22"/>
  <c r="N52" i="22"/>
  <c r="N71" i="22"/>
  <c r="N63" i="22"/>
  <c r="N67" i="22"/>
  <c r="BC65" i="12" l="1"/>
  <c r="Y23" i="1"/>
  <c r="AL54" i="14" s="1"/>
  <c r="AL65" i="14" s="1"/>
  <c r="Y22" i="1"/>
  <c r="AL53" i="14" s="1"/>
  <c r="Y15" i="1"/>
  <c r="AL64" i="14" l="1"/>
  <c r="A18" i="12"/>
  <c r="AV87" i="12" l="1"/>
  <c r="AQ10" i="12" l="1"/>
  <c r="AR10" i="12" s="1"/>
  <c r="AQ9" i="12"/>
  <c r="AR9" i="12" s="1"/>
  <c r="AP9" i="12"/>
  <c r="AD10" i="12"/>
  <c r="AE10" i="12" s="1"/>
  <c r="AC9" i="12"/>
  <c r="AD9" i="12" s="1"/>
  <c r="AE9" i="12" s="1"/>
  <c r="AA10" i="12"/>
  <c r="AB10" i="12" s="1"/>
  <c r="AA9" i="12"/>
  <c r="AB9" i="12" s="1"/>
  <c r="Z9" i="12"/>
  <c r="X10" i="12"/>
  <c r="Y10" i="12" s="1"/>
  <c r="X9" i="12"/>
  <c r="Y9" i="12" s="1"/>
  <c r="W9" i="12"/>
  <c r="H83" i="1" l="1"/>
  <c r="H57" i="1"/>
  <c r="H51" i="1"/>
  <c r="H45" i="1"/>
  <c r="H39" i="1"/>
  <c r="H29" i="1"/>
  <c r="H23" i="1"/>
  <c r="H19" i="1"/>
  <c r="I102" i="1"/>
  <c r="H75" i="1" s="1"/>
  <c r="I100" i="1"/>
  <c r="H63" i="1" s="1"/>
  <c r="G58" i="23" l="1"/>
  <c r="G58" i="22"/>
  <c r="G70" i="22"/>
  <c r="G70" i="23"/>
  <c r="G78" i="23"/>
  <c r="G78" i="22"/>
  <c r="G24" i="23"/>
  <c r="G24" i="22"/>
  <c r="Y26" i="1"/>
  <c r="AL57" i="14" s="1"/>
  <c r="AL68" i="14" s="1"/>
  <c r="Y16" i="1"/>
  <c r="G34" i="23"/>
  <c r="G34" i="22"/>
  <c r="G40" i="22"/>
  <c r="G40" i="23"/>
  <c r="G46" i="22"/>
  <c r="G46" i="23"/>
  <c r="G52" i="23"/>
  <c r="G52" i="22"/>
  <c r="Y25" i="1"/>
  <c r="AL56" i="14" s="1"/>
  <c r="AL67" i="14" s="1"/>
  <c r="G18" i="23"/>
  <c r="G18" i="22"/>
  <c r="G14" i="23"/>
  <c r="G14" i="22"/>
  <c r="Y24" i="1"/>
  <c r="Y17" i="1"/>
  <c r="B96" i="19"/>
  <c r="B95" i="19"/>
  <c r="B94" i="19"/>
  <c r="AS93" i="19"/>
  <c r="AR93" i="19"/>
  <c r="AH93" i="19"/>
  <c r="AG93" i="19"/>
  <c r="AL92" i="19"/>
  <c r="AD92" i="19"/>
  <c r="AC92" i="19"/>
  <c r="AK92" i="19" s="1"/>
  <c r="Z92" i="19"/>
  <c r="Y92" i="19"/>
  <c r="AD91" i="19"/>
  <c r="AL91" i="19" s="1"/>
  <c r="AC91" i="19"/>
  <c r="AK91" i="19" s="1"/>
  <c r="Z91" i="19"/>
  <c r="Y91" i="19"/>
  <c r="AK90" i="19"/>
  <c r="AD90" i="19"/>
  <c r="AL90" i="19" s="1"/>
  <c r="AC90" i="19"/>
  <c r="Z90" i="19"/>
  <c r="Y90" i="19"/>
  <c r="AD89" i="19"/>
  <c r="AC89" i="19"/>
  <c r="Z89" i="19"/>
  <c r="AL89" i="19" s="1"/>
  <c r="Y89" i="19"/>
  <c r="AK89" i="19" s="1"/>
  <c r="AL88" i="19"/>
  <c r="AD88" i="19"/>
  <c r="AC88" i="19"/>
  <c r="AK88" i="19" s="1"/>
  <c r="Z88" i="19"/>
  <c r="Y88" i="19"/>
  <c r="B87" i="19"/>
  <c r="AS86" i="19"/>
  <c r="AR86" i="19"/>
  <c r="AH86" i="19"/>
  <c r="AG86" i="19"/>
  <c r="AL85" i="19"/>
  <c r="AD85" i="19"/>
  <c r="AC85" i="19"/>
  <c r="Z85" i="19"/>
  <c r="Y85" i="19"/>
  <c r="AK85" i="19" s="1"/>
  <c r="AD84" i="19"/>
  <c r="AL84" i="19" s="1"/>
  <c r="AC84" i="19"/>
  <c r="AK84" i="19" s="1"/>
  <c r="Z84" i="19"/>
  <c r="Y84" i="19"/>
  <c r="AD83" i="19"/>
  <c r="AL83" i="19" s="1"/>
  <c r="AC83" i="19"/>
  <c r="AK83" i="19" s="1"/>
  <c r="Z83" i="19"/>
  <c r="Y83" i="19"/>
  <c r="AD82" i="19"/>
  <c r="AL82" i="19" s="1"/>
  <c r="AC82" i="19"/>
  <c r="AK82" i="19" s="1"/>
  <c r="Z82" i="19"/>
  <c r="Y82" i="19"/>
  <c r="AL81" i="19"/>
  <c r="AD81" i="19"/>
  <c r="AC81" i="19"/>
  <c r="Z81" i="19"/>
  <c r="Y81" i="19"/>
  <c r="B80" i="19"/>
  <c r="AS79" i="19"/>
  <c r="AR79" i="19"/>
  <c r="AH79" i="19"/>
  <c r="AG79" i="19"/>
  <c r="AK78" i="19"/>
  <c r="AD78" i="19"/>
  <c r="AL78" i="19" s="1"/>
  <c r="AC78" i="19"/>
  <c r="Z78" i="19"/>
  <c r="Y78" i="19"/>
  <c r="AD77" i="19"/>
  <c r="AC77" i="19"/>
  <c r="AK77" i="19" s="1"/>
  <c r="Z77" i="19"/>
  <c r="Y77" i="19"/>
  <c r="AD76" i="19"/>
  <c r="AL76" i="19" s="1"/>
  <c r="AC76" i="19"/>
  <c r="AK76" i="19" s="1"/>
  <c r="Z76" i="19"/>
  <c r="Y76" i="19"/>
  <c r="AD75" i="19"/>
  <c r="AL75" i="19" s="1"/>
  <c r="AC75" i="19"/>
  <c r="AK75" i="19" s="1"/>
  <c r="Z75" i="19"/>
  <c r="Y75" i="19"/>
  <c r="AK74" i="19"/>
  <c r="AD74" i="19"/>
  <c r="AL74" i="19" s="1"/>
  <c r="AC74" i="19"/>
  <c r="Z74" i="19"/>
  <c r="Y74" i="19"/>
  <c r="T73" i="19"/>
  <c r="B73" i="19"/>
  <c r="AS72" i="19"/>
  <c r="AR72" i="19"/>
  <c r="AH72" i="19"/>
  <c r="AG72" i="19"/>
  <c r="AK71" i="19"/>
  <c r="AD71" i="19"/>
  <c r="AL71" i="19" s="1"/>
  <c r="AC71" i="19"/>
  <c r="Z71" i="19"/>
  <c r="Y71" i="19"/>
  <c r="AD70" i="19"/>
  <c r="AC70" i="19"/>
  <c r="AK70" i="19" s="1"/>
  <c r="Z70" i="19"/>
  <c r="Y70" i="19"/>
  <c r="AD69" i="19"/>
  <c r="AL69" i="19" s="1"/>
  <c r="AC69" i="19"/>
  <c r="AK69" i="19" s="1"/>
  <c r="Z69" i="19"/>
  <c r="Y69" i="19"/>
  <c r="AD68" i="19"/>
  <c r="AL68" i="19" s="1"/>
  <c r="AC68" i="19"/>
  <c r="Z68" i="19"/>
  <c r="Y68" i="19"/>
  <c r="AK68" i="19" s="1"/>
  <c r="AL67" i="19"/>
  <c r="AK67" i="19"/>
  <c r="AD67" i="19"/>
  <c r="AC67" i="19"/>
  <c r="Z67" i="19"/>
  <c r="Y67" i="19"/>
  <c r="T66" i="19"/>
  <c r="B66" i="19"/>
  <c r="AS65" i="19"/>
  <c r="AR65" i="19"/>
  <c r="AH65" i="19"/>
  <c r="AG65" i="19"/>
  <c r="AK64" i="19"/>
  <c r="AD64" i="19"/>
  <c r="AL64" i="19" s="1"/>
  <c r="AC64" i="19"/>
  <c r="Z64" i="19"/>
  <c r="Y64" i="19"/>
  <c r="AD63" i="19"/>
  <c r="AC63" i="19"/>
  <c r="AK63" i="19" s="1"/>
  <c r="Z63" i="19"/>
  <c r="Y63" i="19"/>
  <c r="AD62" i="19"/>
  <c r="AL62" i="19" s="1"/>
  <c r="AC62" i="19"/>
  <c r="AK62" i="19" s="1"/>
  <c r="Z62" i="19"/>
  <c r="Y62" i="19"/>
  <c r="AD61" i="19"/>
  <c r="AL61" i="19" s="1"/>
  <c r="AC61" i="19"/>
  <c r="AK61" i="19" s="1"/>
  <c r="Z61" i="19"/>
  <c r="Y61" i="19"/>
  <c r="AK60" i="19"/>
  <c r="AD60" i="19"/>
  <c r="AL60" i="19" s="1"/>
  <c r="AC60" i="19"/>
  <c r="Z60" i="19"/>
  <c r="Y60" i="19"/>
  <c r="T59" i="19"/>
  <c r="B59" i="19"/>
  <c r="AS58" i="19"/>
  <c r="AR58" i="19"/>
  <c r="AH58" i="19"/>
  <c r="AG58" i="19"/>
  <c r="AK57" i="19"/>
  <c r="AD57" i="19"/>
  <c r="AL57" i="19" s="1"/>
  <c r="AC57" i="19"/>
  <c r="Z57" i="19"/>
  <c r="Y57" i="19"/>
  <c r="AD56" i="19"/>
  <c r="AC56" i="19"/>
  <c r="AK56" i="19" s="1"/>
  <c r="Z56" i="19"/>
  <c r="Y56" i="19"/>
  <c r="AL55" i="19"/>
  <c r="AD55" i="19"/>
  <c r="AC55" i="19"/>
  <c r="AK55" i="19" s="1"/>
  <c r="Z55" i="19"/>
  <c r="Y55" i="19"/>
  <c r="AD54" i="19"/>
  <c r="AC54" i="19"/>
  <c r="AK54" i="19" s="1"/>
  <c r="Z54" i="19"/>
  <c r="AL54" i="19" s="1"/>
  <c r="Y54" i="19"/>
  <c r="AK53" i="19"/>
  <c r="AD53" i="19"/>
  <c r="AL53" i="19" s="1"/>
  <c r="AC53" i="19"/>
  <c r="Z53" i="19"/>
  <c r="Y53" i="19"/>
  <c r="T52" i="19"/>
  <c r="B52" i="19"/>
  <c r="AS51" i="19"/>
  <c r="AR51" i="19"/>
  <c r="AH51" i="19"/>
  <c r="AG51" i="19"/>
  <c r="AK50" i="19"/>
  <c r="AD50" i="19"/>
  <c r="AL50" i="19" s="1"/>
  <c r="AC50" i="19"/>
  <c r="Z50" i="19"/>
  <c r="Y50" i="19"/>
  <c r="AD49" i="19"/>
  <c r="AL49" i="19" s="1"/>
  <c r="AC49" i="19"/>
  <c r="AK49" i="19" s="1"/>
  <c r="Z49" i="19"/>
  <c r="Y49" i="19"/>
  <c r="AD48" i="19"/>
  <c r="AL48" i="19" s="1"/>
  <c r="AC48" i="19"/>
  <c r="AK48" i="19" s="1"/>
  <c r="Z48" i="19"/>
  <c r="Y48" i="19"/>
  <c r="AD47" i="19"/>
  <c r="AL47" i="19" s="1"/>
  <c r="AC47" i="19"/>
  <c r="AK47" i="19" s="1"/>
  <c r="Z47" i="19"/>
  <c r="Y47" i="19"/>
  <c r="AK46" i="19"/>
  <c r="AD46" i="19"/>
  <c r="AL46" i="19" s="1"/>
  <c r="AC46" i="19"/>
  <c r="Z46" i="19"/>
  <c r="Y46" i="19"/>
  <c r="T45" i="19"/>
  <c r="B45" i="19"/>
  <c r="AS44" i="19"/>
  <c r="AR44" i="19"/>
  <c r="AH44" i="19"/>
  <c r="AG44" i="19"/>
  <c r="AK43" i="19"/>
  <c r="AD43" i="19"/>
  <c r="AL43" i="19" s="1"/>
  <c r="AC43" i="19"/>
  <c r="Z43" i="19"/>
  <c r="Y43" i="19"/>
  <c r="AD42" i="19"/>
  <c r="AC42" i="19"/>
  <c r="Z42" i="19"/>
  <c r="AL42" i="19" s="1"/>
  <c r="Y42" i="19"/>
  <c r="AK42" i="19" s="1"/>
  <c r="AL41" i="19"/>
  <c r="AD41" i="19"/>
  <c r="AC41" i="19"/>
  <c r="AK41" i="19" s="1"/>
  <c r="Z41" i="19"/>
  <c r="Y41" i="19"/>
  <c r="AD40" i="19"/>
  <c r="AL40" i="19" s="1"/>
  <c r="AC40" i="19"/>
  <c r="AK40" i="19" s="1"/>
  <c r="Z40" i="19"/>
  <c r="Y40" i="19"/>
  <c r="AK39" i="19"/>
  <c r="AD39" i="19"/>
  <c r="AL39" i="19" s="1"/>
  <c r="AC39" i="19"/>
  <c r="Z39" i="19"/>
  <c r="Y39" i="19"/>
  <c r="T38" i="19"/>
  <c r="B38" i="19"/>
  <c r="AS37" i="19"/>
  <c r="AR37" i="19"/>
  <c r="AH37" i="19"/>
  <c r="AG37" i="19"/>
  <c r="AK36" i="19"/>
  <c r="AD36" i="19"/>
  <c r="AL36" i="19" s="1"/>
  <c r="AC36" i="19"/>
  <c r="Z36" i="19"/>
  <c r="Y36" i="19"/>
  <c r="B35" i="19"/>
  <c r="AS34" i="19"/>
  <c r="AR34" i="19"/>
  <c r="AH34" i="19"/>
  <c r="AG34" i="19"/>
  <c r="AD33" i="19"/>
  <c r="AL33" i="19" s="1"/>
  <c r="AC33" i="19"/>
  <c r="AK33" i="19" s="1"/>
  <c r="Z33" i="19"/>
  <c r="Y33" i="19"/>
  <c r="B32" i="19"/>
  <c r="AS31" i="19"/>
  <c r="AR31" i="19"/>
  <c r="AH31" i="19"/>
  <c r="AG31" i="19"/>
  <c r="AD30" i="19"/>
  <c r="AL30" i="19" s="1"/>
  <c r="AC30" i="19"/>
  <c r="AK30" i="19" s="1"/>
  <c r="Z30" i="19"/>
  <c r="Y30" i="19"/>
  <c r="B29" i="19"/>
  <c r="AS28" i="19"/>
  <c r="AR28" i="19"/>
  <c r="AH28" i="19"/>
  <c r="AG28" i="19"/>
  <c r="AD27" i="19"/>
  <c r="AL27" i="19" s="1"/>
  <c r="AC27" i="19"/>
  <c r="AK27" i="19" s="1"/>
  <c r="Z27" i="19"/>
  <c r="Y27" i="19"/>
  <c r="B26" i="19"/>
  <c r="AS25" i="19"/>
  <c r="AR25" i="19"/>
  <c r="AH25" i="19"/>
  <c r="AG25" i="19"/>
  <c r="AD24" i="19"/>
  <c r="AL24" i="19" s="1"/>
  <c r="AC24" i="19"/>
  <c r="AK24" i="19" s="1"/>
  <c r="Z24" i="19"/>
  <c r="Y24" i="19"/>
  <c r="B23" i="19"/>
  <c r="AS22" i="19"/>
  <c r="AR22" i="19"/>
  <c r="AH22" i="19"/>
  <c r="AG22" i="19"/>
  <c r="AD21" i="19"/>
  <c r="Z21" i="19"/>
  <c r="V21" i="19"/>
  <c r="U21" i="19"/>
  <c r="AC21" i="19" s="1"/>
  <c r="B20" i="19"/>
  <c r="B19" i="19"/>
  <c r="B18" i="19"/>
  <c r="B17" i="19"/>
  <c r="B16" i="19"/>
  <c r="B15" i="19"/>
  <c r="B14" i="19"/>
  <c r="A10" i="19"/>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P9" i="19"/>
  <c r="N9" i="19"/>
  <c r="L9" i="19"/>
  <c r="A9" i="19"/>
  <c r="F8" i="19"/>
  <c r="AG7" i="19" s="1"/>
  <c r="A3" i="19"/>
  <c r="AS3" i="19"/>
  <c r="AR3" i="19"/>
  <c r="AH3" i="19"/>
  <c r="AG3" i="19"/>
  <c r="A2" i="19"/>
  <c r="A1" i="19"/>
  <c r="AC9" i="17"/>
  <c r="Q77" i="17"/>
  <c r="Q76" i="17"/>
  <c r="Q75" i="17"/>
  <c r="Q74" i="17"/>
  <c r="Q73" i="17"/>
  <c r="Q72" i="17"/>
  <c r="Q71" i="17"/>
  <c r="Q70" i="17"/>
  <c r="Q69" i="17"/>
  <c r="Q68" i="17"/>
  <c r="Q67" i="17"/>
  <c r="Q66" i="17"/>
  <c r="Q65" i="17"/>
  <c r="Q64" i="17"/>
  <c r="Q63" i="17"/>
  <c r="Q62" i="17"/>
  <c r="Q61" i="17"/>
  <c r="Q60" i="17"/>
  <c r="Q59" i="17"/>
  <c r="Q58" i="17"/>
  <c r="Q57" i="17"/>
  <c r="Q56" i="17"/>
  <c r="Q55" i="17"/>
  <c r="Q54" i="17"/>
  <c r="Q53" i="17"/>
  <c r="Q52" i="17"/>
  <c r="Q51" i="17"/>
  <c r="Q50" i="17"/>
  <c r="Q49" i="17"/>
  <c r="Q48" i="17"/>
  <c r="Q47" i="17"/>
  <c r="Q46" i="17"/>
  <c r="Q45" i="17"/>
  <c r="Q44" i="17"/>
  <c r="Q43" i="17"/>
  <c r="Q42" i="17"/>
  <c r="Q41" i="17"/>
  <c r="Q40" i="17"/>
  <c r="Q39" i="17"/>
  <c r="Q38" i="17"/>
  <c r="Q37" i="17"/>
  <c r="Q36" i="17"/>
  <c r="Q35" i="17"/>
  <c r="Q34" i="17"/>
  <c r="Q33" i="17"/>
  <c r="Q32" i="17"/>
  <c r="Q31" i="17"/>
  <c r="Q30" i="17"/>
  <c r="Q29" i="17"/>
  <c r="Q28" i="17"/>
  <c r="Q27" i="17"/>
  <c r="Q26" i="17"/>
  <c r="Q25" i="17"/>
  <c r="Q24" i="17"/>
  <c r="Q23" i="17"/>
  <c r="Q22" i="17"/>
  <c r="Q21" i="17"/>
  <c r="Q20" i="17"/>
  <c r="Q19" i="17"/>
  <c r="Q18" i="17"/>
  <c r="Q17" i="17"/>
  <c r="Q16" i="17"/>
  <c r="Q15" i="17"/>
  <c r="Q14" i="17"/>
  <c r="Q13" i="17"/>
  <c r="Q12" i="17"/>
  <c r="Q11" i="17"/>
  <c r="Q10" i="17"/>
  <c r="Q9" i="17"/>
  <c r="T96" i="18"/>
  <c r="R96" i="18"/>
  <c r="AM96" i="18" s="1"/>
  <c r="P96" i="18"/>
  <c r="O96" i="18"/>
  <c r="N96" i="18"/>
  <c r="M96" i="18"/>
  <c r="Y96" i="18" s="1"/>
  <c r="K96" i="18"/>
  <c r="B96" i="18"/>
  <c r="T95" i="18"/>
  <c r="R95" i="18"/>
  <c r="AM95" i="18" s="1"/>
  <c r="P95" i="18"/>
  <c r="AD95" i="18" s="1"/>
  <c r="O95" i="18"/>
  <c r="N95" i="18"/>
  <c r="M95" i="18"/>
  <c r="K95" i="18"/>
  <c r="X95" i="18" s="1"/>
  <c r="B95" i="18"/>
  <c r="T94" i="18"/>
  <c r="R94" i="18"/>
  <c r="AM94" i="18" s="1"/>
  <c r="P94" i="18"/>
  <c r="O94" i="18"/>
  <c r="Y94" i="18" s="1"/>
  <c r="N94" i="18"/>
  <c r="AD94" i="18" s="1"/>
  <c r="AH94" i="18" s="1"/>
  <c r="M94" i="18"/>
  <c r="K94" i="18"/>
  <c r="B94" i="18"/>
  <c r="AN93" i="18"/>
  <c r="AH92" i="18"/>
  <c r="AG92" i="18"/>
  <c r="AD92" i="18"/>
  <c r="AC92" i="18"/>
  <c r="Y92" i="18"/>
  <c r="X92" i="18"/>
  <c r="R92" i="18"/>
  <c r="AM92" i="18" s="1"/>
  <c r="AG91" i="18"/>
  <c r="AD91" i="18"/>
  <c r="AC91" i="18"/>
  <c r="Y91" i="18"/>
  <c r="X91" i="18"/>
  <c r="R91" i="18"/>
  <c r="AM91" i="18" s="1"/>
  <c r="AD90" i="18"/>
  <c r="AH90" i="18" s="1"/>
  <c r="AC90" i="18"/>
  <c r="AG90" i="18" s="1"/>
  <c r="Y90" i="18"/>
  <c r="X90" i="18"/>
  <c r="R90" i="18"/>
  <c r="AM90" i="18" s="1"/>
  <c r="AD89" i="18"/>
  <c r="AH89" i="18" s="1"/>
  <c r="AC89" i="18"/>
  <c r="AG89" i="18" s="1"/>
  <c r="Y89" i="18"/>
  <c r="X89" i="18"/>
  <c r="R89" i="18"/>
  <c r="AM89" i="18" s="1"/>
  <c r="AH88" i="18"/>
  <c r="AG88" i="18"/>
  <c r="AD88" i="18"/>
  <c r="AC88" i="18"/>
  <c r="Y88" i="18"/>
  <c r="X88" i="18"/>
  <c r="R88" i="18"/>
  <c r="AM88" i="18" s="1"/>
  <c r="T87" i="18"/>
  <c r="R87" i="18"/>
  <c r="AM87" i="18" s="1"/>
  <c r="P87" i="18"/>
  <c r="O87" i="18"/>
  <c r="Y87" i="18" s="1"/>
  <c r="N87" i="18"/>
  <c r="AD87" i="18" s="1"/>
  <c r="M87" i="18"/>
  <c r="L87" i="18"/>
  <c r="K87" i="18"/>
  <c r="B87" i="18"/>
  <c r="AN86" i="18"/>
  <c r="AD85" i="18"/>
  <c r="AH85" i="18" s="1"/>
  <c r="AC85" i="18"/>
  <c r="AG85" i="18" s="1"/>
  <c r="Y85" i="18"/>
  <c r="X85" i="18"/>
  <c r="R85" i="18"/>
  <c r="AM85" i="18" s="1"/>
  <c r="AG84" i="18"/>
  <c r="AD84" i="18"/>
  <c r="AH84" i="18" s="1"/>
  <c r="AC84" i="18"/>
  <c r="Y84" i="18"/>
  <c r="X84" i="18"/>
  <c r="R84" i="18"/>
  <c r="AM84" i="18" s="1"/>
  <c r="AH83" i="18"/>
  <c r="AD83" i="18"/>
  <c r="AC83" i="18"/>
  <c r="Y83" i="18"/>
  <c r="X83" i="18"/>
  <c r="AG83" i="18" s="1"/>
  <c r="R83" i="18"/>
  <c r="AM83" i="18" s="1"/>
  <c r="AH82" i="18"/>
  <c r="AD82" i="18"/>
  <c r="AC82" i="18"/>
  <c r="Y82" i="18"/>
  <c r="X82" i="18"/>
  <c r="AG82" i="18" s="1"/>
  <c r="R82" i="18"/>
  <c r="AM82" i="18" s="1"/>
  <c r="AD81" i="18"/>
  <c r="AH81" i="18" s="1"/>
  <c r="AC81" i="18"/>
  <c r="AG81" i="18" s="1"/>
  <c r="Y81" i="18"/>
  <c r="X81" i="18"/>
  <c r="R81" i="18"/>
  <c r="AM81" i="18" s="1"/>
  <c r="T80" i="18"/>
  <c r="R80" i="18"/>
  <c r="AM80" i="18" s="1"/>
  <c r="P80" i="18"/>
  <c r="AD80" i="18" s="1"/>
  <c r="O80" i="18"/>
  <c r="N80" i="18"/>
  <c r="M80" i="18"/>
  <c r="K80" i="18"/>
  <c r="B80" i="18"/>
  <c r="AN79" i="18"/>
  <c r="AG78" i="18"/>
  <c r="AD78" i="18"/>
  <c r="AC78" i="18"/>
  <c r="Y78" i="18"/>
  <c r="X78" i="18"/>
  <c r="R78" i="18"/>
  <c r="AM78" i="18" s="1"/>
  <c r="AD77" i="18"/>
  <c r="AH77" i="18" s="1"/>
  <c r="AC77" i="18"/>
  <c r="AG77" i="18" s="1"/>
  <c r="Y77" i="18"/>
  <c r="X77" i="18"/>
  <c r="R77" i="18"/>
  <c r="AM77" i="18" s="1"/>
  <c r="AD76" i="18"/>
  <c r="AH76" i="18" s="1"/>
  <c r="AC76" i="18"/>
  <c r="AG76" i="18" s="1"/>
  <c r="Y76" i="18"/>
  <c r="X76" i="18"/>
  <c r="R76" i="18"/>
  <c r="AM76" i="18" s="1"/>
  <c r="AH75" i="18"/>
  <c r="AG75" i="18"/>
  <c r="AD75" i="18"/>
  <c r="AC75" i="18"/>
  <c r="Y75" i="18"/>
  <c r="X75" i="18"/>
  <c r="R75" i="18"/>
  <c r="AM75" i="18" s="1"/>
  <c r="AG74" i="18"/>
  <c r="AD74" i="18"/>
  <c r="AC74" i="18"/>
  <c r="Y74" i="18"/>
  <c r="X74" i="18"/>
  <c r="R74" i="18"/>
  <c r="AM74" i="18" s="1"/>
  <c r="R73" i="18"/>
  <c r="AM73" i="18" s="1"/>
  <c r="P73" i="18"/>
  <c r="O73" i="18"/>
  <c r="N73" i="18"/>
  <c r="AD73" i="18" s="1"/>
  <c r="M73" i="18"/>
  <c r="Y73" i="18" s="1"/>
  <c r="K73" i="18"/>
  <c r="B73" i="18"/>
  <c r="AN72" i="18"/>
  <c r="AG71" i="18"/>
  <c r="AD71" i="18"/>
  <c r="AH71" i="18" s="1"/>
  <c r="AC71" i="18"/>
  <c r="Y71" i="18"/>
  <c r="X71" i="18"/>
  <c r="R71" i="18"/>
  <c r="AM71" i="18" s="1"/>
  <c r="AD70" i="18"/>
  <c r="AH70" i="18" s="1"/>
  <c r="AC70" i="18"/>
  <c r="Y70" i="18"/>
  <c r="X70" i="18"/>
  <c r="AG70" i="18" s="1"/>
  <c r="R70" i="18"/>
  <c r="AM70" i="18" s="1"/>
  <c r="AH69" i="18"/>
  <c r="AD69" i="18"/>
  <c r="AC69" i="18"/>
  <c r="Y69" i="18"/>
  <c r="X69" i="18"/>
  <c r="AG69" i="18" s="1"/>
  <c r="R69" i="18"/>
  <c r="AM69" i="18" s="1"/>
  <c r="AD68" i="18"/>
  <c r="AH68" i="18" s="1"/>
  <c r="AC68" i="18"/>
  <c r="Y68" i="18"/>
  <c r="X68" i="18"/>
  <c r="AG68" i="18" s="1"/>
  <c r="R68" i="18"/>
  <c r="AM68" i="18" s="1"/>
  <c r="AG67" i="18"/>
  <c r="AD67" i="18"/>
  <c r="AH67" i="18" s="1"/>
  <c r="AC67" i="18"/>
  <c r="Y67" i="18"/>
  <c r="X67" i="18"/>
  <c r="R67" i="18"/>
  <c r="AM67" i="18" s="1"/>
  <c r="AD66" i="18"/>
  <c r="R66" i="18"/>
  <c r="AM66" i="18" s="1"/>
  <c r="P66" i="18"/>
  <c r="O66" i="18"/>
  <c r="N66" i="18"/>
  <c r="M66" i="18"/>
  <c r="K66" i="18"/>
  <c r="B66" i="18"/>
  <c r="AN65" i="18"/>
  <c r="AD64" i="18"/>
  <c r="AC64" i="18"/>
  <c r="AG64" i="18" s="1"/>
  <c r="Y64" i="18"/>
  <c r="X64" i="18"/>
  <c r="R64" i="18"/>
  <c r="AM64" i="18" s="1"/>
  <c r="AD63" i="18"/>
  <c r="AH63" i="18" s="1"/>
  <c r="AC63" i="18"/>
  <c r="AG63" i="18" s="1"/>
  <c r="Y63" i="18"/>
  <c r="X63" i="18"/>
  <c r="R63" i="18"/>
  <c r="AM63" i="18" s="1"/>
  <c r="AH62" i="18"/>
  <c r="AD62" i="18"/>
  <c r="AC62" i="18"/>
  <c r="AG62" i="18" s="1"/>
  <c r="Y62" i="18"/>
  <c r="X62" i="18"/>
  <c r="R62" i="18"/>
  <c r="AM62" i="18" s="1"/>
  <c r="AG61" i="18"/>
  <c r="AD61" i="18"/>
  <c r="AC61" i="18"/>
  <c r="Y61" i="18"/>
  <c r="X61" i="18"/>
  <c r="R61" i="18"/>
  <c r="AM61" i="18" s="1"/>
  <c r="AD60" i="18"/>
  <c r="AH60" i="18" s="1"/>
  <c r="AC60" i="18"/>
  <c r="AG60" i="18" s="1"/>
  <c r="Y60" i="18"/>
  <c r="X60" i="18"/>
  <c r="R60" i="18"/>
  <c r="AM60" i="18" s="1"/>
  <c r="T59" i="18"/>
  <c r="R59" i="18"/>
  <c r="AM59" i="18" s="1"/>
  <c r="P59" i="18"/>
  <c r="O59" i="18"/>
  <c r="N59" i="18"/>
  <c r="AD59" i="18" s="1"/>
  <c r="M59" i="18"/>
  <c r="Y59" i="18" s="1"/>
  <c r="K59" i="18"/>
  <c r="B59" i="18"/>
  <c r="AN58" i="18"/>
  <c r="AD57" i="18"/>
  <c r="AH57" i="18" s="1"/>
  <c r="AC57" i="18"/>
  <c r="Y57" i="18"/>
  <c r="X57" i="18"/>
  <c r="AG57" i="18" s="1"/>
  <c r="R57" i="18"/>
  <c r="AM57" i="18" s="1"/>
  <c r="AG56" i="18"/>
  <c r="AD56" i="18"/>
  <c r="AH56" i="18" s="1"/>
  <c r="AC56" i="18"/>
  <c r="Y56" i="18"/>
  <c r="X56" i="18"/>
  <c r="R56" i="18"/>
  <c r="AM56" i="18" s="1"/>
  <c r="AD55" i="18"/>
  <c r="AH55" i="18" s="1"/>
  <c r="AC55" i="18"/>
  <c r="Y55" i="18"/>
  <c r="X55" i="18"/>
  <c r="AG55" i="18" s="1"/>
  <c r="R55" i="18"/>
  <c r="AM55" i="18" s="1"/>
  <c r="AG54" i="18"/>
  <c r="AD54" i="18"/>
  <c r="AH54" i="18" s="1"/>
  <c r="AC54" i="18"/>
  <c r="Y54" i="18"/>
  <c r="X54" i="18"/>
  <c r="R54" i="18"/>
  <c r="AM54" i="18" s="1"/>
  <c r="AD53" i="18"/>
  <c r="AH53" i="18" s="1"/>
  <c r="AC53" i="18"/>
  <c r="Y53" i="18"/>
  <c r="X53" i="18"/>
  <c r="AG53" i="18" s="1"/>
  <c r="R53" i="18"/>
  <c r="AM53" i="18" s="1"/>
  <c r="AD52" i="18"/>
  <c r="T52" i="18"/>
  <c r="R52" i="18"/>
  <c r="AM52" i="18" s="1"/>
  <c r="P52" i="18"/>
  <c r="O52" i="18"/>
  <c r="N52" i="18"/>
  <c r="M52" i="18"/>
  <c r="Y52" i="18" s="1"/>
  <c r="Y58" i="18" s="1"/>
  <c r="K52" i="18"/>
  <c r="B52" i="18"/>
  <c r="AN51" i="18"/>
  <c r="AD50" i="18"/>
  <c r="AC50" i="18"/>
  <c r="AG50" i="18" s="1"/>
  <c r="Y50" i="18"/>
  <c r="X50" i="18"/>
  <c r="R50" i="18"/>
  <c r="AM50" i="18" s="1"/>
  <c r="AH49" i="18"/>
  <c r="AD49" i="18"/>
  <c r="AC49" i="18"/>
  <c r="AG49" i="18" s="1"/>
  <c r="Y49" i="18"/>
  <c r="X49" i="18"/>
  <c r="R49" i="18"/>
  <c r="AM49" i="18" s="1"/>
  <c r="AD48" i="18"/>
  <c r="AH48" i="18" s="1"/>
  <c r="AC48" i="18"/>
  <c r="AG48" i="18" s="1"/>
  <c r="Y48" i="18"/>
  <c r="X48" i="18"/>
  <c r="R48" i="18"/>
  <c r="AM48" i="18" s="1"/>
  <c r="AH47" i="18"/>
  <c r="AD47" i="18"/>
  <c r="AC47" i="18"/>
  <c r="AG47" i="18" s="1"/>
  <c r="Y47" i="18"/>
  <c r="X47" i="18"/>
  <c r="R47" i="18"/>
  <c r="AM47" i="18" s="1"/>
  <c r="AD46" i="18"/>
  <c r="AH46" i="18" s="1"/>
  <c r="AC46" i="18"/>
  <c r="Y46" i="18"/>
  <c r="X46" i="18"/>
  <c r="AG46" i="18" s="1"/>
  <c r="R46" i="18"/>
  <c r="AM46" i="18" s="1"/>
  <c r="T45" i="18"/>
  <c r="R45" i="18"/>
  <c r="AM45" i="18" s="1"/>
  <c r="P45" i="18"/>
  <c r="O45" i="18"/>
  <c r="N45" i="18"/>
  <c r="AD45" i="18" s="1"/>
  <c r="AD51" i="18" s="1"/>
  <c r="M45" i="18"/>
  <c r="K45" i="18"/>
  <c r="B45" i="18"/>
  <c r="AN44" i="18"/>
  <c r="AG43" i="18"/>
  <c r="AD43" i="18"/>
  <c r="AH43" i="18" s="1"/>
  <c r="AC43" i="18"/>
  <c r="Y43" i="18"/>
  <c r="X43" i="18"/>
  <c r="R43" i="18"/>
  <c r="AM43" i="18" s="1"/>
  <c r="AG42" i="18"/>
  <c r="AD42" i="18"/>
  <c r="AH42" i="18" s="1"/>
  <c r="AC42" i="18"/>
  <c r="Y42" i="18"/>
  <c r="X42" i="18"/>
  <c r="R42" i="18"/>
  <c r="AM42" i="18" s="1"/>
  <c r="AH41" i="18"/>
  <c r="AG41" i="18"/>
  <c r="AD41" i="18"/>
  <c r="AC41" i="18"/>
  <c r="Y41" i="18"/>
  <c r="X41" i="18"/>
  <c r="R41" i="18"/>
  <c r="AM41" i="18" s="1"/>
  <c r="AD40" i="18"/>
  <c r="AH40" i="18" s="1"/>
  <c r="AC40" i="18"/>
  <c r="Y40" i="18"/>
  <c r="X40" i="18"/>
  <c r="R40" i="18"/>
  <c r="AM40" i="18" s="1"/>
  <c r="AG39" i="18"/>
  <c r="AD39" i="18"/>
  <c r="AH39" i="18" s="1"/>
  <c r="AC39" i="18"/>
  <c r="Y39" i="18"/>
  <c r="X39" i="18"/>
  <c r="R39" i="18"/>
  <c r="AM39" i="18" s="1"/>
  <c r="T38" i="18"/>
  <c r="R38" i="18"/>
  <c r="P38" i="18"/>
  <c r="O38" i="18"/>
  <c r="N38" i="18"/>
  <c r="AD38" i="18" s="1"/>
  <c r="M38" i="18"/>
  <c r="K38" i="18"/>
  <c r="B38" i="18"/>
  <c r="AN37" i="18"/>
  <c r="AH36" i="18"/>
  <c r="AD36" i="18"/>
  <c r="AC36" i="18"/>
  <c r="Y36" i="18"/>
  <c r="X36" i="18"/>
  <c r="AG36" i="18" s="1"/>
  <c r="R36" i="18"/>
  <c r="AM36" i="18" s="1"/>
  <c r="T35" i="18"/>
  <c r="R35" i="18"/>
  <c r="AM35" i="18" s="1"/>
  <c r="P35" i="18"/>
  <c r="O35" i="18"/>
  <c r="N35" i="18"/>
  <c r="AD35" i="18" s="1"/>
  <c r="M35" i="18"/>
  <c r="Y35" i="18" s="1"/>
  <c r="Y37" i="18" s="1"/>
  <c r="K35" i="18"/>
  <c r="B35" i="18"/>
  <c r="AN34" i="18"/>
  <c r="AD33" i="18"/>
  <c r="AH33" i="18" s="1"/>
  <c r="AC33" i="18"/>
  <c r="Y33" i="18"/>
  <c r="X33" i="18"/>
  <c r="AG33" i="18" s="1"/>
  <c r="R33" i="18"/>
  <c r="AM33" i="18" s="1"/>
  <c r="T32" i="18"/>
  <c r="R32" i="18"/>
  <c r="AM32" i="18" s="1"/>
  <c r="P32" i="18"/>
  <c r="AD32" i="18" s="1"/>
  <c r="O32" i="18"/>
  <c r="N32" i="18"/>
  <c r="M32" i="18"/>
  <c r="Y32" i="18" s="1"/>
  <c r="K32" i="18"/>
  <c r="B32" i="18"/>
  <c r="AN31" i="18"/>
  <c r="AN3" i="18" s="1"/>
  <c r="AD30" i="18"/>
  <c r="AC30" i="18"/>
  <c r="Y30" i="18"/>
  <c r="AH30" i="18" s="1"/>
  <c r="X30" i="18"/>
  <c r="AG30" i="18" s="1"/>
  <c r="R30" i="18"/>
  <c r="AM30" i="18" s="1"/>
  <c r="T29" i="18"/>
  <c r="R29" i="18"/>
  <c r="AM29" i="18" s="1"/>
  <c r="P29" i="18"/>
  <c r="O29" i="18"/>
  <c r="N29" i="18"/>
  <c r="AD29" i="18" s="1"/>
  <c r="M29" i="18"/>
  <c r="Y29" i="18" s="1"/>
  <c r="K29" i="18"/>
  <c r="B29" i="18"/>
  <c r="AN28" i="18"/>
  <c r="AD27" i="18"/>
  <c r="AH27" i="18" s="1"/>
  <c r="AC27" i="18"/>
  <c r="Y27" i="18"/>
  <c r="X27" i="18"/>
  <c r="AG27" i="18" s="1"/>
  <c r="R27" i="18"/>
  <c r="AM27" i="18" s="1"/>
  <c r="T26" i="18"/>
  <c r="R26" i="18"/>
  <c r="AM26" i="18" s="1"/>
  <c r="P26" i="18"/>
  <c r="O26" i="18"/>
  <c r="N26" i="18"/>
  <c r="AD26" i="18" s="1"/>
  <c r="AD28" i="18" s="1"/>
  <c r="M26" i="18"/>
  <c r="Y26" i="18" s="1"/>
  <c r="K26" i="18"/>
  <c r="B26" i="18"/>
  <c r="AN25" i="18"/>
  <c r="AD24" i="18"/>
  <c r="AC24" i="18"/>
  <c r="Y24" i="18"/>
  <c r="X24" i="18"/>
  <c r="R24" i="18"/>
  <c r="AM24" i="18" s="1"/>
  <c r="T23" i="18"/>
  <c r="R23" i="18"/>
  <c r="AM23" i="18" s="1"/>
  <c r="P23" i="18"/>
  <c r="AD23" i="18" s="1"/>
  <c r="O23" i="18"/>
  <c r="Y23" i="18" s="1"/>
  <c r="N23" i="18"/>
  <c r="M23" i="18"/>
  <c r="K23" i="18"/>
  <c r="B23" i="18"/>
  <c r="AN22" i="18"/>
  <c r="AH21" i="18"/>
  <c r="AD21" i="18"/>
  <c r="AC21" i="18"/>
  <c r="Y21" i="18"/>
  <c r="X21" i="18"/>
  <c r="R21" i="18"/>
  <c r="AM21" i="18" s="1"/>
  <c r="T20" i="18"/>
  <c r="R20" i="18"/>
  <c r="AM20" i="18" s="1"/>
  <c r="P20" i="18"/>
  <c r="O20" i="18"/>
  <c r="N20" i="18"/>
  <c r="AD20" i="18" s="1"/>
  <c r="M20" i="18"/>
  <c r="K20" i="18"/>
  <c r="B20" i="18"/>
  <c r="T19" i="18"/>
  <c r="R19" i="18"/>
  <c r="AM19" i="18" s="1"/>
  <c r="P19" i="18"/>
  <c r="AD19" i="18" s="1"/>
  <c r="O19" i="18"/>
  <c r="Y19" i="18" s="1"/>
  <c r="N19" i="18"/>
  <c r="M19" i="18"/>
  <c r="K19" i="18"/>
  <c r="B19" i="18"/>
  <c r="T18" i="18"/>
  <c r="R18" i="18"/>
  <c r="P18" i="18"/>
  <c r="O18" i="18"/>
  <c r="Y18" i="18" s="1"/>
  <c r="N18" i="18"/>
  <c r="M18" i="18"/>
  <c r="K18" i="18"/>
  <c r="AM18" i="18"/>
  <c r="B18" i="18"/>
  <c r="Y17" i="18"/>
  <c r="T17" i="18"/>
  <c r="R17" i="18"/>
  <c r="AM17" i="18" s="1"/>
  <c r="P17" i="18"/>
  <c r="O17" i="18"/>
  <c r="N17" i="18"/>
  <c r="M17" i="18"/>
  <c r="K17" i="18"/>
  <c r="B17" i="18"/>
  <c r="T16" i="18"/>
  <c r="R16" i="18"/>
  <c r="AM16" i="18" s="1"/>
  <c r="P16" i="18"/>
  <c r="AD16" i="18" s="1"/>
  <c r="AH16" i="18" s="1"/>
  <c r="O16" i="18"/>
  <c r="N16" i="18"/>
  <c r="M16" i="18"/>
  <c r="Y16" i="18" s="1"/>
  <c r="K16" i="18"/>
  <c r="B16" i="18"/>
  <c r="T15" i="18"/>
  <c r="R15" i="18"/>
  <c r="AM15" i="18" s="1"/>
  <c r="P15" i="18"/>
  <c r="O15" i="18"/>
  <c r="Y15" i="18" s="1"/>
  <c r="N15" i="18"/>
  <c r="AD15" i="18" s="1"/>
  <c r="M15" i="18"/>
  <c r="K15" i="18"/>
  <c r="B15" i="18"/>
  <c r="T14" i="18"/>
  <c r="R14" i="18"/>
  <c r="AM14" i="18" s="1"/>
  <c r="P14" i="18"/>
  <c r="O14" i="18"/>
  <c r="N14" i="18"/>
  <c r="AD14" i="18" s="1"/>
  <c r="M14" i="18"/>
  <c r="Y14" i="18" s="1"/>
  <c r="K14" i="18"/>
  <c r="B14" i="18"/>
  <c r="A10" i="18"/>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A75" i="18" s="1"/>
  <c r="A76" i="18" s="1"/>
  <c r="A77" i="18" s="1"/>
  <c r="A78" i="18" s="1"/>
  <c r="A79" i="18" s="1"/>
  <c r="A80" i="18" s="1"/>
  <c r="A81" i="18" s="1"/>
  <c r="A82" i="18" s="1"/>
  <c r="A83" i="18" s="1"/>
  <c r="A84" i="18" s="1"/>
  <c r="A85" i="18" s="1"/>
  <c r="A86" i="18" s="1"/>
  <c r="A87" i="18" s="1"/>
  <c r="A88" i="18" s="1"/>
  <c r="A89" i="18" s="1"/>
  <c r="A90" i="18" s="1"/>
  <c r="A91" i="18" s="1"/>
  <c r="A92" i="18" s="1"/>
  <c r="A93" i="18" s="1"/>
  <c r="A94" i="18" s="1"/>
  <c r="A95" i="18" s="1"/>
  <c r="A96" i="18" s="1"/>
  <c r="A97" i="18" s="1"/>
  <c r="A98" i="18" s="1"/>
  <c r="A99" i="18" s="1"/>
  <c r="A100" i="18" s="1"/>
  <c r="A101" i="18" s="1"/>
  <c r="A102" i="18" s="1"/>
  <c r="O9" i="18"/>
  <c r="N9" i="18"/>
  <c r="K9" i="18"/>
  <c r="M9" i="18" s="1"/>
  <c r="A9" i="18"/>
  <c r="P9" i="18"/>
  <c r="A3" i="18"/>
  <c r="A2" i="18"/>
  <c r="A1" i="18"/>
  <c r="R15" i="6"/>
  <c r="U80" i="4"/>
  <c r="AH19" i="18" l="1"/>
  <c r="AH14" i="18"/>
  <c r="AH15" i="18"/>
  <c r="AD17" i="18"/>
  <c r="AH17" i="18" s="1"/>
  <c r="Y66" i="18"/>
  <c r="Y72" i="18" s="1"/>
  <c r="AD18" i="18"/>
  <c r="Y20" i="18"/>
  <c r="Y45" i="18"/>
  <c r="AH45" i="18" s="1"/>
  <c r="Y80" i="18"/>
  <c r="AH80" i="18" s="1"/>
  <c r="AH86" i="18" s="1"/>
  <c r="AD96" i="18"/>
  <c r="AH96" i="18" s="1"/>
  <c r="X29" i="18"/>
  <c r="X31" i="18" s="1"/>
  <c r="AG21" i="18"/>
  <c r="X35" i="18"/>
  <c r="X37" i="18" s="1"/>
  <c r="X38" i="18"/>
  <c r="AL55" i="14"/>
  <c r="Y27" i="1"/>
  <c r="Y18" i="1"/>
  <c r="X20" i="18"/>
  <c r="X22" i="18" s="1"/>
  <c r="X16" i="18"/>
  <c r="X17" i="18"/>
  <c r="X96" i="18"/>
  <c r="X52" i="18"/>
  <c r="X58" i="18" s="1"/>
  <c r="X45" i="18"/>
  <c r="X51" i="18" s="1"/>
  <c r="X18" i="18"/>
  <c r="X26" i="18"/>
  <c r="X28" i="18" s="1"/>
  <c r="X14" i="18"/>
  <c r="X15" i="18"/>
  <c r="X32" i="18"/>
  <c r="X34" i="18" s="1"/>
  <c r="X19" i="18"/>
  <c r="X59" i="18"/>
  <c r="X65" i="18" s="1"/>
  <c r="AG24" i="18"/>
  <c r="X87" i="18"/>
  <c r="X93" i="18" s="1"/>
  <c r="X94" i="18"/>
  <c r="AM31" i="18"/>
  <c r="AC87" i="18"/>
  <c r="AC93" i="18" s="1"/>
  <c r="X23" i="18"/>
  <c r="X25" i="18" s="1"/>
  <c r="X80" i="18"/>
  <c r="X86" i="18" s="1"/>
  <c r="AM72" i="18"/>
  <c r="S15" i="19"/>
  <c r="AQ15" i="19" s="1"/>
  <c r="M9" i="19"/>
  <c r="G8" i="19"/>
  <c r="Q9" i="19"/>
  <c r="O9" i="19"/>
  <c r="J9" i="19"/>
  <c r="AL21" i="19"/>
  <c r="Y21" i="19"/>
  <c r="AK21" i="19" s="1"/>
  <c r="AL63" i="19"/>
  <c r="AL70" i="19"/>
  <c r="AL77" i="19"/>
  <c r="AK81" i="19"/>
  <c r="AL56" i="19"/>
  <c r="AM34" i="18"/>
  <c r="AM86" i="18"/>
  <c r="AM93" i="18"/>
  <c r="AM25" i="18"/>
  <c r="AM58" i="18"/>
  <c r="AM22" i="18"/>
  <c r="AM28" i="18"/>
  <c r="AH20" i="18"/>
  <c r="AH22" i="18" s="1"/>
  <c r="AD22" i="18"/>
  <c r="Y34" i="18"/>
  <c r="AD25" i="18"/>
  <c r="AH23" i="18"/>
  <c r="AH25" i="18" s="1"/>
  <c r="AH18" i="18"/>
  <c r="Y25" i="18"/>
  <c r="Y22" i="18"/>
  <c r="AH26" i="18"/>
  <c r="AH28" i="18" s="1"/>
  <c r="Y28" i="18"/>
  <c r="AD34" i="18"/>
  <c r="AH32" i="18"/>
  <c r="AH34" i="18" s="1"/>
  <c r="AH35" i="18"/>
  <c r="AH37" i="18" s="1"/>
  <c r="AD37" i="18"/>
  <c r="AM37" i="18"/>
  <c r="Y31" i="18"/>
  <c r="X44" i="18"/>
  <c r="AH29" i="18"/>
  <c r="AH31" i="18" s="1"/>
  <c r="AD31" i="18"/>
  <c r="AD65" i="18"/>
  <c r="AH59" i="18"/>
  <c r="AH87" i="18"/>
  <c r="AH93" i="18" s="1"/>
  <c r="AD93" i="18"/>
  <c r="I9" i="18"/>
  <c r="R9" i="18"/>
  <c r="S9" i="18" s="1"/>
  <c r="T9" i="18" s="1"/>
  <c r="U9" i="18" s="1"/>
  <c r="AM51" i="18"/>
  <c r="AM65" i="18"/>
  <c r="AM79" i="18"/>
  <c r="L9" i="18"/>
  <c r="AG40" i="18"/>
  <c r="AH24" i="18"/>
  <c r="Y38" i="18"/>
  <c r="AH38" i="18" s="1"/>
  <c r="AH44" i="18" s="1"/>
  <c r="AH91" i="18"/>
  <c r="Y95" i="18"/>
  <c r="AD44" i="18"/>
  <c r="AH52" i="18"/>
  <c r="AH58" i="18" s="1"/>
  <c r="AH74" i="18"/>
  <c r="AH78" i="18"/>
  <c r="AD86" i="18"/>
  <c r="AH61" i="18"/>
  <c r="Y79" i="18"/>
  <c r="F8" i="18"/>
  <c r="AM38" i="18"/>
  <c r="AM44" i="18" s="1"/>
  <c r="Y65" i="18"/>
  <c r="AH73" i="18"/>
  <c r="AH79" i="18" s="1"/>
  <c r="AD79" i="18"/>
  <c r="Y93" i="18"/>
  <c r="AH95" i="18"/>
  <c r="AH50" i="18"/>
  <c r="AD58" i="18"/>
  <c r="AH64" i="18"/>
  <c r="AD72" i="18"/>
  <c r="S81" i="10"/>
  <c r="P79" i="10"/>
  <c r="X81" i="4"/>
  <c r="Z80" i="10" s="1"/>
  <c r="X82" i="4"/>
  <c r="Z81" i="10" s="1"/>
  <c r="X80" i="4"/>
  <c r="Z79" i="10" s="1"/>
  <c r="U81" i="4"/>
  <c r="P80" i="10" s="1"/>
  <c r="U82" i="4"/>
  <c r="P81" i="10" s="1"/>
  <c r="R81" i="4"/>
  <c r="T80" i="10" s="1"/>
  <c r="R82" i="4"/>
  <c r="T81" i="10" s="1"/>
  <c r="R80" i="4"/>
  <c r="T79" i="10" s="1"/>
  <c r="O81" i="4"/>
  <c r="S80" i="10" s="1"/>
  <c r="O82" i="4"/>
  <c r="O80" i="4"/>
  <c r="S79" i="10" s="1"/>
  <c r="J71" i="2"/>
  <c r="J98" i="2" s="1"/>
  <c r="Y86" i="18" l="1"/>
  <c r="Y51" i="18"/>
  <c r="AH66" i="18"/>
  <c r="AH72" i="18" s="1"/>
  <c r="S77" i="23"/>
  <c r="AC95" i="12"/>
  <c r="P78" i="23"/>
  <c r="P78" i="22"/>
  <c r="W96" i="12"/>
  <c r="V78" i="23"/>
  <c r="F96" i="19"/>
  <c r="V77" i="23"/>
  <c r="F95" i="19"/>
  <c r="P77" i="23"/>
  <c r="P77" i="22"/>
  <c r="W95" i="12"/>
  <c r="V76" i="23"/>
  <c r="F94" i="19"/>
  <c r="S76" i="23"/>
  <c r="AC94" i="12"/>
  <c r="R76" i="23"/>
  <c r="Z94" i="12"/>
  <c r="R77" i="23"/>
  <c r="Z95" i="12"/>
  <c r="S78" i="23"/>
  <c r="AC96" i="12"/>
  <c r="H94" i="7"/>
  <c r="H96" i="7"/>
  <c r="H95" i="7"/>
  <c r="R78" i="23"/>
  <c r="Z96" i="12"/>
  <c r="P76" i="23"/>
  <c r="P76" i="22"/>
  <c r="W94" i="12"/>
  <c r="Y28" i="1"/>
  <c r="AL66" i="14"/>
  <c r="AL69" i="14" s="1"/>
  <c r="AL58" i="14"/>
  <c r="AG87" i="18"/>
  <c r="AG93" i="18" s="1"/>
  <c r="AC7" i="19"/>
  <c r="S9" i="19"/>
  <c r="T9" i="19" s="1"/>
  <c r="U9" i="19" s="1"/>
  <c r="V9" i="19" s="1"/>
  <c r="AM3" i="18"/>
  <c r="AD3" i="18"/>
  <c r="Y44" i="18"/>
  <c r="AH51" i="18"/>
  <c r="AH65" i="18"/>
  <c r="F71" i="2"/>
  <c r="F98" i="2" s="1"/>
  <c r="G71" i="2"/>
  <c r="G98" i="2" s="1"/>
  <c r="H71" i="2"/>
  <c r="H98" i="2" s="1"/>
  <c r="I71" i="2"/>
  <c r="I98" i="2" s="1"/>
  <c r="K71" i="2"/>
  <c r="K98" i="2" s="1"/>
  <c r="L71" i="2"/>
  <c r="L98" i="2" s="1"/>
  <c r="M71" i="2"/>
  <c r="M98" i="2" s="1"/>
  <c r="N71" i="2"/>
  <c r="N98" i="2" s="1"/>
  <c r="O71" i="2"/>
  <c r="O98" i="2" s="1"/>
  <c r="P71" i="2"/>
  <c r="P98" i="2" s="1"/>
  <c r="Q71" i="2"/>
  <c r="Q98" i="2" s="1"/>
  <c r="R71" i="2"/>
  <c r="R98" i="2" s="1"/>
  <c r="S71" i="2"/>
  <c r="S98" i="2" s="1"/>
  <c r="T71" i="2"/>
  <c r="T98" i="2" s="1"/>
  <c r="U71" i="2"/>
  <c r="U98" i="2" s="1"/>
  <c r="V71" i="2"/>
  <c r="V98" i="2" s="1"/>
  <c r="W71" i="2"/>
  <c r="W98" i="2" s="1"/>
  <c r="X71" i="2"/>
  <c r="X98" i="2" s="1"/>
  <c r="Y71" i="2"/>
  <c r="Y98" i="2" s="1"/>
  <c r="Z71" i="2"/>
  <c r="Z98" i="2" s="1"/>
  <c r="AA71" i="2"/>
  <c r="AA98" i="2" s="1"/>
  <c r="D71" i="2"/>
  <c r="E71" i="2"/>
  <c r="E98" i="2" s="1"/>
  <c r="AH3" i="18" l="1"/>
  <c r="AR5" i="18" s="1"/>
  <c r="L81" i="10"/>
  <c r="E82" i="11" s="1"/>
  <c r="Y3" i="18"/>
  <c r="D98" i="2"/>
  <c r="L80" i="10"/>
  <c r="L79" i="10"/>
  <c r="O78" i="23" l="1"/>
  <c r="Q78" i="23" s="1"/>
  <c r="T78" i="23" s="1"/>
  <c r="O78" i="22"/>
  <c r="Q78" i="22" s="1"/>
  <c r="E81" i="11"/>
  <c r="O77" i="23"/>
  <c r="Q77" i="23" s="1"/>
  <c r="T77" i="23" s="1"/>
  <c r="O77" i="22"/>
  <c r="Q77" i="22" s="1"/>
  <c r="E80" i="11"/>
  <c r="O76" i="23"/>
  <c r="Q76" i="23" s="1"/>
  <c r="T76" i="23" s="1"/>
  <c r="O76" i="22"/>
  <c r="Q76" i="22" s="1"/>
  <c r="D22" i="2"/>
  <c r="AA63" i="2" l="1"/>
  <c r="I31" i="1" l="1"/>
  <c r="U35" i="18" s="1"/>
  <c r="F9" i="5" l="1"/>
  <c r="AJ40" i="14" l="1"/>
  <c r="AF38" i="14"/>
  <c r="AF37" i="14"/>
  <c r="AF36" i="14"/>
  <c r="AF35" i="14"/>
  <c r="AF34" i="14"/>
  <c r="AF33" i="14"/>
  <c r="AF32" i="14"/>
  <c r="AF31" i="14"/>
  <c r="AF30" i="14"/>
  <c r="AF29" i="14"/>
  <c r="AF28" i="14"/>
  <c r="AF27" i="14"/>
  <c r="AF26" i="14"/>
  <c r="AF25" i="14"/>
  <c r="AF24" i="14"/>
  <c r="AF23" i="14"/>
  <c r="AF22" i="14"/>
  <c r="AF21" i="14"/>
  <c r="AF20" i="14"/>
  <c r="AF19" i="14"/>
  <c r="AF18" i="14"/>
  <c r="AF17" i="14"/>
  <c r="AF16" i="14"/>
  <c r="A2" i="12"/>
  <c r="A3" i="12"/>
  <c r="A1" i="12"/>
  <c r="BJ11" i="12"/>
  <c r="BH11" i="12"/>
  <c r="AS9" i="12"/>
  <c r="AM96" i="12"/>
  <c r="T96" i="12"/>
  <c r="I96" i="12"/>
  <c r="E96" i="12"/>
  <c r="D96" i="12"/>
  <c r="B96" i="12"/>
  <c r="AM95" i="12"/>
  <c r="T95" i="12"/>
  <c r="I95" i="12"/>
  <c r="E95" i="12"/>
  <c r="D95" i="12"/>
  <c r="B95" i="12"/>
  <c r="AM94" i="12"/>
  <c r="T94" i="12"/>
  <c r="I94" i="12"/>
  <c r="E94" i="12"/>
  <c r="D94" i="12"/>
  <c r="B94" i="12"/>
  <c r="AM92" i="12"/>
  <c r="T92" i="12"/>
  <c r="E92" i="12"/>
  <c r="D92" i="12"/>
  <c r="AM91" i="12"/>
  <c r="T91" i="12"/>
  <c r="E91" i="12"/>
  <c r="D91" i="12"/>
  <c r="AM90" i="12"/>
  <c r="T90" i="12"/>
  <c r="E90" i="12"/>
  <c r="D90" i="12"/>
  <c r="AM89" i="12"/>
  <c r="T89" i="12"/>
  <c r="E89" i="12"/>
  <c r="D89" i="12"/>
  <c r="AM88" i="12"/>
  <c r="T88" i="12"/>
  <c r="E88" i="12"/>
  <c r="D88" i="12"/>
  <c r="AM87" i="12"/>
  <c r="T87" i="12"/>
  <c r="J87" i="12"/>
  <c r="I87" i="12"/>
  <c r="E87" i="12"/>
  <c r="D87" i="12"/>
  <c r="B87" i="12"/>
  <c r="AM85" i="12"/>
  <c r="T85" i="12"/>
  <c r="E85" i="12"/>
  <c r="D85" i="12"/>
  <c r="AM84" i="12"/>
  <c r="T84" i="12"/>
  <c r="E84" i="12"/>
  <c r="D84" i="12"/>
  <c r="AM83" i="12"/>
  <c r="T83" i="12"/>
  <c r="E83" i="12"/>
  <c r="D83" i="12"/>
  <c r="AM82" i="12"/>
  <c r="T82" i="12"/>
  <c r="E82" i="12"/>
  <c r="D82" i="12"/>
  <c r="AM81" i="12"/>
  <c r="T81" i="12"/>
  <c r="E81" i="12"/>
  <c r="D81" i="12"/>
  <c r="AM80" i="12"/>
  <c r="T80" i="12"/>
  <c r="I80" i="12"/>
  <c r="E80" i="12"/>
  <c r="D80" i="12"/>
  <c r="B80" i="12"/>
  <c r="AM78" i="12"/>
  <c r="T78" i="12"/>
  <c r="E78" i="12"/>
  <c r="D78" i="12"/>
  <c r="AM77" i="12"/>
  <c r="T77" i="12"/>
  <c r="E77" i="12"/>
  <c r="D77" i="12"/>
  <c r="AM76" i="12"/>
  <c r="T76" i="12"/>
  <c r="E76" i="12"/>
  <c r="D76" i="12"/>
  <c r="AM75" i="12"/>
  <c r="T75" i="12"/>
  <c r="E75" i="12"/>
  <c r="D75" i="12"/>
  <c r="AM74" i="12"/>
  <c r="T74" i="12"/>
  <c r="E74" i="12"/>
  <c r="D74" i="12"/>
  <c r="AM73" i="12"/>
  <c r="T73" i="12"/>
  <c r="I73" i="12"/>
  <c r="E73" i="12"/>
  <c r="D73" i="12"/>
  <c r="B73" i="12"/>
  <c r="AM71" i="12"/>
  <c r="T71" i="12"/>
  <c r="E71" i="12"/>
  <c r="D71" i="12"/>
  <c r="AM70" i="12"/>
  <c r="T70" i="12"/>
  <c r="E70" i="12"/>
  <c r="D70" i="12"/>
  <c r="AM69" i="12"/>
  <c r="T69" i="12"/>
  <c r="E69" i="12"/>
  <c r="D69" i="12"/>
  <c r="AM68" i="12"/>
  <c r="T68" i="12"/>
  <c r="E68" i="12"/>
  <c r="D68" i="12"/>
  <c r="AM67" i="12"/>
  <c r="T67" i="12"/>
  <c r="E67" i="12"/>
  <c r="D67" i="12"/>
  <c r="AM66" i="12"/>
  <c r="T66" i="12"/>
  <c r="I66" i="12"/>
  <c r="E66" i="12"/>
  <c r="D66" i="12"/>
  <c r="B66" i="12"/>
  <c r="AM64" i="12"/>
  <c r="T64" i="12"/>
  <c r="E64" i="12"/>
  <c r="D64" i="12"/>
  <c r="AM63" i="12"/>
  <c r="T63" i="12"/>
  <c r="E63" i="12"/>
  <c r="D63" i="12"/>
  <c r="AM62" i="12"/>
  <c r="T62" i="12"/>
  <c r="E62" i="12"/>
  <c r="D62" i="12"/>
  <c r="AM61" i="12"/>
  <c r="T61" i="12"/>
  <c r="E61" i="12"/>
  <c r="D61" i="12"/>
  <c r="AM60" i="12"/>
  <c r="T60" i="12"/>
  <c r="E60" i="12"/>
  <c r="D60" i="12"/>
  <c r="AM59" i="12"/>
  <c r="T59" i="12"/>
  <c r="I59" i="12"/>
  <c r="E59" i="12"/>
  <c r="D59" i="12"/>
  <c r="B59" i="12"/>
  <c r="AM57" i="12"/>
  <c r="T57" i="12"/>
  <c r="E57" i="12"/>
  <c r="D57" i="12"/>
  <c r="AM56" i="12"/>
  <c r="T56" i="12"/>
  <c r="E56" i="12"/>
  <c r="D56" i="12"/>
  <c r="AM55" i="12"/>
  <c r="T55" i="12"/>
  <c r="E55" i="12"/>
  <c r="D55" i="12"/>
  <c r="AM54" i="12"/>
  <c r="T54" i="12"/>
  <c r="E54" i="12"/>
  <c r="D54" i="12"/>
  <c r="AM53" i="12"/>
  <c r="T53" i="12"/>
  <c r="E53" i="12"/>
  <c r="D53" i="12"/>
  <c r="AM52" i="12"/>
  <c r="T52" i="12"/>
  <c r="I52" i="12"/>
  <c r="E52" i="12"/>
  <c r="D52" i="12"/>
  <c r="B52" i="12"/>
  <c r="AM50" i="12"/>
  <c r="T50" i="12"/>
  <c r="E50" i="12"/>
  <c r="D50" i="12"/>
  <c r="AM49" i="12"/>
  <c r="T49" i="12"/>
  <c r="E49" i="12"/>
  <c r="D49" i="12"/>
  <c r="AM48" i="12"/>
  <c r="T48" i="12"/>
  <c r="E48" i="12"/>
  <c r="D48" i="12"/>
  <c r="AM47" i="12"/>
  <c r="T47" i="12"/>
  <c r="E47" i="12"/>
  <c r="D47" i="12"/>
  <c r="AM46" i="12"/>
  <c r="T46" i="12"/>
  <c r="E46" i="12"/>
  <c r="D46" i="12"/>
  <c r="AM45" i="12"/>
  <c r="T45" i="12"/>
  <c r="I45" i="12"/>
  <c r="E45" i="12"/>
  <c r="D45" i="12"/>
  <c r="B45" i="12"/>
  <c r="AM43" i="12"/>
  <c r="T43" i="12"/>
  <c r="E43" i="12"/>
  <c r="D43" i="12"/>
  <c r="AM42" i="12"/>
  <c r="T42" i="12"/>
  <c r="E42" i="12"/>
  <c r="D42" i="12"/>
  <c r="AM41" i="12"/>
  <c r="T41" i="12"/>
  <c r="E41" i="12"/>
  <c r="D41" i="12"/>
  <c r="AM40" i="12"/>
  <c r="T40" i="12"/>
  <c r="E40" i="12"/>
  <c r="D40" i="12"/>
  <c r="AM39" i="12"/>
  <c r="T39" i="12"/>
  <c r="E39" i="12"/>
  <c r="D39" i="12"/>
  <c r="AM38" i="12"/>
  <c r="T38" i="12"/>
  <c r="I38" i="12"/>
  <c r="E38" i="12"/>
  <c r="D38" i="12"/>
  <c r="B38" i="12"/>
  <c r="AM36" i="12"/>
  <c r="T36" i="12"/>
  <c r="E36" i="12"/>
  <c r="D36" i="12"/>
  <c r="AM35" i="12"/>
  <c r="T35" i="12"/>
  <c r="I35" i="12"/>
  <c r="E35" i="12"/>
  <c r="D35" i="12"/>
  <c r="B35" i="12"/>
  <c r="AM33" i="12"/>
  <c r="T33" i="12"/>
  <c r="E33" i="12"/>
  <c r="D33" i="12"/>
  <c r="AM32" i="12"/>
  <c r="T32" i="12"/>
  <c r="I32" i="12"/>
  <c r="E32" i="12"/>
  <c r="D32" i="12"/>
  <c r="B32" i="12"/>
  <c r="AM30" i="12"/>
  <c r="T30" i="12"/>
  <c r="E30" i="12"/>
  <c r="D30" i="12"/>
  <c r="AM29" i="12"/>
  <c r="T29" i="12"/>
  <c r="I29" i="12"/>
  <c r="E29" i="12"/>
  <c r="D29" i="12"/>
  <c r="B29" i="12"/>
  <c r="AM27" i="12"/>
  <c r="T27" i="12"/>
  <c r="E27" i="12"/>
  <c r="D27" i="12"/>
  <c r="AM26" i="12"/>
  <c r="T26" i="12"/>
  <c r="I26" i="12"/>
  <c r="E26" i="12"/>
  <c r="D26" i="12"/>
  <c r="B26" i="12"/>
  <c r="AM24" i="12"/>
  <c r="T24" i="12"/>
  <c r="E24" i="12"/>
  <c r="D24" i="12"/>
  <c r="AM23" i="12"/>
  <c r="T23" i="12"/>
  <c r="I23" i="12"/>
  <c r="E23" i="12"/>
  <c r="D23" i="12"/>
  <c r="B23" i="12"/>
  <c r="AM21" i="12"/>
  <c r="T21" i="12"/>
  <c r="E21" i="12"/>
  <c r="D21" i="12"/>
  <c r="AM20" i="12"/>
  <c r="T20" i="12"/>
  <c r="I20" i="12"/>
  <c r="E20" i="12"/>
  <c r="D20" i="12"/>
  <c r="B20" i="12"/>
  <c r="AM19" i="12"/>
  <c r="T19" i="12"/>
  <c r="I19" i="12"/>
  <c r="E19" i="12"/>
  <c r="D19" i="12"/>
  <c r="B19" i="12"/>
  <c r="AM18" i="12"/>
  <c r="T18" i="12"/>
  <c r="I18" i="12"/>
  <c r="E18" i="12"/>
  <c r="D18" i="12"/>
  <c r="B18" i="12"/>
  <c r="AM17" i="12"/>
  <c r="T17" i="12"/>
  <c r="I17" i="12"/>
  <c r="E17" i="12"/>
  <c r="D17" i="12"/>
  <c r="B17" i="12"/>
  <c r="AM16" i="12"/>
  <c r="T16" i="12"/>
  <c r="I16" i="12"/>
  <c r="E16" i="12"/>
  <c r="D16" i="12"/>
  <c r="B16" i="12"/>
  <c r="AM15" i="12"/>
  <c r="T15" i="12"/>
  <c r="I15" i="12"/>
  <c r="E15" i="12"/>
  <c r="D15" i="12"/>
  <c r="B15" i="12"/>
  <c r="AM14" i="12"/>
  <c r="T14" i="12"/>
  <c r="I14" i="12"/>
  <c r="E14" i="12"/>
  <c r="D14" i="12"/>
  <c r="B14" i="12"/>
  <c r="AX77" i="17"/>
  <c r="AX76" i="17"/>
  <c r="AX75" i="17"/>
  <c r="AX74" i="17"/>
  <c r="AX73" i="17"/>
  <c r="AX72" i="17"/>
  <c r="AX71" i="17"/>
  <c r="AX70" i="17"/>
  <c r="AX69" i="17"/>
  <c r="AX68" i="17"/>
  <c r="AX67" i="17"/>
  <c r="AX66" i="17"/>
  <c r="AX65" i="17"/>
  <c r="AX64" i="17"/>
  <c r="AX63" i="17"/>
  <c r="AX62" i="17"/>
  <c r="AX61" i="17"/>
  <c r="AX60" i="17"/>
  <c r="AX59" i="17"/>
  <c r="AX58" i="17"/>
  <c r="AX57" i="17"/>
  <c r="AX56" i="17"/>
  <c r="AX55" i="17"/>
  <c r="AX54" i="17"/>
  <c r="AX53" i="17"/>
  <c r="AX52" i="17"/>
  <c r="AX51" i="17"/>
  <c r="AX50" i="17"/>
  <c r="AX49" i="17"/>
  <c r="AX48" i="17"/>
  <c r="AX47" i="17"/>
  <c r="AX46" i="17"/>
  <c r="AX45" i="17"/>
  <c r="AX44" i="17"/>
  <c r="AX43" i="17"/>
  <c r="AX42" i="17"/>
  <c r="AX41" i="17"/>
  <c r="AX40" i="17"/>
  <c r="AX39" i="17"/>
  <c r="AX38" i="17"/>
  <c r="AX37" i="17"/>
  <c r="AX36" i="17"/>
  <c r="AX35" i="17"/>
  <c r="AX34" i="17"/>
  <c r="AX33" i="17"/>
  <c r="AX32" i="17"/>
  <c r="AX31" i="17"/>
  <c r="AX30" i="17"/>
  <c r="AX29" i="17"/>
  <c r="AX28" i="17"/>
  <c r="AX27" i="17"/>
  <c r="AX26" i="17"/>
  <c r="AX25" i="17"/>
  <c r="AX24" i="17"/>
  <c r="AX23" i="17"/>
  <c r="AX22" i="17"/>
  <c r="AX21" i="17"/>
  <c r="AX20" i="17"/>
  <c r="AX19" i="17"/>
  <c r="AX18" i="17"/>
  <c r="AX17" i="17"/>
  <c r="AX16" i="17"/>
  <c r="AX15" i="17"/>
  <c r="AX14" i="17"/>
  <c r="AX13" i="17"/>
  <c r="AX12" i="17"/>
  <c r="AX11" i="17"/>
  <c r="AX10" i="17"/>
  <c r="AU9" i="17"/>
  <c r="AU77" i="17"/>
  <c r="AU76" i="17"/>
  <c r="AU75" i="17"/>
  <c r="AU74" i="17"/>
  <c r="AU73" i="17"/>
  <c r="AU72" i="17"/>
  <c r="AU71" i="17"/>
  <c r="AU70" i="17"/>
  <c r="AU69" i="17"/>
  <c r="AU68" i="17"/>
  <c r="AU67" i="17"/>
  <c r="AU66" i="17"/>
  <c r="AU65" i="17"/>
  <c r="AU64" i="17"/>
  <c r="AU63" i="17"/>
  <c r="AU62" i="17"/>
  <c r="AU61" i="17"/>
  <c r="AU60" i="17"/>
  <c r="AU59" i="17"/>
  <c r="AU58" i="17"/>
  <c r="AU57" i="17"/>
  <c r="AU56" i="17"/>
  <c r="AU55" i="17"/>
  <c r="AU54" i="17"/>
  <c r="AU53" i="17"/>
  <c r="AU52" i="17"/>
  <c r="AU51" i="17"/>
  <c r="AU50" i="17"/>
  <c r="AU49" i="17"/>
  <c r="AU48" i="17"/>
  <c r="AU47" i="17"/>
  <c r="AU46" i="17"/>
  <c r="AU45" i="17"/>
  <c r="AU44" i="17"/>
  <c r="AU43" i="17"/>
  <c r="AU42" i="17"/>
  <c r="AU41" i="17"/>
  <c r="AU40" i="17"/>
  <c r="AU39" i="17"/>
  <c r="AU38" i="17"/>
  <c r="AU37" i="17"/>
  <c r="AU36" i="17"/>
  <c r="AU35" i="17"/>
  <c r="AU34" i="17"/>
  <c r="AU33" i="17"/>
  <c r="AU32" i="17"/>
  <c r="AU31" i="17"/>
  <c r="AU30" i="17"/>
  <c r="AU29" i="17"/>
  <c r="AU28" i="17"/>
  <c r="AU27" i="17"/>
  <c r="AU26" i="17"/>
  <c r="AU25" i="17"/>
  <c r="AU24" i="17"/>
  <c r="AU23" i="17"/>
  <c r="AU22" i="17"/>
  <c r="AU21" i="17"/>
  <c r="AU20" i="17"/>
  <c r="AU19" i="17"/>
  <c r="AU18" i="17"/>
  <c r="AU17" i="17"/>
  <c r="AU16" i="17"/>
  <c r="AU15" i="17"/>
  <c r="AU14" i="17"/>
  <c r="AU13" i="17"/>
  <c r="AU12" i="17"/>
  <c r="AU11" i="17"/>
  <c r="AU10" i="17"/>
  <c r="BA7" i="17"/>
  <c r="AZ7" i="17"/>
  <c r="AY7" i="17"/>
  <c r="T6" i="17"/>
  <c r="S6" i="17"/>
  <c r="P6" i="17"/>
  <c r="AF40" i="14" l="1"/>
  <c r="P9" i="12" l="1"/>
  <c r="AF9" i="12" l="1"/>
  <c r="AG9" i="12" s="1"/>
  <c r="AH9" i="12" s="1"/>
  <c r="AG10" i="12"/>
  <c r="AH10" i="12" s="1"/>
  <c r="AG8" i="12"/>
  <c r="AH8" i="12" s="1"/>
  <c r="AN10" i="12"/>
  <c r="AO10" i="12" s="1"/>
  <c r="N8" i="11"/>
  <c r="M8" i="11"/>
  <c r="L8" i="11"/>
  <c r="Z8" i="10"/>
  <c r="O8" i="10"/>
  <c r="V9" i="4"/>
  <c r="AO10" i="7" l="1"/>
  <c r="AO9" i="7"/>
  <c r="F96" i="7"/>
  <c r="F95" i="7"/>
  <c r="F94" i="7"/>
  <c r="P12" i="5" l="1"/>
  <c r="Q11" i="5"/>
  <c r="V10" i="4"/>
  <c r="W9" i="4"/>
  <c r="S10" i="4"/>
  <c r="T9" i="4"/>
  <c r="AY4" i="19" l="1"/>
  <c r="AN11" i="7"/>
  <c r="P4" i="10"/>
  <c r="P5" i="17" s="1"/>
  <c r="AY6" i="9"/>
  <c r="M10" i="4"/>
  <c r="N9" i="4"/>
  <c r="S4" i="10" l="1"/>
  <c r="S5" i="17" s="1"/>
  <c r="AY4" i="9"/>
  <c r="AN9" i="7"/>
  <c r="D27" i="20" l="1"/>
  <c r="D39" i="20"/>
  <c r="D38" i="20"/>
  <c r="D37" i="20"/>
  <c r="D36" i="20"/>
  <c r="D35" i="20"/>
  <c r="D34" i="20"/>
  <c r="D33" i="20"/>
  <c r="D32" i="20"/>
  <c r="D31" i="20"/>
  <c r="D30" i="20"/>
  <c r="D29" i="20"/>
  <c r="D28" i="20"/>
  <c r="D26" i="20"/>
  <c r="D25" i="20"/>
  <c r="D24" i="20"/>
  <c r="D23" i="20"/>
  <c r="D22" i="20"/>
  <c r="D21" i="20"/>
  <c r="D20" i="20"/>
  <c r="D19" i="20"/>
  <c r="D18" i="20"/>
  <c r="D17" i="20"/>
  <c r="E34" i="20"/>
  <c r="E33" i="20"/>
  <c r="E23" i="20"/>
  <c r="E21" i="20"/>
  <c r="E39" i="20"/>
  <c r="E38" i="20"/>
  <c r="E37" i="20"/>
  <c r="E36" i="20"/>
  <c r="E35" i="20"/>
  <c r="E32" i="20"/>
  <c r="E31" i="20"/>
  <c r="E30" i="20"/>
  <c r="E29" i="20"/>
  <c r="E28" i="20"/>
  <c r="E27" i="20"/>
  <c r="E26" i="20"/>
  <c r="E25" i="20"/>
  <c r="E24" i="20"/>
  <c r="E22" i="20"/>
  <c r="E20" i="20"/>
  <c r="E19" i="20"/>
  <c r="E18" i="20"/>
  <c r="E17" i="20"/>
  <c r="D41" i="20" l="1"/>
  <c r="E41" i="20"/>
  <c r="R83" i="1"/>
  <c r="K82" i="4" s="1"/>
  <c r="E17" i="13"/>
  <c r="E17" i="21" s="1"/>
  <c r="D35" i="13"/>
  <c r="D35" i="21" s="1"/>
  <c r="E18" i="13"/>
  <c r="E18" i="21" s="1"/>
  <c r="E28" i="13"/>
  <c r="E28" i="21" s="1"/>
  <c r="E38" i="13"/>
  <c r="E38" i="21" s="1"/>
  <c r="D19" i="13"/>
  <c r="D19" i="21" s="1"/>
  <c r="D28" i="13"/>
  <c r="D28" i="21" s="1"/>
  <c r="D36" i="13"/>
  <c r="D36" i="21" s="1"/>
  <c r="D34" i="13"/>
  <c r="D34" i="21" s="1"/>
  <c r="E19" i="13"/>
  <c r="E19" i="21" s="1"/>
  <c r="D20" i="13"/>
  <c r="D20" i="21" s="1"/>
  <c r="D37" i="13"/>
  <c r="D37" i="21" s="1"/>
  <c r="E26" i="13"/>
  <c r="E26" i="21" s="1"/>
  <c r="D18" i="13"/>
  <c r="D18" i="21" s="1"/>
  <c r="E20" i="13"/>
  <c r="E20" i="21" s="1"/>
  <c r="E30" i="13"/>
  <c r="E30" i="21" s="1"/>
  <c r="E21" i="13"/>
  <c r="E21" i="21" s="1"/>
  <c r="D21" i="13"/>
  <c r="D21" i="21" s="1"/>
  <c r="D30" i="13"/>
  <c r="D30" i="21" s="1"/>
  <c r="D38" i="13"/>
  <c r="D38" i="21" s="1"/>
  <c r="E36" i="13"/>
  <c r="E36" i="21" s="1"/>
  <c r="D26" i="13"/>
  <c r="D26" i="21" s="1"/>
  <c r="E31" i="13"/>
  <c r="E31" i="21" s="1"/>
  <c r="E23" i="13"/>
  <c r="E23" i="21" s="1"/>
  <c r="D22" i="13"/>
  <c r="D22" i="21" s="1"/>
  <c r="D31" i="13"/>
  <c r="D31" i="21" s="1"/>
  <c r="D39" i="13"/>
  <c r="D39" i="21" s="1"/>
  <c r="D25" i="13"/>
  <c r="D25" i="21" s="1"/>
  <c r="E37" i="13"/>
  <c r="E37" i="21" s="1"/>
  <c r="E39" i="13"/>
  <c r="E39" i="21" s="1"/>
  <c r="E22" i="13"/>
  <c r="E22" i="21" s="1"/>
  <c r="E24" i="13"/>
  <c r="E24" i="21" s="1"/>
  <c r="E32" i="13"/>
  <c r="E32" i="21" s="1"/>
  <c r="E33" i="13"/>
  <c r="E33" i="21" s="1"/>
  <c r="D23" i="13"/>
  <c r="D23" i="21" s="1"/>
  <c r="D32" i="13"/>
  <c r="D32" i="21" s="1"/>
  <c r="D27" i="13"/>
  <c r="D27" i="21" s="1"/>
  <c r="D17" i="13"/>
  <c r="D17" i="21" s="1"/>
  <c r="E27" i="13"/>
  <c r="E27" i="21" s="1"/>
  <c r="E29" i="13"/>
  <c r="E29" i="21" s="1"/>
  <c r="E25" i="13"/>
  <c r="E25" i="21" s="1"/>
  <c r="E35" i="13"/>
  <c r="E35" i="21" s="1"/>
  <c r="E34" i="13"/>
  <c r="E34" i="21" s="1"/>
  <c r="D24" i="13"/>
  <c r="D24" i="21" s="1"/>
  <c r="D33" i="13"/>
  <c r="D33" i="21" s="1"/>
  <c r="D29" i="13"/>
  <c r="D29" i="21" s="1"/>
  <c r="D15" i="2"/>
  <c r="D14" i="2"/>
  <c r="D41" i="21" l="1"/>
  <c r="E41" i="21"/>
  <c r="E49" i="2"/>
  <c r="J49" i="2"/>
  <c r="P49" i="2"/>
  <c r="Z49" i="2"/>
  <c r="G49" i="2"/>
  <c r="E41" i="13"/>
  <c r="U49" i="2"/>
  <c r="R49" i="2"/>
  <c r="W49" i="2"/>
  <c r="L49" i="2"/>
  <c r="I49" i="2"/>
  <c r="N49" i="2"/>
  <c r="O49" i="2"/>
  <c r="Y49" i="2"/>
  <c r="F49" i="2"/>
  <c r="T49" i="2"/>
  <c r="Q49" i="2"/>
  <c r="V49" i="2"/>
  <c r="K49" i="2"/>
  <c r="H49" i="2"/>
  <c r="M49" i="2"/>
  <c r="S49" i="2"/>
  <c r="X49" i="2"/>
  <c r="D16" i="2"/>
  <c r="D41" i="13"/>
  <c r="E16" i="2"/>
  <c r="R81" i="1"/>
  <c r="A10" i="11" l="1"/>
  <c r="A11" i="1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10" i="7"/>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C77" i="17"/>
  <c r="AC76" i="17"/>
  <c r="AC75" i="17"/>
  <c r="AC74" i="17"/>
  <c r="AC73" i="17"/>
  <c r="AC72" i="17"/>
  <c r="AC71" i="17"/>
  <c r="AC70" i="17"/>
  <c r="AC69" i="17"/>
  <c r="AC68" i="17"/>
  <c r="AC67" i="17"/>
  <c r="AC66" i="17"/>
  <c r="AC65" i="17"/>
  <c r="AC64" i="17"/>
  <c r="AC63" i="17"/>
  <c r="AC62" i="17"/>
  <c r="AC61" i="17"/>
  <c r="AC60" i="17"/>
  <c r="AC59" i="17"/>
  <c r="AC58" i="17"/>
  <c r="AC57" i="17"/>
  <c r="AC56" i="17"/>
  <c r="AC55" i="17"/>
  <c r="AC54" i="17"/>
  <c r="AC53" i="17"/>
  <c r="AC52" i="17"/>
  <c r="AC51" i="17"/>
  <c r="AC50" i="17"/>
  <c r="AC49" i="17"/>
  <c r="AC48" i="17"/>
  <c r="AC47" i="17"/>
  <c r="AC46" i="17"/>
  <c r="AC45" i="17"/>
  <c r="AC44" i="17"/>
  <c r="AC43" i="17"/>
  <c r="AC42" i="17"/>
  <c r="AC41" i="17"/>
  <c r="AC40" i="17"/>
  <c r="AC39" i="17"/>
  <c r="AC38" i="17"/>
  <c r="AC37" i="17"/>
  <c r="AC36" i="17"/>
  <c r="AC35" i="17"/>
  <c r="AC34" i="17"/>
  <c r="AC33" i="17"/>
  <c r="AC32" i="17"/>
  <c r="AC31" i="17"/>
  <c r="AC30" i="17"/>
  <c r="AC29" i="17"/>
  <c r="AC28" i="17"/>
  <c r="AC27" i="17"/>
  <c r="AC26" i="17"/>
  <c r="AC25" i="17"/>
  <c r="AC24" i="17"/>
  <c r="AC23" i="17"/>
  <c r="AC22" i="17"/>
  <c r="AC21" i="17"/>
  <c r="AC20" i="17"/>
  <c r="AC19" i="17"/>
  <c r="AC18" i="17"/>
  <c r="AC17" i="17"/>
  <c r="AC16" i="17"/>
  <c r="AC15" i="17"/>
  <c r="AC14" i="17"/>
  <c r="AC13" i="17"/>
  <c r="AC12" i="17"/>
  <c r="AC11" i="17"/>
  <c r="AC10" i="17"/>
  <c r="U77" i="17"/>
  <c r="S77" i="17"/>
  <c r="P77" i="17"/>
  <c r="U76" i="17"/>
  <c r="S76" i="17"/>
  <c r="P76" i="17"/>
  <c r="U75" i="17"/>
  <c r="S75" i="17"/>
  <c r="P75" i="17"/>
  <c r="U74" i="17"/>
  <c r="U73" i="17"/>
  <c r="U72" i="17"/>
  <c r="U71" i="17"/>
  <c r="U70" i="17"/>
  <c r="U69" i="17"/>
  <c r="U68" i="17"/>
  <c r="U67" i="17"/>
  <c r="U66" i="17"/>
  <c r="U65" i="17"/>
  <c r="U64" i="17"/>
  <c r="U63" i="17"/>
  <c r="U62" i="17"/>
  <c r="U61" i="17"/>
  <c r="U60" i="17"/>
  <c r="U59" i="17"/>
  <c r="U58" i="17"/>
  <c r="U57" i="17"/>
  <c r="U56" i="17"/>
  <c r="U55" i="17"/>
  <c r="U54" i="17"/>
  <c r="U53" i="17"/>
  <c r="U52" i="17"/>
  <c r="U51" i="17"/>
  <c r="U50" i="17"/>
  <c r="U49" i="17"/>
  <c r="U48" i="17"/>
  <c r="U47" i="17"/>
  <c r="U46" i="17"/>
  <c r="U45" i="17"/>
  <c r="U44" i="17"/>
  <c r="U43" i="17"/>
  <c r="U42" i="17"/>
  <c r="U41" i="17"/>
  <c r="U40" i="17"/>
  <c r="U39" i="17"/>
  <c r="U38" i="17"/>
  <c r="U37" i="17"/>
  <c r="U36" i="17"/>
  <c r="U35" i="17"/>
  <c r="U34" i="17"/>
  <c r="U33" i="17"/>
  <c r="U32" i="17"/>
  <c r="U31" i="17"/>
  <c r="U30" i="17"/>
  <c r="U29" i="17"/>
  <c r="U28" i="17"/>
  <c r="U27" i="17"/>
  <c r="U26" i="17"/>
  <c r="U25" i="17"/>
  <c r="U24" i="17"/>
  <c r="U23" i="17"/>
  <c r="U22" i="17"/>
  <c r="U21" i="17"/>
  <c r="U20" i="17"/>
  <c r="U19" i="17"/>
  <c r="U18" i="17"/>
  <c r="U17" i="17"/>
  <c r="U16" i="17"/>
  <c r="U15" i="17"/>
  <c r="U14" i="17"/>
  <c r="U13" i="17"/>
  <c r="U12" i="17"/>
  <c r="U11" i="17"/>
  <c r="U10" i="17"/>
  <c r="U9" i="17"/>
  <c r="M77" i="17"/>
  <c r="L77" i="17"/>
  <c r="AH77" i="17" s="1"/>
  <c r="AZ77" i="17" s="1"/>
  <c r="K77" i="17"/>
  <c r="AG77" i="17" s="1"/>
  <c r="AY77" i="17" s="1"/>
  <c r="J77" i="17"/>
  <c r="M76" i="17"/>
  <c r="L76" i="17"/>
  <c r="AH76" i="17" s="1"/>
  <c r="AZ76" i="17" s="1"/>
  <c r="K76" i="17"/>
  <c r="AG76" i="17" s="1"/>
  <c r="AY76" i="17" s="1"/>
  <c r="J76" i="17"/>
  <c r="M75" i="17"/>
  <c r="L75" i="17"/>
  <c r="AH75" i="17" s="1"/>
  <c r="AZ75" i="17" s="1"/>
  <c r="K75" i="17"/>
  <c r="AG75" i="17" s="1"/>
  <c r="AY75" i="17" s="1"/>
  <c r="J75" i="17"/>
  <c r="L74" i="17"/>
  <c r="AH74" i="17" s="1"/>
  <c r="AZ74" i="17" s="1"/>
  <c r="K74" i="17"/>
  <c r="AG74" i="17" s="1"/>
  <c r="AY74" i="17" s="1"/>
  <c r="L73" i="17"/>
  <c r="AH73" i="17" s="1"/>
  <c r="AZ73" i="17" s="1"/>
  <c r="K73" i="17"/>
  <c r="AG73" i="17" s="1"/>
  <c r="AY73" i="17" s="1"/>
  <c r="L72" i="17"/>
  <c r="AH72" i="17" s="1"/>
  <c r="AZ72" i="17" s="1"/>
  <c r="K72" i="17"/>
  <c r="AG72" i="17" s="1"/>
  <c r="AY72" i="17" s="1"/>
  <c r="L71" i="17"/>
  <c r="AH71" i="17" s="1"/>
  <c r="AZ71" i="17" s="1"/>
  <c r="K71" i="17"/>
  <c r="AG71" i="17" s="1"/>
  <c r="AY71" i="17" s="1"/>
  <c r="L70" i="17"/>
  <c r="AH70" i="17" s="1"/>
  <c r="AZ70" i="17" s="1"/>
  <c r="K70" i="17"/>
  <c r="AG70" i="17" s="1"/>
  <c r="AY70" i="17" s="1"/>
  <c r="L69" i="17"/>
  <c r="AH69" i="17" s="1"/>
  <c r="AZ69" i="17" s="1"/>
  <c r="K69" i="17"/>
  <c r="AG69" i="17" s="1"/>
  <c r="AY69" i="17" s="1"/>
  <c r="M68" i="17"/>
  <c r="L68" i="17"/>
  <c r="AH68" i="17" s="1"/>
  <c r="AZ68" i="17" s="1"/>
  <c r="K68" i="17"/>
  <c r="AG68" i="17" s="1"/>
  <c r="AY68" i="17" s="1"/>
  <c r="J68" i="17"/>
  <c r="M67" i="17"/>
  <c r="L67" i="17"/>
  <c r="AH67" i="17" s="1"/>
  <c r="AZ67" i="17" s="1"/>
  <c r="K67" i="17"/>
  <c r="AG67" i="17" s="1"/>
  <c r="AY67" i="17" s="1"/>
  <c r="J67" i="17"/>
  <c r="M66" i="17"/>
  <c r="L66" i="17"/>
  <c r="AH66" i="17" s="1"/>
  <c r="AZ66" i="17" s="1"/>
  <c r="K66" i="17"/>
  <c r="AG66" i="17" s="1"/>
  <c r="AY66" i="17" s="1"/>
  <c r="J66" i="17"/>
  <c r="M65" i="17"/>
  <c r="L65" i="17"/>
  <c r="AH65" i="17" s="1"/>
  <c r="AZ65" i="17" s="1"/>
  <c r="K65" i="17"/>
  <c r="AG65" i="17" s="1"/>
  <c r="AY65" i="17" s="1"/>
  <c r="J65" i="17"/>
  <c r="M64" i="17"/>
  <c r="L64" i="17"/>
  <c r="AH64" i="17" s="1"/>
  <c r="AZ64" i="17" s="1"/>
  <c r="K64" i="17"/>
  <c r="AG64" i="17" s="1"/>
  <c r="AY64" i="17" s="1"/>
  <c r="J64" i="17"/>
  <c r="M63" i="17"/>
  <c r="L63" i="17"/>
  <c r="AH63" i="17" s="1"/>
  <c r="AZ63" i="17" s="1"/>
  <c r="K63" i="17"/>
  <c r="AG63" i="17" s="1"/>
  <c r="AY63" i="17" s="1"/>
  <c r="J63" i="17"/>
  <c r="M62" i="17"/>
  <c r="K62" i="17"/>
  <c r="AG62" i="17" s="1"/>
  <c r="AY62" i="17" s="1"/>
  <c r="J62" i="17"/>
  <c r="M61" i="17"/>
  <c r="K61" i="17"/>
  <c r="AG61" i="17" s="1"/>
  <c r="AY61" i="17" s="1"/>
  <c r="J61" i="17"/>
  <c r="M60" i="17"/>
  <c r="K60" i="17"/>
  <c r="AG60" i="17" s="1"/>
  <c r="AY60" i="17" s="1"/>
  <c r="J60" i="17"/>
  <c r="M59" i="17"/>
  <c r="K59" i="17"/>
  <c r="AG59" i="17" s="1"/>
  <c r="AY59" i="17" s="1"/>
  <c r="J59" i="17"/>
  <c r="M58" i="17"/>
  <c r="K58" i="17"/>
  <c r="AG58" i="17" s="1"/>
  <c r="AY58" i="17" s="1"/>
  <c r="J58" i="17"/>
  <c r="M57" i="17"/>
  <c r="K57" i="17"/>
  <c r="AG57" i="17" s="1"/>
  <c r="AY57" i="17" s="1"/>
  <c r="J57" i="17"/>
  <c r="M56" i="17"/>
  <c r="K56" i="17"/>
  <c r="AG56" i="17" s="1"/>
  <c r="AY56" i="17" s="1"/>
  <c r="J56" i="17"/>
  <c r="M55" i="17"/>
  <c r="K55" i="17"/>
  <c r="AG55" i="17" s="1"/>
  <c r="AY55" i="17" s="1"/>
  <c r="J55" i="17"/>
  <c r="M54" i="17"/>
  <c r="K54" i="17"/>
  <c r="AG54" i="17" s="1"/>
  <c r="AY54" i="17" s="1"/>
  <c r="J54" i="17"/>
  <c r="M53" i="17"/>
  <c r="K53" i="17"/>
  <c r="AG53" i="17" s="1"/>
  <c r="AY53" i="17" s="1"/>
  <c r="J53" i="17"/>
  <c r="M52" i="17"/>
  <c r="K52" i="17"/>
  <c r="AG52" i="17" s="1"/>
  <c r="AY52" i="17" s="1"/>
  <c r="J52" i="17"/>
  <c r="M51" i="17"/>
  <c r="K51" i="17"/>
  <c r="AG51" i="17" s="1"/>
  <c r="AY51" i="17" s="1"/>
  <c r="J51" i="17"/>
  <c r="M50" i="17"/>
  <c r="L50" i="17"/>
  <c r="AH50" i="17" s="1"/>
  <c r="AZ50" i="17" s="1"/>
  <c r="K50" i="17"/>
  <c r="AG50" i="17" s="1"/>
  <c r="AY50" i="17" s="1"/>
  <c r="J50" i="17"/>
  <c r="M49" i="17"/>
  <c r="L49" i="17"/>
  <c r="AH49" i="17" s="1"/>
  <c r="AZ49" i="17" s="1"/>
  <c r="K49" i="17"/>
  <c r="AG49" i="17" s="1"/>
  <c r="AY49" i="17" s="1"/>
  <c r="J49" i="17"/>
  <c r="M48" i="17"/>
  <c r="L48" i="17"/>
  <c r="AH48" i="17" s="1"/>
  <c r="AZ48" i="17" s="1"/>
  <c r="K48" i="17"/>
  <c r="AG48" i="17" s="1"/>
  <c r="AY48" i="17" s="1"/>
  <c r="J48" i="17"/>
  <c r="M47" i="17"/>
  <c r="L47" i="17"/>
  <c r="AH47" i="17" s="1"/>
  <c r="AZ47" i="17" s="1"/>
  <c r="K47" i="17"/>
  <c r="AG47" i="17" s="1"/>
  <c r="AY47" i="17" s="1"/>
  <c r="J47" i="17"/>
  <c r="M46" i="17"/>
  <c r="L46" i="17"/>
  <c r="AH46" i="17" s="1"/>
  <c r="AZ46" i="17" s="1"/>
  <c r="K46" i="17"/>
  <c r="AG46" i="17" s="1"/>
  <c r="AY46" i="17" s="1"/>
  <c r="J46" i="17"/>
  <c r="M45" i="17"/>
  <c r="L45" i="17"/>
  <c r="AH45" i="17" s="1"/>
  <c r="AZ45" i="17" s="1"/>
  <c r="K45" i="17"/>
  <c r="AG45" i="17" s="1"/>
  <c r="AY45" i="17" s="1"/>
  <c r="J45" i="17"/>
  <c r="M44" i="17"/>
  <c r="L44" i="17"/>
  <c r="AH44" i="17" s="1"/>
  <c r="AZ44" i="17" s="1"/>
  <c r="K44" i="17"/>
  <c r="AG44" i="17" s="1"/>
  <c r="AY44" i="17" s="1"/>
  <c r="J44" i="17"/>
  <c r="M43" i="17"/>
  <c r="L43" i="17"/>
  <c r="AH43" i="17" s="1"/>
  <c r="AZ43" i="17" s="1"/>
  <c r="K43" i="17"/>
  <c r="AG43" i="17" s="1"/>
  <c r="AY43" i="17" s="1"/>
  <c r="J43" i="17"/>
  <c r="M42" i="17"/>
  <c r="L42" i="17"/>
  <c r="AH42" i="17" s="1"/>
  <c r="AZ42" i="17" s="1"/>
  <c r="K42" i="17"/>
  <c r="AG42" i="17" s="1"/>
  <c r="AY42" i="17" s="1"/>
  <c r="J42" i="17"/>
  <c r="M41" i="17"/>
  <c r="L41" i="17"/>
  <c r="AH41" i="17" s="1"/>
  <c r="AZ41" i="17" s="1"/>
  <c r="K41" i="17"/>
  <c r="AG41" i="17" s="1"/>
  <c r="AY41" i="17" s="1"/>
  <c r="J41" i="17"/>
  <c r="M40" i="17"/>
  <c r="L40" i="17"/>
  <c r="AH40" i="17" s="1"/>
  <c r="AZ40" i="17" s="1"/>
  <c r="K40" i="17"/>
  <c r="AG40" i="17" s="1"/>
  <c r="AY40" i="17" s="1"/>
  <c r="J40" i="17"/>
  <c r="M39" i="17"/>
  <c r="L39" i="17"/>
  <c r="AH39" i="17" s="1"/>
  <c r="AZ39" i="17" s="1"/>
  <c r="K39" i="17"/>
  <c r="AG39" i="17" s="1"/>
  <c r="AY39" i="17" s="1"/>
  <c r="J39" i="17"/>
  <c r="M38" i="17"/>
  <c r="K38" i="17"/>
  <c r="AG38" i="17" s="1"/>
  <c r="AY38" i="17" s="1"/>
  <c r="J38" i="17"/>
  <c r="M37" i="17"/>
  <c r="K37" i="17"/>
  <c r="AG37" i="17" s="1"/>
  <c r="AY37" i="17" s="1"/>
  <c r="J37" i="17"/>
  <c r="M36" i="17"/>
  <c r="K36" i="17"/>
  <c r="AG36" i="17" s="1"/>
  <c r="AY36" i="17" s="1"/>
  <c r="J36" i="17"/>
  <c r="M35" i="17"/>
  <c r="K35" i="17"/>
  <c r="AG35" i="17" s="1"/>
  <c r="AY35" i="17" s="1"/>
  <c r="J35" i="17"/>
  <c r="M34" i="17"/>
  <c r="K34" i="17"/>
  <c r="AG34" i="17" s="1"/>
  <c r="AY34" i="17" s="1"/>
  <c r="J34" i="17"/>
  <c r="M33" i="17"/>
  <c r="K33" i="17"/>
  <c r="AG33" i="17" s="1"/>
  <c r="AY33" i="17" s="1"/>
  <c r="J33" i="17"/>
  <c r="M32" i="17"/>
  <c r="K32" i="17"/>
  <c r="AG32" i="17" s="1"/>
  <c r="AY32" i="17" s="1"/>
  <c r="J32" i="17"/>
  <c r="M31" i="17"/>
  <c r="K31" i="17"/>
  <c r="AG31" i="17" s="1"/>
  <c r="AY31" i="17" s="1"/>
  <c r="J31" i="17"/>
  <c r="M30" i="17"/>
  <c r="K30" i="17"/>
  <c r="AG30" i="17" s="1"/>
  <c r="AY30" i="17" s="1"/>
  <c r="J30" i="17"/>
  <c r="M29" i="17"/>
  <c r="K29" i="17"/>
  <c r="AG29" i="17" s="1"/>
  <c r="AY29" i="17" s="1"/>
  <c r="J29" i="17"/>
  <c r="M28" i="17"/>
  <c r="K28" i="17"/>
  <c r="AG28" i="17" s="1"/>
  <c r="AY28" i="17" s="1"/>
  <c r="J28" i="17"/>
  <c r="M27" i="17"/>
  <c r="K27" i="17"/>
  <c r="AG27" i="17" s="1"/>
  <c r="AY27" i="17" s="1"/>
  <c r="J27" i="17"/>
  <c r="L26" i="17"/>
  <c r="AH26" i="17" s="1"/>
  <c r="AZ26" i="17" s="1"/>
  <c r="K26" i="17"/>
  <c r="AG26" i="17" s="1"/>
  <c r="AY26" i="17" s="1"/>
  <c r="J26" i="17"/>
  <c r="L25" i="17"/>
  <c r="AH25" i="17" s="1"/>
  <c r="AZ25" i="17" s="1"/>
  <c r="K25" i="17"/>
  <c r="AG25" i="17" s="1"/>
  <c r="AY25" i="17" s="1"/>
  <c r="J25" i="17"/>
  <c r="M24" i="17"/>
  <c r="L24" i="17"/>
  <c r="AH24" i="17" s="1"/>
  <c r="AZ24" i="17" s="1"/>
  <c r="K24" i="17"/>
  <c r="AG24" i="17" s="1"/>
  <c r="AY24" i="17" s="1"/>
  <c r="J24" i="17"/>
  <c r="M23" i="17"/>
  <c r="L23" i="17"/>
  <c r="AH23" i="17" s="1"/>
  <c r="AZ23" i="17" s="1"/>
  <c r="K23" i="17"/>
  <c r="AG23" i="17" s="1"/>
  <c r="AY23" i="17" s="1"/>
  <c r="J23" i="17"/>
  <c r="M22" i="17"/>
  <c r="K22" i="17"/>
  <c r="AG22" i="17" s="1"/>
  <c r="AY22" i="17" s="1"/>
  <c r="M21" i="17"/>
  <c r="K21" i="17"/>
  <c r="AG21" i="17" s="1"/>
  <c r="AY21" i="17" s="1"/>
  <c r="M20" i="17"/>
  <c r="K20" i="17"/>
  <c r="AG20" i="17" s="1"/>
  <c r="AY20" i="17" s="1"/>
  <c r="J20" i="17"/>
  <c r="M19" i="17"/>
  <c r="K19" i="17"/>
  <c r="AG19" i="17" s="1"/>
  <c r="AY19" i="17" s="1"/>
  <c r="J19" i="17"/>
  <c r="M18" i="17"/>
  <c r="K18" i="17"/>
  <c r="AG18" i="17" s="1"/>
  <c r="AY18" i="17" s="1"/>
  <c r="J18" i="17"/>
  <c r="M17" i="17"/>
  <c r="K17" i="17"/>
  <c r="AG17" i="17" s="1"/>
  <c r="AY17" i="17" s="1"/>
  <c r="J17" i="17"/>
  <c r="M16" i="17"/>
  <c r="K16" i="17"/>
  <c r="AG16" i="17" s="1"/>
  <c r="AY16" i="17" s="1"/>
  <c r="J16" i="17"/>
  <c r="M15" i="17"/>
  <c r="K15" i="17"/>
  <c r="AG15" i="17" s="1"/>
  <c r="AY15" i="17" s="1"/>
  <c r="J15" i="17"/>
  <c r="M14" i="17"/>
  <c r="J14" i="17"/>
  <c r="M13" i="17"/>
  <c r="J13" i="17"/>
  <c r="M12" i="17"/>
  <c r="J12" i="17"/>
  <c r="M11" i="17"/>
  <c r="J11" i="17"/>
  <c r="M10" i="17"/>
  <c r="J10" i="17"/>
  <c r="L9" i="17"/>
  <c r="AH9" i="17" s="1"/>
  <c r="AZ9" i="17" s="1"/>
  <c r="K9" i="17"/>
  <c r="M9" i="17"/>
  <c r="J9" i="17"/>
  <c r="H77" i="17"/>
  <c r="H76" i="17"/>
  <c r="H75" i="17"/>
  <c r="I69" i="17"/>
  <c r="H69" i="17"/>
  <c r="H63" i="17"/>
  <c r="H57" i="17"/>
  <c r="H51" i="17"/>
  <c r="H45" i="17"/>
  <c r="H39" i="17"/>
  <c r="H33" i="17"/>
  <c r="H27" i="17"/>
  <c r="H25" i="17"/>
  <c r="H23" i="17"/>
  <c r="H21" i="17"/>
  <c r="H19" i="17"/>
  <c r="H17" i="17"/>
  <c r="H15" i="17"/>
  <c r="H14" i="17"/>
  <c r="H13" i="17"/>
  <c r="H12" i="17"/>
  <c r="H11" i="17"/>
  <c r="H10" i="17"/>
  <c r="H9" i="17"/>
  <c r="G77" i="17"/>
  <c r="G76" i="17"/>
  <c r="G75" i="17"/>
  <c r="G69" i="17"/>
  <c r="G63" i="17"/>
  <c r="G45" i="17"/>
  <c r="G39" i="17"/>
  <c r="G33" i="17"/>
  <c r="G27" i="17"/>
  <c r="G25" i="17"/>
  <c r="G23" i="17"/>
  <c r="G21" i="17"/>
  <c r="G19" i="17"/>
  <c r="G17" i="17"/>
  <c r="G15" i="17"/>
  <c r="G14" i="17"/>
  <c r="G13" i="17"/>
  <c r="G12" i="17"/>
  <c r="G11" i="17"/>
  <c r="G10" i="17"/>
  <c r="G9" i="17"/>
  <c r="F77" i="17"/>
  <c r="F76" i="17"/>
  <c r="F75" i="17"/>
  <c r="F74" i="17"/>
  <c r="F73" i="17"/>
  <c r="F72" i="17"/>
  <c r="F71" i="17"/>
  <c r="F70" i="17"/>
  <c r="F69" i="17"/>
  <c r="F68" i="17"/>
  <c r="F67" i="17"/>
  <c r="F66" i="17"/>
  <c r="F65" i="17"/>
  <c r="F64" i="17"/>
  <c r="F63" i="17"/>
  <c r="F62" i="17"/>
  <c r="F61" i="17"/>
  <c r="F60" i="17"/>
  <c r="F59" i="17"/>
  <c r="F58" i="17"/>
  <c r="F57" i="17"/>
  <c r="F56" i="17"/>
  <c r="F55" i="17"/>
  <c r="F54" i="17"/>
  <c r="F53" i="17"/>
  <c r="F52" i="17"/>
  <c r="F51" i="17"/>
  <c r="F50" i="17"/>
  <c r="F49" i="17"/>
  <c r="F48" i="17"/>
  <c r="F47" i="17"/>
  <c r="F46" i="17"/>
  <c r="F45" i="17"/>
  <c r="F44" i="17"/>
  <c r="F43" i="17"/>
  <c r="F42" i="17"/>
  <c r="F41" i="17"/>
  <c r="F40" i="17"/>
  <c r="F39" i="17"/>
  <c r="F38" i="17"/>
  <c r="F37" i="17"/>
  <c r="F36" i="17"/>
  <c r="F35" i="17"/>
  <c r="F34" i="17"/>
  <c r="F33" i="17"/>
  <c r="F32" i="17"/>
  <c r="F31" i="17"/>
  <c r="F30" i="17"/>
  <c r="F29" i="17"/>
  <c r="F28" i="17"/>
  <c r="F27" i="17"/>
  <c r="F26" i="17"/>
  <c r="F25" i="17"/>
  <c r="F24" i="17"/>
  <c r="F23" i="17"/>
  <c r="F22" i="17"/>
  <c r="F21" i="17"/>
  <c r="F20" i="17"/>
  <c r="F19" i="17"/>
  <c r="F18" i="17"/>
  <c r="F17" i="17"/>
  <c r="F16" i="17"/>
  <c r="F15" i="17"/>
  <c r="F14" i="17"/>
  <c r="F13" i="17"/>
  <c r="F12" i="17"/>
  <c r="F11" i="17"/>
  <c r="F10" i="17"/>
  <c r="F9" i="17"/>
  <c r="B10" i="17"/>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C76" i="17"/>
  <c r="C77" i="17"/>
  <c r="C75" i="17"/>
  <c r="C69" i="17"/>
  <c r="C63" i="17"/>
  <c r="C57" i="17"/>
  <c r="C51" i="17"/>
  <c r="C45" i="17"/>
  <c r="C39" i="17"/>
  <c r="C33" i="17"/>
  <c r="C27" i="17"/>
  <c r="C25" i="17"/>
  <c r="C23" i="17"/>
  <c r="C21" i="17"/>
  <c r="C19" i="17"/>
  <c r="C17" i="17"/>
  <c r="C15" i="17"/>
  <c r="C10" i="17"/>
  <c r="C11" i="17"/>
  <c r="C12" i="17"/>
  <c r="C13" i="17"/>
  <c r="C14" i="17"/>
  <c r="C9" i="17"/>
  <c r="R40" i="14"/>
  <c r="D17" i="14"/>
  <c r="E17" i="14"/>
  <c r="D18" i="14"/>
  <c r="E18" i="14"/>
  <c r="D19" i="14"/>
  <c r="E19" i="14"/>
  <c r="D20" i="14"/>
  <c r="E20" i="14"/>
  <c r="D21" i="14"/>
  <c r="E21" i="14"/>
  <c r="D22" i="14"/>
  <c r="E22" i="14"/>
  <c r="D23" i="14"/>
  <c r="E23" i="14"/>
  <c r="D24" i="14"/>
  <c r="E24" i="14"/>
  <c r="D25" i="14"/>
  <c r="E25" i="14"/>
  <c r="D26" i="14"/>
  <c r="E26" i="14"/>
  <c r="D27" i="14"/>
  <c r="E27" i="14"/>
  <c r="D28" i="14"/>
  <c r="E28" i="14"/>
  <c r="D29" i="14"/>
  <c r="E29" i="14"/>
  <c r="D30" i="14"/>
  <c r="E30" i="14"/>
  <c r="D31" i="14"/>
  <c r="E31" i="14"/>
  <c r="D32" i="14"/>
  <c r="E32" i="14"/>
  <c r="D33" i="14"/>
  <c r="E33" i="14"/>
  <c r="D34" i="14"/>
  <c r="E34" i="14"/>
  <c r="D35" i="14"/>
  <c r="E35" i="14"/>
  <c r="D36" i="14"/>
  <c r="E36" i="14"/>
  <c r="D37" i="14"/>
  <c r="E37" i="14"/>
  <c r="D38" i="14"/>
  <c r="E38" i="14"/>
  <c r="E16" i="14"/>
  <c r="Z53" i="14" s="1"/>
  <c r="D16" i="14"/>
  <c r="BD11" i="12"/>
  <c r="BB11" i="12"/>
  <c r="AM9" i="12"/>
  <c r="AN9" i="12" s="1"/>
  <c r="AO9" i="12" s="1"/>
  <c r="H8" i="11"/>
  <c r="G8" i="11"/>
  <c r="AG9" i="17" l="1"/>
  <c r="AY9" i="17" s="1"/>
  <c r="U55" i="14"/>
  <c r="U57" i="14"/>
  <c r="Z56" i="14"/>
  <c r="AE56" i="14" s="1"/>
  <c r="Z54" i="14"/>
  <c r="AE54" i="14" s="1"/>
  <c r="Z55" i="14"/>
  <c r="U53" i="14"/>
  <c r="AE53" i="14"/>
  <c r="Z57" i="14"/>
  <c r="U56" i="14"/>
  <c r="U54" i="14"/>
  <c r="N9" i="17"/>
  <c r="E40" i="14"/>
  <c r="D40" i="14"/>
  <c r="N75" i="17"/>
  <c r="N42" i="17"/>
  <c r="N50" i="17"/>
  <c r="N43" i="17"/>
  <c r="N45" i="17"/>
  <c r="N63" i="17"/>
  <c r="N41" i="17"/>
  <c r="N66" i="17"/>
  <c r="N76" i="17"/>
  <c r="N24" i="17"/>
  <c r="N47" i="17"/>
  <c r="N49" i="17"/>
  <c r="N40" i="17"/>
  <c r="N65" i="17"/>
  <c r="N67" i="17"/>
  <c r="N44" i="17"/>
  <c r="N46" i="17"/>
  <c r="N77" i="17"/>
  <c r="N23" i="17"/>
  <c r="N48" i="17"/>
  <c r="N39" i="17"/>
  <c r="N64" i="17"/>
  <c r="N68" i="17"/>
  <c r="AE57" i="14" l="1"/>
  <c r="Z58" i="14"/>
  <c r="U58" i="14"/>
  <c r="AE55" i="14"/>
  <c r="B74" i="11"/>
  <c r="B28" i="11"/>
  <c r="B26" i="11"/>
  <c r="B24" i="11"/>
  <c r="B22" i="11"/>
  <c r="B20" i="11"/>
  <c r="B15" i="11"/>
  <c r="B16" i="11"/>
  <c r="B17" i="11"/>
  <c r="B18" i="11"/>
  <c r="B19" i="11"/>
  <c r="B14" i="11"/>
  <c r="AE58" i="14" l="1"/>
  <c r="AS86" i="9"/>
  <c r="AR86" i="9"/>
  <c r="AH86" i="9"/>
  <c r="AG86" i="9"/>
  <c r="AD92" i="9"/>
  <c r="AC92" i="9"/>
  <c r="AD91" i="9"/>
  <c r="AC91" i="9"/>
  <c r="AD90" i="9"/>
  <c r="AC90" i="9"/>
  <c r="AD89" i="9"/>
  <c r="AC89" i="9"/>
  <c r="AD88" i="9"/>
  <c r="AC88" i="9"/>
  <c r="AD85" i="9"/>
  <c r="AC85" i="9"/>
  <c r="AD84" i="9"/>
  <c r="AC84" i="9"/>
  <c r="AD83" i="9"/>
  <c r="AC83" i="9"/>
  <c r="AD82" i="9"/>
  <c r="AC82" i="9"/>
  <c r="AD81" i="9"/>
  <c r="AC81" i="9"/>
  <c r="AD78" i="9"/>
  <c r="AC78" i="9"/>
  <c r="AD77" i="9"/>
  <c r="AC77" i="9"/>
  <c r="AD76" i="9"/>
  <c r="AC76" i="9"/>
  <c r="AD75" i="9"/>
  <c r="AC75" i="9"/>
  <c r="AD74" i="9"/>
  <c r="AC74" i="9"/>
  <c r="AD71" i="9"/>
  <c r="AC71" i="9"/>
  <c r="AD70" i="9"/>
  <c r="AC70" i="9"/>
  <c r="AD69" i="9"/>
  <c r="AC69" i="9"/>
  <c r="AD68" i="9"/>
  <c r="AC68" i="9"/>
  <c r="AD67" i="9"/>
  <c r="AC67" i="9"/>
  <c r="AD64" i="9"/>
  <c r="AC64" i="9"/>
  <c r="AD63" i="9"/>
  <c r="AC63" i="9"/>
  <c r="AD62" i="9"/>
  <c r="AC62" i="9"/>
  <c r="AD61" i="9"/>
  <c r="AC61" i="9"/>
  <c r="AD60" i="9"/>
  <c r="AC60" i="9"/>
  <c r="AD57" i="9"/>
  <c r="AC57" i="9"/>
  <c r="AD56" i="9"/>
  <c r="AC56" i="9"/>
  <c r="AD55" i="9"/>
  <c r="AC55" i="9"/>
  <c r="AD54" i="9"/>
  <c r="AC54" i="9"/>
  <c r="AD53" i="9"/>
  <c r="AC53" i="9"/>
  <c r="AD50" i="9"/>
  <c r="AC50" i="9"/>
  <c r="AD49" i="9"/>
  <c r="AC49" i="9"/>
  <c r="AD48" i="9"/>
  <c r="AC48" i="9"/>
  <c r="AD47" i="9"/>
  <c r="AC47" i="9"/>
  <c r="AD46" i="9"/>
  <c r="AC46" i="9"/>
  <c r="AD43" i="9"/>
  <c r="AC43" i="9"/>
  <c r="AD42" i="9"/>
  <c r="AC42" i="9"/>
  <c r="AD41" i="9"/>
  <c r="AC41" i="9"/>
  <c r="AD40" i="9"/>
  <c r="AC40" i="9"/>
  <c r="AD39" i="9"/>
  <c r="AC39" i="9"/>
  <c r="AD36" i="9"/>
  <c r="AC36" i="9"/>
  <c r="AD33" i="9"/>
  <c r="AC33" i="9"/>
  <c r="AD30" i="9"/>
  <c r="AC30" i="9"/>
  <c r="AD27" i="9"/>
  <c r="AC27" i="9"/>
  <c r="AD24" i="9"/>
  <c r="AC24" i="9"/>
  <c r="AD21" i="9"/>
  <c r="Z92" i="9"/>
  <c r="Y92" i="9"/>
  <c r="Z91" i="9"/>
  <c r="Y91" i="9"/>
  <c r="Z90" i="9"/>
  <c r="Y90" i="9"/>
  <c r="Z89" i="9"/>
  <c r="Y89" i="9"/>
  <c r="Z88" i="9"/>
  <c r="Y88" i="9"/>
  <c r="Z85" i="9"/>
  <c r="Y85" i="9"/>
  <c r="Z84" i="9"/>
  <c r="Y84" i="9"/>
  <c r="Z83" i="9"/>
  <c r="Y83" i="9"/>
  <c r="Z82" i="9"/>
  <c r="Y82" i="9"/>
  <c r="Z81" i="9"/>
  <c r="Y81" i="9"/>
  <c r="Z78" i="9"/>
  <c r="Y78" i="9"/>
  <c r="Z77" i="9"/>
  <c r="Y77" i="9"/>
  <c r="Z76" i="9"/>
  <c r="Y76" i="9"/>
  <c r="Z75" i="9"/>
  <c r="Y75" i="9"/>
  <c r="Z74" i="9"/>
  <c r="Y74" i="9"/>
  <c r="Z71" i="9"/>
  <c r="Y71" i="9"/>
  <c r="Z70" i="9"/>
  <c r="Y70" i="9"/>
  <c r="Z69" i="9"/>
  <c r="Y69" i="9"/>
  <c r="Z68" i="9"/>
  <c r="Y68" i="9"/>
  <c r="Z67" i="9"/>
  <c r="Y67" i="9"/>
  <c r="Z64" i="9"/>
  <c r="Y64" i="9"/>
  <c r="Z63" i="9"/>
  <c r="Y63" i="9"/>
  <c r="Z62" i="9"/>
  <c r="Y62" i="9"/>
  <c r="Z61" i="9"/>
  <c r="Y61" i="9"/>
  <c r="Z60" i="9"/>
  <c r="Y60" i="9"/>
  <c r="Z57" i="9"/>
  <c r="Y57" i="9"/>
  <c r="Z56" i="9"/>
  <c r="Y56" i="9"/>
  <c r="Z55" i="9"/>
  <c r="Y55" i="9"/>
  <c r="Z54" i="9"/>
  <c r="Y54" i="9"/>
  <c r="Z53" i="9"/>
  <c r="Y53" i="9"/>
  <c r="Z50" i="9"/>
  <c r="Y50" i="9"/>
  <c r="Z49" i="9"/>
  <c r="Y49" i="9"/>
  <c r="Z48" i="9"/>
  <c r="Y48" i="9"/>
  <c r="Z47" i="9"/>
  <c r="Y47" i="9"/>
  <c r="Z46" i="9"/>
  <c r="Y46" i="9"/>
  <c r="Z43" i="9"/>
  <c r="Y43" i="9"/>
  <c r="Z42" i="9"/>
  <c r="Y42" i="9"/>
  <c r="Z41" i="9"/>
  <c r="Y41" i="9"/>
  <c r="Z40" i="9"/>
  <c r="Y40" i="9"/>
  <c r="Z39" i="9"/>
  <c r="Y39" i="9"/>
  <c r="Z36" i="9"/>
  <c r="Y36" i="9"/>
  <c r="Z33" i="9"/>
  <c r="Y33" i="9"/>
  <c r="Z30" i="9"/>
  <c r="Y30" i="9"/>
  <c r="AK30" i="9" s="1"/>
  <c r="Z27" i="9"/>
  <c r="Y27" i="9"/>
  <c r="Z24" i="9"/>
  <c r="Y24" i="9"/>
  <c r="Z21" i="9"/>
  <c r="T73" i="9"/>
  <c r="T66" i="9"/>
  <c r="T59" i="9"/>
  <c r="T52" i="9"/>
  <c r="T45" i="9"/>
  <c r="T38" i="9"/>
  <c r="V21" i="9"/>
  <c r="U21" i="9"/>
  <c r="Y21" i="9" s="1"/>
  <c r="B95" i="9"/>
  <c r="B96" i="9"/>
  <c r="B94" i="9"/>
  <c r="B87" i="9"/>
  <c r="B80" i="9"/>
  <c r="B73" i="9"/>
  <c r="B66" i="9"/>
  <c r="B59" i="9"/>
  <c r="B52" i="9"/>
  <c r="B45" i="9"/>
  <c r="B38" i="9"/>
  <c r="B32" i="9"/>
  <c r="AS34" i="9"/>
  <c r="AR34" i="9"/>
  <c r="AH34" i="9"/>
  <c r="AG34" i="9"/>
  <c r="B35" i="9"/>
  <c r="B29" i="9"/>
  <c r="B26" i="9"/>
  <c r="B23" i="9"/>
  <c r="AS25" i="9"/>
  <c r="AR25" i="9"/>
  <c r="AH25" i="9"/>
  <c r="AG25" i="9"/>
  <c r="B20" i="9"/>
  <c r="B15" i="9"/>
  <c r="B16" i="9"/>
  <c r="B17" i="9"/>
  <c r="B18" i="9"/>
  <c r="B19" i="9"/>
  <c r="B14" i="9"/>
  <c r="AL41" i="9" l="1"/>
  <c r="AL47" i="9"/>
  <c r="AL53" i="9"/>
  <c r="AL57" i="9"/>
  <c r="AL63" i="9"/>
  <c r="AL69" i="9"/>
  <c r="AL75" i="9"/>
  <c r="AL81" i="9"/>
  <c r="AL85" i="9"/>
  <c r="AL91" i="9"/>
  <c r="AK42" i="9"/>
  <c r="AK48" i="9"/>
  <c r="AK54" i="9"/>
  <c r="AK60" i="9"/>
  <c r="AK64" i="9"/>
  <c r="AK70" i="9"/>
  <c r="AK76" i="9"/>
  <c r="AK82" i="9"/>
  <c r="AK88" i="9"/>
  <c r="AK92" i="9"/>
  <c r="AL42" i="9"/>
  <c r="AL48" i="9"/>
  <c r="AL54" i="9"/>
  <c r="AL60" i="9"/>
  <c r="AL64" i="9"/>
  <c r="AL70" i="9"/>
  <c r="AL76" i="9"/>
  <c r="AL82" i="9"/>
  <c r="AL88" i="9"/>
  <c r="AL92" i="9"/>
  <c r="AK39" i="9"/>
  <c r="AK43" i="9"/>
  <c r="AK49" i="9"/>
  <c r="AK55" i="9"/>
  <c r="AK61" i="9"/>
  <c r="AK67" i="9"/>
  <c r="AK71" i="9"/>
  <c r="AK77" i="9"/>
  <c r="AK83" i="9"/>
  <c r="AK89" i="9"/>
  <c r="AL39" i="9"/>
  <c r="AL43" i="9"/>
  <c r="AL49" i="9"/>
  <c r="AL55" i="9"/>
  <c r="AL61" i="9"/>
  <c r="AL67" i="9"/>
  <c r="AL71" i="9"/>
  <c r="AL77" i="9"/>
  <c r="AL83" i="9"/>
  <c r="AL89" i="9"/>
  <c r="AK40" i="9"/>
  <c r="AK46" i="9"/>
  <c r="AK50" i="9"/>
  <c r="AK56" i="9"/>
  <c r="AK62" i="9"/>
  <c r="AK68" i="9"/>
  <c r="AK74" i="9"/>
  <c r="AK78" i="9"/>
  <c r="AK84" i="9"/>
  <c r="AK90" i="9"/>
  <c r="AL40" i="9"/>
  <c r="AL46" i="9"/>
  <c r="AL50" i="9"/>
  <c r="AL56" i="9"/>
  <c r="AL62" i="9"/>
  <c r="AL68" i="9"/>
  <c r="AL74" i="9"/>
  <c r="AL78" i="9"/>
  <c r="AL84" i="9"/>
  <c r="AL90" i="9"/>
  <c r="AK41" i="9"/>
  <c r="AK47" i="9"/>
  <c r="AK53" i="9"/>
  <c r="AK57" i="9"/>
  <c r="AK63" i="9"/>
  <c r="AK69" i="9"/>
  <c r="AK75" i="9"/>
  <c r="AK81" i="9"/>
  <c r="AK85" i="9"/>
  <c r="AK91" i="9"/>
  <c r="AL24" i="9"/>
  <c r="AL36" i="9"/>
  <c r="AK24" i="9"/>
  <c r="AK36" i="9"/>
  <c r="AK27" i="9"/>
  <c r="AL27" i="9"/>
  <c r="AL30" i="9"/>
  <c r="AK33" i="9"/>
  <c r="AL21" i="9"/>
  <c r="AL33" i="9"/>
  <c r="AC21" i="9"/>
  <c r="AK21" i="9" s="1"/>
  <c r="AH3" i="7"/>
  <c r="AG3" i="7"/>
  <c r="AD3" i="7"/>
  <c r="AC3" i="7"/>
  <c r="Z3" i="7"/>
  <c r="Y3" i="7"/>
  <c r="V3" i="7"/>
  <c r="U3" i="7"/>
  <c r="R3" i="7"/>
  <c r="Q3" i="7"/>
  <c r="J96" i="7"/>
  <c r="T96" i="7" s="1"/>
  <c r="J95" i="7"/>
  <c r="T95" i="7" s="1"/>
  <c r="J94" i="7"/>
  <c r="T94" i="7" s="1"/>
  <c r="J92" i="7"/>
  <c r="J91" i="7"/>
  <c r="J90" i="7"/>
  <c r="J89" i="7"/>
  <c r="J88" i="7"/>
  <c r="J87" i="7"/>
  <c r="J85" i="7"/>
  <c r="J84" i="7"/>
  <c r="J83" i="7"/>
  <c r="J82" i="7"/>
  <c r="J81" i="7"/>
  <c r="J80" i="7"/>
  <c r="J78" i="7"/>
  <c r="J77" i="7"/>
  <c r="J76" i="7"/>
  <c r="J75" i="7"/>
  <c r="J74" i="7"/>
  <c r="J73" i="7"/>
  <c r="J71" i="7"/>
  <c r="J70" i="7"/>
  <c r="J69" i="7"/>
  <c r="J68" i="7"/>
  <c r="J67" i="7"/>
  <c r="J66" i="7"/>
  <c r="J64" i="7"/>
  <c r="J63" i="7"/>
  <c r="J62" i="7"/>
  <c r="J61" i="7"/>
  <c r="J60" i="7"/>
  <c r="J59" i="7"/>
  <c r="J57" i="7"/>
  <c r="J56" i="7"/>
  <c r="J55" i="7"/>
  <c r="J54" i="7"/>
  <c r="J53" i="7"/>
  <c r="J52" i="7"/>
  <c r="J50" i="7"/>
  <c r="J49" i="7"/>
  <c r="J48" i="7"/>
  <c r="J47" i="7"/>
  <c r="J46" i="7"/>
  <c r="J45" i="7"/>
  <c r="J43" i="7"/>
  <c r="J42" i="7"/>
  <c r="J41" i="7"/>
  <c r="J40" i="7"/>
  <c r="J39" i="7"/>
  <c r="J38" i="7"/>
  <c r="J36" i="7"/>
  <c r="J35" i="7"/>
  <c r="J33" i="7"/>
  <c r="J32" i="7"/>
  <c r="J30" i="7"/>
  <c r="J29" i="7"/>
  <c r="J27" i="7"/>
  <c r="J26" i="7"/>
  <c r="J24" i="7"/>
  <c r="J23" i="7"/>
  <c r="J21" i="7"/>
  <c r="J20" i="7"/>
  <c r="J19" i="7"/>
  <c r="J18" i="7"/>
  <c r="J17" i="7"/>
  <c r="J16" i="7"/>
  <c r="J15" i="7"/>
  <c r="J14" i="7"/>
  <c r="L96" i="7"/>
  <c r="L95" i="7"/>
  <c r="L94" i="7"/>
  <c r="N92" i="7"/>
  <c r="M92" i="7"/>
  <c r="L92" i="7"/>
  <c r="N91" i="7"/>
  <c r="M91" i="7"/>
  <c r="L91" i="7"/>
  <c r="N90" i="7"/>
  <c r="M90" i="7"/>
  <c r="L90" i="7"/>
  <c r="N89" i="7"/>
  <c r="M89" i="7"/>
  <c r="L89" i="7"/>
  <c r="N88" i="7"/>
  <c r="M88" i="7"/>
  <c r="L88" i="7"/>
  <c r="L87" i="7"/>
  <c r="N85" i="7"/>
  <c r="M85" i="7"/>
  <c r="L85" i="7"/>
  <c r="N84" i="7"/>
  <c r="M84" i="7"/>
  <c r="L84" i="7"/>
  <c r="N83" i="7"/>
  <c r="M83" i="7"/>
  <c r="L83" i="7"/>
  <c r="N82" i="7"/>
  <c r="M82" i="7"/>
  <c r="L82" i="7"/>
  <c r="N81" i="7"/>
  <c r="M81" i="7"/>
  <c r="L81" i="7"/>
  <c r="L80" i="7"/>
  <c r="N78" i="7"/>
  <c r="M78" i="7"/>
  <c r="L78" i="7"/>
  <c r="N77" i="7"/>
  <c r="M77" i="7"/>
  <c r="L77" i="7"/>
  <c r="N76" i="7"/>
  <c r="M76" i="7"/>
  <c r="L76" i="7"/>
  <c r="N75" i="7"/>
  <c r="M75" i="7"/>
  <c r="L75" i="7"/>
  <c r="N74" i="7"/>
  <c r="M74" i="7"/>
  <c r="L74" i="7"/>
  <c r="L73" i="7"/>
  <c r="N71" i="7"/>
  <c r="M71" i="7"/>
  <c r="L71" i="7"/>
  <c r="N70" i="7"/>
  <c r="M70" i="7"/>
  <c r="L70" i="7"/>
  <c r="N69" i="7"/>
  <c r="M69" i="7"/>
  <c r="L69" i="7"/>
  <c r="N68" i="7"/>
  <c r="M68" i="7"/>
  <c r="L68" i="7"/>
  <c r="N67" i="7"/>
  <c r="M67" i="7"/>
  <c r="L67" i="7"/>
  <c r="L66" i="7"/>
  <c r="N64" i="7"/>
  <c r="M64" i="7"/>
  <c r="L64" i="7"/>
  <c r="N63" i="7"/>
  <c r="M63" i="7"/>
  <c r="L63" i="7"/>
  <c r="N62" i="7"/>
  <c r="M62" i="7"/>
  <c r="L62" i="7"/>
  <c r="N61" i="7"/>
  <c r="M61" i="7"/>
  <c r="L61" i="7"/>
  <c r="N60" i="7"/>
  <c r="M60" i="7"/>
  <c r="L60" i="7"/>
  <c r="L59" i="7"/>
  <c r="N57" i="7"/>
  <c r="M57" i="7"/>
  <c r="L57" i="7"/>
  <c r="N56" i="7"/>
  <c r="M56" i="7"/>
  <c r="L56" i="7"/>
  <c r="N55" i="7"/>
  <c r="M55" i="7"/>
  <c r="L55" i="7"/>
  <c r="N54" i="7"/>
  <c r="M54" i="7"/>
  <c r="L54" i="7"/>
  <c r="N53" i="7"/>
  <c r="M53" i="7"/>
  <c r="L53" i="7"/>
  <c r="L52" i="7"/>
  <c r="N50" i="7"/>
  <c r="M50" i="7"/>
  <c r="L50" i="7"/>
  <c r="N49" i="7"/>
  <c r="M49" i="7"/>
  <c r="L49" i="7"/>
  <c r="N48" i="7"/>
  <c r="M48" i="7"/>
  <c r="L48" i="7"/>
  <c r="N47" i="7"/>
  <c r="M47" i="7"/>
  <c r="L47" i="7"/>
  <c r="N46" i="7"/>
  <c r="M46" i="7"/>
  <c r="L46" i="7"/>
  <c r="L45" i="7"/>
  <c r="N43" i="7"/>
  <c r="M43" i="7"/>
  <c r="L43" i="7"/>
  <c r="N42" i="7"/>
  <c r="M42" i="7"/>
  <c r="L42" i="7"/>
  <c r="N41" i="7"/>
  <c r="M41" i="7"/>
  <c r="L41" i="7"/>
  <c r="N40" i="7"/>
  <c r="M40" i="7"/>
  <c r="L40" i="7"/>
  <c r="N39" i="7"/>
  <c r="M39" i="7"/>
  <c r="L39" i="7"/>
  <c r="L38" i="7"/>
  <c r="N36" i="7"/>
  <c r="M36" i="7"/>
  <c r="L36" i="7"/>
  <c r="L35" i="7"/>
  <c r="N33" i="7"/>
  <c r="M33" i="7"/>
  <c r="L33" i="7"/>
  <c r="L32" i="7"/>
  <c r="N30" i="7"/>
  <c r="M30" i="7"/>
  <c r="L30" i="7"/>
  <c r="L29" i="7"/>
  <c r="N27" i="7"/>
  <c r="M27" i="7"/>
  <c r="L27" i="7"/>
  <c r="L26" i="7"/>
  <c r="N24" i="7"/>
  <c r="M24" i="7"/>
  <c r="L24" i="7"/>
  <c r="L23" i="7"/>
  <c r="N21" i="7"/>
  <c r="M21" i="7"/>
  <c r="L21" i="7"/>
  <c r="L20" i="7"/>
  <c r="L19" i="7"/>
  <c r="L18" i="7"/>
  <c r="L17" i="7"/>
  <c r="L16" i="7"/>
  <c r="L15" i="7"/>
  <c r="L14" i="7"/>
  <c r="C95" i="7"/>
  <c r="C96" i="7"/>
  <c r="C94" i="7"/>
  <c r="AH86" i="7"/>
  <c r="AG86" i="7"/>
  <c r="AD86" i="7"/>
  <c r="AC86" i="7"/>
  <c r="Z86" i="7"/>
  <c r="Y86" i="7"/>
  <c r="V86" i="7"/>
  <c r="U86" i="7"/>
  <c r="R86" i="7"/>
  <c r="Q86" i="7"/>
  <c r="AH34" i="7"/>
  <c r="AG34" i="7"/>
  <c r="AD34" i="7"/>
  <c r="AC34" i="7"/>
  <c r="Z34" i="7"/>
  <c r="Y34" i="7"/>
  <c r="V34" i="7"/>
  <c r="U34" i="7"/>
  <c r="R34" i="7"/>
  <c r="Q34" i="7"/>
  <c r="AH25" i="7"/>
  <c r="AG25" i="7"/>
  <c r="AD25" i="7"/>
  <c r="AC25" i="7"/>
  <c r="Z25" i="7"/>
  <c r="Y25" i="7"/>
  <c r="V25" i="7"/>
  <c r="U25" i="7"/>
  <c r="R25" i="7"/>
  <c r="Q25" i="7"/>
  <c r="C15" i="7"/>
  <c r="C16" i="7"/>
  <c r="C17" i="7"/>
  <c r="C18" i="7"/>
  <c r="C19" i="7"/>
  <c r="C14" i="7"/>
  <c r="AD92" i="6"/>
  <c r="AC92" i="6"/>
  <c r="AD91" i="6"/>
  <c r="AC91" i="6"/>
  <c r="AD90" i="6"/>
  <c r="AC90" i="6"/>
  <c r="AD89" i="6"/>
  <c r="AC89" i="6"/>
  <c r="AD88" i="6"/>
  <c r="AC88" i="6"/>
  <c r="AD85" i="6"/>
  <c r="AC85" i="6"/>
  <c r="AD84" i="6"/>
  <c r="AC84" i="6"/>
  <c r="AD83" i="6"/>
  <c r="AC83" i="6"/>
  <c r="AD82" i="6"/>
  <c r="AC82" i="6"/>
  <c r="AD81" i="6"/>
  <c r="AC81" i="6"/>
  <c r="AD78" i="6"/>
  <c r="AC78" i="6"/>
  <c r="AD77" i="6"/>
  <c r="AC77" i="6"/>
  <c r="AD76" i="6"/>
  <c r="AC76" i="6"/>
  <c r="AD75" i="6"/>
  <c r="AC75" i="6"/>
  <c r="AD74" i="6"/>
  <c r="AC74" i="6"/>
  <c r="AD71" i="6"/>
  <c r="AC71" i="6"/>
  <c r="AD70" i="6"/>
  <c r="AC70" i="6"/>
  <c r="AD69" i="6"/>
  <c r="AC69" i="6"/>
  <c r="AD68" i="6"/>
  <c r="AC68" i="6"/>
  <c r="AD67" i="6"/>
  <c r="AC67" i="6"/>
  <c r="AD64" i="6"/>
  <c r="AC64" i="6"/>
  <c r="AD63" i="6"/>
  <c r="AC63" i="6"/>
  <c r="AD62" i="6"/>
  <c r="AC62" i="6"/>
  <c r="AD61" i="6"/>
  <c r="AC61" i="6"/>
  <c r="AD60" i="6"/>
  <c r="AC60" i="6"/>
  <c r="AD57" i="6"/>
  <c r="AC57" i="6"/>
  <c r="AD56" i="6"/>
  <c r="AC56" i="6"/>
  <c r="AD55" i="6"/>
  <c r="AC55" i="6"/>
  <c r="AD54" i="6"/>
  <c r="AC54" i="6"/>
  <c r="AD53" i="6"/>
  <c r="AC53" i="6"/>
  <c r="AD50" i="6"/>
  <c r="AC50" i="6"/>
  <c r="AD49" i="6"/>
  <c r="AC49" i="6"/>
  <c r="AD48" i="6"/>
  <c r="AC48" i="6"/>
  <c r="AD47" i="6"/>
  <c r="AC47" i="6"/>
  <c r="AD46" i="6"/>
  <c r="AC46" i="6"/>
  <c r="AD43" i="6"/>
  <c r="AC43" i="6"/>
  <c r="AD42" i="6"/>
  <c r="AC42" i="6"/>
  <c r="AD41" i="6"/>
  <c r="AC41" i="6"/>
  <c r="AD40" i="6"/>
  <c r="AC40" i="6"/>
  <c r="AD39" i="6"/>
  <c r="AC39" i="6"/>
  <c r="AD36" i="6"/>
  <c r="AC36" i="6"/>
  <c r="AD33" i="6"/>
  <c r="AC33" i="6"/>
  <c r="AD30" i="6"/>
  <c r="AC30" i="6"/>
  <c r="AD27" i="6"/>
  <c r="AC27" i="6"/>
  <c r="AD24" i="6"/>
  <c r="AC24" i="6"/>
  <c r="AD21" i="6"/>
  <c r="AC21" i="6"/>
  <c r="Y92" i="6"/>
  <c r="X92" i="6"/>
  <c r="Y91" i="6"/>
  <c r="X91" i="6"/>
  <c r="Y90" i="6"/>
  <c r="X90" i="6"/>
  <c r="Y89" i="6"/>
  <c r="X89" i="6"/>
  <c r="Y88" i="6"/>
  <c r="X88" i="6"/>
  <c r="Y85" i="6"/>
  <c r="X85" i="6"/>
  <c r="Y84" i="6"/>
  <c r="X84" i="6"/>
  <c r="Y83" i="6"/>
  <c r="X83" i="6"/>
  <c r="Y82" i="6"/>
  <c r="X82" i="6"/>
  <c r="Y81" i="6"/>
  <c r="X81" i="6"/>
  <c r="Y78" i="6"/>
  <c r="X78" i="6"/>
  <c r="Y77" i="6"/>
  <c r="X77" i="6"/>
  <c r="Y76" i="6"/>
  <c r="X76" i="6"/>
  <c r="Y75" i="6"/>
  <c r="X75" i="6"/>
  <c r="Y74" i="6"/>
  <c r="X74" i="6"/>
  <c r="Y71" i="6"/>
  <c r="X71" i="6"/>
  <c r="Y70" i="6"/>
  <c r="X70" i="6"/>
  <c r="Y69" i="6"/>
  <c r="X69" i="6"/>
  <c r="Y68" i="6"/>
  <c r="X68" i="6"/>
  <c r="Y67" i="6"/>
  <c r="X67" i="6"/>
  <c r="Y64" i="6"/>
  <c r="X64" i="6"/>
  <c r="Y63" i="6"/>
  <c r="X63" i="6"/>
  <c r="Y62" i="6"/>
  <c r="X62" i="6"/>
  <c r="Y61" i="6"/>
  <c r="X61" i="6"/>
  <c r="Y60" i="6"/>
  <c r="X60" i="6"/>
  <c r="Y57" i="6"/>
  <c r="X57" i="6"/>
  <c r="Y56" i="6"/>
  <c r="X56" i="6"/>
  <c r="Y55" i="6"/>
  <c r="X55" i="6"/>
  <c r="Y54" i="6"/>
  <c r="X54" i="6"/>
  <c r="Y53" i="6"/>
  <c r="X53" i="6"/>
  <c r="Y50" i="6"/>
  <c r="X50" i="6"/>
  <c r="Y49" i="6"/>
  <c r="X49" i="6"/>
  <c r="Y48" i="6"/>
  <c r="X48" i="6"/>
  <c r="Y47" i="6"/>
  <c r="X47" i="6"/>
  <c r="Y46" i="6"/>
  <c r="X46" i="6"/>
  <c r="Y43" i="6"/>
  <c r="X43" i="6"/>
  <c r="Y42" i="6"/>
  <c r="X42" i="6"/>
  <c r="Y41" i="6"/>
  <c r="X41" i="6"/>
  <c r="Y40" i="6"/>
  <c r="X40" i="6"/>
  <c r="Y39" i="6"/>
  <c r="X39" i="6"/>
  <c r="Y36" i="6"/>
  <c r="X36" i="6"/>
  <c r="Y33" i="6"/>
  <c r="X33" i="6"/>
  <c r="Y30" i="6"/>
  <c r="X30" i="6"/>
  <c r="Y27" i="6"/>
  <c r="X27" i="6"/>
  <c r="Y24" i="6"/>
  <c r="X24" i="6"/>
  <c r="Y21" i="6"/>
  <c r="AH21" i="6" s="1"/>
  <c r="X21" i="6"/>
  <c r="J36" i="14" l="1"/>
  <c r="K36" i="14" s="1"/>
  <c r="J37" i="21"/>
  <c r="K37" i="21" s="1"/>
  <c r="J37" i="14"/>
  <c r="K37" i="14" s="1"/>
  <c r="J38" i="21"/>
  <c r="K38" i="21" s="1"/>
  <c r="J38" i="14"/>
  <c r="K38" i="14" s="1"/>
  <c r="J39" i="21"/>
  <c r="K39" i="21" s="1"/>
  <c r="AG40" i="6"/>
  <c r="AG56" i="6"/>
  <c r="AG84" i="6"/>
  <c r="AH40" i="6"/>
  <c r="AH46" i="6"/>
  <c r="AH50" i="6"/>
  <c r="AH56" i="6"/>
  <c r="AH62" i="6"/>
  <c r="AH68" i="6"/>
  <c r="AH74" i="6"/>
  <c r="AH78" i="6"/>
  <c r="AH84" i="6"/>
  <c r="AH90" i="6"/>
  <c r="AG27" i="6"/>
  <c r="AG39" i="6"/>
  <c r="AG43" i="6"/>
  <c r="AG49" i="6"/>
  <c r="AG55" i="6"/>
  <c r="AG61" i="6"/>
  <c r="AG67" i="6"/>
  <c r="AG71" i="6"/>
  <c r="AG77" i="6"/>
  <c r="AG83" i="6"/>
  <c r="AG89" i="6"/>
  <c r="AG46" i="6"/>
  <c r="AG50" i="6"/>
  <c r="AG62" i="6"/>
  <c r="AG68" i="6"/>
  <c r="AG74" i="6"/>
  <c r="AG78" i="6"/>
  <c r="AG90" i="6"/>
  <c r="AG30" i="6"/>
  <c r="AG21" i="6"/>
  <c r="AG33" i="6"/>
  <c r="AG41" i="6"/>
  <c r="AG47" i="6"/>
  <c r="AG53" i="6"/>
  <c r="AG57" i="6"/>
  <c r="AG63" i="6"/>
  <c r="AG69" i="6"/>
  <c r="AG75" i="6"/>
  <c r="AG81" i="6"/>
  <c r="AG85" i="6"/>
  <c r="AG91" i="6"/>
  <c r="AH41" i="6"/>
  <c r="AH47" i="6"/>
  <c r="AH53" i="6"/>
  <c r="AH57" i="6"/>
  <c r="AH63" i="6"/>
  <c r="AH69" i="6"/>
  <c r="AH75" i="6"/>
  <c r="AH81" i="6"/>
  <c r="AH85" i="6"/>
  <c r="AH91" i="6"/>
  <c r="AG24" i="6"/>
  <c r="AG36" i="6"/>
  <c r="AG42" i="6"/>
  <c r="AG48" i="6"/>
  <c r="AG54" i="6"/>
  <c r="AG60" i="6"/>
  <c r="AG64" i="6"/>
  <c r="AG70" i="6"/>
  <c r="AG76" i="6"/>
  <c r="AG82" i="6"/>
  <c r="AG88" i="6"/>
  <c r="AG92" i="6"/>
  <c r="AH42" i="6"/>
  <c r="AH48" i="6"/>
  <c r="AH54" i="6"/>
  <c r="AH60" i="6"/>
  <c r="AH64" i="6"/>
  <c r="AH70" i="6"/>
  <c r="AH76" i="6"/>
  <c r="AH82" i="6"/>
  <c r="AH88" i="6"/>
  <c r="AH92" i="6"/>
  <c r="AH39" i="6"/>
  <c r="AH43" i="6"/>
  <c r="AH49" i="6"/>
  <c r="AH55" i="6"/>
  <c r="AH61" i="6"/>
  <c r="AH67" i="6"/>
  <c r="AH71" i="6"/>
  <c r="AH77" i="6"/>
  <c r="AH83" i="6"/>
  <c r="AH89" i="6"/>
  <c r="AH30" i="6"/>
  <c r="AH33" i="6"/>
  <c r="AH24" i="6"/>
  <c r="AH36" i="6"/>
  <c r="AH27" i="6"/>
  <c r="T96" i="6"/>
  <c r="U96" i="19" s="1"/>
  <c r="T95" i="6"/>
  <c r="U95" i="19" s="1"/>
  <c r="T94" i="6"/>
  <c r="U94" i="19" s="1"/>
  <c r="T87" i="6"/>
  <c r="U87" i="19" s="1"/>
  <c r="T80" i="6"/>
  <c r="U80" i="19" s="1"/>
  <c r="T59" i="6"/>
  <c r="U59" i="19" s="1"/>
  <c r="T52" i="6"/>
  <c r="U52" i="19" s="1"/>
  <c r="T45" i="6"/>
  <c r="U45" i="19" s="1"/>
  <c r="T38" i="6"/>
  <c r="U38" i="19" s="1"/>
  <c r="T35" i="6"/>
  <c r="U35" i="19" s="1"/>
  <c r="T32" i="6"/>
  <c r="U32" i="19" s="1"/>
  <c r="T29" i="6"/>
  <c r="U29" i="19" s="1"/>
  <c r="T26" i="6"/>
  <c r="U26" i="19" s="1"/>
  <c r="T23" i="6"/>
  <c r="U23" i="19" s="1"/>
  <c r="T20" i="6"/>
  <c r="U20" i="19" s="1"/>
  <c r="T19" i="6"/>
  <c r="U19" i="19" s="1"/>
  <c r="T18" i="6"/>
  <c r="U18" i="19" s="1"/>
  <c r="T17" i="6"/>
  <c r="U17" i="19" s="1"/>
  <c r="T16" i="6"/>
  <c r="U16" i="19" s="1"/>
  <c r="T15" i="6"/>
  <c r="U15" i="19" s="1"/>
  <c r="T14" i="6"/>
  <c r="U14" i="19" s="1"/>
  <c r="R95" i="6"/>
  <c r="S95" i="19" s="1"/>
  <c r="R96" i="6"/>
  <c r="S96" i="19" s="1"/>
  <c r="R88" i="6"/>
  <c r="S88" i="19" s="1"/>
  <c r="AQ88" i="19" s="1"/>
  <c r="R89" i="6"/>
  <c r="S89" i="19" s="1"/>
  <c r="AQ89" i="19" s="1"/>
  <c r="R90" i="6"/>
  <c r="S90" i="19" s="1"/>
  <c r="AQ90" i="19" s="1"/>
  <c r="R91" i="6"/>
  <c r="S91" i="19" s="1"/>
  <c r="AQ91" i="19" s="1"/>
  <c r="R92" i="6"/>
  <c r="S92" i="19" s="1"/>
  <c r="AQ92" i="19" s="1"/>
  <c r="R87" i="6"/>
  <c r="S87" i="19" s="1"/>
  <c r="AQ87" i="19" s="1"/>
  <c r="R81" i="6"/>
  <c r="S81" i="19" s="1"/>
  <c r="AQ81" i="19" s="1"/>
  <c r="R82" i="6"/>
  <c r="S82" i="19" s="1"/>
  <c r="AQ82" i="19" s="1"/>
  <c r="R83" i="6"/>
  <c r="S83" i="19" s="1"/>
  <c r="AQ83" i="19" s="1"/>
  <c r="R84" i="6"/>
  <c r="S84" i="19" s="1"/>
  <c r="AQ84" i="19" s="1"/>
  <c r="R85" i="6"/>
  <c r="S85" i="19" s="1"/>
  <c r="AQ85" i="19" s="1"/>
  <c r="R80" i="6"/>
  <c r="S80" i="19" s="1"/>
  <c r="AQ80" i="19" s="1"/>
  <c r="R33" i="6"/>
  <c r="S33" i="19" s="1"/>
  <c r="AQ33" i="19" s="1"/>
  <c r="R32" i="6"/>
  <c r="S32" i="19" s="1"/>
  <c r="AQ32" i="19" s="1"/>
  <c r="AQ34" i="19" s="1"/>
  <c r="R30" i="6"/>
  <c r="S30" i="19" s="1"/>
  <c r="AQ30" i="19" s="1"/>
  <c r="R29" i="6"/>
  <c r="S29" i="19" s="1"/>
  <c r="AQ29" i="19" s="1"/>
  <c r="R24" i="6"/>
  <c r="S24" i="19" s="1"/>
  <c r="AQ24" i="19" s="1"/>
  <c r="R23" i="6"/>
  <c r="S23" i="19" s="1"/>
  <c r="AQ23" i="19" s="1"/>
  <c r="AQ25" i="19" s="1"/>
  <c r="R21" i="6"/>
  <c r="S21" i="19" s="1"/>
  <c r="AQ21" i="19" s="1"/>
  <c r="R16" i="6"/>
  <c r="S16" i="19" s="1"/>
  <c r="AQ16" i="19" s="1"/>
  <c r="R17" i="6"/>
  <c r="S17" i="19" s="1"/>
  <c r="AQ17" i="19" s="1"/>
  <c r="R18" i="6"/>
  <c r="S18" i="19" s="1"/>
  <c r="AQ18" i="19" s="1"/>
  <c r="R19" i="6"/>
  <c r="S19" i="19" s="1"/>
  <c r="AQ19" i="19" s="1"/>
  <c r="R20" i="6"/>
  <c r="S20" i="19" s="1"/>
  <c r="AQ20" i="19" s="1"/>
  <c r="AQ22" i="19" s="1"/>
  <c r="R14" i="6"/>
  <c r="S14" i="19" s="1"/>
  <c r="AQ14" i="19" s="1"/>
  <c r="P96" i="6"/>
  <c r="O96" i="6"/>
  <c r="N96" i="6"/>
  <c r="O96" i="19" s="1"/>
  <c r="M96" i="6"/>
  <c r="N96" i="19" s="1"/>
  <c r="P95" i="6"/>
  <c r="O95" i="6"/>
  <c r="N95" i="6"/>
  <c r="O95" i="19" s="1"/>
  <c r="M95" i="6"/>
  <c r="N95" i="19" s="1"/>
  <c r="P80" i="6"/>
  <c r="O80" i="6"/>
  <c r="N80" i="6"/>
  <c r="O80" i="19" s="1"/>
  <c r="M80" i="6"/>
  <c r="N80" i="19" s="1"/>
  <c r="P35" i="6"/>
  <c r="O35" i="6"/>
  <c r="N35" i="6"/>
  <c r="O35" i="19" s="1"/>
  <c r="M35" i="6"/>
  <c r="N35" i="19" s="1"/>
  <c r="P32" i="6"/>
  <c r="O32" i="6"/>
  <c r="N32" i="6"/>
  <c r="O32" i="19" s="1"/>
  <c r="M32" i="6"/>
  <c r="N32" i="19" s="1"/>
  <c r="P29" i="6"/>
  <c r="O29" i="6"/>
  <c r="N29" i="6"/>
  <c r="O29" i="19" s="1"/>
  <c r="M29" i="6"/>
  <c r="N29" i="19" s="1"/>
  <c r="P26" i="6"/>
  <c r="O26" i="6"/>
  <c r="N26" i="6"/>
  <c r="O26" i="19" s="1"/>
  <c r="M26" i="6"/>
  <c r="N26" i="19" s="1"/>
  <c r="P23" i="6"/>
  <c r="O23" i="6"/>
  <c r="N23" i="6"/>
  <c r="O23" i="19" s="1"/>
  <c r="M23" i="6"/>
  <c r="N23" i="19" s="1"/>
  <c r="P20" i="6"/>
  <c r="O20" i="6"/>
  <c r="N20" i="6"/>
  <c r="O20" i="19" s="1"/>
  <c r="M20" i="6"/>
  <c r="N20" i="19" s="1"/>
  <c r="P19" i="6"/>
  <c r="O19" i="6"/>
  <c r="N19" i="6"/>
  <c r="O19" i="19" s="1"/>
  <c r="M19" i="6"/>
  <c r="N19" i="19" s="1"/>
  <c r="P18" i="6"/>
  <c r="O18" i="6"/>
  <c r="N18" i="6"/>
  <c r="O18" i="19" s="1"/>
  <c r="M18" i="6"/>
  <c r="N18" i="19" s="1"/>
  <c r="P17" i="6"/>
  <c r="O17" i="6"/>
  <c r="N17" i="6"/>
  <c r="O17" i="19" s="1"/>
  <c r="M17" i="6"/>
  <c r="N17" i="19" s="1"/>
  <c r="P16" i="6"/>
  <c r="O16" i="6"/>
  <c r="N16" i="6"/>
  <c r="O16" i="19" s="1"/>
  <c r="M16" i="6"/>
  <c r="N16" i="19" s="1"/>
  <c r="P15" i="6"/>
  <c r="O15" i="6"/>
  <c r="N15" i="6"/>
  <c r="M15" i="6"/>
  <c r="N15" i="19" s="1"/>
  <c r="P14" i="6"/>
  <c r="O14" i="6"/>
  <c r="N14" i="6"/>
  <c r="O14" i="19" s="1"/>
  <c r="M14" i="6"/>
  <c r="N14" i="19" s="1"/>
  <c r="P15" i="9" l="1"/>
  <c r="P15" i="19"/>
  <c r="Z15" i="19" s="1"/>
  <c r="P17" i="9"/>
  <c r="P17" i="19"/>
  <c r="P19" i="9"/>
  <c r="P19" i="19"/>
  <c r="P23" i="9"/>
  <c r="P23" i="19"/>
  <c r="P29" i="9"/>
  <c r="P29" i="19"/>
  <c r="Z29" i="19" s="1"/>
  <c r="Z31" i="19" s="1"/>
  <c r="P35" i="9"/>
  <c r="P35" i="19"/>
  <c r="P95" i="9"/>
  <c r="P95" i="19"/>
  <c r="Q19" i="9"/>
  <c r="Q19" i="19"/>
  <c r="AD19" i="19" s="1"/>
  <c r="AL19" i="19" s="1"/>
  <c r="Z14" i="19"/>
  <c r="Z20" i="19"/>
  <c r="Z22" i="19" s="1"/>
  <c r="Q35" i="9"/>
  <c r="Q35" i="19"/>
  <c r="AD35" i="19" s="1"/>
  <c r="AD18" i="19"/>
  <c r="O15" i="19"/>
  <c r="AD15" i="6"/>
  <c r="Q23" i="9"/>
  <c r="Q23" i="19"/>
  <c r="AD23" i="19" s="1"/>
  <c r="Z16" i="19"/>
  <c r="P14" i="9"/>
  <c r="P14" i="19"/>
  <c r="P16" i="9"/>
  <c r="P16" i="19"/>
  <c r="P18" i="9"/>
  <c r="P18" i="19"/>
  <c r="Z18" i="19" s="1"/>
  <c r="AL18" i="19" s="1"/>
  <c r="P20" i="9"/>
  <c r="P20" i="19"/>
  <c r="P26" i="9"/>
  <c r="P26" i="19"/>
  <c r="Z26" i="19" s="1"/>
  <c r="Z28" i="19" s="1"/>
  <c r="P32" i="9"/>
  <c r="P32" i="19"/>
  <c r="Z32" i="19" s="1"/>
  <c r="Z34" i="19" s="1"/>
  <c r="P80" i="9"/>
  <c r="P80" i="19"/>
  <c r="Z80" i="19" s="1"/>
  <c r="Z86" i="19" s="1"/>
  <c r="P96" i="9"/>
  <c r="P96" i="19"/>
  <c r="Z96" i="19" s="1"/>
  <c r="AL96" i="19" s="1"/>
  <c r="Q17" i="9"/>
  <c r="Q17" i="19"/>
  <c r="AD17" i="19" s="1"/>
  <c r="AL17" i="19" s="1"/>
  <c r="Q95" i="9"/>
  <c r="Q95" i="19"/>
  <c r="AD95" i="19" s="1"/>
  <c r="AL95" i="19" s="1"/>
  <c r="AD14" i="19"/>
  <c r="Q14" i="9"/>
  <c r="Q14" i="19"/>
  <c r="Q16" i="9"/>
  <c r="Q16" i="19"/>
  <c r="AD16" i="19" s="1"/>
  <c r="AL16" i="19" s="1"/>
  <c r="Q18" i="9"/>
  <c r="Q18" i="19"/>
  <c r="Q20" i="9"/>
  <c r="Q20" i="19"/>
  <c r="AD20" i="19" s="1"/>
  <c r="Q26" i="9"/>
  <c r="Q26" i="19"/>
  <c r="AD26" i="19" s="1"/>
  <c r="Q32" i="9"/>
  <c r="Q32" i="19"/>
  <c r="AD32" i="19" s="1"/>
  <c r="Q80" i="9"/>
  <c r="Q80" i="19"/>
  <c r="AD80" i="19" s="1"/>
  <c r="Q96" i="9"/>
  <c r="Q96" i="19"/>
  <c r="AD96" i="19" s="1"/>
  <c r="Q15" i="9"/>
  <c r="Q15" i="19"/>
  <c r="Q29" i="9"/>
  <c r="Q29" i="19"/>
  <c r="AD29" i="19" s="1"/>
  <c r="Z17" i="19"/>
  <c r="Z19" i="19"/>
  <c r="Z23" i="19"/>
  <c r="Z25" i="19" s="1"/>
  <c r="Z35" i="19"/>
  <c r="Z37" i="19" s="1"/>
  <c r="Z95" i="19"/>
  <c r="AQ93" i="19"/>
  <c r="AQ86" i="19"/>
  <c r="AQ31" i="19"/>
  <c r="AQ96" i="19"/>
  <c r="AF96" i="19"/>
  <c r="AQ95" i="19"/>
  <c r="AF95" i="19"/>
  <c r="U16" i="9"/>
  <c r="M16" i="7"/>
  <c r="U17" i="9"/>
  <c r="M17" i="7"/>
  <c r="U87" i="9"/>
  <c r="M87" i="7"/>
  <c r="U80" i="9"/>
  <c r="M80" i="7"/>
  <c r="S14" i="9"/>
  <c r="AQ14" i="9" s="1"/>
  <c r="K14" i="7"/>
  <c r="U18" i="9"/>
  <c r="M18" i="7"/>
  <c r="U38" i="9"/>
  <c r="M38" i="7"/>
  <c r="U94" i="9"/>
  <c r="M94" i="7"/>
  <c r="U19" i="9"/>
  <c r="M19" i="7"/>
  <c r="U45" i="9"/>
  <c r="M45" i="7"/>
  <c r="U95" i="9"/>
  <c r="M95" i="7"/>
  <c r="S19" i="9"/>
  <c r="AQ19" i="9" s="1"/>
  <c r="K19" i="7"/>
  <c r="U20" i="9"/>
  <c r="M20" i="7"/>
  <c r="U52" i="9"/>
  <c r="M52" i="7"/>
  <c r="U96" i="9"/>
  <c r="M96" i="7"/>
  <c r="S15" i="9"/>
  <c r="AQ15" i="9" s="1"/>
  <c r="K15" i="7"/>
  <c r="S18" i="9"/>
  <c r="AQ18" i="9" s="1"/>
  <c r="K18" i="7"/>
  <c r="U23" i="9"/>
  <c r="M23" i="7"/>
  <c r="U59" i="9"/>
  <c r="M59" i="7"/>
  <c r="S17" i="9"/>
  <c r="AQ17" i="9" s="1"/>
  <c r="K17" i="7"/>
  <c r="U14" i="9"/>
  <c r="M14" i="7"/>
  <c r="U26" i="9"/>
  <c r="M26" i="7"/>
  <c r="S16" i="9"/>
  <c r="AQ16" i="9" s="1"/>
  <c r="K16" i="7"/>
  <c r="U15" i="9"/>
  <c r="M15" i="7"/>
  <c r="U29" i="9"/>
  <c r="M29" i="7"/>
  <c r="S92" i="9"/>
  <c r="AQ92" i="9" s="1"/>
  <c r="K92" i="7"/>
  <c r="S91" i="9"/>
  <c r="AQ91" i="9" s="1"/>
  <c r="K91" i="7"/>
  <c r="S80" i="9"/>
  <c r="AQ80" i="9" s="1"/>
  <c r="K80" i="7"/>
  <c r="S21" i="9"/>
  <c r="AQ21" i="9" s="1"/>
  <c r="K21" i="7"/>
  <c r="S85" i="9"/>
  <c r="AQ85" i="9" s="1"/>
  <c r="K85" i="7"/>
  <c r="S90" i="9"/>
  <c r="AQ90" i="9" s="1"/>
  <c r="K90" i="7"/>
  <c r="S23" i="9"/>
  <c r="AQ23" i="9" s="1"/>
  <c r="K23" i="7"/>
  <c r="S84" i="9"/>
  <c r="AQ84" i="9" s="1"/>
  <c r="K84" i="7"/>
  <c r="S89" i="9"/>
  <c r="AQ89" i="9" s="1"/>
  <c r="K89" i="7"/>
  <c r="S20" i="9"/>
  <c r="AQ20" i="9" s="1"/>
  <c r="K20" i="7"/>
  <c r="S24" i="9"/>
  <c r="AQ24" i="9" s="1"/>
  <c r="K24" i="7"/>
  <c r="S83" i="9"/>
  <c r="AQ83" i="9" s="1"/>
  <c r="K83" i="7"/>
  <c r="S88" i="9"/>
  <c r="AQ88" i="9" s="1"/>
  <c r="K88" i="7"/>
  <c r="S87" i="9"/>
  <c r="AQ87" i="9" s="1"/>
  <c r="K87" i="7"/>
  <c r="S29" i="9"/>
  <c r="AQ29" i="9" s="1"/>
  <c r="K29" i="7"/>
  <c r="S82" i="9"/>
  <c r="AQ82" i="9" s="1"/>
  <c r="K82" i="7"/>
  <c r="S30" i="9"/>
  <c r="AQ30" i="9" s="1"/>
  <c r="K30" i="7"/>
  <c r="S81" i="9"/>
  <c r="AQ81" i="9" s="1"/>
  <c r="K81" i="7"/>
  <c r="S95" i="9"/>
  <c r="AQ95" i="9" s="1"/>
  <c r="K95" i="7"/>
  <c r="AB95" i="7" s="1"/>
  <c r="S96" i="9"/>
  <c r="AQ96" i="9" s="1"/>
  <c r="K96" i="7"/>
  <c r="AB96" i="7" s="1"/>
  <c r="S33" i="9"/>
  <c r="AQ33" i="9" s="1"/>
  <c r="K33" i="7"/>
  <c r="S32" i="9"/>
  <c r="AQ32" i="9" s="1"/>
  <c r="K32" i="7"/>
  <c r="U35" i="9"/>
  <c r="M35" i="7"/>
  <c r="U32" i="9"/>
  <c r="M32" i="7"/>
  <c r="N80" i="9"/>
  <c r="Y80" i="6"/>
  <c r="O80" i="9"/>
  <c r="AD80" i="9" s="1"/>
  <c r="AD80" i="6"/>
  <c r="N18" i="9"/>
  <c r="Y18" i="6"/>
  <c r="O32" i="9"/>
  <c r="AD32" i="9" s="1"/>
  <c r="AD32" i="6"/>
  <c r="N26" i="9"/>
  <c r="Z26" i="9" s="1"/>
  <c r="Y26" i="6"/>
  <c r="O26" i="9"/>
  <c r="AD26" i="9" s="1"/>
  <c r="AD26" i="6"/>
  <c r="N14" i="9"/>
  <c r="Z14" i="9" s="1"/>
  <c r="Y14" i="6"/>
  <c r="N20" i="9"/>
  <c r="Z20" i="9" s="1"/>
  <c r="Y20" i="6"/>
  <c r="O18" i="9"/>
  <c r="AD18" i="9" s="1"/>
  <c r="AD18" i="6"/>
  <c r="N15" i="9"/>
  <c r="Z15" i="9" s="1"/>
  <c r="Y15" i="6"/>
  <c r="N17" i="9"/>
  <c r="Z17" i="9" s="1"/>
  <c r="Y17" i="6"/>
  <c r="N19" i="9"/>
  <c r="Z19" i="9" s="1"/>
  <c r="Y19" i="6"/>
  <c r="N23" i="9"/>
  <c r="Y23" i="6"/>
  <c r="N29" i="9"/>
  <c r="Z29" i="9" s="1"/>
  <c r="Y29" i="6"/>
  <c r="N35" i="9"/>
  <c r="Z35" i="9" s="1"/>
  <c r="Y35" i="6"/>
  <c r="N95" i="9"/>
  <c r="Z95" i="9" s="1"/>
  <c r="Y95" i="6"/>
  <c r="N32" i="9"/>
  <c r="Y32" i="6"/>
  <c r="O16" i="9"/>
  <c r="AD16" i="6"/>
  <c r="O96" i="9"/>
  <c r="AD96" i="6"/>
  <c r="O15" i="9"/>
  <c r="AD15" i="9" s="1"/>
  <c r="O17" i="9"/>
  <c r="AD17" i="9" s="1"/>
  <c r="AD17" i="6"/>
  <c r="O19" i="9"/>
  <c r="AD19" i="9" s="1"/>
  <c r="AD19" i="6"/>
  <c r="O23" i="9"/>
  <c r="AD23" i="9" s="1"/>
  <c r="AD23" i="6"/>
  <c r="O29" i="9"/>
  <c r="AD29" i="9" s="1"/>
  <c r="AD29" i="6"/>
  <c r="O35" i="9"/>
  <c r="AD35" i="9" s="1"/>
  <c r="AD35" i="6"/>
  <c r="O95" i="9"/>
  <c r="AD95" i="9" s="1"/>
  <c r="AD95" i="6"/>
  <c r="N16" i="9"/>
  <c r="Z16" i="9" s="1"/>
  <c r="Y16" i="6"/>
  <c r="N96" i="9"/>
  <c r="Z96" i="9" s="1"/>
  <c r="Y96" i="6"/>
  <c r="O14" i="9"/>
  <c r="AD14" i="9" s="1"/>
  <c r="AD14" i="6"/>
  <c r="O20" i="9"/>
  <c r="AD20" i="6"/>
  <c r="AD22" i="19" l="1"/>
  <c r="AL20" i="19"/>
  <c r="AL22" i="19" s="1"/>
  <c r="AD86" i="19"/>
  <c r="AL80" i="19"/>
  <c r="AL86" i="19" s="1"/>
  <c r="AL35" i="19"/>
  <c r="AL37" i="19" s="1"/>
  <c r="AD37" i="19"/>
  <c r="AL29" i="19"/>
  <c r="AL31" i="19" s="1"/>
  <c r="AD31" i="19"/>
  <c r="AD34" i="19"/>
  <c r="AL32" i="19"/>
  <c r="AL34" i="19" s="1"/>
  <c r="AL26" i="19"/>
  <c r="AL28" i="19" s="1"/>
  <c r="AD28" i="19"/>
  <c r="AD25" i="19"/>
  <c r="AL23" i="19"/>
  <c r="AL25" i="19" s="1"/>
  <c r="AL14" i="19"/>
  <c r="AD20" i="9"/>
  <c r="Z80" i="9"/>
  <c r="Z86" i="9" s="1"/>
  <c r="AD15" i="19"/>
  <c r="AL15" i="19" s="1"/>
  <c r="AD96" i="9"/>
  <c r="Z18" i="9"/>
  <c r="AD37" i="14"/>
  <c r="AE38" i="21"/>
  <c r="AD38" i="14"/>
  <c r="AE39" i="21"/>
  <c r="AQ93" i="9"/>
  <c r="AQ34" i="9"/>
  <c r="AH29" i="6"/>
  <c r="AH15" i="6"/>
  <c r="AQ25" i="9"/>
  <c r="AL15" i="9"/>
  <c r="AL29" i="9"/>
  <c r="AQ86" i="9"/>
  <c r="AL14" i="9"/>
  <c r="AL35" i="9"/>
  <c r="AL26" i="9"/>
  <c r="AL96" i="9"/>
  <c r="AL19" i="9"/>
  <c r="AL80" i="9"/>
  <c r="AL86" i="9" s="1"/>
  <c r="AD86" i="9"/>
  <c r="AL20" i="9"/>
  <c r="AL95" i="9"/>
  <c r="AL17" i="9"/>
  <c r="Z32" i="9"/>
  <c r="AL32" i="9" s="1"/>
  <c r="AL34" i="9" s="1"/>
  <c r="Z23" i="9"/>
  <c r="AL23" i="9" s="1"/>
  <c r="AL25" i="9" s="1"/>
  <c r="AL18" i="9"/>
  <c r="AH32" i="6"/>
  <c r="AH26" i="6"/>
  <c r="AH80" i="6"/>
  <c r="AH14" i="6"/>
  <c r="AH35" i="6"/>
  <c r="AH17" i="6"/>
  <c r="AH18" i="6"/>
  <c r="AH23" i="6"/>
  <c r="AD34" i="9"/>
  <c r="AH96" i="6"/>
  <c r="AD25" i="9"/>
  <c r="AH19" i="6"/>
  <c r="AH16" i="6"/>
  <c r="AH20" i="6"/>
  <c r="AH95" i="6"/>
  <c r="AD81" i="10"/>
  <c r="AD80" i="10"/>
  <c r="AD79" i="10"/>
  <c r="AE73" i="10"/>
  <c r="AD73" i="10"/>
  <c r="AD67" i="10"/>
  <c r="AD61" i="10"/>
  <c r="AD55" i="10"/>
  <c r="AD49" i="10"/>
  <c r="AD43" i="10"/>
  <c r="AD37" i="10"/>
  <c r="AD31" i="10"/>
  <c r="AD29" i="10"/>
  <c r="AD27" i="10"/>
  <c r="AD25" i="10"/>
  <c r="AD23" i="10"/>
  <c r="AD21" i="10"/>
  <c r="AD19" i="10"/>
  <c r="AD18" i="10"/>
  <c r="AD17" i="10"/>
  <c r="AD16" i="10"/>
  <c r="AD15" i="10"/>
  <c r="AD14" i="10"/>
  <c r="AD13" i="10"/>
  <c r="K95" i="6"/>
  <c r="L95" i="19" s="1"/>
  <c r="Y95" i="19" s="1"/>
  <c r="K96" i="6"/>
  <c r="L96" i="19" s="1"/>
  <c r="Y96" i="19" s="1"/>
  <c r="K94" i="6"/>
  <c r="L94" i="19" s="1"/>
  <c r="Y94" i="19" s="1"/>
  <c r="L87" i="6"/>
  <c r="M87" i="19" s="1"/>
  <c r="AC87" i="19" s="1"/>
  <c r="K87" i="6"/>
  <c r="K80" i="6"/>
  <c r="L80" i="19" s="1"/>
  <c r="Y80" i="19" s="1"/>
  <c r="Y86" i="19" s="1"/>
  <c r="K73" i="6"/>
  <c r="L73" i="19" s="1"/>
  <c r="K66" i="6"/>
  <c r="L66" i="19" s="1"/>
  <c r="K59" i="6"/>
  <c r="L59" i="19" s="1"/>
  <c r="Y59" i="19" s="1"/>
  <c r="Y65" i="19" s="1"/>
  <c r="K52" i="6"/>
  <c r="L52" i="19" s="1"/>
  <c r="Y52" i="19" s="1"/>
  <c r="Y58" i="19" s="1"/>
  <c r="K45" i="6"/>
  <c r="L45" i="19" s="1"/>
  <c r="Y45" i="19" s="1"/>
  <c r="Y51" i="19" s="1"/>
  <c r="K38" i="6"/>
  <c r="L38" i="19" s="1"/>
  <c r="Y38" i="19" s="1"/>
  <c r="Y44" i="19" s="1"/>
  <c r="K35" i="6"/>
  <c r="L35" i="19" s="1"/>
  <c r="Y35" i="19" s="1"/>
  <c r="Y37" i="19" s="1"/>
  <c r="K32" i="6"/>
  <c r="L32" i="19" s="1"/>
  <c r="Y32" i="19" s="1"/>
  <c r="Y34" i="19" s="1"/>
  <c r="K29" i="6"/>
  <c r="L29" i="19" s="1"/>
  <c r="Y29" i="19" s="1"/>
  <c r="Y31" i="19" s="1"/>
  <c r="K26" i="6"/>
  <c r="L26" i="19" s="1"/>
  <c r="Y26" i="19" s="1"/>
  <c r="Y28" i="19" s="1"/>
  <c r="K23" i="6"/>
  <c r="L23" i="19" s="1"/>
  <c r="Y23" i="19" s="1"/>
  <c r="Y25" i="19" s="1"/>
  <c r="K20" i="6"/>
  <c r="L20" i="19" s="1"/>
  <c r="Y20" i="19" s="1"/>
  <c r="Y22" i="19" s="1"/>
  <c r="K15" i="6"/>
  <c r="K16" i="6"/>
  <c r="L16" i="19" s="1"/>
  <c r="Y16" i="19" s="1"/>
  <c r="K17" i="6"/>
  <c r="L17" i="19" s="1"/>
  <c r="Y17" i="19" s="1"/>
  <c r="K18" i="6"/>
  <c r="L18" i="19" s="1"/>
  <c r="Y18" i="19" s="1"/>
  <c r="K19" i="6"/>
  <c r="L19" i="19" s="1"/>
  <c r="Y19" i="19" s="1"/>
  <c r="K14" i="6"/>
  <c r="L14" i="19" s="1"/>
  <c r="Y14" i="19" s="1"/>
  <c r="B95" i="6"/>
  <c r="B96" i="6"/>
  <c r="B94" i="6"/>
  <c r="B87" i="6"/>
  <c r="B80" i="6"/>
  <c r="AN86" i="6"/>
  <c r="B73" i="6"/>
  <c r="B73" i="7" s="1"/>
  <c r="B66" i="6"/>
  <c r="B66" i="7" s="1"/>
  <c r="B59" i="6"/>
  <c r="B59" i="7" s="1"/>
  <c r="B52" i="6"/>
  <c r="B52" i="7" s="1"/>
  <c r="B45" i="6"/>
  <c r="B45" i="7" s="1"/>
  <c r="B38" i="6"/>
  <c r="B38" i="7" s="1"/>
  <c r="B35" i="6"/>
  <c r="B35" i="7" s="1"/>
  <c r="B32" i="6"/>
  <c r="B32" i="7" s="1"/>
  <c r="AN34" i="6"/>
  <c r="B29" i="6"/>
  <c r="B29" i="7" s="1"/>
  <c r="B26" i="6"/>
  <c r="B26" i="7" s="1"/>
  <c r="B23" i="6"/>
  <c r="B23" i="7" s="1"/>
  <c r="AN25" i="6"/>
  <c r="B20" i="6"/>
  <c r="B20" i="7" s="1"/>
  <c r="B15" i="6"/>
  <c r="B15" i="7" s="1"/>
  <c r="B16" i="6"/>
  <c r="B16" i="7" s="1"/>
  <c r="B17" i="6"/>
  <c r="B17" i="7" s="1"/>
  <c r="B18" i="6"/>
  <c r="B18" i="7" s="1"/>
  <c r="B19" i="6"/>
  <c r="B19" i="7" s="1"/>
  <c r="B14" i="6"/>
  <c r="B14" i="7" s="1"/>
  <c r="X87" i="6" l="1"/>
  <c r="X93" i="6" s="1"/>
  <c r="L87" i="19"/>
  <c r="Y87" i="19" s="1"/>
  <c r="Y93" i="19" s="1"/>
  <c r="AC93" i="19"/>
  <c r="X15" i="6"/>
  <c r="L15" i="19"/>
  <c r="Y15" i="19" s="1"/>
  <c r="X14" i="6"/>
  <c r="L14" i="9"/>
  <c r="Y14" i="9" s="1"/>
  <c r="L94" i="9"/>
  <c r="Y94" i="9" s="1"/>
  <c r="X94" i="6"/>
  <c r="L16" i="9"/>
  <c r="Y16" i="9" s="1"/>
  <c r="X16" i="6"/>
  <c r="L26" i="9"/>
  <c r="Y26" i="9" s="1"/>
  <c r="X26" i="6"/>
  <c r="L29" i="9"/>
  <c r="Y29" i="9" s="1"/>
  <c r="X29" i="6"/>
  <c r="L45" i="9"/>
  <c r="Y45" i="9" s="1"/>
  <c r="X45" i="6"/>
  <c r="L73" i="9"/>
  <c r="L19" i="9"/>
  <c r="Y19" i="9" s="1"/>
  <c r="X19" i="6"/>
  <c r="L15" i="9"/>
  <c r="Y15" i="9" s="1"/>
  <c r="L96" i="9"/>
  <c r="Y96" i="9" s="1"/>
  <c r="X96" i="6"/>
  <c r="L38" i="9"/>
  <c r="Y38" i="9" s="1"/>
  <c r="X38" i="6"/>
  <c r="L32" i="9"/>
  <c r="Y32" i="9" s="1"/>
  <c r="Y34" i="9" s="1"/>
  <c r="X32" i="6"/>
  <c r="X34" i="6" s="1"/>
  <c r="L52" i="9"/>
  <c r="Y52" i="9" s="1"/>
  <c r="X52" i="6"/>
  <c r="L80" i="9"/>
  <c r="Y80" i="9" s="1"/>
  <c r="Y86" i="9" s="1"/>
  <c r="X80" i="6"/>
  <c r="X86" i="6" s="1"/>
  <c r="L66" i="9"/>
  <c r="L18" i="9"/>
  <c r="Y18" i="9" s="1"/>
  <c r="X18" i="6"/>
  <c r="L20" i="9"/>
  <c r="Y20" i="9" s="1"/>
  <c r="Y22" i="9" s="1"/>
  <c r="X20" i="6"/>
  <c r="L95" i="9"/>
  <c r="Y95" i="9" s="1"/>
  <c r="X95" i="6"/>
  <c r="L23" i="9"/>
  <c r="Y23" i="9" s="1"/>
  <c r="Y25" i="9" s="1"/>
  <c r="X23" i="6"/>
  <c r="X25" i="6" s="1"/>
  <c r="L35" i="9"/>
  <c r="Y35" i="9" s="1"/>
  <c r="X35" i="6"/>
  <c r="L59" i="9"/>
  <c r="Y59" i="9" s="1"/>
  <c r="X59" i="6"/>
  <c r="L17" i="9"/>
  <c r="Y17" i="9" s="1"/>
  <c r="X17" i="6"/>
  <c r="Z25" i="9"/>
  <c r="Z34" i="9"/>
  <c r="L87" i="9"/>
  <c r="Y87" i="9" s="1"/>
  <c r="M87" i="9"/>
  <c r="AC87" i="9" s="1"/>
  <c r="AC87" i="6"/>
  <c r="AD34" i="6"/>
  <c r="AD25" i="6"/>
  <c r="Y86" i="6"/>
  <c r="Y25" i="6"/>
  <c r="AK87" i="19" l="1"/>
  <c r="AK93" i="19" s="1"/>
  <c r="AG87" i="6"/>
  <c r="AK87" i="9"/>
  <c r="AC93" i="9"/>
  <c r="AH34" i="6"/>
  <c r="AD86" i="6"/>
  <c r="Y34" i="6"/>
  <c r="AH25" i="6"/>
  <c r="AH86" i="6"/>
  <c r="V7" i="10"/>
  <c r="J84" i="5" l="1"/>
  <c r="J83" i="5"/>
  <c r="J82" i="5"/>
  <c r="J76" i="5"/>
  <c r="J70" i="5"/>
  <c r="J52" i="5"/>
  <c r="J46" i="5"/>
  <c r="J40" i="5"/>
  <c r="J34" i="5"/>
  <c r="J32" i="5"/>
  <c r="J30" i="5"/>
  <c r="J28" i="5"/>
  <c r="J26" i="5"/>
  <c r="J24" i="5"/>
  <c r="J22" i="5"/>
  <c r="J21" i="5"/>
  <c r="J20" i="5"/>
  <c r="J19" i="5"/>
  <c r="J18" i="5"/>
  <c r="J17" i="5"/>
  <c r="J16" i="5"/>
  <c r="I76" i="5"/>
  <c r="I74" i="4"/>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B76" i="5"/>
  <c r="B70" i="5"/>
  <c r="B30" i="5"/>
  <c r="B28" i="5"/>
  <c r="B24" i="5"/>
  <c r="B17" i="5"/>
  <c r="B18" i="5"/>
  <c r="B19" i="5"/>
  <c r="B20" i="5"/>
  <c r="B21" i="5"/>
  <c r="B16" i="5"/>
  <c r="X85" i="3"/>
  <c r="V85" i="3"/>
  <c r="W85" i="3" s="1"/>
  <c r="X84" i="3"/>
  <c r="V84" i="3"/>
  <c r="W84" i="3" s="1"/>
  <c r="X83" i="3"/>
  <c r="V83" i="3"/>
  <c r="W83" i="3" s="1"/>
  <c r="X82" i="3"/>
  <c r="V82" i="3"/>
  <c r="W82" i="3" s="1"/>
  <c r="X81" i="3"/>
  <c r="V81" i="3"/>
  <c r="W81" i="3" s="1"/>
  <c r="X80" i="3"/>
  <c r="V80" i="3"/>
  <c r="W80" i="3" s="1"/>
  <c r="X79" i="3"/>
  <c r="V79" i="3"/>
  <c r="W79" i="3" s="1"/>
  <c r="X78" i="3"/>
  <c r="V78" i="3"/>
  <c r="W78" i="3" s="1"/>
  <c r="X77" i="3"/>
  <c r="V77" i="3"/>
  <c r="W77" i="3" s="1"/>
  <c r="X76" i="3"/>
  <c r="V76" i="3"/>
  <c r="X75" i="3"/>
  <c r="V75" i="3"/>
  <c r="X74" i="3"/>
  <c r="V74" i="3"/>
  <c r="X73" i="3"/>
  <c r="V73" i="3"/>
  <c r="X72" i="3"/>
  <c r="V72" i="3"/>
  <c r="W72" i="3" s="1"/>
  <c r="X71" i="3"/>
  <c r="V71" i="3"/>
  <c r="W71" i="3" s="1"/>
  <c r="X70" i="3"/>
  <c r="V70" i="3"/>
  <c r="W70" i="3" s="1"/>
  <c r="X69" i="3"/>
  <c r="V69" i="3"/>
  <c r="W69" i="3" s="1"/>
  <c r="X68" i="3"/>
  <c r="V68" i="3"/>
  <c r="W68" i="3" s="1"/>
  <c r="X67" i="3"/>
  <c r="V67" i="3"/>
  <c r="W67" i="3" s="1"/>
  <c r="X66" i="3"/>
  <c r="V66" i="3"/>
  <c r="W66" i="3" s="1"/>
  <c r="X65" i="3"/>
  <c r="V65" i="3"/>
  <c r="W65" i="3" s="1"/>
  <c r="X64" i="3"/>
  <c r="V64" i="3"/>
  <c r="W64" i="3" s="1"/>
  <c r="X63" i="3"/>
  <c r="V63" i="3"/>
  <c r="W63" i="3" s="1"/>
  <c r="X62" i="3"/>
  <c r="V62" i="3"/>
  <c r="W62" i="3" s="1"/>
  <c r="X61" i="3"/>
  <c r="V61" i="3"/>
  <c r="W61" i="3" s="1"/>
  <c r="X60" i="3"/>
  <c r="V60" i="3"/>
  <c r="W60" i="3" s="1"/>
  <c r="X59" i="3"/>
  <c r="V59" i="3"/>
  <c r="W59" i="3" s="1"/>
  <c r="X58" i="3"/>
  <c r="V58" i="3"/>
  <c r="X57" i="3"/>
  <c r="V57" i="3"/>
  <c r="X56" i="3"/>
  <c r="V56" i="3"/>
  <c r="W56" i="3" s="1"/>
  <c r="X55" i="3"/>
  <c r="V55" i="3"/>
  <c r="W55" i="3" s="1"/>
  <c r="X54" i="3"/>
  <c r="V54" i="3"/>
  <c r="W54" i="3" s="1"/>
  <c r="X53" i="3"/>
  <c r="V53" i="3"/>
  <c r="W53" i="3" s="1"/>
  <c r="X52" i="3"/>
  <c r="V52" i="3"/>
  <c r="W52" i="3" s="1"/>
  <c r="X51" i="3"/>
  <c r="V51" i="3"/>
  <c r="W51" i="3" s="1"/>
  <c r="X50" i="3"/>
  <c r="V50" i="3"/>
  <c r="W50" i="3" s="1"/>
  <c r="X49" i="3"/>
  <c r="V49" i="3"/>
  <c r="W49" i="3" s="1"/>
  <c r="X48" i="3"/>
  <c r="V48" i="3"/>
  <c r="W48" i="3" s="1"/>
  <c r="X47" i="3"/>
  <c r="V47" i="3"/>
  <c r="W47" i="3" s="1"/>
  <c r="X46" i="3"/>
  <c r="V46" i="3"/>
  <c r="W46" i="3" s="1"/>
  <c r="X45" i="3"/>
  <c r="V45" i="3"/>
  <c r="W45" i="3" s="1"/>
  <c r="X44" i="3"/>
  <c r="V44" i="3"/>
  <c r="X43" i="3"/>
  <c r="V43" i="3"/>
  <c r="X42" i="3"/>
  <c r="V42" i="3"/>
  <c r="W42" i="3" s="1"/>
  <c r="X41" i="3"/>
  <c r="V41" i="3"/>
  <c r="W41" i="3" s="1"/>
  <c r="X40" i="3"/>
  <c r="V40" i="3"/>
  <c r="W40" i="3" s="1"/>
  <c r="X39" i="3"/>
  <c r="V39" i="3"/>
  <c r="W39" i="3" s="1"/>
  <c r="X38" i="3"/>
  <c r="V38" i="3"/>
  <c r="W38" i="3" s="1"/>
  <c r="X37" i="3"/>
  <c r="V37" i="3"/>
  <c r="W37" i="3" s="1"/>
  <c r="X36" i="3"/>
  <c r="V36" i="3"/>
  <c r="W36" i="3" s="1"/>
  <c r="X35" i="3"/>
  <c r="V35" i="3"/>
  <c r="X34" i="3"/>
  <c r="V34" i="3"/>
  <c r="W34" i="3" s="1"/>
  <c r="X33" i="3"/>
  <c r="V33" i="3"/>
  <c r="W33" i="3" s="1"/>
  <c r="X32" i="3"/>
  <c r="V32" i="3"/>
  <c r="W32" i="3" s="1"/>
  <c r="X31" i="3"/>
  <c r="V31" i="3"/>
  <c r="W31" i="3" s="1"/>
  <c r="X30" i="3"/>
  <c r="V30" i="3"/>
  <c r="W30" i="3" s="1"/>
  <c r="X29" i="3"/>
  <c r="V29" i="3"/>
  <c r="W29" i="3" s="1"/>
  <c r="X28" i="3"/>
  <c r="V28" i="3"/>
  <c r="W28" i="3" s="1"/>
  <c r="X27" i="3"/>
  <c r="V27" i="3"/>
  <c r="X26" i="3"/>
  <c r="V26" i="3"/>
  <c r="W26" i="3" s="1"/>
  <c r="X25" i="3"/>
  <c r="V25" i="3"/>
  <c r="W25" i="3" s="1"/>
  <c r="X24" i="3"/>
  <c r="V24" i="3"/>
  <c r="W24" i="3" s="1"/>
  <c r="X23" i="3"/>
  <c r="V23" i="3"/>
  <c r="W23" i="3" s="1"/>
  <c r="X22" i="3"/>
  <c r="V22" i="3"/>
  <c r="W22" i="3" s="1"/>
  <c r="X21" i="3"/>
  <c r="V21" i="3"/>
  <c r="W21" i="3" s="1"/>
  <c r="X20" i="3"/>
  <c r="V20" i="3"/>
  <c r="W20" i="3" s="1"/>
  <c r="X19" i="3"/>
  <c r="V19" i="3"/>
  <c r="X18" i="3"/>
  <c r="V18" i="3"/>
  <c r="W18" i="3" s="1"/>
  <c r="V17" i="3"/>
  <c r="U12" i="3"/>
  <c r="Q12" i="3"/>
  <c r="L12" i="3"/>
  <c r="G82" i="3"/>
  <c r="G81" i="3"/>
  <c r="G80" i="3"/>
  <c r="G79" i="3"/>
  <c r="G78" i="3"/>
  <c r="G76" i="3"/>
  <c r="G75" i="3"/>
  <c r="G74" i="3"/>
  <c r="G73" i="3"/>
  <c r="G72" i="3"/>
  <c r="G70" i="3"/>
  <c r="G69" i="3"/>
  <c r="G68" i="3"/>
  <c r="G67" i="3"/>
  <c r="G66" i="3"/>
  <c r="G64" i="3"/>
  <c r="G63" i="3"/>
  <c r="G62" i="3"/>
  <c r="G61" i="3"/>
  <c r="G60" i="3"/>
  <c r="G58" i="3"/>
  <c r="G57" i="3"/>
  <c r="G56" i="3"/>
  <c r="G55" i="3"/>
  <c r="G54" i="3"/>
  <c r="G52" i="3"/>
  <c r="G51" i="3"/>
  <c r="G50" i="3"/>
  <c r="G49" i="3"/>
  <c r="G48" i="3"/>
  <c r="G46" i="3"/>
  <c r="G45" i="3"/>
  <c r="G44" i="3"/>
  <c r="G43" i="3"/>
  <c r="G42" i="3"/>
  <c r="G40" i="3"/>
  <c r="G39" i="3"/>
  <c r="G38" i="3"/>
  <c r="G37" i="3"/>
  <c r="G36" i="3"/>
  <c r="G34" i="3"/>
  <c r="G32" i="3"/>
  <c r="G30" i="3"/>
  <c r="G28" i="3"/>
  <c r="G26" i="3"/>
  <c r="G24" i="3"/>
  <c r="I16" i="22" l="1"/>
  <c r="I16" i="23"/>
  <c r="I40" i="22"/>
  <c r="I40" i="23"/>
  <c r="I83" i="5"/>
  <c r="I77" i="22"/>
  <c r="I77" i="23"/>
  <c r="I46" i="23"/>
  <c r="I46" i="22"/>
  <c r="I18" i="22"/>
  <c r="I18" i="23"/>
  <c r="I10" i="23"/>
  <c r="I10" i="22"/>
  <c r="I20" i="23"/>
  <c r="I20" i="22"/>
  <c r="I52" i="23"/>
  <c r="I52" i="22"/>
  <c r="I11" i="23"/>
  <c r="I11" i="22"/>
  <c r="I64" i="22"/>
  <c r="I64" i="23"/>
  <c r="I13" i="23"/>
  <c r="I13" i="22"/>
  <c r="I22" i="23"/>
  <c r="I22" i="22"/>
  <c r="I12" i="23"/>
  <c r="I12" i="22"/>
  <c r="I24" i="22"/>
  <c r="I24" i="23"/>
  <c r="I76" i="23"/>
  <c r="I76" i="22"/>
  <c r="I14" i="22"/>
  <c r="I14" i="23"/>
  <c r="I28" i="23"/>
  <c r="I28" i="22"/>
  <c r="I82" i="4"/>
  <c r="I78" i="23"/>
  <c r="I78" i="22"/>
  <c r="I26" i="22"/>
  <c r="I26" i="23"/>
  <c r="I19" i="4"/>
  <c r="I15" i="22"/>
  <c r="I15" i="23"/>
  <c r="I38" i="4"/>
  <c r="I34" i="23"/>
  <c r="I34" i="22"/>
  <c r="W35" i="3"/>
  <c r="L20" i="18"/>
  <c r="AC20" i="18" s="1"/>
  <c r="J20" i="12"/>
  <c r="I15" i="17"/>
  <c r="L20" i="6"/>
  <c r="AE19" i="10"/>
  <c r="L52" i="18"/>
  <c r="AC52" i="18" s="1"/>
  <c r="J52" i="12"/>
  <c r="I39" i="17"/>
  <c r="L52" i="6"/>
  <c r="AE43" i="10"/>
  <c r="I81" i="4"/>
  <c r="I22" i="5"/>
  <c r="I46" i="5"/>
  <c r="L23" i="18"/>
  <c r="AC23" i="18" s="1"/>
  <c r="J23" i="12"/>
  <c r="I17" i="17"/>
  <c r="AE21" i="10"/>
  <c r="L23" i="6"/>
  <c r="L59" i="18"/>
  <c r="AC59" i="18" s="1"/>
  <c r="J59" i="12"/>
  <c r="I45" i="17"/>
  <c r="AE49" i="10"/>
  <c r="L59" i="6"/>
  <c r="I20" i="4"/>
  <c r="I44" i="4"/>
  <c r="I24" i="5"/>
  <c r="I52" i="5"/>
  <c r="L14" i="18"/>
  <c r="AC14" i="18" s="1"/>
  <c r="AG14" i="18" s="1"/>
  <c r="J14" i="12"/>
  <c r="I9" i="17"/>
  <c r="L14" i="6"/>
  <c r="AE13" i="10"/>
  <c r="L26" i="18"/>
  <c r="AC26" i="18" s="1"/>
  <c r="J26" i="12"/>
  <c r="I19" i="17"/>
  <c r="L26" i="6"/>
  <c r="AE23" i="10"/>
  <c r="L66" i="18"/>
  <c r="J66" i="12"/>
  <c r="I51" i="17"/>
  <c r="L66" i="6"/>
  <c r="AE55" i="10"/>
  <c r="I22" i="4"/>
  <c r="I50" i="4"/>
  <c r="I16" i="5"/>
  <c r="I26" i="5"/>
  <c r="I58" i="5"/>
  <c r="L15" i="18"/>
  <c r="AC15" i="18" s="1"/>
  <c r="AG15" i="18" s="1"/>
  <c r="J15" i="12"/>
  <c r="I10" i="17"/>
  <c r="L15" i="6"/>
  <c r="AE14" i="10"/>
  <c r="L29" i="18"/>
  <c r="AC29" i="18" s="1"/>
  <c r="J29" i="12"/>
  <c r="I21" i="17"/>
  <c r="L29" i="6"/>
  <c r="AE25" i="10"/>
  <c r="L73" i="18"/>
  <c r="J73" i="12"/>
  <c r="I57" i="17"/>
  <c r="L73" i="6"/>
  <c r="AE61" i="10"/>
  <c r="I14" i="4"/>
  <c r="I24" i="4"/>
  <c r="I56" i="4"/>
  <c r="I17" i="5"/>
  <c r="I28" i="5"/>
  <c r="I64" i="5"/>
  <c r="L16" i="18"/>
  <c r="AC16" i="18" s="1"/>
  <c r="AG16" i="18" s="1"/>
  <c r="J16" i="12"/>
  <c r="I11" i="17"/>
  <c r="AE15" i="10"/>
  <c r="L16" i="6"/>
  <c r="L32" i="18"/>
  <c r="AC32" i="18" s="1"/>
  <c r="J32" i="12"/>
  <c r="I23" i="17"/>
  <c r="L32" i="6"/>
  <c r="AE27" i="10"/>
  <c r="L80" i="18"/>
  <c r="AC80" i="18" s="1"/>
  <c r="J80" i="12"/>
  <c r="I63" i="17"/>
  <c r="L80" i="6"/>
  <c r="AE67" i="10"/>
  <c r="I15" i="4"/>
  <c r="I26" i="4"/>
  <c r="I62" i="4"/>
  <c r="I18" i="5"/>
  <c r="I30" i="5"/>
  <c r="I70" i="5"/>
  <c r="L17" i="18"/>
  <c r="AC17" i="18" s="1"/>
  <c r="AG17" i="18" s="1"/>
  <c r="J17" i="12"/>
  <c r="I12" i="17"/>
  <c r="AE16" i="10"/>
  <c r="L17" i="6"/>
  <c r="L35" i="18"/>
  <c r="AC35" i="18" s="1"/>
  <c r="J35" i="12"/>
  <c r="I25" i="17"/>
  <c r="AE29" i="10"/>
  <c r="L35" i="6"/>
  <c r="L94" i="18"/>
  <c r="AC94" i="18" s="1"/>
  <c r="AG94" i="18" s="1"/>
  <c r="J94" i="12"/>
  <c r="I75" i="17"/>
  <c r="L94" i="6"/>
  <c r="AE79" i="10"/>
  <c r="I16" i="4"/>
  <c r="I28" i="4"/>
  <c r="I68" i="4"/>
  <c r="I19" i="5"/>
  <c r="I32" i="5"/>
  <c r="L18" i="18"/>
  <c r="AC18" i="18" s="1"/>
  <c r="AG18" i="18" s="1"/>
  <c r="J18" i="12"/>
  <c r="I13" i="17"/>
  <c r="L18" i="6"/>
  <c r="AE17" i="10"/>
  <c r="L38" i="18"/>
  <c r="AC38" i="18" s="1"/>
  <c r="J38" i="12"/>
  <c r="I27" i="17"/>
  <c r="L38" i="6"/>
  <c r="AE31" i="10"/>
  <c r="L95" i="18"/>
  <c r="AC95" i="18" s="1"/>
  <c r="AG95" i="18" s="1"/>
  <c r="J95" i="12"/>
  <c r="I76" i="17"/>
  <c r="L95" i="6"/>
  <c r="AE80" i="10"/>
  <c r="W43" i="3"/>
  <c r="I17" i="4"/>
  <c r="I30" i="4"/>
  <c r="I20" i="5"/>
  <c r="I34" i="5"/>
  <c r="I82" i="5"/>
  <c r="L19" i="18"/>
  <c r="AC19" i="18" s="1"/>
  <c r="AG19" i="18" s="1"/>
  <c r="J19" i="12"/>
  <c r="I14" i="17"/>
  <c r="L19" i="6"/>
  <c r="AE18" i="10"/>
  <c r="L45" i="18"/>
  <c r="AC45" i="18" s="1"/>
  <c r="J45" i="12"/>
  <c r="I33" i="17"/>
  <c r="L45" i="6"/>
  <c r="AE37" i="10"/>
  <c r="L96" i="18"/>
  <c r="AC96" i="18" s="1"/>
  <c r="AG96" i="18" s="1"/>
  <c r="J96" i="12"/>
  <c r="I77" i="17"/>
  <c r="AE81" i="10"/>
  <c r="L96" i="6"/>
  <c r="I18" i="4"/>
  <c r="I32" i="4"/>
  <c r="I80" i="4"/>
  <c r="I21" i="5"/>
  <c r="I40" i="5"/>
  <c r="I84" i="5"/>
  <c r="W27" i="3"/>
  <c r="W58" i="3"/>
  <c r="W75" i="3"/>
  <c r="W76" i="3"/>
  <c r="W19" i="3"/>
  <c r="W73" i="3"/>
  <c r="W44" i="3"/>
  <c r="W57" i="3"/>
  <c r="W74" i="3"/>
  <c r="D86" i="5"/>
  <c r="O84" i="1"/>
  <c r="N9" i="1"/>
  <c r="I83" i="1"/>
  <c r="U96" i="18" s="1"/>
  <c r="B96" i="7"/>
  <c r="B95" i="7"/>
  <c r="AK96" i="12" l="1"/>
  <c r="AG45" i="18"/>
  <c r="AG51" i="18" s="1"/>
  <c r="AC51" i="18"/>
  <c r="M29" i="19"/>
  <c r="AC29" i="19" s="1"/>
  <c r="M29" i="9"/>
  <c r="AC29" i="9" s="1"/>
  <c r="AK29" i="9" s="1"/>
  <c r="AC29" i="6"/>
  <c r="AG29" i="6" s="1"/>
  <c r="M94" i="19"/>
  <c r="AC94" i="19" s="1"/>
  <c r="AK94" i="19" s="1"/>
  <c r="AC94" i="6"/>
  <c r="AG94" i="6" s="1"/>
  <c r="M94" i="9"/>
  <c r="AC94" i="9" s="1"/>
  <c r="AK94" i="9" s="1"/>
  <c r="AG35" i="18"/>
  <c r="AG37" i="18" s="1"/>
  <c r="AC37" i="18"/>
  <c r="AC86" i="18"/>
  <c r="AG80" i="18"/>
  <c r="AG86" i="18" s="1"/>
  <c r="M14" i="19"/>
  <c r="AC14" i="19" s="1"/>
  <c r="AK14" i="19" s="1"/>
  <c r="M14" i="9"/>
  <c r="AC14" i="9" s="1"/>
  <c r="AK14" i="9" s="1"/>
  <c r="AC14" i="6"/>
  <c r="AG14" i="6" s="1"/>
  <c r="M59" i="19"/>
  <c r="AC59" i="19" s="1"/>
  <c r="M59" i="9"/>
  <c r="AC59" i="9" s="1"/>
  <c r="AK59" i="9" s="1"/>
  <c r="AC59" i="6"/>
  <c r="AG59" i="6" s="1"/>
  <c r="M19" i="19"/>
  <c r="AC19" i="19" s="1"/>
  <c r="AK19" i="19" s="1"/>
  <c r="M19" i="9"/>
  <c r="AC19" i="9" s="1"/>
  <c r="AK19" i="9" s="1"/>
  <c r="AC19" i="6"/>
  <c r="AG19" i="6" s="1"/>
  <c r="M38" i="19"/>
  <c r="AC38" i="19" s="1"/>
  <c r="M38" i="9"/>
  <c r="AC38" i="9" s="1"/>
  <c r="AK38" i="9" s="1"/>
  <c r="AC38" i="6"/>
  <c r="AG38" i="6" s="1"/>
  <c r="M17" i="19"/>
  <c r="AC17" i="19" s="1"/>
  <c r="AK17" i="19" s="1"/>
  <c r="M17" i="9"/>
  <c r="AC17" i="9" s="1"/>
  <c r="AK17" i="9" s="1"/>
  <c r="AC17" i="6"/>
  <c r="AG17" i="6" s="1"/>
  <c r="AC25" i="18"/>
  <c r="AG23" i="18"/>
  <c r="AG25" i="18" s="1"/>
  <c r="AG52" i="18"/>
  <c r="AG58" i="18" s="1"/>
  <c r="AC58" i="18"/>
  <c r="M32" i="19"/>
  <c r="AC32" i="19" s="1"/>
  <c r="M32" i="9"/>
  <c r="AC32" i="9" s="1"/>
  <c r="AC32" i="6"/>
  <c r="M73" i="19"/>
  <c r="M73" i="9"/>
  <c r="AG29" i="18"/>
  <c r="AG31" i="18" s="1"/>
  <c r="AC31" i="18"/>
  <c r="M26" i="19"/>
  <c r="AC26" i="19" s="1"/>
  <c r="M26" i="9"/>
  <c r="AC26" i="9" s="1"/>
  <c r="AK26" i="9" s="1"/>
  <c r="AC26" i="6"/>
  <c r="AG26" i="6" s="1"/>
  <c r="M20" i="19"/>
  <c r="AC20" i="19" s="1"/>
  <c r="M20" i="9"/>
  <c r="AC20" i="9" s="1"/>
  <c r="AK20" i="9" s="1"/>
  <c r="AC20" i="6"/>
  <c r="AG20" i="6" s="1"/>
  <c r="M45" i="19"/>
  <c r="AC45" i="19" s="1"/>
  <c r="M45" i="9"/>
  <c r="AC45" i="9" s="1"/>
  <c r="AK45" i="9" s="1"/>
  <c r="AC45" i="6"/>
  <c r="AG45" i="6" s="1"/>
  <c r="M95" i="19"/>
  <c r="AC95" i="19" s="1"/>
  <c r="AK95" i="19" s="1"/>
  <c r="M95" i="9"/>
  <c r="AC95" i="9" s="1"/>
  <c r="AK95" i="9" s="1"/>
  <c r="AC95" i="6"/>
  <c r="AG95" i="6" s="1"/>
  <c r="AC44" i="18"/>
  <c r="AG38" i="18"/>
  <c r="AG44" i="18" s="1"/>
  <c r="M35" i="19"/>
  <c r="AC35" i="19" s="1"/>
  <c r="M35" i="9"/>
  <c r="AC35" i="9" s="1"/>
  <c r="AK35" i="9" s="1"/>
  <c r="AC35" i="6"/>
  <c r="AG35" i="6" s="1"/>
  <c r="AC15" i="6"/>
  <c r="AG15" i="6" s="1"/>
  <c r="M15" i="19"/>
  <c r="AC15" i="19" s="1"/>
  <c r="AK15" i="19" s="1"/>
  <c r="M15" i="9"/>
  <c r="AC15" i="9" s="1"/>
  <c r="AK15" i="9" s="1"/>
  <c r="AG59" i="18"/>
  <c r="AG65" i="18" s="1"/>
  <c r="AC65" i="18"/>
  <c r="M80" i="19"/>
  <c r="AC80" i="19" s="1"/>
  <c r="M80" i="9"/>
  <c r="AC80" i="9" s="1"/>
  <c r="AC80" i="6"/>
  <c r="AC34" i="18"/>
  <c r="AG32" i="18"/>
  <c r="AG34" i="18" s="1"/>
  <c r="M23" i="19"/>
  <c r="AC23" i="19" s="1"/>
  <c r="M23" i="9"/>
  <c r="AC23" i="9" s="1"/>
  <c r="AC23" i="6"/>
  <c r="M96" i="19"/>
  <c r="AC96" i="19" s="1"/>
  <c r="AK96" i="19" s="1"/>
  <c r="M96" i="9"/>
  <c r="AC96" i="9" s="1"/>
  <c r="AK96" i="9" s="1"/>
  <c r="AC96" i="6"/>
  <c r="AG96" i="6" s="1"/>
  <c r="M18" i="19"/>
  <c r="AC18" i="19" s="1"/>
  <c r="AK18" i="19" s="1"/>
  <c r="M18" i="9"/>
  <c r="AC18" i="9" s="1"/>
  <c r="AK18" i="9" s="1"/>
  <c r="AC18" i="6"/>
  <c r="AG18" i="6" s="1"/>
  <c r="M16" i="19"/>
  <c r="AC16" i="19" s="1"/>
  <c r="AK16" i="19" s="1"/>
  <c r="M16" i="9"/>
  <c r="AC16" i="6"/>
  <c r="AG16" i="6" s="1"/>
  <c r="M66" i="19"/>
  <c r="M66" i="9"/>
  <c r="AG26" i="18"/>
  <c r="AG28" i="18" s="1"/>
  <c r="AC28" i="18"/>
  <c r="M52" i="19"/>
  <c r="AC52" i="19" s="1"/>
  <c r="AC52" i="6"/>
  <c r="AG52" i="6" s="1"/>
  <c r="M52" i="9"/>
  <c r="AC52" i="9" s="1"/>
  <c r="AK52" i="9" s="1"/>
  <c r="AG20" i="18"/>
  <c r="AG22" i="18" s="1"/>
  <c r="AC22" i="18"/>
  <c r="G96" i="12"/>
  <c r="X96" i="12" s="1"/>
  <c r="U96" i="6"/>
  <c r="V96" i="19" s="1"/>
  <c r="D97" i="12"/>
  <c r="E97" i="12"/>
  <c r="AD96" i="12" l="1"/>
  <c r="AA96" i="12"/>
  <c r="AC86" i="9"/>
  <c r="AK80" i="9"/>
  <c r="AK86" i="9" s="1"/>
  <c r="AC25" i="6"/>
  <c r="AG23" i="6"/>
  <c r="AG25" i="6" s="1"/>
  <c r="AC86" i="19"/>
  <c r="AK80" i="19"/>
  <c r="AK86" i="19" s="1"/>
  <c r="AC37" i="19"/>
  <c r="AK35" i="19"/>
  <c r="AK37" i="19" s="1"/>
  <c r="AK45" i="19"/>
  <c r="AK51" i="19" s="1"/>
  <c r="AC51" i="19"/>
  <c r="AC58" i="19"/>
  <c r="AK52" i="19"/>
  <c r="AK58" i="19" s="1"/>
  <c r="AK23" i="9"/>
  <c r="AK25" i="9" s="1"/>
  <c r="AC25" i="9"/>
  <c r="AC44" i="19"/>
  <c r="AK38" i="19"/>
  <c r="AK44" i="19" s="1"/>
  <c r="AC25" i="19"/>
  <c r="AK23" i="19"/>
  <c r="AK25" i="19" s="1"/>
  <c r="AC65" i="19"/>
  <c r="AK59" i="19"/>
  <c r="AK65" i="19" s="1"/>
  <c r="AK20" i="19"/>
  <c r="AK22" i="19" s="1"/>
  <c r="AC22" i="19"/>
  <c r="AG32" i="6"/>
  <c r="AG34" i="6" s="1"/>
  <c r="AC34" i="6"/>
  <c r="AC31" i="19"/>
  <c r="AK29" i="19"/>
  <c r="AK31" i="19" s="1"/>
  <c r="AK32" i="9"/>
  <c r="AK34" i="9" s="1"/>
  <c r="AC34" i="9"/>
  <c r="AC86" i="6"/>
  <c r="AG80" i="6"/>
  <c r="AG86" i="6" s="1"/>
  <c r="AC28" i="19"/>
  <c r="AK26" i="19"/>
  <c r="AK28" i="19" s="1"/>
  <c r="AC34" i="19"/>
  <c r="AK32" i="19"/>
  <c r="AK34" i="19" s="1"/>
  <c r="V96" i="9"/>
  <c r="N96" i="7"/>
  <c r="E82" i="4"/>
  <c r="E81" i="4"/>
  <c r="E80"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5" i="4"/>
  <c r="E24" i="4"/>
  <c r="E23" i="4"/>
  <c r="E22" i="4"/>
  <c r="E21" i="4"/>
  <c r="E20" i="4"/>
  <c r="E19" i="4"/>
  <c r="E18" i="4"/>
  <c r="E17" i="4"/>
  <c r="E16" i="4"/>
  <c r="E15" i="4"/>
  <c r="E14" i="4"/>
  <c r="J82" i="4"/>
  <c r="J81" i="4"/>
  <c r="J80" i="4"/>
  <c r="J74" i="4"/>
  <c r="J68" i="4"/>
  <c r="J50" i="4"/>
  <c r="J44" i="4"/>
  <c r="J38" i="4"/>
  <c r="J32" i="4"/>
  <c r="J30" i="4"/>
  <c r="J28" i="4"/>
  <c r="J26" i="4"/>
  <c r="J24" i="4"/>
  <c r="J22" i="4"/>
  <c r="J20" i="4"/>
  <c r="J19" i="4"/>
  <c r="J18" i="4"/>
  <c r="J17" i="4"/>
  <c r="J16" i="4"/>
  <c r="J15" i="4"/>
  <c r="J14" i="4"/>
  <c r="D82" i="4"/>
  <c r="D81" i="4"/>
  <c r="D80" i="4"/>
  <c r="D79" i="4"/>
  <c r="D78" i="4"/>
  <c r="D77" i="4"/>
  <c r="D76" i="4"/>
  <c r="D75" i="4"/>
  <c r="D74" i="4"/>
  <c r="D73" i="4"/>
  <c r="D72" i="4"/>
  <c r="D71" i="4"/>
  <c r="D70" i="4"/>
  <c r="D69" i="4"/>
  <c r="D68" i="4"/>
  <c r="D67" i="4"/>
  <c r="D66" i="4"/>
  <c r="D65" i="4"/>
  <c r="D64" i="4"/>
  <c r="D63" i="4"/>
  <c r="D62" i="4"/>
  <c r="D61" i="4"/>
  <c r="D60" i="4"/>
  <c r="D59" i="4"/>
  <c r="D58" i="4"/>
  <c r="D57" i="4"/>
  <c r="D56" i="4"/>
  <c r="D55" i="4"/>
  <c r="D54" i="4"/>
  <c r="D53" i="4"/>
  <c r="D52" i="4"/>
  <c r="D51" i="4"/>
  <c r="D50" i="4"/>
  <c r="D49" i="4"/>
  <c r="D48" i="4"/>
  <c r="D47" i="4"/>
  <c r="D46" i="4"/>
  <c r="D45" i="4"/>
  <c r="D44" i="4"/>
  <c r="D43" i="4"/>
  <c r="D42" i="4"/>
  <c r="D41" i="4"/>
  <c r="D40" i="4"/>
  <c r="D39" i="4"/>
  <c r="D38" i="4"/>
  <c r="D37" i="4"/>
  <c r="D36" i="4"/>
  <c r="D35" i="4"/>
  <c r="D34" i="4"/>
  <c r="D33" i="4"/>
  <c r="D32" i="4"/>
  <c r="D31" i="4"/>
  <c r="D30" i="4"/>
  <c r="D29" i="4"/>
  <c r="D28" i="4"/>
  <c r="D27" i="4"/>
  <c r="D26" i="4"/>
  <c r="D25" i="4"/>
  <c r="D24" i="4"/>
  <c r="D23" i="4"/>
  <c r="D22" i="4"/>
  <c r="D21" i="4"/>
  <c r="D20" i="4"/>
  <c r="D19" i="4"/>
  <c r="D18" i="4"/>
  <c r="D17" i="4"/>
  <c r="D16" i="4"/>
  <c r="D15" i="4"/>
  <c r="D14" i="4"/>
  <c r="B74" i="4"/>
  <c r="B68" i="4"/>
  <c r="B30" i="4"/>
  <c r="B32" i="4"/>
  <c r="B28" i="4"/>
  <c r="B26" i="4"/>
  <c r="B22" i="4"/>
  <c r="B15" i="4"/>
  <c r="B16" i="4"/>
  <c r="B17" i="4"/>
  <c r="B18" i="4"/>
  <c r="B19" i="4"/>
  <c r="B14" i="4"/>
  <c r="J81" i="10"/>
  <c r="D82" i="11" s="1"/>
  <c r="K96" i="12" s="1"/>
  <c r="M96" i="12" l="1"/>
  <c r="H14" i="4"/>
  <c r="H20" i="4"/>
  <c r="N81" i="10"/>
  <c r="H96" i="6" s="1"/>
  <c r="E84" i="5"/>
  <c r="H67" i="4"/>
  <c r="E70" i="3"/>
  <c r="E31" i="3"/>
  <c r="H28" i="4"/>
  <c r="E39" i="3"/>
  <c r="H36" i="4"/>
  <c r="H21" i="4"/>
  <c r="F24" i="3" s="1"/>
  <c r="E24" i="3"/>
  <c r="H29" i="4"/>
  <c r="E32" i="3"/>
  <c r="E40" i="3"/>
  <c r="H37" i="4"/>
  <c r="H45" i="4"/>
  <c r="F48" i="3" s="1"/>
  <c r="E48" i="3"/>
  <c r="H53" i="4"/>
  <c r="F56" i="3" s="1"/>
  <c r="E56" i="3"/>
  <c r="E64" i="3"/>
  <c r="H61" i="4"/>
  <c r="H69" i="4"/>
  <c r="E72" i="3"/>
  <c r="H43" i="4"/>
  <c r="E46" i="3"/>
  <c r="E47" i="3"/>
  <c r="H44" i="4"/>
  <c r="E17" i="3"/>
  <c r="E25" i="3"/>
  <c r="H22" i="4"/>
  <c r="F25" i="3" s="1"/>
  <c r="E33" i="3"/>
  <c r="H30" i="4"/>
  <c r="F33" i="3" s="1"/>
  <c r="H38" i="4"/>
  <c r="E41" i="3"/>
  <c r="E49" i="3"/>
  <c r="H46" i="4"/>
  <c r="F49" i="3" s="1"/>
  <c r="E57" i="3"/>
  <c r="H54" i="4"/>
  <c r="F57" i="3" s="1"/>
  <c r="E65" i="3"/>
  <c r="H62" i="4"/>
  <c r="F65" i="3" s="1"/>
  <c r="E73" i="3"/>
  <c r="H70" i="4"/>
  <c r="H59" i="4"/>
  <c r="F62" i="3" s="1"/>
  <c r="E62" i="3"/>
  <c r="E71" i="3"/>
  <c r="H68" i="4"/>
  <c r="H15" i="4"/>
  <c r="F18" i="3" s="1"/>
  <c r="E18" i="3"/>
  <c r="H23" i="4"/>
  <c r="F26" i="3" s="1"/>
  <c r="E26" i="3"/>
  <c r="H31" i="4"/>
  <c r="F34" i="3" s="1"/>
  <c r="E34" i="3"/>
  <c r="H39" i="4"/>
  <c r="F42" i="3" s="1"/>
  <c r="E42" i="3"/>
  <c r="H47" i="4"/>
  <c r="F50" i="3" s="1"/>
  <c r="E50" i="3"/>
  <c r="H55" i="4"/>
  <c r="E58" i="3"/>
  <c r="H63" i="4"/>
  <c r="F66" i="3" s="1"/>
  <c r="E66" i="3"/>
  <c r="H71" i="4"/>
  <c r="E74" i="3"/>
  <c r="H35" i="4"/>
  <c r="F38" i="3" s="1"/>
  <c r="E38" i="3"/>
  <c r="E55" i="3"/>
  <c r="H52" i="4"/>
  <c r="F55" i="3" s="1"/>
  <c r="H16" i="4"/>
  <c r="F19" i="3" s="1"/>
  <c r="E19" i="3"/>
  <c r="H24" i="4"/>
  <c r="E27" i="3"/>
  <c r="H32" i="4"/>
  <c r="F35" i="3" s="1"/>
  <c r="E35" i="3"/>
  <c r="H40" i="4"/>
  <c r="F43" i="3" s="1"/>
  <c r="E43" i="3"/>
  <c r="H48" i="4"/>
  <c r="E51" i="3"/>
  <c r="H56" i="4"/>
  <c r="F59" i="3" s="1"/>
  <c r="E59" i="3"/>
  <c r="H64" i="4"/>
  <c r="E67" i="3"/>
  <c r="H72" i="4"/>
  <c r="E75" i="3"/>
  <c r="H80" i="4"/>
  <c r="E83" i="3"/>
  <c r="E23" i="3"/>
  <c r="F23" i="3"/>
  <c r="E63" i="3"/>
  <c r="H60" i="4"/>
  <c r="H17" i="4"/>
  <c r="F20" i="3" s="1"/>
  <c r="E20" i="3"/>
  <c r="H25" i="4"/>
  <c r="E28" i="3"/>
  <c r="H33" i="4"/>
  <c r="F36" i="3" s="1"/>
  <c r="E36" i="3"/>
  <c r="E44" i="3"/>
  <c r="H41" i="4"/>
  <c r="F44" i="3" s="1"/>
  <c r="H49" i="4"/>
  <c r="E52" i="3"/>
  <c r="H57" i="4"/>
  <c r="F60" i="3" s="1"/>
  <c r="E60" i="3"/>
  <c r="H65" i="4"/>
  <c r="E68" i="3"/>
  <c r="E76" i="3"/>
  <c r="H73" i="4"/>
  <c r="H81" i="4"/>
  <c r="E84" i="3"/>
  <c r="H19" i="4"/>
  <c r="F22" i="3" s="1"/>
  <c r="E22" i="3"/>
  <c r="H51" i="4"/>
  <c r="F54" i="3" s="1"/>
  <c r="E54" i="3"/>
  <c r="H18" i="4"/>
  <c r="F21" i="3" s="1"/>
  <c r="E21" i="3"/>
  <c r="H34" i="4"/>
  <c r="F37" i="3" s="1"/>
  <c r="E37" i="3"/>
  <c r="H42" i="4"/>
  <c r="E45" i="3"/>
  <c r="H50" i="4"/>
  <c r="E53" i="3"/>
  <c r="H58" i="4"/>
  <c r="F61" i="3" s="1"/>
  <c r="E61" i="3"/>
  <c r="H66" i="4"/>
  <c r="E69" i="3"/>
  <c r="H82" i="4"/>
  <c r="E85" i="3"/>
  <c r="D84" i="4"/>
  <c r="R82" i="1"/>
  <c r="R75" i="1"/>
  <c r="R69" i="1"/>
  <c r="R63" i="1"/>
  <c r="R57" i="1"/>
  <c r="R51" i="1"/>
  <c r="R45" i="1"/>
  <c r="R39" i="1"/>
  <c r="R33" i="1"/>
  <c r="R31" i="1"/>
  <c r="R29" i="1"/>
  <c r="R27" i="1"/>
  <c r="R25" i="1"/>
  <c r="R23" i="1"/>
  <c r="R21" i="1"/>
  <c r="R20" i="1"/>
  <c r="R19" i="1"/>
  <c r="R18" i="1"/>
  <c r="R17" i="1"/>
  <c r="R16" i="1"/>
  <c r="R15" i="1"/>
  <c r="Q82" i="1"/>
  <c r="Z18" i="2" s="1"/>
  <c r="Q83" i="1"/>
  <c r="AA18" i="2" s="1"/>
  <c r="Q81" i="1"/>
  <c r="Q69" i="1"/>
  <c r="W18" i="2" s="1"/>
  <c r="Q63" i="1"/>
  <c r="V18" i="2" s="1"/>
  <c r="Q57" i="1"/>
  <c r="U18" i="2" s="1"/>
  <c r="Q51" i="1"/>
  <c r="T18" i="2" s="1"/>
  <c r="Q45" i="1"/>
  <c r="S18" i="2" s="1"/>
  <c r="Q39" i="1"/>
  <c r="R18" i="2" s="1"/>
  <c r="Q33" i="1"/>
  <c r="Q18" i="2" s="1"/>
  <c r="Q31" i="1"/>
  <c r="P18" i="2" s="1"/>
  <c r="Q29" i="1"/>
  <c r="O18" i="2" s="1"/>
  <c r="Q25" i="1"/>
  <c r="M18" i="2" s="1"/>
  <c r="Q23" i="1"/>
  <c r="L18" i="2" s="1"/>
  <c r="Q21" i="1"/>
  <c r="K18" i="2" s="1"/>
  <c r="Q20" i="1"/>
  <c r="J18" i="2" s="1"/>
  <c r="Q19" i="1"/>
  <c r="I18" i="2" s="1"/>
  <c r="Q18" i="1"/>
  <c r="H18" i="2" s="1"/>
  <c r="Q17" i="1"/>
  <c r="G18" i="2" s="1"/>
  <c r="Q16" i="1"/>
  <c r="F18" i="2" s="1"/>
  <c r="Q15" i="1"/>
  <c r="E18" i="2" s="1"/>
  <c r="Y96" i="12" l="1"/>
  <c r="BB65" i="12"/>
  <c r="AI96" i="12"/>
  <c r="T66" i="18"/>
  <c r="G51" i="17"/>
  <c r="T66" i="6"/>
  <c r="J58" i="5"/>
  <c r="J56" i="4"/>
  <c r="AH96" i="12"/>
  <c r="AN96" i="12"/>
  <c r="S96" i="12"/>
  <c r="L39" i="20" s="1"/>
  <c r="F73" i="3"/>
  <c r="F69" i="3"/>
  <c r="F52" i="3"/>
  <c r="F75" i="3"/>
  <c r="F58" i="3"/>
  <c r="F39" i="3"/>
  <c r="F67" i="3"/>
  <c r="F46" i="3"/>
  <c r="F71" i="3"/>
  <c r="F40" i="3"/>
  <c r="F31" i="3"/>
  <c r="F76" i="3"/>
  <c r="F63" i="3"/>
  <c r="F68" i="3"/>
  <c r="F74" i="3"/>
  <c r="F72" i="3"/>
  <c r="F64" i="3"/>
  <c r="F45" i="3"/>
  <c r="F28" i="3"/>
  <c r="F83" i="3"/>
  <c r="F51" i="3"/>
  <c r="F32" i="3"/>
  <c r="F70" i="3"/>
  <c r="I96" i="9"/>
  <c r="X96" i="9" s="1"/>
  <c r="W96" i="6"/>
  <c r="K81" i="4"/>
  <c r="G84" i="3" s="1"/>
  <c r="F84" i="3"/>
  <c r="F17" i="3"/>
  <c r="F27" i="3"/>
  <c r="F53" i="3"/>
  <c r="F41" i="3"/>
  <c r="F47" i="3"/>
  <c r="F85" i="3"/>
  <c r="R84" i="1"/>
  <c r="I78" i="10"/>
  <c r="M74" i="17" s="1"/>
  <c r="I77" i="10"/>
  <c r="M73" i="17" s="1"/>
  <c r="I76" i="10"/>
  <c r="M72" i="17" s="1"/>
  <c r="I75" i="10"/>
  <c r="M71" i="17" s="1"/>
  <c r="I74" i="10"/>
  <c r="M70" i="17" s="1"/>
  <c r="I73" i="10"/>
  <c r="M69" i="17" s="1"/>
  <c r="E78" i="10"/>
  <c r="E77" i="10"/>
  <c r="E76" i="10"/>
  <c r="E75" i="10"/>
  <c r="E74" i="10"/>
  <c r="E73" i="10"/>
  <c r="J69" i="17" s="1"/>
  <c r="I30" i="10"/>
  <c r="M26" i="17" s="1"/>
  <c r="N26" i="17" s="1"/>
  <c r="I29" i="10"/>
  <c r="M25" i="17" s="1"/>
  <c r="N25" i="17" s="1"/>
  <c r="E26" i="10"/>
  <c r="E25" i="10"/>
  <c r="J21" i="17" s="1"/>
  <c r="H14" i="10"/>
  <c r="X38" i="14" l="1"/>
  <c r="V39" i="21"/>
  <c r="BF65" i="12"/>
  <c r="BG65" i="12"/>
  <c r="L39" i="13"/>
  <c r="AE96" i="12"/>
  <c r="AR96" i="12" s="1"/>
  <c r="T73" i="18"/>
  <c r="G57" i="17"/>
  <c r="T73" i="6"/>
  <c r="J64" i="5"/>
  <c r="J62" i="4"/>
  <c r="J84" i="4" s="1"/>
  <c r="U66" i="19"/>
  <c r="U66" i="9"/>
  <c r="M66" i="7"/>
  <c r="X66" i="6"/>
  <c r="AC66" i="6"/>
  <c r="X66" i="18"/>
  <c r="X72" i="18" s="1"/>
  <c r="AC66" i="18"/>
  <c r="N69" i="17"/>
  <c r="E75" i="4"/>
  <c r="J70" i="17"/>
  <c r="N70" i="17" s="1"/>
  <c r="E76" i="4"/>
  <c r="J71" i="17"/>
  <c r="N71" i="17" s="1"/>
  <c r="H15" i="10"/>
  <c r="K10" i="17"/>
  <c r="AG10" i="17" s="1"/>
  <c r="AY10" i="17" s="1"/>
  <c r="E77" i="4"/>
  <c r="J72" i="17"/>
  <c r="N72" i="17" s="1"/>
  <c r="E78" i="4"/>
  <c r="J73" i="17"/>
  <c r="N73" i="17" s="1"/>
  <c r="E27" i="4"/>
  <c r="E30" i="3" s="1"/>
  <c r="J22" i="17"/>
  <c r="E79" i="4"/>
  <c r="J74" i="17"/>
  <c r="N74" i="17" s="1"/>
  <c r="E74" i="4"/>
  <c r="Q75" i="1"/>
  <c r="X18" i="2" s="1"/>
  <c r="E26" i="4"/>
  <c r="Q27" i="1"/>
  <c r="G85" i="3"/>
  <c r="J13" i="10"/>
  <c r="J80" i="10"/>
  <c r="D81" i="11" s="1"/>
  <c r="K95" i="12" s="1"/>
  <c r="F14" i="10"/>
  <c r="J72" i="10"/>
  <c r="D73" i="11" s="1"/>
  <c r="K85" i="12" s="1"/>
  <c r="J71" i="10"/>
  <c r="D72" i="11" s="1"/>
  <c r="K84" i="12" s="1"/>
  <c r="J70" i="10"/>
  <c r="D71" i="11" s="1"/>
  <c r="K83" i="12" s="1"/>
  <c r="J69" i="10"/>
  <c r="D70" i="11" s="1"/>
  <c r="K82" i="12" s="1"/>
  <c r="J68" i="10"/>
  <c r="D69" i="11" s="1"/>
  <c r="K81" i="12" s="1"/>
  <c r="J67" i="10"/>
  <c r="D68" i="11" s="1"/>
  <c r="K80" i="12" s="1"/>
  <c r="J28" i="10"/>
  <c r="D29" i="11" s="1"/>
  <c r="K33" i="12" s="1"/>
  <c r="J27" i="10"/>
  <c r="D28" i="11" s="1"/>
  <c r="K32" i="12" s="1"/>
  <c r="F26" i="10"/>
  <c r="F25" i="10"/>
  <c r="AG66" i="6" l="1"/>
  <c r="Y66" i="9"/>
  <c r="AC66" i="9"/>
  <c r="Y66" i="19"/>
  <c r="Y72" i="19" s="1"/>
  <c r="AC66" i="19"/>
  <c r="AG66" i="18"/>
  <c r="AG72" i="18" s="1"/>
  <c r="AC72" i="18"/>
  <c r="U73" i="19"/>
  <c r="U73" i="9"/>
  <c r="M73" i="7"/>
  <c r="X73" i="6"/>
  <c r="AC73" i="6"/>
  <c r="X73" i="18"/>
  <c r="X79" i="18" s="1"/>
  <c r="X3" i="18" s="1"/>
  <c r="AC73" i="18"/>
  <c r="H77" i="4"/>
  <c r="F80" i="3" s="1"/>
  <c r="H76" i="4"/>
  <c r="F79" i="3" s="1"/>
  <c r="H79" i="4"/>
  <c r="F82" i="3" s="1"/>
  <c r="H78" i="4"/>
  <c r="F81" i="3" s="1"/>
  <c r="H75" i="4"/>
  <c r="F78" i="3" s="1"/>
  <c r="E78" i="3"/>
  <c r="H27" i="4"/>
  <c r="F30" i="3" s="1"/>
  <c r="E79" i="3"/>
  <c r="E82" i="3"/>
  <c r="E80" i="3"/>
  <c r="E81" i="3"/>
  <c r="N13" i="10"/>
  <c r="H14" i="6" s="1"/>
  <c r="W14" i="6" s="1"/>
  <c r="Z14" i="6" s="1"/>
  <c r="D14" i="11"/>
  <c r="K14" i="12" s="1"/>
  <c r="H16" i="10"/>
  <c r="K11" i="17"/>
  <c r="AG11" i="17" s="1"/>
  <c r="AY11" i="17" s="1"/>
  <c r="D26" i="11"/>
  <c r="K29" i="12" s="1"/>
  <c r="L21" i="17"/>
  <c r="J26" i="10"/>
  <c r="D27" i="11" s="1"/>
  <c r="K30" i="12" s="1"/>
  <c r="L22" i="17"/>
  <c r="J14" i="10"/>
  <c r="D15" i="11" s="1"/>
  <c r="K15" i="12" s="1"/>
  <c r="L10" i="17"/>
  <c r="E16" i="5"/>
  <c r="E31" i="5"/>
  <c r="N28" i="10"/>
  <c r="H33" i="6" s="1"/>
  <c r="E30" i="5"/>
  <c r="N27" i="10"/>
  <c r="H32" i="6" s="1"/>
  <c r="E77" i="3"/>
  <c r="H74" i="4"/>
  <c r="E71" i="5"/>
  <c r="N68" i="10"/>
  <c r="H81" i="6" s="1"/>
  <c r="E28" i="5"/>
  <c r="H29" i="6"/>
  <c r="E73" i="5"/>
  <c r="N70" i="10"/>
  <c r="H83" i="6" s="1"/>
  <c r="E83" i="5"/>
  <c r="N80" i="10"/>
  <c r="H95" i="6" s="1"/>
  <c r="E70" i="5"/>
  <c r="N67" i="10"/>
  <c r="H80" i="6" s="1"/>
  <c r="E72" i="5"/>
  <c r="N69" i="10"/>
  <c r="H82" i="6" s="1"/>
  <c r="E74" i="5"/>
  <c r="N71" i="10"/>
  <c r="H84" i="6" s="1"/>
  <c r="N18" i="2"/>
  <c r="Q84" i="1"/>
  <c r="E75" i="5"/>
  <c r="N72" i="10"/>
  <c r="H85" i="6" s="1"/>
  <c r="H26" i="4"/>
  <c r="E29" i="3"/>
  <c r="D84" i="3"/>
  <c r="D85" i="3"/>
  <c r="D82" i="3"/>
  <c r="D81" i="3"/>
  <c r="J81" i="3" s="1"/>
  <c r="D80" i="3"/>
  <c r="D79" i="3"/>
  <c r="D78" i="3"/>
  <c r="D77" i="3"/>
  <c r="D76" i="3"/>
  <c r="D75" i="3"/>
  <c r="D74" i="3"/>
  <c r="D73" i="3"/>
  <c r="D72" i="3"/>
  <c r="D71" i="3"/>
  <c r="B77" i="3"/>
  <c r="B71" i="3"/>
  <c r="D58" i="3"/>
  <c r="D57" i="3"/>
  <c r="D56" i="3"/>
  <c r="D55" i="3"/>
  <c r="D54" i="3"/>
  <c r="D53" i="3"/>
  <c r="D52" i="3"/>
  <c r="D51" i="3"/>
  <c r="D50" i="3"/>
  <c r="D49" i="3"/>
  <c r="D48" i="3"/>
  <c r="D47" i="3"/>
  <c r="D34" i="3"/>
  <c r="D33" i="3"/>
  <c r="D32" i="3"/>
  <c r="D31" i="3"/>
  <c r="D30" i="3"/>
  <c r="D29" i="3"/>
  <c r="D28" i="3"/>
  <c r="D27" i="3"/>
  <c r="B31" i="3"/>
  <c r="B29" i="3"/>
  <c r="D26" i="3"/>
  <c r="D25" i="3"/>
  <c r="D24" i="3"/>
  <c r="B25" i="3"/>
  <c r="D18" i="3"/>
  <c r="D19" i="3"/>
  <c r="D20" i="3"/>
  <c r="D21" i="3"/>
  <c r="D22" i="3"/>
  <c r="D17" i="3"/>
  <c r="C17" i="3"/>
  <c r="C18" i="3"/>
  <c r="C19" i="3"/>
  <c r="C20" i="3"/>
  <c r="C21" i="3"/>
  <c r="C22" i="3"/>
  <c r="B18" i="3"/>
  <c r="B19" i="3"/>
  <c r="B20" i="3"/>
  <c r="B21" i="3"/>
  <c r="B22" i="3"/>
  <c r="B17" i="3"/>
  <c r="I75" i="1"/>
  <c r="U87" i="18" s="1"/>
  <c r="L75" i="1"/>
  <c r="H87" i="12" s="1"/>
  <c r="I69" i="1"/>
  <c r="U80" i="18" s="1"/>
  <c r="I63" i="1"/>
  <c r="U73" i="18" s="1"/>
  <c r="I51" i="1"/>
  <c r="U59" i="18" s="1"/>
  <c r="I45" i="1"/>
  <c r="U52" i="18" s="1"/>
  <c r="I39" i="1"/>
  <c r="U45" i="18" s="1"/>
  <c r="I33" i="1"/>
  <c r="U38" i="18" s="1"/>
  <c r="I23" i="1"/>
  <c r="U23" i="18" s="1"/>
  <c r="I15" i="1"/>
  <c r="I57" i="1"/>
  <c r="U66" i="18" s="1"/>
  <c r="I81" i="1"/>
  <c r="U94" i="18" s="1"/>
  <c r="I82" i="1"/>
  <c r="U95" i="18" s="1"/>
  <c r="L83" i="1"/>
  <c r="H96" i="12" s="1"/>
  <c r="I29" i="1"/>
  <c r="U32" i="18" s="1"/>
  <c r="I27" i="1"/>
  <c r="U29" i="18" s="1"/>
  <c r="I25" i="1"/>
  <c r="U26" i="18" s="1"/>
  <c r="A5" i="2"/>
  <c r="A2" i="2"/>
  <c r="A3" i="2"/>
  <c r="A4" i="2"/>
  <c r="A1" i="2"/>
  <c r="L15" i="1"/>
  <c r="H14" i="12" s="1"/>
  <c r="H84" i="1"/>
  <c r="K84" i="1"/>
  <c r="E84" i="1"/>
  <c r="F84" i="1"/>
  <c r="L82" i="1"/>
  <c r="H95" i="12" s="1"/>
  <c r="U95" i="12" s="1"/>
  <c r="L81" i="1"/>
  <c r="L69" i="1"/>
  <c r="H80" i="12" s="1"/>
  <c r="L63" i="1"/>
  <c r="H73" i="12" s="1"/>
  <c r="L57" i="1"/>
  <c r="H66" i="12" s="1"/>
  <c r="L51" i="1"/>
  <c r="H59" i="12" s="1"/>
  <c r="L45" i="1"/>
  <c r="H52" i="12" s="1"/>
  <c r="L29" i="1"/>
  <c r="H32" i="12" s="1"/>
  <c r="L39" i="1"/>
  <c r="H45" i="12" s="1"/>
  <c r="L33" i="1"/>
  <c r="H38" i="12" s="1"/>
  <c r="L27" i="1"/>
  <c r="H29" i="12" s="1"/>
  <c r="L25" i="1"/>
  <c r="H26" i="12" s="1"/>
  <c r="L31" i="1"/>
  <c r="H35" i="12" s="1"/>
  <c r="L23" i="1"/>
  <c r="H23" i="12" s="1"/>
  <c r="L21" i="1"/>
  <c r="H20" i="12" s="1"/>
  <c r="N14" i="12" l="1"/>
  <c r="N86" i="12"/>
  <c r="N95" i="12"/>
  <c r="BD35" i="12" s="1"/>
  <c r="AG73" i="6"/>
  <c r="U44" i="12"/>
  <c r="AN44" i="12"/>
  <c r="H94" i="12"/>
  <c r="U94" i="12" s="1"/>
  <c r="Y18" i="2"/>
  <c r="D18" i="2" s="1"/>
  <c r="AG73" i="18"/>
  <c r="AG79" i="18" s="1"/>
  <c r="AG3" i="18" s="1"/>
  <c r="AR4" i="18" s="1"/>
  <c r="AC79" i="18"/>
  <c r="AC3" i="18" s="1"/>
  <c r="U22" i="12"/>
  <c r="AN22" i="12"/>
  <c r="U58" i="12"/>
  <c r="AN58" i="12"/>
  <c r="N31" i="12"/>
  <c r="AC72" i="19"/>
  <c r="AK66" i="19"/>
  <c r="AK72" i="19" s="1"/>
  <c r="AN65" i="12"/>
  <c r="U65" i="12"/>
  <c r="U14" i="18"/>
  <c r="G14" i="12"/>
  <c r="U14" i="6"/>
  <c r="AN93" i="12"/>
  <c r="U93" i="12"/>
  <c r="U86" i="12"/>
  <c r="AN86" i="12"/>
  <c r="U25" i="12"/>
  <c r="AN25" i="12"/>
  <c r="AN72" i="12"/>
  <c r="U72" i="12"/>
  <c r="Y73" i="9"/>
  <c r="AC73" i="9"/>
  <c r="AK66" i="9"/>
  <c r="AN31" i="12"/>
  <c r="U31" i="12"/>
  <c r="U51" i="12"/>
  <c r="AN51" i="12"/>
  <c r="AN28" i="12"/>
  <c r="U28" i="12"/>
  <c r="AN79" i="12"/>
  <c r="U79" i="12"/>
  <c r="U14" i="12"/>
  <c r="AN14" i="12"/>
  <c r="Y73" i="19"/>
  <c r="Y79" i="19" s="1"/>
  <c r="Y3" i="19" s="1"/>
  <c r="AC73" i="19"/>
  <c r="N26" i="10"/>
  <c r="H30" i="6" s="1"/>
  <c r="AE74" i="4"/>
  <c r="E29" i="5"/>
  <c r="K14" i="4"/>
  <c r="F77" i="3"/>
  <c r="U96" i="12"/>
  <c r="N96" i="12"/>
  <c r="G26" i="12"/>
  <c r="U26" i="6"/>
  <c r="V26" i="19" s="1"/>
  <c r="G23" i="12"/>
  <c r="U23" i="6"/>
  <c r="V23" i="19" s="1"/>
  <c r="G87" i="12"/>
  <c r="U87" i="6"/>
  <c r="V87" i="19" s="1"/>
  <c r="G29" i="12"/>
  <c r="U29" i="6"/>
  <c r="V29" i="19" s="1"/>
  <c r="G45" i="12"/>
  <c r="U45" i="6"/>
  <c r="V45" i="19" s="1"/>
  <c r="G52" i="12"/>
  <c r="U52" i="6"/>
  <c r="V52" i="19" s="1"/>
  <c r="G95" i="12"/>
  <c r="U95" i="6"/>
  <c r="V95" i="19" s="1"/>
  <c r="G59" i="12"/>
  <c r="U59" i="6"/>
  <c r="V59" i="19" s="1"/>
  <c r="G38" i="12"/>
  <c r="U38" i="6"/>
  <c r="V38" i="19" s="1"/>
  <c r="G94" i="12"/>
  <c r="U94" i="6"/>
  <c r="V94" i="19" s="1"/>
  <c r="G73" i="12"/>
  <c r="U73" i="6"/>
  <c r="V73" i="19" s="1"/>
  <c r="G66" i="12"/>
  <c r="U66" i="6"/>
  <c r="V66" i="19" s="1"/>
  <c r="G80" i="12"/>
  <c r="U80" i="6"/>
  <c r="V80" i="19" s="1"/>
  <c r="AN37" i="12"/>
  <c r="U37" i="12"/>
  <c r="U34" i="12"/>
  <c r="N34" i="12"/>
  <c r="AN34" i="12"/>
  <c r="G35" i="12"/>
  <c r="U35" i="6"/>
  <c r="V35" i="19" s="1"/>
  <c r="G32" i="12"/>
  <c r="U32" i="6"/>
  <c r="V32" i="19" s="1"/>
  <c r="E17" i="5"/>
  <c r="N21" i="17"/>
  <c r="AH21" i="17"/>
  <c r="AZ21" i="17" s="1"/>
  <c r="N10" i="17"/>
  <c r="AH10" i="17"/>
  <c r="AZ10" i="17" s="1"/>
  <c r="N22" i="17"/>
  <c r="AH22" i="17"/>
  <c r="AZ22" i="17" s="1"/>
  <c r="H17" i="10"/>
  <c r="K12" i="17"/>
  <c r="AG12" i="17" s="1"/>
  <c r="AY12" i="17" s="1"/>
  <c r="N14" i="10"/>
  <c r="H15" i="6" s="1"/>
  <c r="I14" i="9"/>
  <c r="X14" i="9" s="1"/>
  <c r="I82" i="9"/>
  <c r="X82" i="9" s="1"/>
  <c r="W82" i="6"/>
  <c r="I29" i="9"/>
  <c r="X29" i="9" s="1"/>
  <c r="W29" i="6"/>
  <c r="I33" i="9"/>
  <c r="X33" i="9" s="1"/>
  <c r="W33" i="6"/>
  <c r="I81" i="9"/>
  <c r="X81" i="9" s="1"/>
  <c r="W81" i="6"/>
  <c r="F29" i="3"/>
  <c r="H84" i="4"/>
  <c r="I85" i="9"/>
  <c r="X85" i="9" s="1"/>
  <c r="W85" i="6"/>
  <c r="I95" i="9"/>
  <c r="X95" i="9" s="1"/>
  <c r="W95" i="6"/>
  <c r="W83" i="6"/>
  <c r="I83" i="9"/>
  <c r="X83" i="9" s="1"/>
  <c r="I32" i="9"/>
  <c r="X32" i="9" s="1"/>
  <c r="W32" i="6"/>
  <c r="I30" i="9"/>
  <c r="X30" i="9" s="1"/>
  <c r="W30" i="6"/>
  <c r="I80" i="9"/>
  <c r="X80" i="9" s="1"/>
  <c r="W80" i="6"/>
  <c r="I84" i="9"/>
  <c r="X84" i="9" s="1"/>
  <c r="W84" i="6"/>
  <c r="R54" i="3"/>
  <c r="M54" i="3"/>
  <c r="J54" i="3"/>
  <c r="R55" i="3"/>
  <c r="J55" i="3"/>
  <c r="M55" i="3"/>
  <c r="J21" i="3"/>
  <c r="R21" i="3"/>
  <c r="M21" i="3"/>
  <c r="R25" i="3"/>
  <c r="M25" i="3"/>
  <c r="J25" i="3"/>
  <c r="J29" i="3"/>
  <c r="R29" i="3"/>
  <c r="M29" i="3"/>
  <c r="M49" i="3"/>
  <c r="J49" i="3"/>
  <c r="R49" i="3"/>
  <c r="M57" i="3"/>
  <c r="J57" i="3"/>
  <c r="R57" i="3"/>
  <c r="J77" i="3"/>
  <c r="R77" i="3"/>
  <c r="M77" i="3"/>
  <c r="R30" i="3"/>
  <c r="M30" i="3"/>
  <c r="J30" i="3"/>
  <c r="M58" i="3"/>
  <c r="J58" i="3"/>
  <c r="R58" i="3"/>
  <c r="R78" i="3"/>
  <c r="M78" i="3"/>
  <c r="J78" i="3"/>
  <c r="M19" i="3"/>
  <c r="J19" i="3"/>
  <c r="R19" i="3"/>
  <c r="R31" i="3"/>
  <c r="M31" i="3"/>
  <c r="J31" i="3"/>
  <c r="M51" i="3"/>
  <c r="J51" i="3"/>
  <c r="R51" i="3"/>
  <c r="R71" i="3"/>
  <c r="J71" i="3"/>
  <c r="M71" i="3"/>
  <c r="R79" i="3"/>
  <c r="J79" i="3"/>
  <c r="M79" i="3"/>
  <c r="M26" i="3"/>
  <c r="J26" i="3"/>
  <c r="R26" i="3"/>
  <c r="R18" i="3"/>
  <c r="M18" i="3"/>
  <c r="J18" i="3"/>
  <c r="R32" i="3"/>
  <c r="M32" i="3"/>
  <c r="J32" i="3"/>
  <c r="M52" i="3"/>
  <c r="J52" i="3"/>
  <c r="R52" i="3"/>
  <c r="R72" i="3"/>
  <c r="M72" i="3"/>
  <c r="J72" i="3"/>
  <c r="R80" i="3"/>
  <c r="M80" i="3"/>
  <c r="J80" i="3"/>
  <c r="M20" i="3"/>
  <c r="J20" i="3"/>
  <c r="R20" i="3"/>
  <c r="M50" i="3"/>
  <c r="J50" i="3"/>
  <c r="R50" i="3"/>
  <c r="M33" i="3"/>
  <c r="J33" i="3"/>
  <c r="R33" i="3"/>
  <c r="J53" i="3"/>
  <c r="R53" i="3"/>
  <c r="M53" i="3"/>
  <c r="M73" i="3"/>
  <c r="J73" i="3"/>
  <c r="R73" i="3"/>
  <c r="M81" i="3"/>
  <c r="R81" i="3"/>
  <c r="M74" i="3"/>
  <c r="J74" i="3"/>
  <c r="R74" i="3"/>
  <c r="M82" i="3"/>
  <c r="J82" i="3"/>
  <c r="R82" i="3"/>
  <c r="M34" i="3"/>
  <c r="J34" i="3"/>
  <c r="R34" i="3"/>
  <c r="J17" i="3"/>
  <c r="M27" i="3"/>
  <c r="J27" i="3"/>
  <c r="R27" i="3"/>
  <c r="J47" i="3"/>
  <c r="R47" i="3"/>
  <c r="M47" i="3"/>
  <c r="M75" i="3"/>
  <c r="J75" i="3"/>
  <c r="R75" i="3"/>
  <c r="J85" i="3"/>
  <c r="R85" i="3"/>
  <c r="M85" i="3"/>
  <c r="M22" i="3"/>
  <c r="R22" i="3"/>
  <c r="J22" i="3"/>
  <c r="R24" i="3"/>
  <c r="M24" i="3"/>
  <c r="J24" i="3"/>
  <c r="M28" i="3"/>
  <c r="J28" i="3"/>
  <c r="R28" i="3"/>
  <c r="R48" i="3"/>
  <c r="M48" i="3"/>
  <c r="J48" i="3"/>
  <c r="R56" i="3"/>
  <c r="M56" i="3"/>
  <c r="J56" i="3"/>
  <c r="M76" i="3"/>
  <c r="J76" i="3"/>
  <c r="R76" i="3"/>
  <c r="M84" i="3"/>
  <c r="J84" i="3"/>
  <c r="R84" i="3"/>
  <c r="H10" i="1"/>
  <c r="H9" i="1"/>
  <c r="H11" i="1"/>
  <c r="L16" i="1"/>
  <c r="L17" i="1"/>
  <c r="H16" i="12" s="1"/>
  <c r="L18" i="1"/>
  <c r="H17" i="12" s="1"/>
  <c r="L19" i="1"/>
  <c r="H18" i="12" s="1"/>
  <c r="L20" i="1"/>
  <c r="H19" i="12" s="1"/>
  <c r="K9" i="1"/>
  <c r="O8" i="1" s="1"/>
  <c r="K11" i="1"/>
  <c r="I16" i="1"/>
  <c r="I15" i="9" l="1"/>
  <c r="X15" i="9" s="1"/>
  <c r="W15" i="6"/>
  <c r="M14" i="12"/>
  <c r="BB43" i="12" s="1"/>
  <c r="AA95" i="12"/>
  <c r="AD95" i="12"/>
  <c r="V14" i="12"/>
  <c r="BE14" i="12" s="1"/>
  <c r="X94" i="12"/>
  <c r="AD94" i="12"/>
  <c r="AA94" i="12"/>
  <c r="M34" i="12"/>
  <c r="BB53" i="12" s="1"/>
  <c r="M95" i="12"/>
  <c r="X95" i="12"/>
  <c r="M86" i="12"/>
  <c r="BB61" i="12" s="1"/>
  <c r="M31" i="12"/>
  <c r="BB52" i="12" s="1"/>
  <c r="BD23" i="12"/>
  <c r="V31" i="12"/>
  <c r="V34" i="12"/>
  <c r="V95" i="12"/>
  <c r="BE35" i="12" s="1"/>
  <c r="AN19" i="12"/>
  <c r="U19" i="12"/>
  <c r="BD32" i="12"/>
  <c r="V86" i="12"/>
  <c r="U18" i="12"/>
  <c r="AN18" i="12"/>
  <c r="AK73" i="9"/>
  <c r="AN17" i="12"/>
  <c r="U17" i="12"/>
  <c r="AK73" i="19"/>
  <c r="AK79" i="19" s="1"/>
  <c r="AK3" i="19" s="1"/>
  <c r="AV4" i="19" s="1"/>
  <c r="AC79" i="19"/>
  <c r="AC3" i="19" s="1"/>
  <c r="V14" i="19"/>
  <c r="V14" i="9"/>
  <c r="N14" i="7"/>
  <c r="AN16" i="12"/>
  <c r="U16" i="12"/>
  <c r="L84" i="1"/>
  <c r="H15" i="12"/>
  <c r="U15" i="18"/>
  <c r="G15" i="12"/>
  <c r="U15" i="6"/>
  <c r="F87" i="3"/>
  <c r="BD36" i="12"/>
  <c r="O74" i="4"/>
  <c r="S73" i="10" s="1"/>
  <c r="O78" i="4"/>
  <c r="S77" i="10" s="1"/>
  <c r="O77" i="4"/>
  <c r="S76" i="10" s="1"/>
  <c r="O75" i="4"/>
  <c r="S74" i="10" s="1"/>
  <c r="O76" i="4"/>
  <c r="S75" i="10" s="1"/>
  <c r="O79" i="4"/>
  <c r="S78" i="10" s="1"/>
  <c r="G17" i="3"/>
  <c r="AO96" i="12"/>
  <c r="BK36" i="12" s="1"/>
  <c r="V96" i="12"/>
  <c r="BE36" i="12" s="1"/>
  <c r="BD14" i="12"/>
  <c r="BD24" i="12"/>
  <c r="V59" i="9"/>
  <c r="N59" i="7"/>
  <c r="V73" i="9"/>
  <c r="N73" i="7"/>
  <c r="V95" i="9"/>
  <c r="N95" i="7"/>
  <c r="V87" i="9"/>
  <c r="N87" i="7"/>
  <c r="V94" i="9"/>
  <c r="N94" i="7"/>
  <c r="V52" i="9"/>
  <c r="N52" i="7"/>
  <c r="V23" i="9"/>
  <c r="N23" i="7"/>
  <c r="V66" i="9"/>
  <c r="N66" i="7"/>
  <c r="V80" i="9"/>
  <c r="N80" i="7"/>
  <c r="V38" i="9"/>
  <c r="N38" i="7"/>
  <c r="V45" i="9"/>
  <c r="N45" i="7"/>
  <c r="V26" i="9"/>
  <c r="N26" i="7"/>
  <c r="V29" i="9"/>
  <c r="N29" i="7"/>
  <c r="V35" i="9"/>
  <c r="N35" i="7"/>
  <c r="V32" i="9"/>
  <c r="N32" i="7"/>
  <c r="Z15" i="6"/>
  <c r="H18" i="10"/>
  <c r="K14" i="17" s="1"/>
  <c r="AG14" i="17" s="1"/>
  <c r="AY14" i="17" s="1"/>
  <c r="K13" i="17"/>
  <c r="AG13" i="17" s="1"/>
  <c r="AY13" i="17" s="1"/>
  <c r="F95" i="6"/>
  <c r="AM95" i="6" s="1"/>
  <c r="F94" i="6"/>
  <c r="F96" i="6"/>
  <c r="AM96" i="6" s="1"/>
  <c r="AM77" i="17"/>
  <c r="BA77" i="17" s="1"/>
  <c r="AM76" i="17"/>
  <c r="BA76" i="17" s="1"/>
  <c r="AM75" i="17"/>
  <c r="BA75" i="17" s="1"/>
  <c r="W34" i="6"/>
  <c r="Z34" i="6" s="1"/>
  <c r="K28" i="4" s="1"/>
  <c r="X86" i="9"/>
  <c r="X34" i="9"/>
  <c r="W86" i="6"/>
  <c r="Z86" i="6" s="1"/>
  <c r="K68" i="4" s="1"/>
  <c r="E9" i="12"/>
  <c r="E9" i="11"/>
  <c r="F9" i="11" s="1"/>
  <c r="L8" i="10"/>
  <c r="F8" i="9"/>
  <c r="AG7" i="9" s="1"/>
  <c r="E8" i="7"/>
  <c r="D11" i="5"/>
  <c r="D10" i="5"/>
  <c r="F10" i="5" s="1"/>
  <c r="D9" i="4"/>
  <c r="F8" i="4"/>
  <c r="F12" i="3"/>
  <c r="G12" i="3" s="1"/>
  <c r="F11" i="3"/>
  <c r="G11" i="3" s="1"/>
  <c r="T9" i="12"/>
  <c r="F8" i="11"/>
  <c r="Z87" i="12" l="1"/>
  <c r="R70" i="23"/>
  <c r="Z92" i="12"/>
  <c r="R75" i="23"/>
  <c r="Z89" i="12"/>
  <c r="R72" i="23"/>
  <c r="Z88" i="12"/>
  <c r="AA93" i="12" s="1"/>
  <c r="R71" i="23"/>
  <c r="Z90" i="12"/>
  <c r="R73" i="23"/>
  <c r="Z91" i="12"/>
  <c r="R74" i="23"/>
  <c r="AN95" i="12"/>
  <c r="BB64" i="12"/>
  <c r="AE95" i="12"/>
  <c r="AB95" i="12"/>
  <c r="M15" i="12"/>
  <c r="BB44" i="12" s="1"/>
  <c r="V15" i="19"/>
  <c r="V15" i="9"/>
  <c r="N15" i="7"/>
  <c r="AN15" i="12"/>
  <c r="U15" i="12"/>
  <c r="N15" i="12"/>
  <c r="H97" i="12"/>
  <c r="G71" i="3"/>
  <c r="G31" i="3"/>
  <c r="K15" i="4"/>
  <c r="F8" i="6"/>
  <c r="R9" i="6"/>
  <c r="S9" i="6" s="1"/>
  <c r="T9" i="6" s="1"/>
  <c r="U9" i="6" s="1"/>
  <c r="L82" i="11"/>
  <c r="L80" i="11"/>
  <c r="L81" i="11"/>
  <c r="J8" i="12"/>
  <c r="L9" i="7"/>
  <c r="M9" i="7" s="1"/>
  <c r="N9" i="7" s="1"/>
  <c r="G8" i="9"/>
  <c r="G7" i="12"/>
  <c r="M8" i="12"/>
  <c r="O8" i="12" s="1"/>
  <c r="Q8" i="12"/>
  <c r="V15" i="12" l="1"/>
  <c r="BE15" i="12" s="1"/>
  <c r="BD15" i="12"/>
  <c r="G18" i="3"/>
  <c r="AK8" i="12"/>
  <c r="AJ8" i="12"/>
  <c r="T8" i="12"/>
  <c r="W8" i="12" s="1"/>
  <c r="S8" i="12"/>
  <c r="R8" i="12"/>
  <c r="I17" i="1"/>
  <c r="X8" i="12" l="1"/>
  <c r="Y8" i="12" s="1"/>
  <c r="Z8" i="12"/>
  <c r="U16" i="18"/>
  <c r="G16" i="12"/>
  <c r="U16" i="6"/>
  <c r="AL8" i="12"/>
  <c r="AM8" i="12"/>
  <c r="P10" i="4"/>
  <c r="AN8" i="12" l="1"/>
  <c r="AO8" i="12" s="1"/>
  <c r="AP8" i="12"/>
  <c r="AQ8" i="12" s="1"/>
  <c r="AR8" i="12" s="1"/>
  <c r="AA8" i="12"/>
  <c r="AB8" i="12" s="1"/>
  <c r="AC8" i="12"/>
  <c r="AD8" i="12" s="1"/>
  <c r="AE8" i="12" s="1"/>
  <c r="V16" i="19"/>
  <c r="V16" i="9"/>
  <c r="N16" i="7"/>
  <c r="T4" i="10"/>
  <c r="T5" i="17" s="1"/>
  <c r="AY5" i="9"/>
  <c r="AN10" i="7"/>
  <c r="AS93" i="9"/>
  <c r="AR93" i="9"/>
  <c r="AS79" i="9"/>
  <c r="AR79" i="9"/>
  <c r="AS72" i="9"/>
  <c r="AR72" i="9"/>
  <c r="AS65" i="9"/>
  <c r="AR65" i="9"/>
  <c r="AS58" i="9"/>
  <c r="AR58" i="9"/>
  <c r="AS51" i="9"/>
  <c r="AR51" i="9"/>
  <c r="AS44" i="9"/>
  <c r="AR44" i="9"/>
  <c r="AS37" i="9"/>
  <c r="AR37" i="9"/>
  <c r="AS31" i="9"/>
  <c r="AR31" i="9"/>
  <c r="AS28" i="9"/>
  <c r="AR28" i="9"/>
  <c r="AS22" i="9"/>
  <c r="AS3" i="9" s="1"/>
  <c r="AR22" i="9"/>
  <c r="AR3" i="9" s="1"/>
  <c r="T75" i="17" l="1"/>
  <c r="AI75" i="17" s="1"/>
  <c r="V79" i="10"/>
  <c r="T77" i="17"/>
  <c r="AI77" i="17" s="1"/>
  <c r="V81" i="10"/>
  <c r="T76" i="17"/>
  <c r="AI76" i="17" s="1"/>
  <c r="V80" i="10"/>
  <c r="V87" i="3"/>
  <c r="F80" i="11" l="1"/>
  <c r="F94" i="9"/>
  <c r="F82" i="11"/>
  <c r="F96" i="9"/>
  <c r="AF96" i="9" s="1"/>
  <c r="F81" i="11"/>
  <c r="F95" i="9"/>
  <c r="AF95" i="9" s="1"/>
  <c r="AD93" i="7"/>
  <c r="AC93" i="7"/>
  <c r="AD79" i="7"/>
  <c r="AC79" i="7"/>
  <c r="AD72" i="7"/>
  <c r="AC72" i="7"/>
  <c r="AD65" i="7"/>
  <c r="AC65" i="7"/>
  <c r="AD58" i="7"/>
  <c r="AC58" i="7"/>
  <c r="AD51" i="7"/>
  <c r="AC51" i="7"/>
  <c r="AD44" i="7"/>
  <c r="AC44" i="7"/>
  <c r="AD37" i="7"/>
  <c r="AC37" i="7"/>
  <c r="AD31" i="7"/>
  <c r="AC31" i="7"/>
  <c r="AD28" i="7"/>
  <c r="AC28" i="7"/>
  <c r="AD22" i="7"/>
  <c r="AC22" i="7"/>
  <c r="U13" i="3" l="1"/>
  <c r="X87" i="3" s="1"/>
  <c r="R10" i="12" l="1"/>
  <c r="S10" i="12" s="1"/>
  <c r="R9" i="12"/>
  <c r="S9" i="12" s="1"/>
  <c r="P87" i="6"/>
  <c r="O87" i="6"/>
  <c r="M87" i="6"/>
  <c r="N87" i="19" s="1"/>
  <c r="P87" i="9" l="1"/>
  <c r="P87" i="19"/>
  <c r="Z87" i="19" s="1"/>
  <c r="Z93" i="19" s="1"/>
  <c r="Q87" i="9"/>
  <c r="Q87" i="19"/>
  <c r="N87" i="9"/>
  <c r="Z87" i="9" s="1"/>
  <c r="Y87" i="6"/>
  <c r="AT8" i="12"/>
  <c r="AU8" i="12" s="1"/>
  <c r="AT10" i="12"/>
  <c r="AU10" i="12" s="1"/>
  <c r="AK10" i="12"/>
  <c r="AL10" i="12" s="1"/>
  <c r="AK9" i="12"/>
  <c r="AL9" i="12" s="1"/>
  <c r="V12" i="3"/>
  <c r="B68" i="11" l="1"/>
  <c r="AH93" i="9"/>
  <c r="AG93" i="9"/>
  <c r="Z93" i="9" l="1"/>
  <c r="B87" i="7"/>
  <c r="Y93" i="9"/>
  <c r="J78" i="10"/>
  <c r="D79" i="11" s="1"/>
  <c r="K92" i="12" s="1"/>
  <c r="J77" i="10"/>
  <c r="D78" i="11" s="1"/>
  <c r="K91" i="12" s="1"/>
  <c r="J76" i="10"/>
  <c r="D77" i="11" s="1"/>
  <c r="K90" i="12" s="1"/>
  <c r="J75" i="10"/>
  <c r="D76" i="11" s="1"/>
  <c r="K89" i="12" s="1"/>
  <c r="J74" i="10"/>
  <c r="D75" i="11" s="1"/>
  <c r="K88" i="12" s="1"/>
  <c r="J73" i="10"/>
  <c r="D74" i="11" s="1"/>
  <c r="K87" i="12" s="1"/>
  <c r="N93" i="12" l="1"/>
  <c r="M93" i="12"/>
  <c r="BB62" i="12" s="1"/>
  <c r="E81" i="5"/>
  <c r="N78" i="10"/>
  <c r="H92" i="6" s="1"/>
  <c r="E78" i="5"/>
  <c r="N75" i="10"/>
  <c r="H89" i="6" s="1"/>
  <c r="E76" i="5"/>
  <c r="N73" i="10"/>
  <c r="H87" i="6" s="1"/>
  <c r="E77" i="5"/>
  <c r="N74" i="10"/>
  <c r="H88" i="6" s="1"/>
  <c r="E79" i="5"/>
  <c r="N76" i="10"/>
  <c r="H90" i="6" s="1"/>
  <c r="E80" i="5"/>
  <c r="N77" i="10"/>
  <c r="H91" i="6" s="1"/>
  <c r="N87" i="6"/>
  <c r="O87" i="19" s="1"/>
  <c r="AD87" i="19" s="1"/>
  <c r="AK93" i="9"/>
  <c r="AL87" i="19" l="1"/>
  <c r="AL93" i="19" s="1"/>
  <c r="AD93" i="19"/>
  <c r="AB93" i="12"/>
  <c r="V93" i="12"/>
  <c r="BD33" i="12"/>
  <c r="I88" i="9"/>
  <c r="X88" i="9" s="1"/>
  <c r="W88" i="6"/>
  <c r="I87" i="9"/>
  <c r="X87" i="9" s="1"/>
  <c r="W87" i="6"/>
  <c r="I89" i="9"/>
  <c r="X89" i="9" s="1"/>
  <c r="W89" i="6"/>
  <c r="I91" i="9"/>
  <c r="X91" i="9" s="1"/>
  <c r="W91" i="6"/>
  <c r="I90" i="9"/>
  <c r="X90" i="9" s="1"/>
  <c r="W90" i="6"/>
  <c r="I92" i="9"/>
  <c r="X92" i="9" s="1"/>
  <c r="W92" i="6"/>
  <c r="O87" i="9"/>
  <c r="AD87" i="6"/>
  <c r="AH87" i="6" s="1"/>
  <c r="W93" i="6" l="1"/>
  <c r="AD87" i="9"/>
  <c r="AL87" i="9" s="1"/>
  <c r="AL93" i="9" s="1"/>
  <c r="X93" i="9"/>
  <c r="I21" i="1"/>
  <c r="U20" i="18" s="1"/>
  <c r="I20" i="1"/>
  <c r="U19" i="18" l="1"/>
  <c r="G19" i="12"/>
  <c r="U19" i="6"/>
  <c r="G20" i="12"/>
  <c r="U20" i="6"/>
  <c r="V20" i="19" s="1"/>
  <c r="AD93" i="9"/>
  <c r="U10" i="12"/>
  <c r="V10" i="12" s="1"/>
  <c r="U9" i="12"/>
  <c r="V9" i="12" s="1"/>
  <c r="U8" i="12"/>
  <c r="V8" i="12" s="1"/>
  <c r="V19" i="19" l="1"/>
  <c r="V19" i="9"/>
  <c r="N19" i="7"/>
  <c r="V20" i="9"/>
  <c r="N20" i="7"/>
  <c r="AI7" i="17"/>
  <c r="AH7" i="17"/>
  <c r="AG7" i="17"/>
  <c r="E12" i="3" l="1"/>
  <c r="E13" i="3"/>
  <c r="Q13" i="3" l="1"/>
  <c r="R93" i="7" l="1"/>
  <c r="Q93" i="7"/>
  <c r="R79" i="7"/>
  <c r="Q79" i="7"/>
  <c r="R72" i="7"/>
  <c r="Q72" i="7"/>
  <c r="R65" i="7"/>
  <c r="Q65" i="7"/>
  <c r="R58" i="7"/>
  <c r="Q58" i="7"/>
  <c r="R51" i="7"/>
  <c r="Q51" i="7"/>
  <c r="R44" i="7"/>
  <c r="Q44" i="7"/>
  <c r="R37" i="7"/>
  <c r="Q37" i="7"/>
  <c r="R31" i="7"/>
  <c r="Q31" i="7"/>
  <c r="R28" i="7"/>
  <c r="Q28" i="7"/>
  <c r="R22" i="7"/>
  <c r="Q22" i="7"/>
  <c r="V93" i="7"/>
  <c r="U93" i="7"/>
  <c r="V79" i="7"/>
  <c r="U79" i="7"/>
  <c r="V72" i="7"/>
  <c r="U72" i="7"/>
  <c r="V65" i="7"/>
  <c r="U65" i="7"/>
  <c r="V58" i="7"/>
  <c r="U58" i="7"/>
  <c r="V51" i="7"/>
  <c r="U51" i="7"/>
  <c r="V44" i="7"/>
  <c r="U44" i="7"/>
  <c r="V37" i="7"/>
  <c r="U37" i="7"/>
  <c r="V31" i="7"/>
  <c r="U31" i="7"/>
  <c r="V28" i="7"/>
  <c r="U28" i="7"/>
  <c r="V22" i="7"/>
  <c r="U22" i="7"/>
  <c r="Z93" i="7"/>
  <c r="Y93" i="7"/>
  <c r="Z79" i="7"/>
  <c r="Y79" i="7"/>
  <c r="Z72" i="7"/>
  <c r="Y72" i="7"/>
  <c r="Z65" i="7"/>
  <c r="Y65" i="7"/>
  <c r="Z58" i="7"/>
  <c r="Y58" i="7"/>
  <c r="Z51" i="7"/>
  <c r="Y51" i="7"/>
  <c r="Z44" i="7"/>
  <c r="Y44" i="7"/>
  <c r="Z37" i="7"/>
  <c r="Y37" i="7"/>
  <c r="Z31" i="7"/>
  <c r="Y31" i="7"/>
  <c r="Z28" i="7"/>
  <c r="Y28" i="7"/>
  <c r="Z22" i="7"/>
  <c r="Y22" i="7"/>
  <c r="B82" i="4" l="1"/>
  <c r="B81" i="4"/>
  <c r="B80" i="4"/>
  <c r="B62" i="4"/>
  <c r="B56" i="4"/>
  <c r="B50" i="4"/>
  <c r="B44" i="4"/>
  <c r="B38" i="4"/>
  <c r="B24" i="4"/>
  <c r="B20" i="4"/>
  <c r="Q9" i="4"/>
  <c r="G8" i="4"/>
  <c r="K8" i="4" s="1"/>
  <c r="A8" i="4"/>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F7" i="4"/>
  <c r="G7" i="4" s="1"/>
  <c r="A3" i="4"/>
  <c r="A2" i="4"/>
  <c r="A1" i="4"/>
  <c r="R12" i="3"/>
  <c r="N11" i="5"/>
  <c r="M12" i="5"/>
  <c r="H8" i="4" l="1"/>
  <c r="I8" i="4" s="1"/>
  <c r="J8" i="4" s="1"/>
  <c r="B82" i="11"/>
  <c r="B81" i="11"/>
  <c r="B80" i="11"/>
  <c r="B62" i="11"/>
  <c r="B56" i="11"/>
  <c r="B50" i="11"/>
  <c r="B44" i="11"/>
  <c r="B38" i="11"/>
  <c r="B32" i="11"/>
  <c r="B30" i="11"/>
  <c r="AH79" i="9"/>
  <c r="AG79" i="9"/>
  <c r="AH72" i="9"/>
  <c r="AG72" i="9"/>
  <c r="AH65" i="9"/>
  <c r="AG65" i="9"/>
  <c r="AH58" i="9"/>
  <c r="AG58" i="9"/>
  <c r="AH51" i="9"/>
  <c r="AG51" i="9"/>
  <c r="AH44" i="9"/>
  <c r="AG44" i="9"/>
  <c r="AH37" i="9"/>
  <c r="AG37" i="9"/>
  <c r="AH31" i="9"/>
  <c r="AG31" i="9"/>
  <c r="AH28" i="9"/>
  <c r="AG28" i="9"/>
  <c r="AH22" i="9"/>
  <c r="AH3" i="9" s="1"/>
  <c r="AG22" i="9"/>
  <c r="R7" i="10"/>
  <c r="Q9" i="9"/>
  <c r="O9" i="9"/>
  <c r="M9" i="9"/>
  <c r="L9" i="9"/>
  <c r="N9" i="9" s="1"/>
  <c r="J9" i="9"/>
  <c r="A9" i="9"/>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3" i="9"/>
  <c r="A2" i="9"/>
  <c r="A1" i="9"/>
  <c r="AH93" i="7"/>
  <c r="AH79" i="7"/>
  <c r="AH72" i="7"/>
  <c r="AH65" i="7"/>
  <c r="AH58" i="7"/>
  <c r="AH51" i="7"/>
  <c r="AH44" i="7"/>
  <c r="AH37" i="7"/>
  <c r="AH31" i="7"/>
  <c r="AH28" i="7"/>
  <c r="AH22" i="7"/>
  <c r="AG51" i="7"/>
  <c r="AG28" i="7"/>
  <c r="A9" i="7"/>
  <c r="A3" i="7"/>
  <c r="A2" i="7"/>
  <c r="A1" i="7"/>
  <c r="AG3" i="9" l="1"/>
  <c r="AC7" i="9"/>
  <c r="S9" i="9"/>
  <c r="T9" i="9" s="1"/>
  <c r="U9" i="9" s="1"/>
  <c r="V9" i="9" s="1"/>
  <c r="AC58" i="9"/>
  <c r="AC16" i="9"/>
  <c r="AK16" i="9" s="1"/>
  <c r="AC28" i="9"/>
  <c r="AC22" i="9"/>
  <c r="Y79" i="9"/>
  <c r="P9" i="9"/>
  <c r="Y58" i="9"/>
  <c r="Y31" i="9"/>
  <c r="Y37" i="9"/>
  <c r="Y44" i="9"/>
  <c r="Y65" i="9"/>
  <c r="Z22" i="9"/>
  <c r="AD16" i="9"/>
  <c r="AL16" i="9" s="1"/>
  <c r="Z37" i="9"/>
  <c r="Z31" i="9"/>
  <c r="Y28" i="9"/>
  <c r="Z28" i="9"/>
  <c r="Y51" i="9"/>
  <c r="AG58" i="7"/>
  <c r="AG44" i="7"/>
  <c r="AG65" i="7"/>
  <c r="AG93" i="7"/>
  <c r="AG22" i="7"/>
  <c r="AG31" i="7"/>
  <c r="AG72" i="7"/>
  <c r="AG79" i="7"/>
  <c r="AG37" i="7"/>
  <c r="L13" i="3"/>
  <c r="M12" i="3"/>
  <c r="D23" i="3"/>
  <c r="D35" i="3"/>
  <c r="D36" i="3"/>
  <c r="D37" i="3"/>
  <c r="D38" i="3"/>
  <c r="D39" i="3"/>
  <c r="D40" i="3"/>
  <c r="D41" i="3"/>
  <c r="D42" i="3"/>
  <c r="D43" i="3"/>
  <c r="D44" i="3"/>
  <c r="D45" i="3"/>
  <c r="D46" i="3"/>
  <c r="D59" i="3"/>
  <c r="D60" i="3"/>
  <c r="D61" i="3"/>
  <c r="D62" i="3"/>
  <c r="D63" i="3"/>
  <c r="D64" i="3"/>
  <c r="D65" i="3"/>
  <c r="D66" i="3"/>
  <c r="D67" i="3"/>
  <c r="D68" i="3"/>
  <c r="D69" i="3"/>
  <c r="D70" i="3"/>
  <c r="D83" i="3"/>
  <c r="B23" i="3"/>
  <c r="B27" i="3"/>
  <c r="B33" i="3"/>
  <c r="B35" i="3"/>
  <c r="B41" i="3"/>
  <c r="B47" i="3"/>
  <c r="B53" i="3"/>
  <c r="B59" i="3"/>
  <c r="B65" i="3"/>
  <c r="B83" i="3"/>
  <c r="B84" i="3"/>
  <c r="B85" i="3"/>
  <c r="I13" i="3"/>
  <c r="J12" i="3"/>
  <c r="A6" i="3"/>
  <c r="A4" i="3"/>
  <c r="A3" i="3"/>
  <c r="A2" i="3"/>
  <c r="A1" i="3"/>
  <c r="A11" i="3"/>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M65" i="3" l="1"/>
  <c r="J65" i="3"/>
  <c r="R65" i="3"/>
  <c r="J45" i="3"/>
  <c r="R45" i="3"/>
  <c r="M45" i="3"/>
  <c r="J37" i="3"/>
  <c r="R37" i="3"/>
  <c r="M37" i="3"/>
  <c r="M36" i="3"/>
  <c r="J36" i="3"/>
  <c r="R36" i="3"/>
  <c r="M83" i="3"/>
  <c r="J83" i="3"/>
  <c r="R83" i="3"/>
  <c r="R63" i="3"/>
  <c r="J63" i="3"/>
  <c r="M63" i="3"/>
  <c r="M43" i="3"/>
  <c r="J43" i="3"/>
  <c r="R43" i="3"/>
  <c r="M35" i="3"/>
  <c r="J35" i="3"/>
  <c r="R35" i="3"/>
  <c r="R70" i="3"/>
  <c r="M70" i="3"/>
  <c r="J70" i="3"/>
  <c r="M62" i="3"/>
  <c r="R62" i="3"/>
  <c r="J62" i="3"/>
  <c r="M42" i="3"/>
  <c r="J42" i="3"/>
  <c r="R42" i="3"/>
  <c r="R23" i="3"/>
  <c r="M23" i="3"/>
  <c r="J23" i="3"/>
  <c r="D87" i="3"/>
  <c r="R64" i="3"/>
  <c r="M64" i="3"/>
  <c r="J64" i="3"/>
  <c r="J69" i="3"/>
  <c r="R69" i="3"/>
  <c r="M69" i="3"/>
  <c r="J61" i="3"/>
  <c r="R61" i="3"/>
  <c r="M61" i="3"/>
  <c r="M41" i="3"/>
  <c r="J41" i="3"/>
  <c r="R41" i="3"/>
  <c r="M68" i="3"/>
  <c r="J68" i="3"/>
  <c r="R68" i="3"/>
  <c r="M60" i="3"/>
  <c r="J60" i="3"/>
  <c r="R60" i="3"/>
  <c r="R40" i="3"/>
  <c r="M40" i="3"/>
  <c r="J40" i="3"/>
  <c r="M67" i="3"/>
  <c r="J67" i="3"/>
  <c r="R67" i="3"/>
  <c r="M59" i="3"/>
  <c r="J59" i="3"/>
  <c r="R59" i="3"/>
  <c r="R39" i="3"/>
  <c r="J39" i="3"/>
  <c r="M39" i="3"/>
  <c r="M44" i="3"/>
  <c r="J44" i="3"/>
  <c r="R44" i="3"/>
  <c r="M66" i="3"/>
  <c r="J66" i="3"/>
  <c r="R66" i="3"/>
  <c r="R46" i="3"/>
  <c r="M46" i="3"/>
  <c r="J46" i="3"/>
  <c r="R38" i="3"/>
  <c r="M38" i="3"/>
  <c r="J38" i="3"/>
  <c r="AK22" i="9"/>
  <c r="AK51" i="9"/>
  <c r="R17" i="3"/>
  <c r="AK28" i="9"/>
  <c r="AK72" i="9"/>
  <c r="AD31" i="9"/>
  <c r="AL31" i="9"/>
  <c r="AD22" i="9"/>
  <c r="AL22" i="9"/>
  <c r="AC37" i="9"/>
  <c r="AK37" i="9"/>
  <c r="AK44" i="9"/>
  <c r="AC79" i="9"/>
  <c r="AK79" i="9"/>
  <c r="AC31" i="9"/>
  <c r="AK31" i="9"/>
  <c r="AD28" i="9"/>
  <c r="AL28" i="9"/>
  <c r="AC72" i="9"/>
  <c r="AL37" i="9"/>
  <c r="AC65" i="9"/>
  <c r="AK65" i="9"/>
  <c r="AC51" i="9"/>
  <c r="AK58" i="9"/>
  <c r="M17" i="3"/>
  <c r="AC44" i="9"/>
  <c r="Y72" i="9"/>
  <c r="Y3" i="9" s="1"/>
  <c r="AD37" i="9"/>
  <c r="M87" i="3" l="1"/>
  <c r="O87" i="3" s="1"/>
  <c r="O39" i="3" s="1"/>
  <c r="AC3" i="9"/>
  <c r="AK3" i="9"/>
  <c r="AV4" i="9" s="1"/>
  <c r="J87" i="3"/>
  <c r="K87" i="3" s="1"/>
  <c r="R87" i="3"/>
  <c r="T87" i="3" s="1"/>
  <c r="AN12" i="7"/>
  <c r="AK12" i="7" s="1"/>
  <c r="X17" i="3"/>
  <c r="O44" i="3" l="1"/>
  <c r="P44" i="3" s="1"/>
  <c r="O65" i="3"/>
  <c r="P65" i="3" s="1"/>
  <c r="O34" i="3"/>
  <c r="O66" i="3"/>
  <c r="P66" i="3" s="1"/>
  <c r="O27" i="3"/>
  <c r="O59" i="3"/>
  <c r="P59" i="3" s="1"/>
  <c r="O31" i="3"/>
  <c r="O48" i="3"/>
  <c r="P48" i="3" s="1"/>
  <c r="O80" i="3"/>
  <c r="N80" i="3" s="1"/>
  <c r="O73" i="3"/>
  <c r="N73" i="3" s="1"/>
  <c r="O37" i="3"/>
  <c r="P37" i="3" s="1"/>
  <c r="O69" i="3"/>
  <c r="P69" i="3" s="1"/>
  <c r="O30" i="3"/>
  <c r="O62" i="3"/>
  <c r="P62" i="3" s="1"/>
  <c r="O47" i="3"/>
  <c r="O57" i="3"/>
  <c r="P57" i="3" s="1"/>
  <c r="O22" i="3"/>
  <c r="P22" i="3" s="1"/>
  <c r="O76" i="3"/>
  <c r="P76" i="3" s="1"/>
  <c r="O20" i="3"/>
  <c r="O52" i="3"/>
  <c r="O84" i="3"/>
  <c r="O81" i="3"/>
  <c r="O42" i="3"/>
  <c r="P42" i="3" s="1"/>
  <c r="O74" i="3"/>
  <c r="P74" i="3" s="1"/>
  <c r="O35" i="3"/>
  <c r="P35" i="3" s="1"/>
  <c r="O67" i="3"/>
  <c r="P67" i="3" s="1"/>
  <c r="O55" i="3"/>
  <c r="O29" i="3"/>
  <c r="O23" i="3"/>
  <c r="O56" i="3"/>
  <c r="P56" i="3" s="1"/>
  <c r="O45" i="3"/>
  <c r="P45" i="3" s="1"/>
  <c r="O70" i="3"/>
  <c r="P70" i="3" s="1"/>
  <c r="O79" i="3"/>
  <c r="N79" i="3" s="1"/>
  <c r="O28" i="3"/>
  <c r="P28" i="3" s="1"/>
  <c r="O60" i="3"/>
  <c r="P60" i="3" s="1"/>
  <c r="O33" i="3"/>
  <c r="O18" i="3"/>
  <c r="O50" i="3"/>
  <c r="N50" i="3" s="1"/>
  <c r="O82" i="3"/>
  <c r="O43" i="3"/>
  <c r="O75" i="3"/>
  <c r="P75" i="3" s="1"/>
  <c r="O40" i="3"/>
  <c r="N40" i="3" s="1"/>
  <c r="O61" i="3"/>
  <c r="P61" i="3" s="1"/>
  <c r="O24" i="3"/>
  <c r="O17" i="3"/>
  <c r="O77" i="3"/>
  <c r="O32" i="3"/>
  <c r="P32" i="3" s="1"/>
  <c r="O41" i="3"/>
  <c r="P41" i="3" s="1"/>
  <c r="O53" i="3"/>
  <c r="O46" i="3"/>
  <c r="O78" i="3"/>
  <c r="O72" i="3"/>
  <c r="O54" i="3"/>
  <c r="O25" i="3"/>
  <c r="O38" i="3"/>
  <c r="P38" i="3" s="1"/>
  <c r="O64" i="3"/>
  <c r="N64" i="3" s="1"/>
  <c r="O21" i="3"/>
  <c r="P21" i="3" s="1"/>
  <c r="O85" i="3"/>
  <c r="P85" i="3" s="1"/>
  <c r="O36" i="3"/>
  <c r="O68" i="3"/>
  <c r="O49" i="3"/>
  <c r="O26" i="3"/>
  <c r="O58" i="3"/>
  <c r="O19" i="3"/>
  <c r="P19" i="3" s="1"/>
  <c r="O51" i="3"/>
  <c r="P51" i="3" s="1"/>
  <c r="O83" i="3"/>
  <c r="O63" i="3"/>
  <c r="O71" i="3"/>
  <c r="N62" i="3"/>
  <c r="N45" i="3"/>
  <c r="N60" i="3"/>
  <c r="K29" i="3"/>
  <c r="K52" i="3"/>
  <c r="K67" i="3"/>
  <c r="K82" i="3"/>
  <c r="K18" i="3"/>
  <c r="K33" i="3"/>
  <c r="K48" i="3"/>
  <c r="K55" i="3"/>
  <c r="K85" i="3"/>
  <c r="K21" i="3"/>
  <c r="K44" i="3"/>
  <c r="K59" i="3"/>
  <c r="K74" i="3"/>
  <c r="K54" i="3"/>
  <c r="K25" i="3"/>
  <c r="K40" i="3"/>
  <c r="K47" i="3"/>
  <c r="K46" i="3"/>
  <c r="K77" i="3"/>
  <c r="K30" i="3"/>
  <c r="K36" i="3"/>
  <c r="K51" i="3"/>
  <c r="K66" i="3"/>
  <c r="K81" i="3"/>
  <c r="K17" i="3"/>
  <c r="K32" i="3"/>
  <c r="K39" i="3"/>
  <c r="K26" i="3"/>
  <c r="K69" i="3"/>
  <c r="K22" i="3"/>
  <c r="K28" i="3"/>
  <c r="K43" i="3"/>
  <c r="K58" i="3"/>
  <c r="K73" i="3"/>
  <c r="K62" i="3"/>
  <c r="K24" i="3"/>
  <c r="K31" i="3"/>
  <c r="K75" i="3"/>
  <c r="K61" i="3"/>
  <c r="K84" i="3"/>
  <c r="K20" i="3"/>
  <c r="K35" i="3"/>
  <c r="K50" i="3"/>
  <c r="K65" i="3"/>
  <c r="K80" i="3"/>
  <c r="K70" i="3"/>
  <c r="K23" i="3"/>
  <c r="K56" i="3"/>
  <c r="K53" i="3"/>
  <c r="K76" i="3"/>
  <c r="K38" i="3"/>
  <c r="K27" i="3"/>
  <c r="K42" i="3"/>
  <c r="K57" i="3"/>
  <c r="K72" i="3"/>
  <c r="K79" i="3"/>
  <c r="K78" i="3"/>
  <c r="K63" i="3"/>
  <c r="K45" i="3"/>
  <c r="K68" i="3"/>
  <c r="K83" i="3"/>
  <c r="K19" i="3"/>
  <c r="K34" i="3"/>
  <c r="K49" i="3"/>
  <c r="K64" i="3"/>
  <c r="K71" i="3"/>
  <c r="K37" i="3"/>
  <c r="K60" i="3"/>
  <c r="K41" i="3"/>
  <c r="N61" i="3"/>
  <c r="N37" i="3"/>
  <c r="N69" i="3"/>
  <c r="N72" i="3"/>
  <c r="P72" i="3"/>
  <c r="P29" i="3"/>
  <c r="N29" i="3"/>
  <c r="P54" i="3"/>
  <c r="N54" i="3"/>
  <c r="N23" i="3"/>
  <c r="P23" i="3"/>
  <c r="P27" i="3"/>
  <c r="N27" i="3"/>
  <c r="P30" i="3"/>
  <c r="N30" i="3"/>
  <c r="N39" i="3"/>
  <c r="P39" i="3"/>
  <c r="P20" i="3"/>
  <c r="N20" i="3"/>
  <c r="P52" i="3"/>
  <c r="N52" i="3"/>
  <c r="P84" i="3"/>
  <c r="N84" i="3"/>
  <c r="P81" i="3"/>
  <c r="N81" i="3"/>
  <c r="N47" i="3"/>
  <c r="P47" i="3"/>
  <c r="N24" i="3"/>
  <c r="P24" i="3"/>
  <c r="N56" i="3"/>
  <c r="P25" i="3"/>
  <c r="N25" i="3"/>
  <c r="N17" i="3"/>
  <c r="P17" i="3"/>
  <c r="P77" i="3"/>
  <c r="N77" i="3"/>
  <c r="N38" i="3"/>
  <c r="N55" i="3"/>
  <c r="P55" i="3"/>
  <c r="P34" i="3"/>
  <c r="N34" i="3"/>
  <c r="P33" i="3"/>
  <c r="N33" i="3"/>
  <c r="P18" i="3"/>
  <c r="N18" i="3"/>
  <c r="P50" i="3"/>
  <c r="P82" i="3"/>
  <c r="N82" i="3"/>
  <c r="N63" i="3"/>
  <c r="P63" i="3"/>
  <c r="N31" i="3"/>
  <c r="P31" i="3"/>
  <c r="N59" i="3"/>
  <c r="N32" i="3"/>
  <c r="P53" i="3"/>
  <c r="N53" i="3"/>
  <c r="P78" i="3"/>
  <c r="N78" i="3"/>
  <c r="N71" i="3"/>
  <c r="P71" i="3"/>
  <c r="T60" i="3"/>
  <c r="S60" i="3" s="1"/>
  <c r="T22" i="3"/>
  <c r="S22" i="3" s="1"/>
  <c r="T28" i="3"/>
  <c r="S28" i="3" s="1"/>
  <c r="T62" i="3"/>
  <c r="S62" i="3" s="1"/>
  <c r="T46" i="3"/>
  <c r="S46" i="3" s="1"/>
  <c r="T43" i="3"/>
  <c r="S43" i="3" s="1"/>
  <c r="T21" i="3"/>
  <c r="S21" i="3" s="1"/>
  <c r="T84" i="3"/>
  <c r="S84" i="3" s="1"/>
  <c r="T54" i="3"/>
  <c r="S54" i="3" s="1"/>
  <c r="T58" i="3"/>
  <c r="S58" i="3" s="1"/>
  <c r="T24" i="3"/>
  <c r="S24" i="3" s="1"/>
  <c r="T75" i="3"/>
  <c r="S75" i="3" s="1"/>
  <c r="T72" i="3"/>
  <c r="S72" i="3" s="1"/>
  <c r="T49" i="3"/>
  <c r="S49" i="3" s="1"/>
  <c r="T63" i="3"/>
  <c r="S63" i="3" s="1"/>
  <c r="T70" i="3"/>
  <c r="S70" i="3" s="1"/>
  <c r="T26" i="3"/>
  <c r="S26" i="3" s="1"/>
  <c r="T53" i="3"/>
  <c r="S53" i="3" s="1"/>
  <c r="T73" i="3"/>
  <c r="S73" i="3" s="1"/>
  <c r="T25" i="3"/>
  <c r="S25" i="3" s="1"/>
  <c r="T76" i="3"/>
  <c r="S76" i="3" s="1"/>
  <c r="T17" i="3"/>
  <c r="S17" i="3" s="1"/>
  <c r="T64" i="3"/>
  <c r="S64" i="3" s="1"/>
  <c r="T61" i="3"/>
  <c r="S61" i="3" s="1"/>
  <c r="T31" i="3"/>
  <c r="S31" i="3" s="1"/>
  <c r="T36" i="3"/>
  <c r="S36" i="3" s="1"/>
  <c r="T40" i="3"/>
  <c r="S40" i="3" s="1"/>
  <c r="T35" i="3"/>
  <c r="S35" i="3" s="1"/>
  <c r="T82" i="3"/>
  <c r="S82" i="3" s="1"/>
  <c r="T57" i="3"/>
  <c r="S57" i="3" s="1"/>
  <c r="T20" i="3"/>
  <c r="S20" i="3" s="1"/>
  <c r="T48" i="3"/>
  <c r="S48" i="3" s="1"/>
  <c r="T52" i="3"/>
  <c r="S52" i="3" s="1"/>
  <c r="T39" i="3"/>
  <c r="S39" i="3" s="1"/>
  <c r="T67" i="3"/>
  <c r="S67" i="3" s="1"/>
  <c r="T27" i="3"/>
  <c r="S27" i="3" s="1"/>
  <c r="T56" i="3"/>
  <c r="S56" i="3" s="1"/>
  <c r="T83" i="3"/>
  <c r="S83" i="3" s="1"/>
  <c r="T74" i="3"/>
  <c r="S74" i="3" s="1"/>
  <c r="T41" i="3"/>
  <c r="S41" i="3" s="1"/>
  <c r="T65" i="3"/>
  <c r="S65" i="3" s="1"/>
  <c r="T45" i="3"/>
  <c r="S45" i="3" s="1"/>
  <c r="T69" i="3"/>
  <c r="S69" i="3" s="1"/>
  <c r="T47" i="3"/>
  <c r="S47" i="3" s="1"/>
  <c r="T80" i="3"/>
  <c r="S80" i="3" s="1"/>
  <c r="T19" i="3"/>
  <c r="S19" i="3" s="1"/>
  <c r="T33" i="3"/>
  <c r="S33" i="3" s="1"/>
  <c r="T32" i="3"/>
  <c r="S32" i="3" s="1"/>
  <c r="T79" i="3"/>
  <c r="S79" i="3" s="1"/>
  <c r="T23" i="3"/>
  <c r="S23" i="3" s="1"/>
  <c r="T81" i="3"/>
  <c r="S81" i="3" s="1"/>
  <c r="T68" i="3"/>
  <c r="S68" i="3" s="1"/>
  <c r="T38" i="3"/>
  <c r="S38" i="3" s="1"/>
  <c r="T29" i="3"/>
  <c r="S29" i="3" s="1"/>
  <c r="T30" i="3"/>
  <c r="S30" i="3" s="1"/>
  <c r="T71" i="3"/>
  <c r="S71" i="3" s="1"/>
  <c r="T34" i="3"/>
  <c r="S34" i="3" s="1"/>
  <c r="T78" i="3"/>
  <c r="S78" i="3" s="1"/>
  <c r="T55" i="3"/>
  <c r="S55" i="3" s="1"/>
  <c r="T59" i="3"/>
  <c r="S59" i="3" s="1"/>
  <c r="T37" i="3"/>
  <c r="S37" i="3" s="1"/>
  <c r="T18" i="3"/>
  <c r="S18" i="3" s="1"/>
  <c r="T66" i="3"/>
  <c r="S66" i="3" s="1"/>
  <c r="T44" i="3"/>
  <c r="S44" i="3" s="1"/>
  <c r="T85" i="3"/>
  <c r="S85" i="3" s="1"/>
  <c r="T42" i="3"/>
  <c r="S42" i="3" s="1"/>
  <c r="T50" i="3"/>
  <c r="S50" i="3" s="1"/>
  <c r="T77" i="3"/>
  <c r="S77" i="3" s="1"/>
  <c r="T51" i="3"/>
  <c r="S51" i="3" s="1"/>
  <c r="P49" i="3"/>
  <c r="N49" i="3"/>
  <c r="P26" i="3"/>
  <c r="N26" i="3"/>
  <c r="P58" i="3"/>
  <c r="N58" i="3"/>
  <c r="W17" i="3"/>
  <c r="N21" i="3" l="1"/>
  <c r="N75" i="3"/>
  <c r="N44" i="3"/>
  <c r="N28" i="3"/>
  <c r="P73" i="3"/>
  <c r="P79" i="3"/>
  <c r="P80" i="3"/>
  <c r="N22" i="3"/>
  <c r="N76" i="3"/>
  <c r="N51" i="3"/>
  <c r="N85" i="3"/>
  <c r="N42" i="3"/>
  <c r="N66" i="3"/>
  <c r="P40" i="3"/>
  <c r="N65" i="3"/>
  <c r="N48" i="3"/>
  <c r="N67" i="3"/>
  <c r="N41" i="3"/>
  <c r="N74" i="3"/>
  <c r="N57" i="3"/>
  <c r="P64" i="3"/>
  <c r="P68" i="3"/>
  <c r="N68" i="3"/>
  <c r="N19" i="3"/>
  <c r="N70" i="3"/>
  <c r="P36" i="3"/>
  <c r="N36" i="3"/>
  <c r="P43" i="3"/>
  <c r="N43" i="3"/>
  <c r="N35" i="3"/>
  <c r="P83" i="3"/>
  <c r="N83" i="3"/>
  <c r="P46" i="3"/>
  <c r="N46" i="3"/>
  <c r="E14" i="7"/>
  <c r="P14" i="7" s="1"/>
  <c r="E55" i="7"/>
  <c r="E76" i="7"/>
  <c r="E89" i="7"/>
  <c r="E29" i="7"/>
  <c r="E68" i="7"/>
  <c r="E74" i="7"/>
  <c r="E32" i="7"/>
  <c r="P32" i="7" s="1"/>
  <c r="E59" i="7"/>
  <c r="E35" i="7"/>
  <c r="E83" i="7"/>
  <c r="P83" i="7" s="1"/>
  <c r="E30" i="7"/>
  <c r="E50" i="7"/>
  <c r="E33" i="7"/>
  <c r="P33" i="7" s="1"/>
  <c r="E60" i="7"/>
  <c r="E61" i="7"/>
  <c r="E96" i="7"/>
  <c r="P96" i="7" s="1"/>
  <c r="E77" i="7"/>
  <c r="E62" i="7"/>
  <c r="E94" i="7"/>
  <c r="E42" i="7"/>
  <c r="E36" i="7"/>
  <c r="E78" i="7"/>
  <c r="E43" i="7"/>
  <c r="E85" i="7"/>
  <c r="P85" i="7" s="1"/>
  <c r="E21" i="7"/>
  <c r="E56" i="7"/>
  <c r="E40" i="7"/>
  <c r="E15" i="7"/>
  <c r="P15" i="7" s="1"/>
  <c r="E38" i="7"/>
  <c r="E75" i="7"/>
  <c r="E70" i="7"/>
  <c r="E49" i="7"/>
  <c r="E81" i="7"/>
  <c r="P81" i="7" s="1"/>
  <c r="E41" i="7"/>
  <c r="E20" i="7"/>
  <c r="E92" i="7"/>
  <c r="E95" i="7"/>
  <c r="P95" i="7" s="1"/>
  <c r="E24" i="7"/>
  <c r="P24" i="7" s="1"/>
  <c r="E64" i="7"/>
  <c r="E16" i="7"/>
  <c r="P16" i="7" s="1"/>
  <c r="E39" i="7"/>
  <c r="S87" i="3"/>
  <c r="E88" i="7"/>
  <c r="E27" i="7"/>
  <c r="E87" i="7"/>
  <c r="E23" i="7"/>
  <c r="P23" i="7" s="1"/>
  <c r="P25" i="7" s="1"/>
  <c r="E67" i="7"/>
  <c r="E19" i="7"/>
  <c r="E53" i="7"/>
  <c r="E47" i="7"/>
  <c r="E90" i="7"/>
  <c r="E66" i="7"/>
  <c r="E91" i="7"/>
  <c r="E17" i="7"/>
  <c r="E63" i="7"/>
  <c r="E46" i="7"/>
  <c r="E26" i="7"/>
  <c r="E48" i="7"/>
  <c r="E80" i="7"/>
  <c r="P80" i="7" s="1"/>
  <c r="E45" i="7"/>
  <c r="E84" i="7"/>
  <c r="P84" i="7" s="1"/>
  <c r="E57" i="7"/>
  <c r="E54" i="7"/>
  <c r="E82" i="7"/>
  <c r="P82" i="7" s="1"/>
  <c r="E52" i="7"/>
  <c r="E71" i="7"/>
  <c r="E73" i="7"/>
  <c r="E18" i="7"/>
  <c r="E69" i="7"/>
  <c r="W87" i="3"/>
  <c r="R10" i="1"/>
  <c r="G10" i="5"/>
  <c r="K10" i="5" s="1"/>
  <c r="G9" i="5"/>
  <c r="P86" i="7" l="1"/>
  <c r="P34" i="7"/>
  <c r="H10" i="5"/>
  <c r="I10" i="5" s="1"/>
  <c r="J10" i="5" s="1"/>
  <c r="A6" i="5" l="1"/>
  <c r="P94" i="6" l="1"/>
  <c r="P59" i="6"/>
  <c r="P52" i="6"/>
  <c r="P38" i="6"/>
  <c r="O94" i="6"/>
  <c r="O73" i="6"/>
  <c r="O66" i="6"/>
  <c r="O59" i="6"/>
  <c r="O52" i="6"/>
  <c r="O45" i="6"/>
  <c r="O38" i="6"/>
  <c r="N94" i="6"/>
  <c r="O94" i="19" s="1"/>
  <c r="N73" i="6"/>
  <c r="O73" i="19" s="1"/>
  <c r="N66" i="6"/>
  <c r="O66" i="19" s="1"/>
  <c r="N38" i="6"/>
  <c r="O38" i="19" s="1"/>
  <c r="M94" i="6"/>
  <c r="N94" i="19" s="1"/>
  <c r="M73" i="6"/>
  <c r="N73" i="19" s="1"/>
  <c r="M66" i="6"/>
  <c r="N66" i="19" s="1"/>
  <c r="M59" i="6"/>
  <c r="N59" i="19" s="1"/>
  <c r="M52" i="6"/>
  <c r="N52" i="19" s="1"/>
  <c r="M45" i="6"/>
  <c r="N45" i="19" s="1"/>
  <c r="M38" i="6"/>
  <c r="N38" i="19" s="1"/>
  <c r="P59" i="9" l="1"/>
  <c r="P59" i="19"/>
  <c r="Z59" i="19" s="1"/>
  <c r="Z65" i="19" s="1"/>
  <c r="P73" i="9"/>
  <c r="P73" i="19"/>
  <c r="Z73" i="19" s="1"/>
  <c r="Z79" i="19" s="1"/>
  <c r="P94" i="9"/>
  <c r="P94" i="19"/>
  <c r="Z94" i="19" s="1"/>
  <c r="Q38" i="9"/>
  <c r="Q38" i="19"/>
  <c r="AD38" i="19" s="1"/>
  <c r="P38" i="9"/>
  <c r="P38" i="19"/>
  <c r="Z38" i="19" s="1"/>
  <c r="Z44" i="19" s="1"/>
  <c r="Q52" i="9"/>
  <c r="Q52" i="19"/>
  <c r="P66" i="9"/>
  <c r="P66" i="19"/>
  <c r="Z66" i="19" s="1"/>
  <c r="Z72" i="19" s="1"/>
  <c r="P45" i="9"/>
  <c r="P45" i="19"/>
  <c r="Z45" i="19" s="1"/>
  <c r="Z51" i="19" s="1"/>
  <c r="Q59" i="9"/>
  <c r="Q59" i="19"/>
  <c r="P52" i="9"/>
  <c r="P52" i="19"/>
  <c r="Z52" i="19" s="1"/>
  <c r="Z58" i="19" s="1"/>
  <c r="Q94" i="9"/>
  <c r="Q94" i="19"/>
  <c r="AD94" i="19" s="1"/>
  <c r="N66" i="9"/>
  <c r="Y66" i="6"/>
  <c r="N38" i="9"/>
  <c r="Y38" i="6"/>
  <c r="O66" i="9"/>
  <c r="N73" i="9"/>
  <c r="Y73" i="6"/>
  <c r="N94" i="9"/>
  <c r="Y94" i="6"/>
  <c r="O38" i="9"/>
  <c r="AD38" i="9" s="1"/>
  <c r="AD38" i="6"/>
  <c r="O73" i="9"/>
  <c r="N52" i="9"/>
  <c r="Y52" i="6"/>
  <c r="O94" i="9"/>
  <c r="AD94" i="9" s="1"/>
  <c r="AD94" i="6"/>
  <c r="N45" i="9"/>
  <c r="Y45" i="6"/>
  <c r="N59" i="9"/>
  <c r="Y59" i="6"/>
  <c r="A3" i="6"/>
  <c r="A3" i="10"/>
  <c r="A4" i="5"/>
  <c r="K9" i="6"/>
  <c r="AH8" i="10"/>
  <c r="AF8" i="10"/>
  <c r="AD8" i="10"/>
  <c r="W7" i="10"/>
  <c r="AT9" i="12"/>
  <c r="AU9" i="12" s="1"/>
  <c r="AD44" i="19" l="1"/>
  <c r="AL38" i="19"/>
  <c r="AL44" i="19" s="1"/>
  <c r="Z94" i="9"/>
  <c r="AL94" i="19"/>
  <c r="Z3" i="19"/>
  <c r="AL94" i="9"/>
  <c r="Z73" i="9"/>
  <c r="Z79" i="9" s="1"/>
  <c r="Z52" i="9"/>
  <c r="Z58" i="9" s="1"/>
  <c r="Z59" i="9"/>
  <c r="Z65" i="9" s="1"/>
  <c r="Z38" i="9"/>
  <c r="Z44" i="9" s="1"/>
  <c r="Z45" i="9"/>
  <c r="Z51" i="9" s="1"/>
  <c r="Z66" i="9"/>
  <c r="Z72" i="9" s="1"/>
  <c r="AH94" i="6"/>
  <c r="AH38" i="6"/>
  <c r="AD44" i="9"/>
  <c r="K80" i="4"/>
  <c r="A3" i="11"/>
  <c r="AL38" i="9" l="1"/>
  <c r="AL44" i="9" s="1"/>
  <c r="Z3" i="9"/>
  <c r="G83" i="3"/>
  <c r="AA16" i="2" l="1"/>
  <c r="V16" i="2"/>
  <c r="Z16" i="2"/>
  <c r="W16" i="2"/>
  <c r="X16" i="2"/>
  <c r="T16" i="2"/>
  <c r="Y16" i="2"/>
  <c r="U16" i="2"/>
  <c r="G16" i="2"/>
  <c r="O16" i="2"/>
  <c r="Q16" i="2"/>
  <c r="R16" i="2"/>
  <c r="S16" i="2"/>
  <c r="L16" i="2"/>
  <c r="N16" i="2"/>
  <c r="H16" i="2"/>
  <c r="P16" i="2"/>
  <c r="J16" i="2"/>
  <c r="K16" i="2"/>
  <c r="F16" i="2"/>
  <c r="I16" i="2"/>
  <c r="M16" i="2"/>
  <c r="J79" i="10" l="1"/>
  <c r="D80" i="11" s="1"/>
  <c r="K94" i="12" s="1"/>
  <c r="B61" i="10"/>
  <c r="B55" i="10"/>
  <c r="J54" i="10"/>
  <c r="D55" i="11" s="1"/>
  <c r="K64" i="12" s="1"/>
  <c r="J53" i="10"/>
  <c r="D54" i="11" s="1"/>
  <c r="K63" i="12" s="1"/>
  <c r="J52" i="10"/>
  <c r="D53" i="11" s="1"/>
  <c r="K62" i="12" s="1"/>
  <c r="J51" i="10"/>
  <c r="D52" i="11" s="1"/>
  <c r="K61" i="12" s="1"/>
  <c r="J50" i="10"/>
  <c r="D51" i="11" s="1"/>
  <c r="K60" i="12" s="1"/>
  <c r="AG49" i="10"/>
  <c r="J49" i="10"/>
  <c r="D50" i="11" s="1"/>
  <c r="K59" i="12" s="1"/>
  <c r="B49" i="10"/>
  <c r="J48" i="10"/>
  <c r="D49" i="11" s="1"/>
  <c r="K57" i="12" s="1"/>
  <c r="J47" i="10"/>
  <c r="D48" i="11" s="1"/>
  <c r="K56" i="12" s="1"/>
  <c r="J46" i="10"/>
  <c r="D47" i="11" s="1"/>
  <c r="K55" i="12" s="1"/>
  <c r="J45" i="10"/>
  <c r="D46" i="11" s="1"/>
  <c r="K54" i="12" s="1"/>
  <c r="J44" i="10"/>
  <c r="D45" i="11" s="1"/>
  <c r="K53" i="12" s="1"/>
  <c r="AG43" i="10"/>
  <c r="J43" i="10"/>
  <c r="D44" i="11" s="1"/>
  <c r="K52" i="12" s="1"/>
  <c r="B43" i="10"/>
  <c r="AI37" i="10"/>
  <c r="AG37" i="10"/>
  <c r="B37" i="10"/>
  <c r="B31" i="10"/>
  <c r="J30" i="10"/>
  <c r="D31" i="11" s="1"/>
  <c r="K36" i="12" s="1"/>
  <c r="J29" i="10"/>
  <c r="D30" i="11" s="1"/>
  <c r="K35" i="12" s="1"/>
  <c r="F66" i="10"/>
  <c r="L62" i="17" s="1"/>
  <c r="J8" i="10"/>
  <c r="A8" i="10"/>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1" i="10"/>
  <c r="N37" i="12" l="1"/>
  <c r="M37" i="12"/>
  <c r="BB54" i="12" s="1"/>
  <c r="N94" i="12"/>
  <c r="M94" i="12"/>
  <c r="BB63" i="12" s="1"/>
  <c r="N58" i="12"/>
  <c r="M58" i="12"/>
  <c r="BB57" i="12" s="1"/>
  <c r="N65" i="12"/>
  <c r="M65" i="12"/>
  <c r="BB58" i="12" s="1"/>
  <c r="N62" i="17"/>
  <c r="AH62" i="17"/>
  <c r="AZ62" i="17" s="1"/>
  <c r="E53" i="5"/>
  <c r="N50" i="10"/>
  <c r="H60" i="6" s="1"/>
  <c r="E46" i="5"/>
  <c r="N43" i="10"/>
  <c r="H52" i="6" s="1"/>
  <c r="E32" i="5"/>
  <c r="N29" i="10"/>
  <c r="H35" i="6" s="1"/>
  <c r="E82" i="5"/>
  <c r="N79" i="10"/>
  <c r="E47" i="5"/>
  <c r="N44" i="10"/>
  <c r="H53" i="6" s="1"/>
  <c r="E49" i="5"/>
  <c r="N46" i="10"/>
  <c r="H55" i="6" s="1"/>
  <c r="E55" i="5"/>
  <c r="N52" i="10"/>
  <c r="H62" i="6" s="1"/>
  <c r="E50" i="5"/>
  <c r="N47" i="10"/>
  <c r="H56" i="6" s="1"/>
  <c r="E56" i="5"/>
  <c r="N53" i="10"/>
  <c r="H63" i="6" s="1"/>
  <c r="E33" i="5"/>
  <c r="N30" i="10"/>
  <c r="H36" i="6" s="1"/>
  <c r="E54" i="5"/>
  <c r="N51" i="10"/>
  <c r="H61" i="6" s="1"/>
  <c r="E51" i="5"/>
  <c r="N48" i="10"/>
  <c r="H57" i="6" s="1"/>
  <c r="E57" i="5"/>
  <c r="N54" i="10"/>
  <c r="H64" i="6" s="1"/>
  <c r="E48" i="5"/>
  <c r="N45" i="10"/>
  <c r="H54" i="6" s="1"/>
  <c r="E52" i="5"/>
  <c r="N49" i="10"/>
  <c r="H59" i="6" s="1"/>
  <c r="AI8" i="10"/>
  <c r="P8" i="10"/>
  <c r="T8" i="10" s="1"/>
  <c r="P66" i="6"/>
  <c r="Q66" i="19" s="1"/>
  <c r="AD66" i="19" s="1"/>
  <c r="N45" i="6"/>
  <c r="O45" i="19" s="1"/>
  <c r="P45" i="6"/>
  <c r="P73" i="6"/>
  <c r="Q73" i="19" s="1"/>
  <c r="AD73" i="19" s="1"/>
  <c r="N59" i="6"/>
  <c r="O59" i="19" s="1"/>
  <c r="AD59" i="19" s="1"/>
  <c r="N52" i="6"/>
  <c r="O52" i="19" s="1"/>
  <c r="AD52" i="19" s="1"/>
  <c r="J66" i="10"/>
  <c r="D67" i="11" s="1"/>
  <c r="K78" i="12" s="1"/>
  <c r="Q8" i="10"/>
  <c r="F36" i="10"/>
  <c r="L32" i="17" s="1"/>
  <c r="F23" i="10"/>
  <c r="L19" i="17" s="1"/>
  <c r="F16" i="10"/>
  <c r="L12" i="17" s="1"/>
  <c r="F42" i="10"/>
  <c r="L38" i="17" s="1"/>
  <c r="F31" i="10"/>
  <c r="L27" i="17" s="1"/>
  <c r="AE8" i="10"/>
  <c r="F17" i="10"/>
  <c r="L13" i="17" s="1"/>
  <c r="F24" i="10"/>
  <c r="L20" i="17" s="1"/>
  <c r="F34" i="10"/>
  <c r="L30" i="17" s="1"/>
  <c r="F38" i="10"/>
  <c r="L34" i="17" s="1"/>
  <c r="F65" i="10"/>
  <c r="L61" i="17" s="1"/>
  <c r="F35" i="10"/>
  <c r="L31" i="17" s="1"/>
  <c r="F18" i="10"/>
  <c r="L14" i="17" s="1"/>
  <c r="F39" i="10"/>
  <c r="L35" i="17" s="1"/>
  <c r="F15" i="10"/>
  <c r="L11" i="17" s="1"/>
  <c r="F19" i="10"/>
  <c r="L15" i="17" s="1"/>
  <c r="F20" i="10"/>
  <c r="L16" i="17" s="1"/>
  <c r="F37" i="10"/>
  <c r="L33" i="17" s="1"/>
  <c r="F33" i="10"/>
  <c r="L29" i="17" s="1"/>
  <c r="F64" i="10"/>
  <c r="L60" i="17" s="1"/>
  <c r="AG8" i="10"/>
  <c r="F32" i="10"/>
  <c r="L28" i="17" s="1"/>
  <c r="F63" i="10"/>
  <c r="L59" i="17" s="1"/>
  <c r="F60" i="10"/>
  <c r="L56" i="17" s="1"/>
  <c r="F61" i="10"/>
  <c r="L57" i="17" s="1"/>
  <c r="F62" i="10"/>
  <c r="L58" i="17" s="1"/>
  <c r="S8" i="10"/>
  <c r="F41" i="10"/>
  <c r="L37" i="17" s="1"/>
  <c r="F59" i="10"/>
  <c r="L55" i="17" s="1"/>
  <c r="F40" i="10"/>
  <c r="L36" i="17" s="1"/>
  <c r="F58" i="10"/>
  <c r="L54" i="17" s="1"/>
  <c r="F57" i="10"/>
  <c r="L53" i="17" s="1"/>
  <c r="F55" i="10"/>
  <c r="L51" i="17" s="1"/>
  <c r="F56" i="10"/>
  <c r="L52" i="17" s="1"/>
  <c r="R94" i="6"/>
  <c r="S94" i="19" s="1"/>
  <c r="R78" i="6"/>
  <c r="S78" i="19" s="1"/>
  <c r="AQ78" i="19" s="1"/>
  <c r="R77" i="6"/>
  <c r="S77" i="19" s="1"/>
  <c r="AQ77" i="19" s="1"/>
  <c r="R76" i="6"/>
  <c r="S76" i="19" s="1"/>
  <c r="AQ76" i="19" s="1"/>
  <c r="R75" i="6"/>
  <c r="S75" i="19" s="1"/>
  <c r="AQ75" i="19" s="1"/>
  <c r="R74" i="6"/>
  <c r="S74" i="19" s="1"/>
  <c r="AQ74" i="19" s="1"/>
  <c r="R73" i="6"/>
  <c r="S73" i="19" s="1"/>
  <c r="AQ73" i="19" s="1"/>
  <c r="R71" i="6"/>
  <c r="S71" i="19" s="1"/>
  <c r="AQ71" i="19" s="1"/>
  <c r="R70" i="6"/>
  <c r="S70" i="19" s="1"/>
  <c r="AQ70" i="19" s="1"/>
  <c r="R69" i="6"/>
  <c r="S69" i="19" s="1"/>
  <c r="AQ69" i="19" s="1"/>
  <c r="R68" i="6"/>
  <c r="S68" i="19" s="1"/>
  <c r="AQ68" i="19" s="1"/>
  <c r="R67" i="6"/>
  <c r="S67" i="19" s="1"/>
  <c r="AQ67" i="19" s="1"/>
  <c r="R66" i="6"/>
  <c r="S66" i="19" s="1"/>
  <c r="AQ66" i="19" s="1"/>
  <c r="R64" i="6"/>
  <c r="S64" i="19" s="1"/>
  <c r="AQ64" i="19" s="1"/>
  <c r="R63" i="6"/>
  <c r="S63" i="19" s="1"/>
  <c r="AQ63" i="19" s="1"/>
  <c r="R62" i="6"/>
  <c r="S62" i="19" s="1"/>
  <c r="AQ62" i="19" s="1"/>
  <c r="R61" i="6"/>
  <c r="S61" i="19" s="1"/>
  <c r="AQ61" i="19" s="1"/>
  <c r="R60" i="6"/>
  <c r="S60" i="19" s="1"/>
  <c r="AQ60" i="19" s="1"/>
  <c r="R59" i="6"/>
  <c r="S59" i="19" s="1"/>
  <c r="AQ59" i="19" s="1"/>
  <c r="R57" i="6"/>
  <c r="S57" i="19" s="1"/>
  <c r="AQ57" i="19" s="1"/>
  <c r="R56" i="6"/>
  <c r="S56" i="19" s="1"/>
  <c r="AQ56" i="19" s="1"/>
  <c r="R55" i="6"/>
  <c r="S55" i="19" s="1"/>
  <c r="AQ55" i="19" s="1"/>
  <c r="R54" i="6"/>
  <c r="S54" i="19" s="1"/>
  <c r="AQ54" i="19" s="1"/>
  <c r="R53" i="6"/>
  <c r="S53" i="19" s="1"/>
  <c r="AQ53" i="19" s="1"/>
  <c r="R52" i="6"/>
  <c r="S52" i="19" s="1"/>
  <c r="AQ52" i="19" s="1"/>
  <c r="R50" i="6"/>
  <c r="S50" i="19" s="1"/>
  <c r="AQ50" i="19" s="1"/>
  <c r="R49" i="6"/>
  <c r="S49" i="19" s="1"/>
  <c r="AQ49" i="19" s="1"/>
  <c r="R48" i="6"/>
  <c r="S48" i="19" s="1"/>
  <c r="AQ48" i="19" s="1"/>
  <c r="R47" i="6"/>
  <c r="S47" i="19" s="1"/>
  <c r="AQ47" i="19" s="1"/>
  <c r="R46" i="6"/>
  <c r="S46" i="19" s="1"/>
  <c r="AQ46" i="19" s="1"/>
  <c r="R45" i="6"/>
  <c r="S45" i="19" s="1"/>
  <c r="AQ45" i="19" s="1"/>
  <c r="R43" i="6"/>
  <c r="S43" i="19" s="1"/>
  <c r="AQ43" i="19" s="1"/>
  <c r="R42" i="6"/>
  <c r="S42" i="19" s="1"/>
  <c r="AQ42" i="19" s="1"/>
  <c r="R41" i="6"/>
  <c r="S41" i="19" s="1"/>
  <c r="AQ41" i="19" s="1"/>
  <c r="R40" i="6"/>
  <c r="S40" i="19" s="1"/>
  <c r="AQ40" i="19" s="1"/>
  <c r="R39" i="6"/>
  <c r="S39" i="19" s="1"/>
  <c r="AQ39" i="19" s="1"/>
  <c r="R38" i="6"/>
  <c r="S38" i="19" s="1"/>
  <c r="AQ38" i="19" s="1"/>
  <c r="R36" i="6"/>
  <c r="S36" i="19" s="1"/>
  <c r="AQ36" i="19" s="1"/>
  <c r="R35" i="6"/>
  <c r="S35" i="19" s="1"/>
  <c r="AQ35" i="19" s="1"/>
  <c r="R27" i="6"/>
  <c r="S27" i="19" s="1"/>
  <c r="AQ27" i="19" s="1"/>
  <c r="R26" i="6"/>
  <c r="S26" i="19" s="1"/>
  <c r="AQ26" i="19" s="1"/>
  <c r="P9" i="6"/>
  <c r="O9" i="6"/>
  <c r="N9" i="6"/>
  <c r="M9" i="6"/>
  <c r="L9" i="6"/>
  <c r="I9" i="6"/>
  <c r="A9" i="6"/>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 i="6"/>
  <c r="AL73" i="19" l="1"/>
  <c r="AL79" i="19" s="1"/>
  <c r="AD79" i="19"/>
  <c r="AD58" i="19"/>
  <c r="AL52" i="19"/>
  <c r="AL58" i="19" s="1"/>
  <c r="AD65" i="19"/>
  <c r="AL59" i="19"/>
  <c r="AL65" i="19" s="1"/>
  <c r="Q45" i="9"/>
  <c r="Q45" i="19"/>
  <c r="AD45" i="19" s="1"/>
  <c r="AD72" i="19"/>
  <c r="AL66" i="19"/>
  <c r="AL72" i="19" s="1"/>
  <c r="AN94" i="12"/>
  <c r="AE94" i="12"/>
  <c r="AB94" i="12"/>
  <c r="AQ37" i="19"/>
  <c r="AQ28" i="19"/>
  <c r="AQ44" i="19"/>
  <c r="AQ65" i="19"/>
  <c r="AQ51" i="19"/>
  <c r="AQ79" i="19"/>
  <c r="AQ58" i="19"/>
  <c r="AQ72" i="19"/>
  <c r="AQ94" i="19"/>
  <c r="AF94" i="19"/>
  <c r="BD29" i="12"/>
  <c r="V65" i="12"/>
  <c r="BD28" i="12"/>
  <c r="V58" i="12"/>
  <c r="V94" i="12"/>
  <c r="BD34" i="12"/>
  <c r="V37" i="12"/>
  <c r="BD25" i="12"/>
  <c r="S74" i="9"/>
  <c r="AQ74" i="9" s="1"/>
  <c r="K74" i="7"/>
  <c r="S47" i="9"/>
  <c r="AQ47" i="9" s="1"/>
  <c r="K47" i="7"/>
  <c r="S56" i="9"/>
  <c r="K56" i="7"/>
  <c r="S66" i="9"/>
  <c r="AQ66" i="9" s="1"/>
  <c r="K66" i="7"/>
  <c r="S75" i="9"/>
  <c r="K75" i="7"/>
  <c r="S38" i="9"/>
  <c r="AQ38" i="9" s="1"/>
  <c r="K38" i="7"/>
  <c r="S39" i="9"/>
  <c r="AQ39" i="9" s="1"/>
  <c r="K39" i="7"/>
  <c r="S48" i="9"/>
  <c r="AQ48" i="9" s="1"/>
  <c r="K48" i="7"/>
  <c r="S57" i="9"/>
  <c r="K57" i="7"/>
  <c r="S67" i="9"/>
  <c r="AQ67" i="9" s="1"/>
  <c r="K67" i="7"/>
  <c r="S76" i="9"/>
  <c r="K76" i="7"/>
  <c r="S64" i="9"/>
  <c r="K64" i="7"/>
  <c r="S49" i="9"/>
  <c r="K49" i="7"/>
  <c r="S59" i="9"/>
  <c r="AQ59" i="9" s="1"/>
  <c r="K59" i="7"/>
  <c r="S68" i="9"/>
  <c r="AQ68" i="9" s="1"/>
  <c r="K68" i="7"/>
  <c r="S77" i="9"/>
  <c r="K77" i="7"/>
  <c r="S55" i="9"/>
  <c r="AQ55" i="9" s="1"/>
  <c r="K55" i="7"/>
  <c r="S40" i="9"/>
  <c r="AQ40" i="9" s="1"/>
  <c r="K40" i="7"/>
  <c r="S41" i="9"/>
  <c r="AQ41" i="9" s="1"/>
  <c r="K41" i="7"/>
  <c r="S50" i="9"/>
  <c r="K50" i="7"/>
  <c r="S60" i="9"/>
  <c r="AQ60" i="9" s="1"/>
  <c r="K60" i="7"/>
  <c r="S69" i="9"/>
  <c r="AQ69" i="9" s="1"/>
  <c r="K69" i="7"/>
  <c r="S78" i="9"/>
  <c r="K78" i="7"/>
  <c r="S46" i="9"/>
  <c r="AQ46" i="9" s="1"/>
  <c r="K46" i="7"/>
  <c r="S26" i="9"/>
  <c r="K26" i="7"/>
  <c r="S42" i="9"/>
  <c r="K42" i="7"/>
  <c r="S52" i="9"/>
  <c r="AQ52" i="9" s="1"/>
  <c r="K52" i="7"/>
  <c r="S61" i="9"/>
  <c r="AQ61" i="9" s="1"/>
  <c r="K61" i="7"/>
  <c r="S70" i="9"/>
  <c r="K70" i="7"/>
  <c r="S94" i="9"/>
  <c r="K94" i="7"/>
  <c r="AM94" i="6"/>
  <c r="S27" i="9"/>
  <c r="K27" i="7"/>
  <c r="S43" i="9"/>
  <c r="K43" i="7"/>
  <c r="S53" i="9"/>
  <c r="AQ53" i="9" s="1"/>
  <c r="K53" i="7"/>
  <c r="S62" i="9"/>
  <c r="AQ62" i="9" s="1"/>
  <c r="K62" i="7"/>
  <c r="S71" i="9"/>
  <c r="K71" i="7"/>
  <c r="S45" i="9"/>
  <c r="AQ45" i="9" s="1"/>
  <c r="K45" i="7"/>
  <c r="S54" i="9"/>
  <c r="AQ54" i="9" s="1"/>
  <c r="K54" i="7"/>
  <c r="S63" i="9"/>
  <c r="AQ63" i="9" s="1"/>
  <c r="K63" i="7"/>
  <c r="S73" i="9"/>
  <c r="AQ73" i="9" s="1"/>
  <c r="K73" i="7"/>
  <c r="S36" i="9"/>
  <c r="AQ36" i="9" s="1"/>
  <c r="K36" i="7"/>
  <c r="S35" i="9"/>
  <c r="AQ35" i="9" s="1"/>
  <c r="K35" i="7"/>
  <c r="N29" i="17"/>
  <c r="AH29" i="17"/>
  <c r="AZ29" i="17" s="1"/>
  <c r="N61" i="17"/>
  <c r="AH61" i="17"/>
  <c r="AZ61" i="17" s="1"/>
  <c r="N12" i="17"/>
  <c r="AH12" i="17"/>
  <c r="AZ12" i="17" s="1"/>
  <c r="N38" i="17"/>
  <c r="AH38" i="17"/>
  <c r="AZ38" i="17" s="1"/>
  <c r="N52" i="17"/>
  <c r="AH52" i="17"/>
  <c r="AZ52" i="17" s="1"/>
  <c r="N58" i="17"/>
  <c r="AH58" i="17"/>
  <c r="AZ58" i="17" s="1"/>
  <c r="N33" i="17"/>
  <c r="AH33" i="17"/>
  <c r="AZ33" i="17" s="1"/>
  <c r="N34" i="17"/>
  <c r="AH34" i="17"/>
  <c r="AZ34" i="17" s="1"/>
  <c r="N19" i="17"/>
  <c r="AH19" i="17"/>
  <c r="AZ19" i="17" s="1"/>
  <c r="N60" i="17"/>
  <c r="AH60" i="17"/>
  <c r="AZ60" i="17" s="1"/>
  <c r="N51" i="17"/>
  <c r="AH51" i="17"/>
  <c r="AZ51" i="17" s="1"/>
  <c r="N57" i="17"/>
  <c r="AH57" i="17"/>
  <c r="AZ57" i="17" s="1"/>
  <c r="N16" i="17"/>
  <c r="AH16" i="17"/>
  <c r="AZ16" i="17" s="1"/>
  <c r="N30" i="17"/>
  <c r="AH30" i="17"/>
  <c r="AZ30" i="17" s="1"/>
  <c r="N32" i="17"/>
  <c r="AH32" i="17"/>
  <c r="AZ32" i="17" s="1"/>
  <c r="N31" i="17"/>
  <c r="AH31" i="17"/>
  <c r="AZ31" i="17" s="1"/>
  <c r="N53" i="17"/>
  <c r="AH53" i="17"/>
  <c r="AZ53" i="17" s="1"/>
  <c r="N56" i="17"/>
  <c r="AH56" i="17"/>
  <c r="AZ56" i="17" s="1"/>
  <c r="N15" i="17"/>
  <c r="AH15" i="17"/>
  <c r="AZ15" i="17" s="1"/>
  <c r="N20" i="17"/>
  <c r="AH20" i="17"/>
  <c r="AZ20" i="17" s="1"/>
  <c r="N54" i="17"/>
  <c r="AH54" i="17"/>
  <c r="AZ54" i="17" s="1"/>
  <c r="N59" i="17"/>
  <c r="AH59" i="17"/>
  <c r="AZ59" i="17" s="1"/>
  <c r="N11" i="17"/>
  <c r="AH11" i="17"/>
  <c r="AZ11" i="17" s="1"/>
  <c r="N13" i="17"/>
  <c r="AH13" i="17"/>
  <c r="AZ13" i="17" s="1"/>
  <c r="N37" i="17"/>
  <c r="AH37" i="17"/>
  <c r="AZ37" i="17" s="1"/>
  <c r="N36" i="17"/>
  <c r="AH36" i="17"/>
  <c r="AZ36" i="17" s="1"/>
  <c r="N28" i="17"/>
  <c r="AH28" i="17"/>
  <c r="AZ28" i="17" s="1"/>
  <c r="N35" i="17"/>
  <c r="AH35" i="17"/>
  <c r="AZ35" i="17" s="1"/>
  <c r="N55" i="17"/>
  <c r="AH55" i="17"/>
  <c r="AZ55" i="17" s="1"/>
  <c r="N14" i="17"/>
  <c r="AH14" i="17"/>
  <c r="AZ14" i="17" s="1"/>
  <c r="N27" i="17"/>
  <c r="AH27" i="17"/>
  <c r="AZ27" i="17" s="1"/>
  <c r="E69" i="5"/>
  <c r="N66" i="10"/>
  <c r="H78" i="6" s="1"/>
  <c r="I57" i="9"/>
  <c r="W57" i="6"/>
  <c r="I56" i="9"/>
  <c r="W56" i="6"/>
  <c r="H94" i="6"/>
  <c r="I35" i="9"/>
  <c r="W35" i="6"/>
  <c r="I62" i="9"/>
  <c r="W62" i="6"/>
  <c r="I54" i="9"/>
  <c r="W54" i="6"/>
  <c r="I36" i="9"/>
  <c r="W36" i="6"/>
  <c r="I55" i="9"/>
  <c r="W55" i="6"/>
  <c r="I52" i="9"/>
  <c r="W52" i="6"/>
  <c r="I61" i="9"/>
  <c r="W61" i="6"/>
  <c r="I64" i="9"/>
  <c r="X64" i="9" s="1"/>
  <c r="W64" i="6"/>
  <c r="I63" i="9"/>
  <c r="W63" i="6"/>
  <c r="I53" i="9"/>
  <c r="W53" i="6"/>
  <c r="I60" i="9"/>
  <c r="W60" i="6"/>
  <c r="I59" i="9"/>
  <c r="W59" i="6"/>
  <c r="O52" i="9"/>
  <c r="AD52" i="9" s="1"/>
  <c r="AL52" i="9" s="1"/>
  <c r="AD52" i="6"/>
  <c r="AH52" i="6" s="1"/>
  <c r="O45" i="9"/>
  <c r="AD45" i="6"/>
  <c r="AH45" i="6" s="1"/>
  <c r="Q66" i="9"/>
  <c r="AD66" i="9" s="1"/>
  <c r="AL66" i="9" s="1"/>
  <c r="AD66" i="6"/>
  <c r="AH66" i="6" s="1"/>
  <c r="Q73" i="9"/>
  <c r="AD73" i="9" s="1"/>
  <c r="AL73" i="9" s="1"/>
  <c r="AD73" i="6"/>
  <c r="AH73" i="6" s="1"/>
  <c r="O59" i="9"/>
  <c r="AD59" i="9" s="1"/>
  <c r="AL59" i="9" s="1"/>
  <c r="AD59" i="6"/>
  <c r="AH59" i="6" s="1"/>
  <c r="F22" i="10"/>
  <c r="L18" i="17" s="1"/>
  <c r="F21" i="10"/>
  <c r="L17" i="17" s="1"/>
  <c r="AC37" i="6"/>
  <c r="AC44" i="6"/>
  <c r="AC31" i="6"/>
  <c r="AC79" i="6"/>
  <c r="AC22" i="6"/>
  <c r="AC65" i="6"/>
  <c r="AC28" i="6"/>
  <c r="AC51" i="6"/>
  <c r="AC72" i="6"/>
  <c r="U8" i="10"/>
  <c r="J40" i="10"/>
  <c r="D41" i="11" s="1"/>
  <c r="K48" i="12" s="1"/>
  <c r="J64" i="10"/>
  <c r="D65" i="11" s="1"/>
  <c r="J59" i="10"/>
  <c r="D60" i="11" s="1"/>
  <c r="K70" i="12" s="1"/>
  <c r="J33" i="10"/>
  <c r="D34" i="11" s="1"/>
  <c r="K40" i="12" s="1"/>
  <c r="J39" i="10"/>
  <c r="D40" i="11" s="1"/>
  <c r="K47" i="12" s="1"/>
  <c r="J41" i="10"/>
  <c r="D42" i="11" s="1"/>
  <c r="K49" i="12" s="1"/>
  <c r="J18" i="10"/>
  <c r="D19" i="11" s="1"/>
  <c r="K19" i="12" s="1"/>
  <c r="J56" i="10"/>
  <c r="D57" i="11" s="1"/>
  <c r="K67" i="12" s="1"/>
  <c r="J35" i="10"/>
  <c r="D36" i="11" s="1"/>
  <c r="K42" i="12" s="1"/>
  <c r="J42" i="10"/>
  <c r="D43" i="11" s="1"/>
  <c r="J17" i="10"/>
  <c r="D18" i="11" s="1"/>
  <c r="K18" i="12" s="1"/>
  <c r="J55" i="10"/>
  <c r="D56" i="11" s="1"/>
  <c r="K66" i="12" s="1"/>
  <c r="J62" i="10"/>
  <c r="D63" i="11" s="1"/>
  <c r="K74" i="12" s="1"/>
  <c r="J32" i="10"/>
  <c r="D33" i="11" s="1"/>
  <c r="K39" i="12" s="1"/>
  <c r="J65" i="10"/>
  <c r="D66" i="11" s="1"/>
  <c r="J16" i="10"/>
  <c r="D17" i="11" s="1"/>
  <c r="K17" i="12" s="1"/>
  <c r="J15" i="10"/>
  <c r="D16" i="11" s="1"/>
  <c r="K16" i="12" s="1"/>
  <c r="J57" i="10"/>
  <c r="D58" i="11" s="1"/>
  <c r="K68" i="12" s="1"/>
  <c r="J61" i="10"/>
  <c r="D62" i="11" s="1"/>
  <c r="K73" i="12" s="1"/>
  <c r="J37" i="10"/>
  <c r="D38" i="11" s="1"/>
  <c r="K45" i="12" s="1"/>
  <c r="J38" i="10"/>
  <c r="D39" i="11" s="1"/>
  <c r="K46" i="12" s="1"/>
  <c r="J23" i="10"/>
  <c r="D24" i="11" s="1"/>
  <c r="K26" i="12" s="1"/>
  <c r="J31" i="10"/>
  <c r="D32" i="11" s="1"/>
  <c r="K38" i="12" s="1"/>
  <c r="J58" i="10"/>
  <c r="D59" i="11" s="1"/>
  <c r="K69" i="12" s="1"/>
  <c r="J60" i="10"/>
  <c r="D61" i="11" s="1"/>
  <c r="K71" i="12" s="1"/>
  <c r="J20" i="10"/>
  <c r="D21" i="11" s="1"/>
  <c r="K21" i="12" s="1"/>
  <c r="J34" i="10"/>
  <c r="D35" i="11" s="1"/>
  <c r="K41" i="12" s="1"/>
  <c r="J36" i="10"/>
  <c r="D37" i="11" s="1"/>
  <c r="K43" i="12" s="1"/>
  <c r="J63" i="10"/>
  <c r="D64" i="11" s="1"/>
  <c r="K75" i="12" s="1"/>
  <c r="J19" i="10"/>
  <c r="D20" i="11" s="1"/>
  <c r="K20" i="12" s="1"/>
  <c r="J24" i="10"/>
  <c r="D25" i="11" s="1"/>
  <c r="K27" i="12" s="1"/>
  <c r="X22" i="6"/>
  <c r="D49" i="2"/>
  <c r="X28" i="6"/>
  <c r="X72" i="6"/>
  <c r="X37" i="6"/>
  <c r="X79" i="6"/>
  <c r="Y51" i="6"/>
  <c r="Y65" i="6"/>
  <c r="AD44" i="6"/>
  <c r="X51" i="6"/>
  <c r="X65" i="6"/>
  <c r="X58" i="6"/>
  <c r="AC93" i="6"/>
  <c r="AL45" i="19" l="1"/>
  <c r="AL51" i="19" s="1"/>
  <c r="AL3" i="19" s="1"/>
  <c r="AV5" i="19" s="1"/>
  <c r="AD51" i="19"/>
  <c r="AD3" i="19" s="1"/>
  <c r="X59" i="9"/>
  <c r="X62" i="9"/>
  <c r="X63" i="9"/>
  <c r="X56" i="9"/>
  <c r="X60" i="9"/>
  <c r="AQ3" i="19"/>
  <c r="AS5" i="19" s="1"/>
  <c r="AV9" i="19" s="1"/>
  <c r="X57" i="9"/>
  <c r="X36" i="9"/>
  <c r="X37" i="9" s="1"/>
  <c r="P94" i="7"/>
  <c r="AB94" i="7"/>
  <c r="X54" i="9"/>
  <c r="X35" i="9"/>
  <c r="X61" i="9"/>
  <c r="M16" i="12"/>
  <c r="BB45" i="12" s="1"/>
  <c r="N16" i="12"/>
  <c r="N17" i="12"/>
  <c r="N44" i="12"/>
  <c r="M44" i="12"/>
  <c r="BB55" i="12" s="1"/>
  <c r="N19" i="12"/>
  <c r="M19" i="12"/>
  <c r="BB48" i="12" s="1"/>
  <c r="N28" i="12"/>
  <c r="M28" i="12"/>
  <c r="BB51" i="12" s="1"/>
  <c r="N22" i="12"/>
  <c r="M22" i="12"/>
  <c r="BB49" i="12" s="1"/>
  <c r="N51" i="12"/>
  <c r="M51" i="12"/>
  <c r="BB56" i="12" s="1"/>
  <c r="N79" i="12"/>
  <c r="M79" i="12"/>
  <c r="BB60" i="12" s="1"/>
  <c r="AQ94" i="9"/>
  <c r="AF94" i="9"/>
  <c r="AQ50" i="9"/>
  <c r="AQ49" i="9"/>
  <c r="AQ76" i="9"/>
  <c r="AQ43" i="9"/>
  <c r="AQ42" i="9"/>
  <c r="AQ78" i="9"/>
  <c r="AQ77" i="9"/>
  <c r="AQ56" i="9"/>
  <c r="AQ71" i="9"/>
  <c r="AQ70" i="9"/>
  <c r="X53" i="9"/>
  <c r="X52" i="9"/>
  <c r="AQ64" i="9"/>
  <c r="AQ57" i="9"/>
  <c r="AQ27" i="9"/>
  <c r="AQ26" i="9"/>
  <c r="AQ75" i="9"/>
  <c r="X55" i="9"/>
  <c r="K77" i="12"/>
  <c r="K76" i="12"/>
  <c r="M72" i="12"/>
  <c r="BB59" i="12" s="1"/>
  <c r="N72" i="12"/>
  <c r="K50" i="12"/>
  <c r="N18" i="12"/>
  <c r="N17" i="17"/>
  <c r="AH17" i="17"/>
  <c r="AZ17" i="17" s="1"/>
  <c r="N18" i="17"/>
  <c r="AH18" i="17"/>
  <c r="AZ18" i="17" s="1"/>
  <c r="AA7" i="10"/>
  <c r="AB7" i="10" s="1"/>
  <c r="AD45" i="9"/>
  <c r="AL45" i="9" s="1"/>
  <c r="AL51" i="9" s="1"/>
  <c r="E58" i="5"/>
  <c r="N55" i="10"/>
  <c r="H66" i="6" s="1"/>
  <c r="E64" i="5"/>
  <c r="N61" i="10"/>
  <c r="H73" i="6" s="1"/>
  <c r="E34" i="5"/>
  <c r="N31" i="10"/>
  <c r="H38" i="6" s="1"/>
  <c r="E59" i="5"/>
  <c r="N56" i="10"/>
  <c r="H67" i="6" s="1"/>
  <c r="E66" i="5"/>
  <c r="N63" i="10"/>
  <c r="H75" i="6" s="1"/>
  <c r="E41" i="5"/>
  <c r="N38" i="10"/>
  <c r="H46" i="6" s="1"/>
  <c r="E65" i="5"/>
  <c r="N62" i="10"/>
  <c r="H74" i="6" s="1"/>
  <c r="E44" i="5"/>
  <c r="N41" i="10"/>
  <c r="H49" i="6" s="1"/>
  <c r="E40" i="5"/>
  <c r="N37" i="10"/>
  <c r="H45" i="6" s="1"/>
  <c r="E37" i="5"/>
  <c r="N34" i="10"/>
  <c r="H41" i="6" s="1"/>
  <c r="E23" i="5"/>
  <c r="N20" i="10"/>
  <c r="H21" i="6" s="1"/>
  <c r="E60" i="5"/>
  <c r="N57" i="10"/>
  <c r="H68" i="6" s="1"/>
  <c r="E62" i="5"/>
  <c r="N59" i="10"/>
  <c r="H70" i="6" s="1"/>
  <c r="E39" i="5"/>
  <c r="N36" i="10"/>
  <c r="H43" i="6" s="1"/>
  <c r="E63" i="5"/>
  <c r="N60" i="10"/>
  <c r="H71" i="6" s="1"/>
  <c r="E18" i="5"/>
  <c r="N15" i="10"/>
  <c r="E45" i="5"/>
  <c r="N42" i="10"/>
  <c r="H50" i="6" s="1"/>
  <c r="E67" i="5"/>
  <c r="N64" i="10"/>
  <c r="H76" i="6" s="1"/>
  <c r="E20" i="5"/>
  <c r="N17" i="10"/>
  <c r="H18" i="6" s="1"/>
  <c r="E61" i="5"/>
  <c r="N58" i="10"/>
  <c r="H69" i="6" s="1"/>
  <c r="E19" i="5"/>
  <c r="N16" i="10"/>
  <c r="H17" i="6" s="1"/>
  <c r="E38" i="5"/>
  <c r="N35" i="10"/>
  <c r="H42" i="6" s="1"/>
  <c r="E43" i="5"/>
  <c r="N40" i="10"/>
  <c r="H48" i="6" s="1"/>
  <c r="E36" i="5"/>
  <c r="N33" i="10"/>
  <c r="H40" i="6" s="1"/>
  <c r="I78" i="9"/>
  <c r="X78" i="9" s="1"/>
  <c r="W78" i="6"/>
  <c r="E42" i="5"/>
  <c r="N39" i="10"/>
  <c r="H47" i="6" s="1"/>
  <c r="E27" i="5"/>
  <c r="N24" i="10"/>
  <c r="H27" i="6" s="1"/>
  <c r="E68" i="5"/>
  <c r="N65" i="10"/>
  <c r="H77" i="6" s="1"/>
  <c r="E22" i="5"/>
  <c r="N19" i="10"/>
  <c r="H20" i="6" s="1"/>
  <c r="E26" i="5"/>
  <c r="N23" i="10"/>
  <c r="H26" i="6" s="1"/>
  <c r="E35" i="5"/>
  <c r="N32" i="10"/>
  <c r="H39" i="6" s="1"/>
  <c r="E21" i="5"/>
  <c r="N18" i="10"/>
  <c r="H19" i="6" s="1"/>
  <c r="I94" i="9"/>
  <c r="X94" i="9" s="1"/>
  <c r="W94" i="6"/>
  <c r="AL65" i="9"/>
  <c r="AD65" i="9"/>
  <c r="AL79" i="9"/>
  <c r="AD79" i="9"/>
  <c r="AL58" i="9"/>
  <c r="AD58" i="9"/>
  <c r="AL72" i="9"/>
  <c r="AD72" i="9"/>
  <c r="J21" i="10"/>
  <c r="D22" i="11" s="1"/>
  <c r="K23" i="12" s="1"/>
  <c r="J22" i="10"/>
  <c r="D23" i="11" s="1"/>
  <c r="K24" i="12" s="1"/>
  <c r="Y72" i="6"/>
  <c r="Y28" i="6"/>
  <c r="Y44" i="6"/>
  <c r="Y22" i="6"/>
  <c r="Y93" i="6"/>
  <c r="Y37" i="6"/>
  <c r="Y58" i="6"/>
  <c r="Y31" i="6"/>
  <c r="Y79" i="6"/>
  <c r="AG31" i="6"/>
  <c r="AD31" i="6"/>
  <c r="AD37" i="6"/>
  <c r="AD22" i="6"/>
  <c r="AD28" i="6"/>
  <c r="AG93" i="6"/>
  <c r="AG72" i="6"/>
  <c r="AG28" i="6"/>
  <c r="AG22" i="6"/>
  <c r="AH22" i="6"/>
  <c r="AH37" i="6"/>
  <c r="AG37" i="6"/>
  <c r="X31" i="6"/>
  <c r="X44" i="6"/>
  <c r="AG79" i="6"/>
  <c r="AH44" i="6"/>
  <c r="AG65" i="6"/>
  <c r="AG44" i="6"/>
  <c r="AG51" i="6"/>
  <c r="AH28" i="6"/>
  <c r="AC58" i="6"/>
  <c r="AC3" i="6" s="1"/>
  <c r="AG58" i="6"/>
  <c r="AH31" i="6"/>
  <c r="Z93" i="6" l="1"/>
  <c r="K74" i="4" s="1"/>
  <c r="G77" i="3" s="1"/>
  <c r="X65" i="9"/>
  <c r="AD36" i="14"/>
  <c r="AE37" i="21"/>
  <c r="Y3" i="6"/>
  <c r="X3" i="6"/>
  <c r="X58" i="9"/>
  <c r="AD51" i="9"/>
  <c r="AD3" i="9" s="1"/>
  <c r="BD31" i="12"/>
  <c r="V79" i="12"/>
  <c r="V19" i="12"/>
  <c r="BD19" i="12"/>
  <c r="BD27" i="12"/>
  <c r="V51" i="12"/>
  <c r="BD26" i="12"/>
  <c r="V44" i="12"/>
  <c r="V22" i="12"/>
  <c r="BD20" i="12"/>
  <c r="BD17" i="12"/>
  <c r="V17" i="12"/>
  <c r="N25" i="12"/>
  <c r="M25" i="12"/>
  <c r="BB50" i="12" s="1"/>
  <c r="V16" i="12"/>
  <c r="BD16" i="12"/>
  <c r="BD22" i="12"/>
  <c r="V28" i="12"/>
  <c r="V72" i="12"/>
  <c r="BD30" i="12"/>
  <c r="V18" i="12"/>
  <c r="BD18" i="12"/>
  <c r="BC36" i="12"/>
  <c r="BG36" i="12"/>
  <c r="AL3" i="9"/>
  <c r="AV5" i="9" s="1"/>
  <c r="BE24" i="12"/>
  <c r="AG3" i="6"/>
  <c r="AR4" i="6" s="1"/>
  <c r="I48" i="9"/>
  <c r="X48" i="9" s="1"/>
  <c r="W48" i="6"/>
  <c r="H16" i="6"/>
  <c r="I68" i="9"/>
  <c r="X68" i="9" s="1"/>
  <c r="W68" i="6"/>
  <c r="I49" i="9"/>
  <c r="X49" i="9" s="1"/>
  <c r="W49" i="6"/>
  <c r="W67" i="6"/>
  <c r="I67" i="9"/>
  <c r="X67" i="9" s="1"/>
  <c r="I18" i="9"/>
  <c r="X18" i="9" s="1"/>
  <c r="W18" i="6"/>
  <c r="Z18" i="6" s="1"/>
  <c r="K18" i="4" s="1"/>
  <c r="I38" i="9"/>
  <c r="X38" i="9" s="1"/>
  <c r="W38" i="6"/>
  <c r="I26" i="9"/>
  <c r="X26" i="9" s="1"/>
  <c r="W26" i="6"/>
  <c r="I47" i="9"/>
  <c r="X47" i="9" s="1"/>
  <c r="W47" i="6"/>
  <c r="I42" i="9"/>
  <c r="X42" i="9" s="1"/>
  <c r="W42" i="6"/>
  <c r="E24" i="5"/>
  <c r="N21" i="10"/>
  <c r="H23" i="6" s="1"/>
  <c r="I74" i="9"/>
  <c r="X74" i="9" s="1"/>
  <c r="W74" i="6"/>
  <c r="I76" i="9"/>
  <c r="X76" i="9" s="1"/>
  <c r="W76" i="6"/>
  <c r="I43" i="9"/>
  <c r="X43" i="9" s="1"/>
  <c r="W43" i="6"/>
  <c r="I41" i="9"/>
  <c r="X41" i="9" s="1"/>
  <c r="W41" i="6"/>
  <c r="W46" i="6"/>
  <c r="I46" i="9"/>
  <c r="X46" i="9" s="1"/>
  <c r="I73" i="9"/>
  <c r="X73" i="9" s="1"/>
  <c r="W73" i="6"/>
  <c r="I27" i="9"/>
  <c r="X27" i="9" s="1"/>
  <c r="W27" i="6"/>
  <c r="I21" i="9"/>
  <c r="X21" i="9" s="1"/>
  <c r="W21" i="6"/>
  <c r="I20" i="9"/>
  <c r="X20" i="9" s="1"/>
  <c r="W20" i="6"/>
  <c r="I17" i="9"/>
  <c r="X17" i="9" s="1"/>
  <c r="W17" i="6"/>
  <c r="Z17" i="6" s="1"/>
  <c r="K17" i="4" s="1"/>
  <c r="I39" i="9"/>
  <c r="X39" i="9" s="1"/>
  <c r="W39" i="6"/>
  <c r="I71" i="9"/>
  <c r="X71" i="9" s="1"/>
  <c r="W71" i="6"/>
  <c r="I50" i="9"/>
  <c r="X50" i="9" s="1"/>
  <c r="W50" i="6"/>
  <c r="I70" i="9"/>
  <c r="X70" i="9" s="1"/>
  <c r="W70" i="6"/>
  <c r="I45" i="9"/>
  <c r="X45" i="9" s="1"/>
  <c r="W45" i="6"/>
  <c r="I75" i="9"/>
  <c r="X75" i="9" s="1"/>
  <c r="W75" i="6"/>
  <c r="I66" i="9"/>
  <c r="X66" i="9" s="1"/>
  <c r="W66" i="6"/>
  <c r="E25" i="5"/>
  <c r="N22" i="10"/>
  <c r="H24" i="6" s="1"/>
  <c r="I19" i="9"/>
  <c r="X19" i="9" s="1"/>
  <c r="W19" i="6"/>
  <c r="Z19" i="6" s="1"/>
  <c r="K19" i="4" s="1"/>
  <c r="I77" i="9"/>
  <c r="X77" i="9" s="1"/>
  <c r="W77" i="6"/>
  <c r="I40" i="9"/>
  <c r="X40" i="9" s="1"/>
  <c r="W40" i="6"/>
  <c r="I69" i="9"/>
  <c r="X69" i="9" s="1"/>
  <c r="W69" i="6"/>
  <c r="G20" i="3" l="1"/>
  <c r="G22" i="3"/>
  <c r="G21" i="3"/>
  <c r="V25" i="12"/>
  <c r="BD21" i="12"/>
  <c r="X22" i="9"/>
  <c r="I23" i="9"/>
  <c r="X23" i="9" s="1"/>
  <c r="W23" i="6"/>
  <c r="I16" i="9"/>
  <c r="X16" i="9" s="1"/>
  <c r="W16" i="6"/>
  <c r="Z16" i="6" s="1"/>
  <c r="I24" i="9"/>
  <c r="X24" i="9" s="1"/>
  <c r="W24" i="6"/>
  <c r="X31" i="9"/>
  <c r="X72" i="9"/>
  <c r="B22" i="5"/>
  <c r="B26" i="5"/>
  <c r="B32" i="5"/>
  <c r="B34" i="5"/>
  <c r="B40" i="5"/>
  <c r="B46" i="5"/>
  <c r="B52" i="5"/>
  <c r="B58" i="5"/>
  <c r="B64" i="5"/>
  <c r="B82" i="5"/>
  <c r="B83" i="5"/>
  <c r="B84" i="5"/>
  <c r="B80" i="7"/>
  <c r="K16" i="4" l="1"/>
  <c r="W25" i="6"/>
  <c r="Z25" i="6" s="1"/>
  <c r="K22" i="4" s="1"/>
  <c r="X25" i="9"/>
  <c r="X28" i="9"/>
  <c r="B94" i="7"/>
  <c r="X79" i="9"/>
  <c r="X51" i="9"/>
  <c r="X44" i="9"/>
  <c r="G25" i="3" l="1"/>
  <c r="G19" i="3"/>
  <c r="X3" i="9"/>
  <c r="BE21" i="12"/>
  <c r="AD58" i="6" l="1"/>
  <c r="AH58" i="6"/>
  <c r="AD93" i="6"/>
  <c r="AH93" i="6"/>
  <c r="AD65" i="6"/>
  <c r="AH65" i="6"/>
  <c r="AH79" i="6"/>
  <c r="AD79" i="6"/>
  <c r="AH72" i="6"/>
  <c r="AD72" i="6"/>
  <c r="F80" i="4" l="1"/>
  <c r="F82" i="5"/>
  <c r="E94" i="6"/>
  <c r="I94" i="6" s="1"/>
  <c r="AB94" i="6" s="1"/>
  <c r="O75" i="17"/>
  <c r="AE75" i="17" s="1"/>
  <c r="H80" i="11"/>
  <c r="Q94" i="12" s="1"/>
  <c r="O79" i="10"/>
  <c r="R79" i="10" s="1"/>
  <c r="W79" i="10" s="1"/>
  <c r="F81" i="4"/>
  <c r="G81" i="4" s="1"/>
  <c r="F83" i="5"/>
  <c r="G83" i="5" s="1"/>
  <c r="H83" i="5" s="1"/>
  <c r="K83" i="5" s="1"/>
  <c r="E95" i="6"/>
  <c r="I95" i="6" s="1"/>
  <c r="AB95" i="6" s="1"/>
  <c r="O80" i="10"/>
  <c r="R80" i="10" s="1"/>
  <c r="W80" i="10" s="1"/>
  <c r="O76" i="17"/>
  <c r="H81" i="11"/>
  <c r="Q95" i="12" s="1"/>
  <c r="F82" i="4"/>
  <c r="G82" i="4" s="1"/>
  <c r="E96" i="6"/>
  <c r="I96" i="6" s="1"/>
  <c r="AB96" i="6" s="1"/>
  <c r="O77" i="17"/>
  <c r="F84" i="5"/>
  <c r="G84" i="5" s="1"/>
  <c r="H84" i="5" s="1"/>
  <c r="K84" i="5" s="1"/>
  <c r="O81" i="10"/>
  <c r="R81" i="10" s="1"/>
  <c r="W81" i="10" s="1"/>
  <c r="H82" i="11"/>
  <c r="Q96" i="12" s="1"/>
  <c r="AH51" i="6"/>
  <c r="AH3" i="6" s="1"/>
  <c r="AD51" i="6"/>
  <c r="AD3" i="6" s="1"/>
  <c r="AP94" i="12" l="1"/>
  <c r="AQ94" i="12" s="1"/>
  <c r="AP95" i="12"/>
  <c r="AQ95" i="12" s="1"/>
  <c r="AP96" i="12"/>
  <c r="AQ96" i="12" s="1"/>
  <c r="E94" i="9"/>
  <c r="H94" i="18"/>
  <c r="Y79" i="10"/>
  <c r="E96" i="9"/>
  <c r="J96" i="9" s="1"/>
  <c r="AB96" i="9" s="1"/>
  <c r="AJ96" i="9" s="1"/>
  <c r="H96" i="18"/>
  <c r="Y81" i="10"/>
  <c r="R76" i="17"/>
  <c r="V76" i="17" s="1"/>
  <c r="AE76" i="17"/>
  <c r="R75" i="17"/>
  <c r="V75" i="17" s="1"/>
  <c r="H95" i="18"/>
  <c r="E95" i="9"/>
  <c r="J95" i="9" s="1"/>
  <c r="AB95" i="9" s="1"/>
  <c r="AJ95" i="9" s="1"/>
  <c r="Y80" i="10"/>
  <c r="R77" i="17"/>
  <c r="V77" i="17" s="1"/>
  <c r="AE77" i="17"/>
  <c r="AO95" i="6"/>
  <c r="AF95" i="6"/>
  <c r="R94" i="12"/>
  <c r="S94" i="12" s="1"/>
  <c r="L37" i="20" s="1"/>
  <c r="J80" i="11"/>
  <c r="AF94" i="6"/>
  <c r="AO94" i="6"/>
  <c r="AO96" i="6"/>
  <c r="AF96" i="6"/>
  <c r="R95" i="12"/>
  <c r="J81" i="11"/>
  <c r="R96" i="12"/>
  <c r="BB36" i="12" s="1"/>
  <c r="J82" i="11"/>
  <c r="AR5" i="6"/>
  <c r="W65" i="6"/>
  <c r="Z65" i="6" s="1"/>
  <c r="K50" i="4" s="1"/>
  <c r="H37" i="21" l="1"/>
  <c r="I37" i="21" s="1"/>
  <c r="G37" i="20"/>
  <c r="F38" i="20"/>
  <c r="F38" i="21"/>
  <c r="H38" i="21"/>
  <c r="I38" i="21" s="1"/>
  <c r="G38" i="20"/>
  <c r="F37" i="21"/>
  <c r="F37" i="20"/>
  <c r="R78" i="22"/>
  <c r="S78" i="22" s="1"/>
  <c r="U78" i="23"/>
  <c r="W78" i="23" s="1"/>
  <c r="F39" i="20"/>
  <c r="F39" i="21"/>
  <c r="G39" i="20"/>
  <c r="H39" i="21"/>
  <c r="I39" i="21" s="1"/>
  <c r="R77" i="22"/>
  <c r="S77" i="22" s="1"/>
  <c r="U77" i="23"/>
  <c r="W77" i="23" s="1"/>
  <c r="R76" i="22"/>
  <c r="S76" i="22" s="1"/>
  <c r="U76" i="23"/>
  <c r="W76" i="23" s="1"/>
  <c r="E94" i="19"/>
  <c r="E94" i="18"/>
  <c r="I94" i="18" s="1"/>
  <c r="AB94" i="18" s="1"/>
  <c r="AL75" i="17"/>
  <c r="AN75" i="17" s="1"/>
  <c r="K80" i="11"/>
  <c r="N80" i="11" s="1"/>
  <c r="P80" i="11" s="1"/>
  <c r="AA79" i="10"/>
  <c r="AB79" i="10" s="1"/>
  <c r="E95" i="19"/>
  <c r="E95" i="18"/>
  <c r="I95" i="18" s="1"/>
  <c r="AB95" i="18" s="1"/>
  <c r="AL76" i="17"/>
  <c r="AN76" i="17" s="1"/>
  <c r="K81" i="11"/>
  <c r="N81" i="11" s="1"/>
  <c r="P81" i="11" s="1"/>
  <c r="AA80" i="10"/>
  <c r="AB80" i="10" s="1"/>
  <c r="E96" i="19"/>
  <c r="E96" i="18"/>
  <c r="I96" i="18" s="1"/>
  <c r="AB96" i="18" s="1"/>
  <c r="AL77" i="17"/>
  <c r="AN77" i="17" s="1"/>
  <c r="K82" i="11"/>
  <c r="N82" i="11" s="1"/>
  <c r="P82" i="11" s="1"/>
  <c r="AA81" i="10"/>
  <c r="AB81" i="10" s="1"/>
  <c r="I94" i="19"/>
  <c r="W94" i="18"/>
  <c r="I96" i="19"/>
  <c r="W96" i="18"/>
  <c r="I95" i="19"/>
  <c r="W95" i="18"/>
  <c r="H36" i="14"/>
  <c r="I36" i="14" s="1"/>
  <c r="G37" i="13"/>
  <c r="F37" i="14"/>
  <c r="F38" i="13"/>
  <c r="F36" i="14"/>
  <c r="F37" i="13"/>
  <c r="F38" i="14"/>
  <c r="F39" i="13"/>
  <c r="H37" i="14"/>
  <c r="I37" i="14" s="1"/>
  <c r="G38" i="13"/>
  <c r="H38" i="14"/>
  <c r="I38" i="14" s="1"/>
  <c r="G39" i="13"/>
  <c r="G53" i="3"/>
  <c r="AJ76" i="17"/>
  <c r="L96" i="12"/>
  <c r="AF96" i="12"/>
  <c r="BF36" i="12" s="1"/>
  <c r="L95" i="12"/>
  <c r="AJ77" i="17"/>
  <c r="S95" i="12"/>
  <c r="L38" i="20" s="1"/>
  <c r="BB35" i="12"/>
  <c r="AF95" i="12"/>
  <c r="AG95" i="12" s="1"/>
  <c r="L94" i="12"/>
  <c r="AJ75" i="17"/>
  <c r="K37" i="20" l="1"/>
  <c r="J37" i="20"/>
  <c r="H37" i="20"/>
  <c r="Q37" i="20" s="1"/>
  <c r="I37" i="20"/>
  <c r="R37" i="20" s="1"/>
  <c r="G37" i="21"/>
  <c r="N37" i="21"/>
  <c r="N39" i="21"/>
  <c r="G39" i="21"/>
  <c r="G38" i="21"/>
  <c r="N38" i="21"/>
  <c r="J39" i="20"/>
  <c r="K39" i="20"/>
  <c r="I39" i="20"/>
  <c r="R39" i="20" s="1"/>
  <c r="H39" i="20"/>
  <c r="Q39" i="20" s="1"/>
  <c r="J38" i="20"/>
  <c r="K38" i="20"/>
  <c r="I38" i="20"/>
  <c r="R38" i="20" s="1"/>
  <c r="H38" i="20"/>
  <c r="Q38" i="20" s="1"/>
  <c r="AW75" i="17"/>
  <c r="BB75" i="17" s="1"/>
  <c r="N38" i="14"/>
  <c r="O38" i="14" s="1"/>
  <c r="AI95" i="12"/>
  <c r="BC64" i="12"/>
  <c r="AJ96" i="12"/>
  <c r="Y95" i="12"/>
  <c r="AJ95" i="12"/>
  <c r="AK95" i="12" s="1"/>
  <c r="Y94" i="12"/>
  <c r="AJ94" i="12"/>
  <c r="AK94" i="12" s="1"/>
  <c r="G38" i="14"/>
  <c r="G37" i="14"/>
  <c r="N37" i="14"/>
  <c r="O37" i="14" s="1"/>
  <c r="G36" i="14"/>
  <c r="N36" i="14"/>
  <c r="O36" i="14" s="1"/>
  <c r="J39" i="13"/>
  <c r="H39" i="13"/>
  <c r="N39" i="13" s="1"/>
  <c r="AA39" i="21" s="1"/>
  <c r="H37" i="13"/>
  <c r="N37" i="13" s="1"/>
  <c r="AA37" i="21" s="1"/>
  <c r="J37" i="13"/>
  <c r="J38" i="13"/>
  <c r="H38" i="13"/>
  <c r="N38" i="13" s="1"/>
  <c r="AA38" i="21" s="1"/>
  <c r="AW77" i="17"/>
  <c r="BB77" i="17" s="1"/>
  <c r="AW76" i="17"/>
  <c r="BB76" i="17" s="1"/>
  <c r="AF96" i="18"/>
  <c r="AO96" i="18"/>
  <c r="X95" i="19"/>
  <c r="J95" i="19"/>
  <c r="AB95" i="19" s="1"/>
  <c r="AF94" i="18"/>
  <c r="AO94" i="18"/>
  <c r="X94" i="19"/>
  <c r="J94" i="19"/>
  <c r="AB94" i="19" s="1"/>
  <c r="X96" i="19"/>
  <c r="J96" i="19"/>
  <c r="AB96" i="19" s="1"/>
  <c r="AF95" i="18"/>
  <c r="AO95" i="18"/>
  <c r="K37" i="13"/>
  <c r="I37" i="13"/>
  <c r="O37" i="13" s="1"/>
  <c r="AB37" i="21" s="1"/>
  <c r="AF37" i="21" s="1"/>
  <c r="K39" i="13"/>
  <c r="I39" i="13"/>
  <c r="O39" i="13" s="1"/>
  <c r="AB39" i="21" s="1"/>
  <c r="AF39" i="21" s="1"/>
  <c r="K38" i="13"/>
  <c r="I38" i="13"/>
  <c r="O38" i="13" s="1"/>
  <c r="AB38" i="21" s="1"/>
  <c r="AF38" i="21" s="1"/>
  <c r="P95" i="12"/>
  <c r="O95" i="12"/>
  <c r="P96" i="12"/>
  <c r="AB96" i="12" s="1"/>
  <c r="O96" i="12"/>
  <c r="BH65" i="12" s="1"/>
  <c r="AS95" i="12"/>
  <c r="AT95" i="12" s="1"/>
  <c r="BI64" i="12" s="1"/>
  <c r="AS96" i="12"/>
  <c r="AT96" i="12" s="1"/>
  <c r="BI65" i="12" s="1"/>
  <c r="L38" i="13"/>
  <c r="BC35" i="12"/>
  <c r="O94" i="12"/>
  <c r="P94" i="12"/>
  <c r="AS94" i="12"/>
  <c r="AT94" i="12" s="1"/>
  <c r="BI63" i="12" s="1"/>
  <c r="AH95" i="12"/>
  <c r="V38" i="21" s="1"/>
  <c r="BF35" i="12"/>
  <c r="W28" i="6"/>
  <c r="Z28" i="6" s="1"/>
  <c r="K24" i="4" s="1"/>
  <c r="W58" i="6"/>
  <c r="Z58" i="6" s="1"/>
  <c r="K44" i="4" s="1"/>
  <c r="I18" i="1"/>
  <c r="I19" i="1"/>
  <c r="O39" i="21" l="1"/>
  <c r="R39" i="21"/>
  <c r="T39" i="21" s="1"/>
  <c r="AC38" i="21"/>
  <c r="S38" i="20"/>
  <c r="V38" i="20" s="1"/>
  <c r="O37" i="21"/>
  <c r="R37" i="21"/>
  <c r="T37" i="21" s="1"/>
  <c r="S39" i="20"/>
  <c r="U39" i="20" s="1"/>
  <c r="AC39" i="21"/>
  <c r="R38" i="21"/>
  <c r="T38" i="21" s="1"/>
  <c r="O38" i="21"/>
  <c r="S37" i="20"/>
  <c r="W37" i="20" s="1"/>
  <c r="AC37" i="21"/>
  <c r="BM65" i="12"/>
  <c r="BL65" i="12"/>
  <c r="BF64" i="12"/>
  <c r="BG64" i="12"/>
  <c r="AR94" i="12"/>
  <c r="BH63" i="12"/>
  <c r="BM63" i="12" s="1"/>
  <c r="AR95" i="12"/>
  <c r="BH64" i="12"/>
  <c r="BM64" i="12" s="1"/>
  <c r="AV96" i="12"/>
  <c r="AV95" i="12"/>
  <c r="AV94" i="12"/>
  <c r="BJ36" i="12"/>
  <c r="U17" i="18"/>
  <c r="G17" i="12"/>
  <c r="U17" i="6"/>
  <c r="U18" i="18"/>
  <c r="G18" i="12"/>
  <c r="U18" i="6"/>
  <c r="AJ95" i="19"/>
  <c r="AJ94" i="19"/>
  <c r="AB36" i="14"/>
  <c r="P37" i="13"/>
  <c r="AB37" i="14"/>
  <c r="P38" i="13"/>
  <c r="AJ96" i="19"/>
  <c r="AB38" i="14"/>
  <c r="P39" i="13"/>
  <c r="G27" i="3"/>
  <c r="G47" i="3"/>
  <c r="BH36" i="12"/>
  <c r="AU96" i="12"/>
  <c r="BM36" i="12" s="1"/>
  <c r="AL96" i="12"/>
  <c r="X39" i="20" s="1"/>
  <c r="AO94" i="12"/>
  <c r="BK34" i="12" s="1"/>
  <c r="BJ34" i="12"/>
  <c r="BL34" i="12"/>
  <c r="AU94" i="12"/>
  <c r="BM34" i="12" s="1"/>
  <c r="BJ35" i="12"/>
  <c r="AO95" i="12"/>
  <c r="BK35" i="12" s="1"/>
  <c r="AL94" i="12"/>
  <c r="X37" i="20" s="1"/>
  <c r="BH34" i="12"/>
  <c r="BL36" i="12"/>
  <c r="X37" i="14"/>
  <c r="BG35" i="12"/>
  <c r="AU95" i="12"/>
  <c r="BM35" i="12" s="1"/>
  <c r="BL35" i="12"/>
  <c r="AL95" i="12"/>
  <c r="X38" i="20" s="1"/>
  <c r="BH35" i="12"/>
  <c r="I84" i="1"/>
  <c r="T39" i="20" l="1"/>
  <c r="U38" i="20"/>
  <c r="W38" i="20"/>
  <c r="T38" i="20"/>
  <c r="AI38" i="21"/>
  <c r="AI39" i="21"/>
  <c r="AI37" i="21"/>
  <c r="AD37" i="21"/>
  <c r="T37" i="20"/>
  <c r="V37" i="20"/>
  <c r="AD38" i="21"/>
  <c r="AD39" i="21"/>
  <c r="U37" i="20"/>
  <c r="W39" i="20"/>
  <c r="V39" i="20"/>
  <c r="AP37" i="14"/>
  <c r="AM38" i="21"/>
  <c r="AP38" i="14"/>
  <c r="AM39" i="21"/>
  <c r="AP36" i="14"/>
  <c r="AM37" i="21"/>
  <c r="BL64" i="12"/>
  <c r="BL63" i="12"/>
  <c r="M18" i="12"/>
  <c r="BB47" i="12" s="1"/>
  <c r="M17" i="12"/>
  <c r="BB46" i="12" s="1"/>
  <c r="V18" i="19"/>
  <c r="V18" i="9"/>
  <c r="N18" i="7"/>
  <c r="V17" i="19"/>
  <c r="V17" i="9"/>
  <c r="N17" i="7"/>
  <c r="AH38" i="14"/>
  <c r="AH37" i="14"/>
  <c r="AH36" i="14"/>
  <c r="BI34" i="12"/>
  <c r="U37" i="13"/>
  <c r="BI36" i="12"/>
  <c r="U39" i="13"/>
  <c r="BI35" i="12"/>
  <c r="U38" i="13"/>
  <c r="D9" i="11"/>
  <c r="AK38" i="21" l="1"/>
  <c r="AK39" i="21"/>
  <c r="AK37" i="21"/>
  <c r="A3" i="5"/>
  <c r="A1" i="5"/>
  <c r="M9" i="12"/>
  <c r="N9" i="12" s="1"/>
  <c r="A10" i="5"/>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10" i="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1" i="11"/>
  <c r="A9" i="11"/>
  <c r="A9" i="12"/>
  <c r="A10" i="12" s="1"/>
  <c r="A11" i="12" s="1"/>
  <c r="A12" i="12" s="1"/>
  <c r="A13" i="12" s="1"/>
  <c r="A14" i="12" s="1"/>
  <c r="A15" i="12" s="1"/>
  <c r="A16" i="12" s="1"/>
  <c r="A17"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J86" i="5" l="1"/>
  <c r="BB34" i="12" l="1"/>
  <c r="L37" i="13"/>
  <c r="BC34" i="12" l="1"/>
  <c r="W37" i="6"/>
  <c r="Z37" i="6" s="1"/>
  <c r="K30" i="4" s="1"/>
  <c r="G33" i="3" l="1"/>
  <c r="W72" i="6"/>
  <c r="Z72" i="6" s="1"/>
  <c r="K56" i="4" s="1"/>
  <c r="W79" i="6"/>
  <c r="Z79" i="6" s="1"/>
  <c r="K62" i="4" s="1"/>
  <c r="W22" i="6"/>
  <c r="Z22" i="6" s="1"/>
  <c r="W44" i="6"/>
  <c r="Z44" i="6" s="1"/>
  <c r="K32" i="4" s="1"/>
  <c r="W31" i="6"/>
  <c r="Z31" i="6" s="1"/>
  <c r="K26" i="4" s="1"/>
  <c r="W51" i="6"/>
  <c r="Z51" i="6" s="1"/>
  <c r="K38" i="4" s="1"/>
  <c r="G41" i="3" l="1"/>
  <c r="G35" i="3"/>
  <c r="G29" i="3"/>
  <c r="K20" i="4"/>
  <c r="Z3" i="6"/>
  <c r="W3" i="6"/>
  <c r="G23" i="3" l="1"/>
  <c r="Z5" i="6"/>
  <c r="G97" i="12" l="1"/>
  <c r="AN31" i="6" l="1"/>
  <c r="AN28" i="6"/>
  <c r="AN37" i="6"/>
  <c r="AN65" i="6"/>
  <c r="AN22" i="6"/>
  <c r="AN58" i="6"/>
  <c r="A2" i="10"/>
  <c r="A2" i="6"/>
  <c r="A2" i="11"/>
  <c r="A2" i="5"/>
  <c r="AN44" i="6" l="1"/>
  <c r="AN72" i="6"/>
  <c r="AN51" i="6"/>
  <c r="AN79" i="6"/>
  <c r="V84" i="4" l="1"/>
  <c r="S84" i="4"/>
  <c r="T62" i="4" s="1"/>
  <c r="P84" i="4"/>
  <c r="Q14" i="4" s="1"/>
  <c r="AI14" i="4" s="1"/>
  <c r="G65" i="3"/>
  <c r="M84" i="4"/>
  <c r="K84" i="4"/>
  <c r="G59" i="3"/>
  <c r="G87" i="3" l="1"/>
  <c r="R14" i="4"/>
  <c r="T13" i="10" s="1"/>
  <c r="W56" i="4"/>
  <c r="AP56" i="4" s="1"/>
  <c r="W82" i="4"/>
  <c r="W80" i="4"/>
  <c r="N81" i="4"/>
  <c r="N82" i="4"/>
  <c r="N80" i="4"/>
  <c r="N14" i="4"/>
  <c r="N68" i="4"/>
  <c r="N28" i="4"/>
  <c r="N15" i="4"/>
  <c r="N74" i="4"/>
  <c r="AD74" i="4" s="1"/>
  <c r="N17" i="4"/>
  <c r="N19" i="4"/>
  <c r="N18" i="4"/>
  <c r="N22" i="4"/>
  <c r="N16" i="4"/>
  <c r="N50" i="4"/>
  <c r="N24" i="4"/>
  <c r="N44" i="4"/>
  <c r="N30" i="4"/>
  <c r="N56" i="4"/>
  <c r="N38" i="4"/>
  <c r="N62" i="4"/>
  <c r="N32" i="4"/>
  <c r="N26" i="4"/>
  <c r="N20" i="4"/>
  <c r="AH14" i="4"/>
  <c r="AL62" i="4"/>
  <c r="AM62" i="4"/>
  <c r="W62" i="4"/>
  <c r="T14" i="4"/>
  <c r="T18" i="4"/>
  <c r="T28" i="4"/>
  <c r="T24" i="4"/>
  <c r="T22" i="4"/>
  <c r="T82" i="4"/>
  <c r="T38" i="4"/>
  <c r="T50" i="4"/>
  <c r="T44" i="4"/>
  <c r="T15" i="4"/>
  <c r="T17" i="4"/>
  <c r="T20" i="4"/>
  <c r="AM20" i="4" s="1"/>
  <c r="T30" i="4"/>
  <c r="T16" i="4"/>
  <c r="T32" i="4"/>
  <c r="T19" i="4"/>
  <c r="T81" i="4"/>
  <c r="T68" i="4"/>
  <c r="T26" i="4"/>
  <c r="T74" i="4"/>
  <c r="T80" i="4"/>
  <c r="W14" i="4"/>
  <c r="W22" i="4"/>
  <c r="W28" i="4"/>
  <c r="W50" i="4"/>
  <c r="W38" i="4"/>
  <c r="W68" i="4"/>
  <c r="W24" i="4"/>
  <c r="W17" i="4"/>
  <c r="W16" i="4"/>
  <c r="W32" i="4"/>
  <c r="W30" i="4"/>
  <c r="W19" i="4"/>
  <c r="W15" i="4"/>
  <c r="W18" i="4"/>
  <c r="W44" i="4"/>
  <c r="W81" i="4"/>
  <c r="W20" i="4"/>
  <c r="AQ20" i="4" s="1"/>
  <c r="W26" i="4"/>
  <c r="W74" i="4"/>
  <c r="T56" i="4"/>
  <c r="Q74" i="4"/>
  <c r="AI74" i="4" s="1"/>
  <c r="Q81" i="4"/>
  <c r="G95" i="7" s="1"/>
  <c r="X95" i="7" s="1"/>
  <c r="Q82" i="4"/>
  <c r="Q16" i="4"/>
  <c r="Q15" i="4"/>
  <c r="Q80" i="4"/>
  <c r="G94" i="7" s="1"/>
  <c r="X94" i="7" s="1"/>
  <c r="Q30" i="4"/>
  <c r="Q68" i="4"/>
  <c r="Q22" i="4"/>
  <c r="AI22" i="4" s="1"/>
  <c r="Z5" i="9"/>
  <c r="L36" i="14" l="1"/>
  <c r="P36" i="14" s="1"/>
  <c r="Q36" i="14" s="1"/>
  <c r="L37" i="21"/>
  <c r="L37" i="14"/>
  <c r="P37" i="14" s="1"/>
  <c r="Q37" i="14" s="1"/>
  <c r="L38" i="21"/>
  <c r="AC14" i="12"/>
  <c r="AD14" i="12" s="1"/>
  <c r="AE14" i="12" s="1"/>
  <c r="S10" i="23"/>
  <c r="AQ56" i="4"/>
  <c r="X59" i="4" s="1"/>
  <c r="X21" i="4"/>
  <c r="X20" i="4"/>
  <c r="U67" i="4"/>
  <c r="P66" i="10" s="1"/>
  <c r="U62" i="4"/>
  <c r="P61" i="10" s="1"/>
  <c r="U64" i="4"/>
  <c r="P63" i="10" s="1"/>
  <c r="U63" i="4"/>
  <c r="P62" i="10" s="1"/>
  <c r="U65" i="4"/>
  <c r="P64" i="10" s="1"/>
  <c r="U66" i="4"/>
  <c r="P65" i="10" s="1"/>
  <c r="R23" i="4"/>
  <c r="T22" i="10" s="1"/>
  <c r="R22" i="4"/>
  <c r="T21" i="10" s="1"/>
  <c r="R74" i="4"/>
  <c r="T73" i="10" s="1"/>
  <c r="R75" i="4"/>
  <c r="T74" i="10" s="1"/>
  <c r="R76" i="4"/>
  <c r="T75" i="10" s="1"/>
  <c r="R77" i="4"/>
  <c r="T76" i="10" s="1"/>
  <c r="R79" i="4"/>
  <c r="T78" i="10" s="1"/>
  <c r="R78" i="4"/>
  <c r="T77" i="10" s="1"/>
  <c r="U21" i="4"/>
  <c r="P20" i="10" s="1"/>
  <c r="U20" i="4"/>
  <c r="P19" i="10" s="1"/>
  <c r="AE44" i="4"/>
  <c r="AD44" i="4"/>
  <c r="AE20" i="4"/>
  <c r="AD20" i="4"/>
  <c r="AD24" i="4" s="1"/>
  <c r="AD15" i="4"/>
  <c r="AE15" i="4"/>
  <c r="O15" i="4" s="1"/>
  <c r="S14" i="10" s="1"/>
  <c r="AD50" i="4"/>
  <c r="AE50" i="4"/>
  <c r="AE32" i="4"/>
  <c r="AD32" i="4"/>
  <c r="AE16" i="4"/>
  <c r="O16" i="4" s="1"/>
  <c r="S15" i="10" s="1"/>
  <c r="AD16" i="4"/>
  <c r="AD28" i="4"/>
  <c r="AE28" i="4"/>
  <c r="AD62" i="4"/>
  <c r="AE62" i="4"/>
  <c r="AE22" i="4"/>
  <c r="AD22" i="4"/>
  <c r="AE14" i="4"/>
  <c r="O14" i="4" s="1"/>
  <c r="S13" i="10" s="1"/>
  <c r="R10" i="23" s="1"/>
  <c r="AD14" i="4"/>
  <c r="AE38" i="4"/>
  <c r="AD38" i="4"/>
  <c r="AD18" i="4"/>
  <c r="AE18" i="4"/>
  <c r="O18" i="4" s="1"/>
  <c r="S17" i="10" s="1"/>
  <c r="AD56" i="4"/>
  <c r="AE56" i="4"/>
  <c r="AD19" i="4"/>
  <c r="AE19" i="4"/>
  <c r="O19" i="4" s="1"/>
  <c r="S18" i="10" s="1"/>
  <c r="AD17" i="4"/>
  <c r="AE17" i="4"/>
  <c r="O17" i="4" s="1"/>
  <c r="S16" i="10" s="1"/>
  <c r="AQ74" i="4"/>
  <c r="AP74" i="4"/>
  <c r="AQ19" i="4"/>
  <c r="X19" i="4" s="1"/>
  <c r="AP19" i="4"/>
  <c r="AQ50" i="4"/>
  <c r="AP50" i="4"/>
  <c r="AM44" i="4"/>
  <c r="AL44" i="4"/>
  <c r="AM14" i="4"/>
  <c r="AL14" i="4"/>
  <c r="AQ28" i="4"/>
  <c r="AP28" i="4"/>
  <c r="AM19" i="4"/>
  <c r="U19" i="4" s="1"/>
  <c r="P18" i="10" s="1"/>
  <c r="AL19" i="4"/>
  <c r="AM50" i="4"/>
  <c r="AL50" i="4"/>
  <c r="AP62" i="4"/>
  <c r="AQ62" i="4"/>
  <c r="AP20" i="4"/>
  <c r="AP32" i="4"/>
  <c r="AQ32" i="4"/>
  <c r="AP22" i="4"/>
  <c r="AQ22" i="4"/>
  <c r="AL32" i="4"/>
  <c r="AM32" i="4"/>
  <c r="AM38" i="4"/>
  <c r="AL38" i="4"/>
  <c r="AQ16" i="4"/>
  <c r="X16" i="4" s="1"/>
  <c r="AP16" i="4"/>
  <c r="AP14" i="4"/>
  <c r="AQ14" i="4"/>
  <c r="X14" i="4" s="1"/>
  <c r="AM16" i="4"/>
  <c r="U16" i="4" s="1"/>
  <c r="P15" i="10" s="1"/>
  <c r="AL16" i="4"/>
  <c r="AQ44" i="4"/>
  <c r="AP44" i="4"/>
  <c r="AQ17" i="4"/>
  <c r="X17" i="4" s="1"/>
  <c r="AP17" i="4"/>
  <c r="AM22" i="4"/>
  <c r="AL22" i="4"/>
  <c r="AQ18" i="4"/>
  <c r="X18" i="4" s="1"/>
  <c r="AP18" i="4"/>
  <c r="AM74" i="4"/>
  <c r="U79" i="4" s="1"/>
  <c r="AL74" i="4"/>
  <c r="AL20" i="4"/>
  <c r="AM56" i="4"/>
  <c r="AL56" i="4"/>
  <c r="AQ15" i="4"/>
  <c r="AP15" i="4"/>
  <c r="AL17" i="4"/>
  <c r="AM17" i="4"/>
  <c r="U17" i="4" s="1"/>
  <c r="P16" i="10" s="1"/>
  <c r="AM28" i="4"/>
  <c r="AL28" i="4"/>
  <c r="AQ38" i="4"/>
  <c r="AP38" i="4"/>
  <c r="AM15" i="4"/>
  <c r="AL15" i="4"/>
  <c r="AM18" i="4"/>
  <c r="U18" i="4" s="1"/>
  <c r="P17" i="10" s="1"/>
  <c r="AL18" i="4"/>
  <c r="AH74" i="4"/>
  <c r="AH22" i="4"/>
  <c r="AI16" i="4"/>
  <c r="R16" i="4" s="1"/>
  <c r="T15" i="10" s="1"/>
  <c r="AH16" i="4"/>
  <c r="AI15" i="4"/>
  <c r="AH15" i="4"/>
  <c r="M36" i="14"/>
  <c r="M37" i="14"/>
  <c r="T84" i="4"/>
  <c r="N84" i="4"/>
  <c r="G96" i="7"/>
  <c r="U36" i="14" l="1"/>
  <c r="M38" i="21"/>
  <c r="P38" i="21"/>
  <c r="AG38" i="21"/>
  <c r="U37" i="14"/>
  <c r="M37" i="21"/>
  <c r="P37" i="21"/>
  <c r="AG37" i="21"/>
  <c r="W16" i="12"/>
  <c r="X16" i="12" s="1"/>
  <c r="Y16" i="12" s="1"/>
  <c r="P12" i="23"/>
  <c r="P12" i="22"/>
  <c r="Z17" i="12"/>
  <c r="AA17" i="12" s="1"/>
  <c r="AB17" i="12" s="1"/>
  <c r="R13" i="23"/>
  <c r="Z15" i="12"/>
  <c r="AA15" i="12" s="1"/>
  <c r="AB15" i="12" s="1"/>
  <c r="R11" i="23"/>
  <c r="AC91" i="12"/>
  <c r="S74" i="23"/>
  <c r="W77" i="12"/>
  <c r="P62" i="22"/>
  <c r="P62" i="23"/>
  <c r="W18" i="12"/>
  <c r="X18" i="12" s="1"/>
  <c r="Y18" i="12" s="1"/>
  <c r="P14" i="23"/>
  <c r="P14" i="22"/>
  <c r="AC92" i="12"/>
  <c r="S75" i="23"/>
  <c r="W76" i="12"/>
  <c r="P61" i="22"/>
  <c r="P61" i="23"/>
  <c r="W21" i="12"/>
  <c r="P17" i="22"/>
  <c r="P17" i="23"/>
  <c r="Z19" i="12"/>
  <c r="AA19" i="12" s="1"/>
  <c r="AB19" i="12" s="1"/>
  <c r="R15" i="23"/>
  <c r="AC90" i="12"/>
  <c r="S73" i="23"/>
  <c r="W74" i="12"/>
  <c r="P59" i="23"/>
  <c r="P59" i="22"/>
  <c r="AC16" i="12"/>
  <c r="AD16" i="12" s="1"/>
  <c r="AE16" i="12" s="1"/>
  <c r="S12" i="23"/>
  <c r="W19" i="12"/>
  <c r="X19" i="12" s="1"/>
  <c r="Y19" i="12" s="1"/>
  <c r="P15" i="22"/>
  <c r="P15" i="23"/>
  <c r="Z16" i="12"/>
  <c r="AA16" i="12" s="1"/>
  <c r="AB16" i="12" s="1"/>
  <c r="R12" i="23"/>
  <c r="AC89" i="12"/>
  <c r="S72" i="23"/>
  <c r="W75" i="12"/>
  <c r="P60" i="22"/>
  <c r="P60" i="23"/>
  <c r="AC24" i="12"/>
  <c r="S19" i="23"/>
  <c r="AC88" i="12"/>
  <c r="S71" i="23"/>
  <c r="W73" i="12"/>
  <c r="P58" i="23"/>
  <c r="P58" i="22"/>
  <c r="W17" i="12"/>
  <c r="X17" i="12" s="1"/>
  <c r="Y17" i="12" s="1"/>
  <c r="P13" i="22"/>
  <c r="P13" i="23"/>
  <c r="AC87" i="12"/>
  <c r="S70" i="23"/>
  <c r="W78" i="12"/>
  <c r="P63" i="22"/>
  <c r="P63" i="23"/>
  <c r="Z18" i="12"/>
  <c r="AA18" i="12" s="1"/>
  <c r="AB18" i="12" s="1"/>
  <c r="R14" i="23"/>
  <c r="W20" i="12"/>
  <c r="X22" i="12" s="1"/>
  <c r="Y22" i="12" s="1"/>
  <c r="P16" i="22"/>
  <c r="P16" i="23"/>
  <c r="AC23" i="12"/>
  <c r="S18" i="23"/>
  <c r="Z14" i="12"/>
  <c r="AA14" i="12" s="1"/>
  <c r="AB14" i="12" s="1"/>
  <c r="V13" i="10"/>
  <c r="X60" i="4"/>
  <c r="H70" i="7" s="1"/>
  <c r="AB70" i="7" s="1"/>
  <c r="X61" i="4"/>
  <c r="Z60" i="10" s="1"/>
  <c r="X58" i="4"/>
  <c r="H68" i="7" s="1"/>
  <c r="AB68" i="7" s="1"/>
  <c r="X57" i="4"/>
  <c r="Z56" i="10" s="1"/>
  <c r="X56" i="4"/>
  <c r="Z55" i="10" s="1"/>
  <c r="U14" i="4"/>
  <c r="P13" i="10" s="1"/>
  <c r="O29" i="4"/>
  <c r="S28" i="10" s="1"/>
  <c r="O28" i="4"/>
  <c r="S27" i="10" s="1"/>
  <c r="P12" i="17"/>
  <c r="U75" i="4"/>
  <c r="P74" i="10" s="1"/>
  <c r="U76" i="4"/>
  <c r="P75" i="10" s="1"/>
  <c r="U77" i="4"/>
  <c r="P76" i="10" s="1"/>
  <c r="U78" i="4"/>
  <c r="P77" i="10" s="1"/>
  <c r="P78" i="10"/>
  <c r="U74" i="4"/>
  <c r="P73" i="10" s="1"/>
  <c r="X46" i="4"/>
  <c r="X47" i="4"/>
  <c r="X48" i="4"/>
  <c r="X49" i="4"/>
  <c r="X44" i="4"/>
  <c r="X45" i="4"/>
  <c r="U43" i="4"/>
  <c r="P42" i="10" s="1"/>
  <c r="U38" i="4"/>
  <c r="P37" i="10" s="1"/>
  <c r="U39" i="4"/>
  <c r="P38" i="10" s="1"/>
  <c r="U40" i="4"/>
  <c r="P39" i="10" s="1"/>
  <c r="U41" i="4"/>
  <c r="P40" i="10" s="1"/>
  <c r="U42" i="4"/>
  <c r="P41" i="10" s="1"/>
  <c r="X66" i="4"/>
  <c r="X67" i="4"/>
  <c r="X62" i="4"/>
  <c r="X63" i="4"/>
  <c r="X64" i="4"/>
  <c r="X65" i="4"/>
  <c r="O62" i="4"/>
  <c r="S61" i="10" s="1"/>
  <c r="O63" i="4"/>
  <c r="S62" i="10" s="1"/>
  <c r="O64" i="4"/>
  <c r="S63" i="10" s="1"/>
  <c r="O65" i="4"/>
  <c r="S64" i="10" s="1"/>
  <c r="O66" i="4"/>
  <c r="S65" i="10" s="1"/>
  <c r="O67" i="4"/>
  <c r="S66" i="10" s="1"/>
  <c r="O53" i="4"/>
  <c r="S52" i="10" s="1"/>
  <c r="O54" i="4"/>
  <c r="S53" i="10" s="1"/>
  <c r="O55" i="4"/>
  <c r="S54" i="10" s="1"/>
  <c r="O50" i="4"/>
  <c r="S49" i="10" s="1"/>
  <c r="O52" i="4"/>
  <c r="S51" i="10" s="1"/>
  <c r="O51" i="4"/>
  <c r="S50" i="10" s="1"/>
  <c r="P15" i="17"/>
  <c r="P13" i="17"/>
  <c r="U33" i="4"/>
  <c r="P32" i="10" s="1"/>
  <c r="U34" i="4"/>
  <c r="P33" i="10" s="1"/>
  <c r="U36" i="4"/>
  <c r="P35" i="10" s="1"/>
  <c r="U35" i="4"/>
  <c r="P34" i="10" s="1"/>
  <c r="U37" i="4"/>
  <c r="P36" i="10" s="1"/>
  <c r="U32" i="4"/>
  <c r="P31" i="10" s="1"/>
  <c r="X75" i="4"/>
  <c r="X76" i="4"/>
  <c r="X77" i="4"/>
  <c r="X78" i="4"/>
  <c r="X79" i="4"/>
  <c r="X74" i="4"/>
  <c r="P16" i="17"/>
  <c r="H69" i="7"/>
  <c r="AB69" i="7" s="1"/>
  <c r="Z58" i="10"/>
  <c r="R15" i="4"/>
  <c r="T14" i="10" s="1"/>
  <c r="S11" i="23" s="1"/>
  <c r="U15" i="4"/>
  <c r="P14" i="10" s="1"/>
  <c r="X15" i="4"/>
  <c r="H14" i="7"/>
  <c r="AB14" i="7" s="1"/>
  <c r="Z13" i="10"/>
  <c r="X23" i="4"/>
  <c r="X22" i="4"/>
  <c r="U51" i="4"/>
  <c r="P50" i="10" s="1"/>
  <c r="U52" i="4"/>
  <c r="P51" i="10" s="1"/>
  <c r="U53" i="4"/>
  <c r="P52" i="10" s="1"/>
  <c r="U50" i="4"/>
  <c r="P49" i="10" s="1"/>
  <c r="U54" i="4"/>
  <c r="P53" i="10" s="1"/>
  <c r="U55" i="4"/>
  <c r="P54" i="10" s="1"/>
  <c r="U47" i="4"/>
  <c r="P46" i="10" s="1"/>
  <c r="U48" i="4"/>
  <c r="P47" i="10" s="1"/>
  <c r="U49" i="4"/>
  <c r="P48" i="10" s="1"/>
  <c r="U44" i="4"/>
  <c r="P43" i="10" s="1"/>
  <c r="U45" i="4"/>
  <c r="P44" i="10" s="1"/>
  <c r="U46" i="4"/>
  <c r="P45" i="10" s="1"/>
  <c r="O39" i="4"/>
  <c r="S38" i="10" s="1"/>
  <c r="O40" i="4"/>
  <c r="S39" i="10" s="1"/>
  <c r="O42" i="4"/>
  <c r="S41" i="10" s="1"/>
  <c r="O41" i="4"/>
  <c r="S40" i="10" s="1"/>
  <c r="O43" i="4"/>
  <c r="S42" i="10" s="1"/>
  <c r="O38" i="4"/>
  <c r="S37" i="10" s="1"/>
  <c r="P60" i="17"/>
  <c r="P11" i="17"/>
  <c r="P61" i="17"/>
  <c r="U23" i="4"/>
  <c r="P22" i="10" s="1"/>
  <c r="U22" i="4"/>
  <c r="P21" i="10" s="1"/>
  <c r="P58" i="17"/>
  <c r="X42" i="4"/>
  <c r="X43" i="4"/>
  <c r="X38" i="4"/>
  <c r="X39" i="4"/>
  <c r="X40" i="4"/>
  <c r="X41" i="4"/>
  <c r="U57" i="4"/>
  <c r="P56" i="10" s="1"/>
  <c r="U58" i="4"/>
  <c r="P57" i="10" s="1"/>
  <c r="U59" i="4"/>
  <c r="P58" i="10" s="1"/>
  <c r="U60" i="4"/>
  <c r="P59" i="10" s="1"/>
  <c r="U61" i="4"/>
  <c r="P60" i="10" s="1"/>
  <c r="U56" i="4"/>
  <c r="P55" i="10" s="1"/>
  <c r="X32" i="4"/>
  <c r="X33" i="4"/>
  <c r="X34" i="4"/>
  <c r="X35" i="4"/>
  <c r="X36" i="4"/>
  <c r="X37" i="4"/>
  <c r="P14" i="17"/>
  <c r="X51" i="4"/>
  <c r="X52" i="4"/>
  <c r="X53" i="4"/>
  <c r="X54" i="4"/>
  <c r="X55" i="4"/>
  <c r="X50" i="4"/>
  <c r="O21" i="4"/>
  <c r="S20" i="10" s="1"/>
  <c r="O20" i="4"/>
  <c r="S19" i="10" s="1"/>
  <c r="P59" i="17"/>
  <c r="H18" i="7"/>
  <c r="AB18" i="7" s="1"/>
  <c r="Z17" i="10"/>
  <c r="H17" i="7"/>
  <c r="AB17" i="7" s="1"/>
  <c r="Z16" i="10"/>
  <c r="H16" i="7"/>
  <c r="AB16" i="7" s="1"/>
  <c r="Z15" i="10"/>
  <c r="O57" i="4"/>
  <c r="S56" i="10" s="1"/>
  <c r="O58" i="4"/>
  <c r="S57" i="10" s="1"/>
  <c r="O56" i="4"/>
  <c r="S55" i="10" s="1"/>
  <c r="O59" i="4"/>
  <c r="S58" i="10" s="1"/>
  <c r="O60" i="4"/>
  <c r="S59" i="10" s="1"/>
  <c r="O61" i="4"/>
  <c r="S60" i="10" s="1"/>
  <c r="P57" i="17"/>
  <c r="Z19" i="10"/>
  <c r="H20" i="7"/>
  <c r="AB20" i="7" s="1"/>
  <c r="U29" i="4"/>
  <c r="P28" i="10" s="1"/>
  <c r="U28" i="4"/>
  <c r="P27" i="10" s="1"/>
  <c r="X29" i="4"/>
  <c r="X28" i="4"/>
  <c r="H19" i="7"/>
  <c r="AB19" i="7" s="1"/>
  <c r="Z18" i="10"/>
  <c r="O23" i="4"/>
  <c r="S22" i="10" s="1"/>
  <c r="O22" i="4"/>
  <c r="S21" i="10" s="1"/>
  <c r="O33" i="4"/>
  <c r="S32" i="10" s="1"/>
  <c r="O34" i="4"/>
  <c r="S33" i="10" s="1"/>
  <c r="O35" i="4"/>
  <c r="S34" i="10" s="1"/>
  <c r="O36" i="4"/>
  <c r="S35" i="10" s="1"/>
  <c r="O37" i="4"/>
  <c r="S36" i="10" s="1"/>
  <c r="O32" i="4"/>
  <c r="S31" i="10" s="1"/>
  <c r="O49" i="4"/>
  <c r="S48" i="10" s="1"/>
  <c r="O44" i="4"/>
  <c r="S43" i="10" s="1"/>
  <c r="O46" i="4"/>
  <c r="S45" i="10" s="1"/>
  <c r="O48" i="4"/>
  <c r="S47" i="10" s="1"/>
  <c r="O45" i="4"/>
  <c r="S44" i="10" s="1"/>
  <c r="O47" i="4"/>
  <c r="S46" i="10" s="1"/>
  <c r="P62" i="17"/>
  <c r="Z20" i="10"/>
  <c r="H21" i="7"/>
  <c r="AB21" i="7" s="1"/>
  <c r="F15" i="7"/>
  <c r="AE24" i="4"/>
  <c r="AD30" i="4"/>
  <c r="AD68" i="4"/>
  <c r="AD26" i="4"/>
  <c r="AE30" i="4"/>
  <c r="AE68" i="4"/>
  <c r="AE26" i="4"/>
  <c r="AL26" i="4"/>
  <c r="AM26" i="4" s="1"/>
  <c r="AL24" i="4"/>
  <c r="AM24" i="4" s="1"/>
  <c r="AL30" i="4"/>
  <c r="AM30" i="4" s="1"/>
  <c r="AL68" i="4"/>
  <c r="AM68" i="4" s="1"/>
  <c r="AP68" i="4"/>
  <c r="AQ68" i="4" s="1"/>
  <c r="AP30" i="4"/>
  <c r="AQ30" i="4" s="1"/>
  <c r="AP26" i="4"/>
  <c r="AQ26" i="4" s="1"/>
  <c r="AP24" i="4"/>
  <c r="AQ24" i="4" s="1"/>
  <c r="AH30" i="4"/>
  <c r="AI30" i="4" s="1"/>
  <c r="AH26" i="4"/>
  <c r="AI26" i="4" s="1"/>
  <c r="AH68" i="4"/>
  <c r="AI68" i="4" s="1"/>
  <c r="AH24" i="4"/>
  <c r="AI24" i="4" s="1"/>
  <c r="W37" i="14"/>
  <c r="T37" i="14"/>
  <c r="V37" i="14" s="1"/>
  <c r="T36" i="14"/>
  <c r="V36" i="14" s="1"/>
  <c r="W36" i="14"/>
  <c r="W84" i="4"/>
  <c r="X96" i="7"/>
  <c r="G80" i="4"/>
  <c r="AD25" i="12" l="1"/>
  <c r="AE25" i="12" s="1"/>
  <c r="X79" i="12"/>
  <c r="Y79" i="12" s="1"/>
  <c r="AH37" i="21"/>
  <c r="AJ37" i="21"/>
  <c r="AL37" i="21" s="1"/>
  <c r="Q37" i="21"/>
  <c r="S37" i="21"/>
  <c r="U37" i="21" s="1"/>
  <c r="AD93" i="12"/>
  <c r="AE93" i="12" s="1"/>
  <c r="AH38" i="21"/>
  <c r="AJ38" i="21"/>
  <c r="AL38" i="21" s="1"/>
  <c r="L38" i="14"/>
  <c r="P38" i="14" s="1"/>
  <c r="Q38" i="14" s="1"/>
  <c r="L39" i="21"/>
  <c r="S38" i="21"/>
  <c r="U38" i="21" s="1"/>
  <c r="Q38" i="21"/>
  <c r="Z67" i="12"/>
  <c r="R53" i="23"/>
  <c r="W15" i="12"/>
  <c r="X15" i="12" s="1"/>
  <c r="Y15" i="12" s="1"/>
  <c r="P11" i="23"/>
  <c r="P11" i="22"/>
  <c r="Z56" i="12"/>
  <c r="R44" i="23"/>
  <c r="W32" i="12"/>
  <c r="P24" i="22"/>
  <c r="P24" i="23"/>
  <c r="Z66" i="12"/>
  <c r="R52" i="23"/>
  <c r="AD16" i="14"/>
  <c r="AE17" i="21"/>
  <c r="Z64" i="12"/>
  <c r="R51" i="23"/>
  <c r="W88" i="12"/>
  <c r="P71" i="22"/>
  <c r="P71" i="23"/>
  <c r="Z54" i="12"/>
  <c r="R42" i="23"/>
  <c r="Z39" i="12"/>
  <c r="R29" i="23"/>
  <c r="W33" i="12"/>
  <c r="P25" i="22"/>
  <c r="P25" i="23"/>
  <c r="Z68" i="12"/>
  <c r="R54" i="23"/>
  <c r="W66" i="12"/>
  <c r="P52" i="23"/>
  <c r="P52" i="22"/>
  <c r="W54" i="12"/>
  <c r="P42" i="23"/>
  <c r="P42" i="22"/>
  <c r="W59" i="12"/>
  <c r="P46" i="22"/>
  <c r="P46" i="23"/>
  <c r="W40" i="12"/>
  <c r="P30" i="23"/>
  <c r="P30" i="22"/>
  <c r="Z63" i="12"/>
  <c r="R50" i="23"/>
  <c r="W47" i="12"/>
  <c r="P36" i="22"/>
  <c r="P36" i="23"/>
  <c r="Z20" i="12"/>
  <c r="R16" i="23"/>
  <c r="W62" i="12"/>
  <c r="P49" i="22"/>
  <c r="P49" i="23"/>
  <c r="Z32" i="12"/>
  <c r="R24" i="23"/>
  <c r="F20" i="19"/>
  <c r="AF20" i="19" s="1"/>
  <c r="V16" i="23"/>
  <c r="Z33" i="12"/>
  <c r="R25" i="23"/>
  <c r="Z52" i="12"/>
  <c r="R40" i="23"/>
  <c r="Z62" i="12"/>
  <c r="R49" i="23"/>
  <c r="Z21" i="12"/>
  <c r="R17" i="23"/>
  <c r="F21" i="19"/>
  <c r="AF21" i="19" s="1"/>
  <c r="V17" i="23"/>
  <c r="F19" i="19"/>
  <c r="AF19" i="19" s="1"/>
  <c r="V15" i="23"/>
  <c r="AD18" i="14"/>
  <c r="AE19" i="21"/>
  <c r="W69" i="12"/>
  <c r="P55" i="23"/>
  <c r="P55" i="22"/>
  <c r="Z50" i="12"/>
  <c r="R39" i="23"/>
  <c r="W57" i="12"/>
  <c r="P45" i="22"/>
  <c r="P45" i="23"/>
  <c r="W60" i="12"/>
  <c r="P47" i="22"/>
  <c r="P47" i="23"/>
  <c r="F69" i="19"/>
  <c r="AF69" i="19" s="1"/>
  <c r="V55" i="23"/>
  <c r="Z77" i="12"/>
  <c r="R62" i="23"/>
  <c r="W50" i="12"/>
  <c r="P39" i="22"/>
  <c r="P39" i="23"/>
  <c r="W92" i="12"/>
  <c r="P75" i="23"/>
  <c r="P75" i="22"/>
  <c r="W14" i="12"/>
  <c r="X14" i="12" s="1"/>
  <c r="Y14" i="12" s="1"/>
  <c r="P10" i="23"/>
  <c r="P10" i="22"/>
  <c r="Z23" i="12"/>
  <c r="R18" i="23"/>
  <c r="W39" i="12"/>
  <c r="P29" i="22"/>
  <c r="P29" i="23"/>
  <c r="W70" i="12"/>
  <c r="P56" i="22"/>
  <c r="P56" i="23"/>
  <c r="W61" i="12"/>
  <c r="P48" i="23"/>
  <c r="P48" i="22"/>
  <c r="W45" i="12"/>
  <c r="P34" i="23"/>
  <c r="P34" i="22"/>
  <c r="Z38" i="12"/>
  <c r="R28" i="23"/>
  <c r="Z43" i="12"/>
  <c r="R33" i="23"/>
  <c r="AD21" i="14"/>
  <c r="AE22" i="21"/>
  <c r="Z71" i="12"/>
  <c r="R57" i="23"/>
  <c r="F17" i="19"/>
  <c r="AF17" i="19" s="1"/>
  <c r="V13" i="23"/>
  <c r="W68" i="12"/>
  <c r="P54" i="23"/>
  <c r="P54" i="22"/>
  <c r="Z48" i="12"/>
  <c r="R37" i="23"/>
  <c r="W56" i="12"/>
  <c r="P44" i="23"/>
  <c r="P44" i="22"/>
  <c r="W38" i="12"/>
  <c r="P28" i="23"/>
  <c r="P28" i="22"/>
  <c r="Z60" i="12"/>
  <c r="R47" i="23"/>
  <c r="Z76" i="12"/>
  <c r="R61" i="23"/>
  <c r="W91" i="12"/>
  <c r="P74" i="23"/>
  <c r="P74" i="22"/>
  <c r="F66" i="19"/>
  <c r="AF66" i="19" s="1"/>
  <c r="V52" i="23"/>
  <c r="W53" i="12"/>
  <c r="P41" i="22"/>
  <c r="P41" i="23"/>
  <c r="W46" i="12"/>
  <c r="P35" i="23"/>
  <c r="P35" i="22"/>
  <c r="Z57" i="12"/>
  <c r="R45" i="23"/>
  <c r="F16" i="19"/>
  <c r="AF16" i="19" s="1"/>
  <c r="V12" i="23"/>
  <c r="Z45" i="12"/>
  <c r="R34" i="23"/>
  <c r="W87" i="12"/>
  <c r="P70" i="22"/>
  <c r="P70" i="23"/>
  <c r="Z55" i="12"/>
  <c r="R43" i="23"/>
  <c r="Z42" i="12"/>
  <c r="R32" i="23"/>
  <c r="Z70" i="12"/>
  <c r="R56" i="23"/>
  <c r="AD19" i="14"/>
  <c r="AE20" i="21"/>
  <c r="W67" i="12"/>
  <c r="P53" i="22"/>
  <c r="P53" i="23"/>
  <c r="W23" i="12"/>
  <c r="P18" i="23"/>
  <c r="P18" i="22"/>
  <c r="Z49" i="12"/>
  <c r="R38" i="23"/>
  <c r="W55" i="12"/>
  <c r="P43" i="22"/>
  <c r="P43" i="23"/>
  <c r="W43" i="12"/>
  <c r="P33" i="22"/>
  <c r="P33" i="23"/>
  <c r="Z61" i="12"/>
  <c r="R48" i="23"/>
  <c r="Z75" i="12"/>
  <c r="R60" i="23"/>
  <c r="W90" i="12"/>
  <c r="P73" i="22"/>
  <c r="P73" i="23"/>
  <c r="F67" i="19"/>
  <c r="AF67" i="19" s="1"/>
  <c r="V53" i="23"/>
  <c r="Z24" i="12"/>
  <c r="R19" i="23"/>
  <c r="W52" i="12"/>
  <c r="P40" i="22"/>
  <c r="P40" i="23"/>
  <c r="Z78" i="12"/>
  <c r="R63" i="23"/>
  <c r="Z53" i="12"/>
  <c r="R41" i="23"/>
  <c r="Z41" i="12"/>
  <c r="R31" i="23"/>
  <c r="Z69" i="12"/>
  <c r="R55" i="23"/>
  <c r="F18" i="19"/>
  <c r="AF18" i="19" s="1"/>
  <c r="V14" i="23"/>
  <c r="W24" i="12"/>
  <c r="P19" i="23"/>
  <c r="P19" i="22"/>
  <c r="Z47" i="12"/>
  <c r="R36" i="23"/>
  <c r="W64" i="12"/>
  <c r="P51" i="23"/>
  <c r="P51" i="22"/>
  <c r="F14" i="19"/>
  <c r="AF14" i="19" s="1"/>
  <c r="V10" i="23"/>
  <c r="W41" i="12"/>
  <c r="P31" i="23"/>
  <c r="P31" i="22"/>
  <c r="Z59" i="12"/>
  <c r="R46" i="23"/>
  <c r="Z74" i="12"/>
  <c r="R59" i="23"/>
  <c r="W49" i="12"/>
  <c r="P38" i="23"/>
  <c r="P38" i="22"/>
  <c r="W89" i="12"/>
  <c r="P72" i="23"/>
  <c r="P72" i="22"/>
  <c r="W71" i="12"/>
  <c r="P57" i="22"/>
  <c r="P57" i="23"/>
  <c r="Z40" i="12"/>
  <c r="R30" i="23"/>
  <c r="AD20" i="14"/>
  <c r="AE21" i="21"/>
  <c r="Z46" i="12"/>
  <c r="R35" i="23"/>
  <c r="W63" i="12"/>
  <c r="P50" i="23"/>
  <c r="P50" i="22"/>
  <c r="W42" i="12"/>
  <c r="P32" i="22"/>
  <c r="P32" i="23"/>
  <c r="Z73" i="12"/>
  <c r="R58" i="23"/>
  <c r="W48" i="12"/>
  <c r="P37" i="22"/>
  <c r="P37" i="23"/>
  <c r="F71" i="19"/>
  <c r="AF71" i="19" s="1"/>
  <c r="V57" i="23"/>
  <c r="H66" i="7"/>
  <c r="AB66" i="7" s="1"/>
  <c r="Z57" i="10"/>
  <c r="H71" i="7"/>
  <c r="AB71" i="7" s="1"/>
  <c r="H67" i="7"/>
  <c r="AB67" i="7" s="1"/>
  <c r="V14" i="10"/>
  <c r="F15" i="9" s="1"/>
  <c r="AF15" i="9" s="1"/>
  <c r="AC15" i="12"/>
  <c r="AD15" i="12" s="1"/>
  <c r="AE15" i="12" s="1"/>
  <c r="Z59" i="10"/>
  <c r="F15" i="6"/>
  <c r="AM15" i="6" s="1"/>
  <c r="P52" i="17"/>
  <c r="H75" i="7"/>
  <c r="AB75" i="7" s="1"/>
  <c r="Z63" i="10"/>
  <c r="X31" i="4"/>
  <c r="X30" i="4"/>
  <c r="O31" i="4"/>
  <c r="S30" i="10" s="1"/>
  <c r="O30" i="4"/>
  <c r="S29" i="10" s="1"/>
  <c r="P24" i="17"/>
  <c r="Z52" i="10"/>
  <c r="H62" i="7"/>
  <c r="AB62" i="7" s="1"/>
  <c r="Z35" i="10"/>
  <c r="H42" i="7"/>
  <c r="AB42" i="7" s="1"/>
  <c r="P54" i="17"/>
  <c r="H49" i="7"/>
  <c r="AB49" i="7" s="1"/>
  <c r="Z41" i="10"/>
  <c r="P17" i="17"/>
  <c r="P39" i="17"/>
  <c r="P47" i="17"/>
  <c r="P10" i="17"/>
  <c r="Z75" i="10"/>
  <c r="H89" i="7"/>
  <c r="AB89" i="7" s="1"/>
  <c r="P29" i="17"/>
  <c r="P36" i="17"/>
  <c r="Z47" i="10"/>
  <c r="H56" i="7"/>
  <c r="AB56" i="7" s="1"/>
  <c r="P70" i="17"/>
  <c r="Z50" i="10"/>
  <c r="H60" i="7"/>
  <c r="AB60" i="7" s="1"/>
  <c r="Z21" i="10"/>
  <c r="H23" i="7"/>
  <c r="AB23" i="7" s="1"/>
  <c r="G15" i="7"/>
  <c r="X15" i="7" s="1"/>
  <c r="X70" i="4"/>
  <c r="X71" i="4"/>
  <c r="X72" i="4"/>
  <c r="X73" i="4"/>
  <c r="X68" i="4"/>
  <c r="X69" i="4"/>
  <c r="Z51" i="10"/>
  <c r="H61" i="7"/>
  <c r="AB61" i="7" s="1"/>
  <c r="H41" i="7"/>
  <c r="AB41" i="7" s="1"/>
  <c r="Z34" i="10"/>
  <c r="P53" i="17"/>
  <c r="P18" i="17"/>
  <c r="P44" i="17"/>
  <c r="P46" i="17"/>
  <c r="H88" i="7"/>
  <c r="AB88" i="7" s="1"/>
  <c r="Z74" i="10"/>
  <c r="P28" i="17"/>
  <c r="H76" i="7"/>
  <c r="AB76" i="7" s="1"/>
  <c r="Z64" i="10"/>
  <c r="P35" i="17"/>
  <c r="Z46" i="10"/>
  <c r="H55" i="7"/>
  <c r="AB55" i="7" s="1"/>
  <c r="H40" i="7"/>
  <c r="AB40" i="7" s="1"/>
  <c r="Z33" i="10"/>
  <c r="P34" i="17"/>
  <c r="R69" i="4"/>
  <c r="T68" i="10" s="1"/>
  <c r="R70" i="4"/>
  <c r="T69" i="10" s="1"/>
  <c r="R71" i="4"/>
  <c r="T70" i="10" s="1"/>
  <c r="R72" i="4"/>
  <c r="T71" i="10" s="1"/>
  <c r="R73" i="4"/>
  <c r="T72" i="10" s="1"/>
  <c r="R68" i="4"/>
  <c r="T67" i="10" s="1"/>
  <c r="U31" i="4"/>
  <c r="P30" i="10" s="1"/>
  <c r="U30" i="4"/>
  <c r="P29" i="10" s="1"/>
  <c r="Z32" i="10"/>
  <c r="H39" i="7"/>
  <c r="AB39" i="7" s="1"/>
  <c r="H48" i="7"/>
  <c r="AB48" i="7" s="1"/>
  <c r="Z40" i="10"/>
  <c r="P42" i="17"/>
  <c r="Z22" i="10"/>
  <c r="H24" i="7"/>
  <c r="AB24" i="7" s="1"/>
  <c r="T10" i="17"/>
  <c r="H74" i="7"/>
  <c r="AB74" i="7" s="1"/>
  <c r="Z62" i="10"/>
  <c r="P33" i="17"/>
  <c r="P69" i="17"/>
  <c r="P43" i="17"/>
  <c r="R27" i="4"/>
  <c r="T26" i="10" s="1"/>
  <c r="R26" i="4"/>
  <c r="T25" i="10" s="1"/>
  <c r="U25" i="4"/>
  <c r="P24" i="10" s="1"/>
  <c r="U24" i="4"/>
  <c r="P23" i="10" s="1"/>
  <c r="O25" i="4"/>
  <c r="S24" i="10" s="1"/>
  <c r="O24" i="4"/>
  <c r="S23" i="10" s="1"/>
  <c r="Z31" i="10"/>
  <c r="H38" i="7"/>
  <c r="AB38" i="7" s="1"/>
  <c r="H47" i="7"/>
  <c r="AB47" i="7" s="1"/>
  <c r="Z39" i="10"/>
  <c r="P50" i="17"/>
  <c r="H87" i="7"/>
  <c r="AB87" i="7" s="1"/>
  <c r="Z73" i="10"/>
  <c r="P27" i="17"/>
  <c r="Z61" i="10"/>
  <c r="H73" i="7"/>
  <c r="AB73" i="7" s="1"/>
  <c r="P38" i="17"/>
  <c r="P74" i="17"/>
  <c r="R24" i="4"/>
  <c r="T23" i="10" s="1"/>
  <c r="R25" i="4"/>
  <c r="T24" i="10" s="1"/>
  <c r="R31" i="4"/>
  <c r="T30" i="10" s="1"/>
  <c r="R30" i="4"/>
  <c r="T29" i="10" s="1"/>
  <c r="U26" i="4"/>
  <c r="P25" i="10" s="1"/>
  <c r="U27" i="4"/>
  <c r="P26" i="10" s="1"/>
  <c r="T15" i="7"/>
  <c r="Z27" i="10"/>
  <c r="H32" i="7"/>
  <c r="AB32" i="7" s="1"/>
  <c r="H59" i="7"/>
  <c r="AB59" i="7" s="1"/>
  <c r="Z49" i="10"/>
  <c r="P51" i="17"/>
  <c r="H46" i="7"/>
  <c r="AB46" i="7" s="1"/>
  <c r="Z38" i="10"/>
  <c r="P49" i="17"/>
  <c r="H92" i="7"/>
  <c r="AB92" i="7" s="1"/>
  <c r="Z78" i="10"/>
  <c r="P32" i="17"/>
  <c r="Z66" i="10"/>
  <c r="H78" i="7"/>
  <c r="AB78" i="7" s="1"/>
  <c r="Z44" i="10"/>
  <c r="H53" i="7"/>
  <c r="AB53" i="7" s="1"/>
  <c r="P73" i="17"/>
  <c r="Z45" i="10"/>
  <c r="H54" i="7"/>
  <c r="AB54" i="7" s="1"/>
  <c r="X24" i="4"/>
  <c r="X25" i="4"/>
  <c r="O27" i="4"/>
  <c r="S26" i="10" s="1"/>
  <c r="O26" i="4"/>
  <c r="S25" i="10" s="1"/>
  <c r="Z28" i="10"/>
  <c r="H33" i="7"/>
  <c r="AB33" i="7" s="1"/>
  <c r="H64" i="7"/>
  <c r="AB64" i="7" s="1"/>
  <c r="Z54" i="10"/>
  <c r="P56" i="17"/>
  <c r="Z37" i="10"/>
  <c r="H45" i="7"/>
  <c r="AB45" i="7" s="1"/>
  <c r="P41" i="17"/>
  <c r="P45" i="17"/>
  <c r="Z14" i="10"/>
  <c r="H15" i="7"/>
  <c r="AB15" i="7" s="1"/>
  <c r="H91" i="7"/>
  <c r="AB91" i="7" s="1"/>
  <c r="Z77" i="10"/>
  <c r="P30" i="17"/>
  <c r="H77" i="7"/>
  <c r="AB77" i="7" s="1"/>
  <c r="Z65" i="10"/>
  <c r="Z43" i="10"/>
  <c r="H52" i="7"/>
  <c r="AB52" i="7" s="1"/>
  <c r="P72" i="17"/>
  <c r="U71" i="4"/>
  <c r="P70" i="10" s="1"/>
  <c r="U72" i="4"/>
  <c r="P71" i="10" s="1"/>
  <c r="U73" i="4"/>
  <c r="P72" i="10" s="1"/>
  <c r="U68" i="4"/>
  <c r="P67" i="10" s="1"/>
  <c r="U69" i="4"/>
  <c r="P68" i="10" s="1"/>
  <c r="U70" i="4"/>
  <c r="P69" i="10" s="1"/>
  <c r="X26" i="4"/>
  <c r="X27" i="4"/>
  <c r="O73" i="4"/>
  <c r="S72" i="10" s="1"/>
  <c r="O68" i="4"/>
  <c r="S67" i="10" s="1"/>
  <c r="O70" i="4"/>
  <c r="S69" i="10" s="1"/>
  <c r="O69" i="4"/>
  <c r="S68" i="10" s="1"/>
  <c r="O71" i="4"/>
  <c r="S70" i="10" s="1"/>
  <c r="O72" i="4"/>
  <c r="S71" i="10" s="1"/>
  <c r="P23" i="17"/>
  <c r="H63" i="7"/>
  <c r="AB63" i="7" s="1"/>
  <c r="Z53" i="10"/>
  <c r="Z36" i="10"/>
  <c r="H43" i="7"/>
  <c r="AB43" i="7" s="1"/>
  <c r="P55" i="17"/>
  <c r="H50" i="7"/>
  <c r="AB50" i="7" s="1"/>
  <c r="Z42" i="10"/>
  <c r="P40" i="17"/>
  <c r="P48" i="17"/>
  <c r="Z76" i="10"/>
  <c r="H90" i="7"/>
  <c r="AB90" i="7" s="1"/>
  <c r="P31" i="17"/>
  <c r="P37" i="17"/>
  <c r="Z48" i="10"/>
  <c r="H57" i="7"/>
  <c r="AB57" i="7" s="1"/>
  <c r="P71" i="17"/>
  <c r="F19" i="7"/>
  <c r="S14" i="17"/>
  <c r="F17" i="7"/>
  <c r="S10" i="17"/>
  <c r="S12" i="17"/>
  <c r="AM14" i="17"/>
  <c r="BA14" i="17" s="1"/>
  <c r="F19" i="6"/>
  <c r="AM19" i="6" s="1"/>
  <c r="AM12" i="17"/>
  <c r="BA12" i="17" s="1"/>
  <c r="F17" i="6"/>
  <c r="AM17" i="6" s="1"/>
  <c r="N87" i="3"/>
  <c r="Q28" i="4"/>
  <c r="AI28" i="4" s="1"/>
  <c r="Q19" i="4"/>
  <c r="Q18" i="4"/>
  <c r="Q50" i="4"/>
  <c r="AI50" i="4" s="1"/>
  <c r="Q32" i="4"/>
  <c r="AI32" i="4" s="1"/>
  <c r="Q17" i="4"/>
  <c r="Q56" i="4"/>
  <c r="AI56" i="4" s="1"/>
  <c r="Q20" i="4"/>
  <c r="AI20" i="4" s="1"/>
  <c r="Q38" i="4"/>
  <c r="AI38" i="4" s="1"/>
  <c r="Q24" i="4"/>
  <c r="Q26" i="4"/>
  <c r="Q62" i="4"/>
  <c r="AI62" i="4" s="1"/>
  <c r="Q44" i="4"/>
  <c r="AI44" i="4" s="1"/>
  <c r="AA72" i="12" l="1"/>
  <c r="AB72" i="12" s="1"/>
  <c r="AA51" i="12"/>
  <c r="AB51" i="12" s="1"/>
  <c r="X25" i="12"/>
  <c r="Y25" i="12" s="1"/>
  <c r="AF22" i="19"/>
  <c r="AA34" i="12"/>
  <c r="AB34" i="12" s="1"/>
  <c r="X72" i="12"/>
  <c r="Y72" i="12" s="1"/>
  <c r="AA65" i="12"/>
  <c r="AB65" i="12" s="1"/>
  <c r="X65" i="12"/>
  <c r="Y65" i="12" s="1"/>
  <c r="M38" i="14"/>
  <c r="U38" i="14"/>
  <c r="W38" i="14" s="1"/>
  <c r="AA25" i="12"/>
  <c r="AB25" i="12" s="1"/>
  <c r="AA22" i="12"/>
  <c r="AB22" i="12" s="1"/>
  <c r="M39" i="21"/>
  <c r="P39" i="21"/>
  <c r="AG39" i="21"/>
  <c r="X44" i="12"/>
  <c r="Y44" i="12" s="1"/>
  <c r="AA58" i="12"/>
  <c r="AB58" i="12" s="1"/>
  <c r="AA44" i="12"/>
  <c r="AB44" i="12" s="1"/>
  <c r="X51" i="12"/>
  <c r="Y51" i="12" s="1"/>
  <c r="X58" i="12"/>
  <c r="Y58" i="12" s="1"/>
  <c r="X34" i="12"/>
  <c r="Y34" i="12" s="1"/>
  <c r="AA79" i="12"/>
  <c r="AB79" i="12" s="1"/>
  <c r="X93" i="12"/>
  <c r="Y93" i="12" s="1"/>
  <c r="F90" i="19"/>
  <c r="AF90" i="19" s="1"/>
  <c r="V73" i="23"/>
  <c r="AD17" i="14"/>
  <c r="AE18" i="21"/>
  <c r="F54" i="19"/>
  <c r="AF54" i="19" s="1"/>
  <c r="V42" i="23"/>
  <c r="F32" i="19"/>
  <c r="AF32" i="19" s="1"/>
  <c r="V24" i="23"/>
  <c r="F47" i="19"/>
  <c r="AF47" i="19" s="1"/>
  <c r="V36" i="23"/>
  <c r="AC29" i="12"/>
  <c r="AD31" i="12" s="1"/>
  <c r="AE31" i="12" s="1"/>
  <c r="S22" i="23"/>
  <c r="W36" i="12"/>
  <c r="P27" i="23"/>
  <c r="P27" i="22"/>
  <c r="F40" i="19"/>
  <c r="AF40" i="19" s="1"/>
  <c r="V30" i="23"/>
  <c r="F88" i="19"/>
  <c r="AF88" i="19" s="1"/>
  <c r="V71" i="23"/>
  <c r="L17" i="14"/>
  <c r="M17" i="14" s="1"/>
  <c r="L18" i="21"/>
  <c r="M18" i="21" s="1"/>
  <c r="F49" i="19"/>
  <c r="AF49" i="19" s="1"/>
  <c r="V38" i="23"/>
  <c r="Z35" i="12"/>
  <c r="AA37" i="12" s="1"/>
  <c r="AB37" i="12" s="1"/>
  <c r="R26" i="23"/>
  <c r="F64" i="19"/>
  <c r="AF64" i="19" s="1"/>
  <c r="V51" i="23"/>
  <c r="F15" i="19"/>
  <c r="AF15" i="19" s="1"/>
  <c r="V11" i="23"/>
  <c r="J17" i="14"/>
  <c r="K17" i="14" s="1"/>
  <c r="J18" i="21"/>
  <c r="K18" i="21" s="1"/>
  <c r="AC30" i="12"/>
  <c r="S23" i="23"/>
  <c r="F24" i="19"/>
  <c r="AF24" i="19" s="1"/>
  <c r="V19" i="23"/>
  <c r="AC80" i="12"/>
  <c r="AD86" i="12" s="1"/>
  <c r="AE86" i="12" s="1"/>
  <c r="S64" i="23"/>
  <c r="F61" i="19"/>
  <c r="AF61" i="19" s="1"/>
  <c r="V48" i="23"/>
  <c r="Z36" i="12"/>
  <c r="R27" i="23"/>
  <c r="F70" i="19"/>
  <c r="AF70" i="19" s="1"/>
  <c r="V56" i="23"/>
  <c r="W82" i="12"/>
  <c r="P66" i="22"/>
  <c r="P66" i="23"/>
  <c r="W30" i="12"/>
  <c r="P23" i="22"/>
  <c r="P23" i="23"/>
  <c r="AC85" i="12"/>
  <c r="S69" i="23"/>
  <c r="F23" i="19"/>
  <c r="AF23" i="19" s="1"/>
  <c r="V18" i="23"/>
  <c r="F63" i="19"/>
  <c r="AF63" i="19" s="1"/>
  <c r="V50" i="23"/>
  <c r="AC26" i="12"/>
  <c r="AD28" i="12" s="1"/>
  <c r="AE28" i="12" s="1"/>
  <c r="S20" i="23"/>
  <c r="F50" i="19"/>
  <c r="AF50" i="19" s="1"/>
  <c r="V39" i="23"/>
  <c r="F33" i="19"/>
  <c r="AF33" i="19" s="1"/>
  <c r="V25" i="23"/>
  <c r="Z83" i="12"/>
  <c r="R67" i="23"/>
  <c r="W81" i="12"/>
  <c r="P65" i="22"/>
  <c r="P65" i="23"/>
  <c r="F77" i="19"/>
  <c r="AF77" i="19" s="1"/>
  <c r="V62" i="23"/>
  <c r="Z29" i="12"/>
  <c r="AA31" i="12" s="1"/>
  <c r="AB31" i="12" s="1"/>
  <c r="V25" i="10"/>
  <c r="R22" i="23"/>
  <c r="F53" i="19"/>
  <c r="AF53" i="19" s="1"/>
  <c r="V41" i="23"/>
  <c r="W29" i="12"/>
  <c r="X31" i="12" s="1"/>
  <c r="Y31" i="12" s="1"/>
  <c r="P22" i="23"/>
  <c r="P22" i="22"/>
  <c r="F73" i="19"/>
  <c r="AF73" i="19" s="1"/>
  <c r="V58" i="23"/>
  <c r="F38" i="19"/>
  <c r="AF38" i="19" s="1"/>
  <c r="V28" i="23"/>
  <c r="F48" i="19"/>
  <c r="AF48" i="19" s="1"/>
  <c r="V37" i="23"/>
  <c r="AC84" i="12"/>
  <c r="S68" i="23"/>
  <c r="F55" i="19"/>
  <c r="AF55" i="19" s="1"/>
  <c r="V43" i="23"/>
  <c r="F89" i="19"/>
  <c r="AF89" i="19" s="1"/>
  <c r="V72" i="23"/>
  <c r="W83" i="12"/>
  <c r="P67" i="22"/>
  <c r="P67" i="23"/>
  <c r="W35" i="12"/>
  <c r="X37" i="12" s="1"/>
  <c r="Y37" i="12" s="1"/>
  <c r="P26" i="23"/>
  <c r="P26" i="22"/>
  <c r="Z84" i="12"/>
  <c r="R68" i="23"/>
  <c r="F52" i="19"/>
  <c r="AF52" i="19" s="1"/>
  <c r="V40" i="23"/>
  <c r="F46" i="19"/>
  <c r="AF46" i="19" s="1"/>
  <c r="V35" i="23"/>
  <c r="F57" i="19"/>
  <c r="AF57" i="19" s="1"/>
  <c r="V45" i="23"/>
  <c r="Z81" i="12"/>
  <c r="R65" i="23"/>
  <c r="W80" i="12"/>
  <c r="X86" i="12" s="1"/>
  <c r="Y86" i="12" s="1"/>
  <c r="P64" i="22"/>
  <c r="P64" i="23"/>
  <c r="Z30" i="12"/>
  <c r="R23" i="23"/>
  <c r="AC35" i="12"/>
  <c r="AD37" i="12" s="1"/>
  <c r="AE37" i="12" s="1"/>
  <c r="S26" i="23"/>
  <c r="Z26" i="12"/>
  <c r="AA28" i="12" s="1"/>
  <c r="AB28" i="12" s="1"/>
  <c r="R20" i="23"/>
  <c r="AC83" i="12"/>
  <c r="S67" i="23"/>
  <c r="F60" i="19"/>
  <c r="AF60" i="19" s="1"/>
  <c r="V47" i="23"/>
  <c r="F42" i="19"/>
  <c r="AF42" i="19" s="1"/>
  <c r="V32" i="23"/>
  <c r="F75" i="19"/>
  <c r="AF75" i="19" s="1"/>
  <c r="V60" i="23"/>
  <c r="W27" i="12"/>
  <c r="P21" i="22"/>
  <c r="P21" i="23"/>
  <c r="F56" i="19"/>
  <c r="AF56" i="19" s="1"/>
  <c r="V44" i="23"/>
  <c r="Z82" i="12"/>
  <c r="R66" i="23"/>
  <c r="W85" i="12"/>
  <c r="P69" i="22"/>
  <c r="P69" i="23"/>
  <c r="F45" i="19"/>
  <c r="AF45" i="19" s="1"/>
  <c r="V34" i="23"/>
  <c r="F78" i="19"/>
  <c r="AF78" i="19" s="1"/>
  <c r="V63" i="23"/>
  <c r="F59" i="19"/>
  <c r="AF59" i="19" s="1"/>
  <c r="V46" i="23"/>
  <c r="AC36" i="12"/>
  <c r="S27" i="23"/>
  <c r="F87" i="19"/>
  <c r="AF87" i="19" s="1"/>
  <c r="V70" i="23"/>
  <c r="Z27" i="12"/>
  <c r="R21" i="23"/>
  <c r="F74" i="19"/>
  <c r="AF74" i="19" s="1"/>
  <c r="V59" i="23"/>
  <c r="AC82" i="12"/>
  <c r="S66" i="23"/>
  <c r="F76" i="19"/>
  <c r="AF76" i="19" s="1"/>
  <c r="V61" i="23"/>
  <c r="Z85" i="12"/>
  <c r="R69" i="23"/>
  <c r="F92" i="19"/>
  <c r="AF92" i="19" s="1"/>
  <c r="V75" i="23"/>
  <c r="F43" i="19"/>
  <c r="AF43" i="19" s="1"/>
  <c r="V33" i="23"/>
  <c r="Z80" i="12"/>
  <c r="AA86" i="12" s="1"/>
  <c r="AB86" i="12" s="1"/>
  <c r="R64" i="23"/>
  <c r="W84" i="12"/>
  <c r="P68" i="23"/>
  <c r="P68" i="22"/>
  <c r="F91" i="19"/>
  <c r="AF91" i="19" s="1"/>
  <c r="V74" i="23"/>
  <c r="AC27" i="12"/>
  <c r="S21" i="23"/>
  <c r="W26" i="12"/>
  <c r="X28" i="12" s="1"/>
  <c r="Y28" i="12" s="1"/>
  <c r="P20" i="23"/>
  <c r="P20" i="22"/>
  <c r="F39" i="19"/>
  <c r="AF39" i="19" s="1"/>
  <c r="V29" i="23"/>
  <c r="AC81" i="12"/>
  <c r="S65" i="23"/>
  <c r="F41" i="19"/>
  <c r="AF41" i="19" s="1"/>
  <c r="V31" i="23"/>
  <c r="F62" i="19"/>
  <c r="AF62" i="19" s="1"/>
  <c r="V49" i="23"/>
  <c r="F68" i="19"/>
  <c r="AF68" i="19" s="1"/>
  <c r="V54" i="23"/>
  <c r="F15" i="11"/>
  <c r="AI10" i="17"/>
  <c r="R20" i="4"/>
  <c r="T19" i="10" s="1"/>
  <c r="R21" i="4"/>
  <c r="T20" i="10" s="1"/>
  <c r="P19" i="17"/>
  <c r="P68" i="17"/>
  <c r="H27" i="7"/>
  <c r="AB27" i="7" s="1"/>
  <c r="Z24" i="10"/>
  <c r="Z71" i="10"/>
  <c r="H84" i="7"/>
  <c r="AB84" i="7" s="1"/>
  <c r="Z30" i="10"/>
  <c r="H36" i="7"/>
  <c r="AB36" i="7" s="1"/>
  <c r="H29" i="7"/>
  <c r="AB29" i="7" s="1"/>
  <c r="Z25" i="10"/>
  <c r="R60" i="4"/>
  <c r="T59" i="10" s="1"/>
  <c r="R61" i="4"/>
  <c r="T60" i="10" s="1"/>
  <c r="R56" i="4"/>
  <c r="T55" i="10" s="1"/>
  <c r="R57" i="4"/>
  <c r="T56" i="10" s="1"/>
  <c r="R58" i="4"/>
  <c r="T57" i="10" s="1"/>
  <c r="R59" i="4"/>
  <c r="T58" i="10" s="1"/>
  <c r="R40" i="4"/>
  <c r="T39" i="10" s="1"/>
  <c r="R41" i="4"/>
  <c r="T40" i="10" s="1"/>
  <c r="R42" i="4"/>
  <c r="T41" i="10" s="1"/>
  <c r="R43" i="4"/>
  <c r="T42" i="10" s="1"/>
  <c r="R38" i="4"/>
  <c r="T37" i="10" s="1"/>
  <c r="R39" i="4"/>
  <c r="T38" i="10" s="1"/>
  <c r="R29" i="4"/>
  <c r="T28" i="10" s="1"/>
  <c r="R28" i="4"/>
  <c r="T27" i="10" s="1"/>
  <c r="H30" i="7"/>
  <c r="AB30" i="7" s="1"/>
  <c r="Z26" i="10"/>
  <c r="P67" i="17"/>
  <c r="AM10" i="17"/>
  <c r="BA10" i="17" s="1"/>
  <c r="L15" i="11"/>
  <c r="Z23" i="10"/>
  <c r="H26" i="7"/>
  <c r="AB26" i="7" s="1"/>
  <c r="P25" i="17"/>
  <c r="Z70" i="10"/>
  <c r="H83" i="7"/>
  <c r="AB83" i="7" s="1"/>
  <c r="P66" i="17"/>
  <c r="P20" i="17"/>
  <c r="R36" i="4"/>
  <c r="T35" i="10" s="1"/>
  <c r="R32" i="4"/>
  <c r="T31" i="10" s="1"/>
  <c r="R34" i="4"/>
  <c r="T33" i="10" s="1"/>
  <c r="R33" i="4"/>
  <c r="T32" i="10" s="1"/>
  <c r="R35" i="4"/>
  <c r="T34" i="10" s="1"/>
  <c r="R37" i="4"/>
  <c r="T36" i="10" s="1"/>
  <c r="T17" i="7"/>
  <c r="P65" i="17"/>
  <c r="P22" i="17"/>
  <c r="Z68" i="10"/>
  <c r="H81" i="7"/>
  <c r="AB81" i="7" s="1"/>
  <c r="R45" i="4"/>
  <c r="T44" i="10" s="1"/>
  <c r="R46" i="4"/>
  <c r="T45" i="10" s="1"/>
  <c r="R47" i="4"/>
  <c r="T46" i="10" s="1"/>
  <c r="R48" i="4"/>
  <c r="T47" i="10" s="1"/>
  <c r="R49" i="4"/>
  <c r="T48" i="10" s="1"/>
  <c r="R44" i="4"/>
  <c r="T43" i="10" s="1"/>
  <c r="R64" i="4"/>
  <c r="T63" i="10" s="1"/>
  <c r="R65" i="4"/>
  <c r="T64" i="10" s="1"/>
  <c r="R66" i="4"/>
  <c r="T65" i="10" s="1"/>
  <c r="R67" i="4"/>
  <c r="T66" i="10" s="1"/>
  <c r="R62" i="4"/>
  <c r="T61" i="10" s="1"/>
  <c r="R63" i="4"/>
  <c r="T62" i="10" s="1"/>
  <c r="R50" i="4"/>
  <c r="T49" i="10" s="1"/>
  <c r="R51" i="4"/>
  <c r="T50" i="10" s="1"/>
  <c r="R52" i="4"/>
  <c r="T51" i="10" s="1"/>
  <c r="R55" i="4"/>
  <c r="T54" i="10" s="1"/>
  <c r="R54" i="4"/>
  <c r="T53" i="10" s="1"/>
  <c r="R53" i="4"/>
  <c r="T52" i="10" s="1"/>
  <c r="P64" i="17"/>
  <c r="P21" i="17"/>
  <c r="Z67" i="10"/>
  <c r="H80" i="7"/>
  <c r="AB80" i="7" s="1"/>
  <c r="P26" i="17"/>
  <c r="Z69" i="10"/>
  <c r="H82" i="7"/>
  <c r="AB82" i="7" s="1"/>
  <c r="T19" i="7"/>
  <c r="P63" i="17"/>
  <c r="Z72" i="10"/>
  <c r="H85" i="7"/>
  <c r="AB85" i="7" s="1"/>
  <c r="Z29" i="10"/>
  <c r="H35" i="7"/>
  <c r="AB35" i="7" s="1"/>
  <c r="AI19" i="4"/>
  <c r="R19" i="4" s="1"/>
  <c r="T18" i="10" s="1"/>
  <c r="AH19" i="4"/>
  <c r="AH18" i="4"/>
  <c r="AI18" i="4"/>
  <c r="R18" i="4" s="1"/>
  <c r="T17" i="10" s="1"/>
  <c r="AH20" i="4"/>
  <c r="AH56" i="4"/>
  <c r="AH38" i="4"/>
  <c r="AI17" i="4"/>
  <c r="R17" i="4" s="1"/>
  <c r="T16" i="10" s="1"/>
  <c r="AH17" i="4"/>
  <c r="AH44" i="4"/>
  <c r="AH32" i="4"/>
  <c r="AH28" i="4"/>
  <c r="AH62" i="4"/>
  <c r="AH50" i="4"/>
  <c r="T38" i="14"/>
  <c r="V38" i="14" s="1"/>
  <c r="L17" i="11"/>
  <c r="L19" i="11"/>
  <c r="Q84" i="4"/>
  <c r="AN93" i="6"/>
  <c r="AN3" i="6" s="1"/>
  <c r="P87" i="3"/>
  <c r="AF25" i="19" l="1"/>
  <c r="AF51" i="19"/>
  <c r="AF65" i="19"/>
  <c r="AF34" i="19"/>
  <c r="AF79" i="19"/>
  <c r="AH39" i="21"/>
  <c r="AJ39" i="21"/>
  <c r="AL39" i="21" s="1"/>
  <c r="Q39" i="21"/>
  <c r="S39" i="21"/>
  <c r="U39" i="21" s="1"/>
  <c r="AF44" i="19"/>
  <c r="AF93" i="19"/>
  <c r="AF58" i="19"/>
  <c r="AC47" i="12"/>
  <c r="S36" i="23"/>
  <c r="AF72" i="19"/>
  <c r="J21" i="14"/>
  <c r="K21" i="14" s="1"/>
  <c r="J22" i="21"/>
  <c r="K22" i="21" s="1"/>
  <c r="AC63" i="12"/>
  <c r="S50" i="23"/>
  <c r="AC77" i="12"/>
  <c r="S62" i="23"/>
  <c r="AC53" i="12"/>
  <c r="S41" i="23"/>
  <c r="AC39" i="12"/>
  <c r="S29" i="23"/>
  <c r="AC32" i="12"/>
  <c r="S24" i="23"/>
  <c r="AC69" i="12"/>
  <c r="S55" i="23"/>
  <c r="AC21" i="12"/>
  <c r="S17" i="23"/>
  <c r="AC55" i="12"/>
  <c r="S43" i="23"/>
  <c r="F82" i="19"/>
  <c r="AF82" i="19" s="1"/>
  <c r="V66" i="23"/>
  <c r="AC40" i="12"/>
  <c r="S30" i="23"/>
  <c r="AC33" i="12"/>
  <c r="S25" i="23"/>
  <c r="AC68" i="12"/>
  <c r="S54" i="23"/>
  <c r="F36" i="19"/>
  <c r="AF36" i="19" s="1"/>
  <c r="V27" i="23"/>
  <c r="AC20" i="12"/>
  <c r="S16" i="23"/>
  <c r="F30" i="19"/>
  <c r="AF30" i="19" s="1"/>
  <c r="V23" i="23"/>
  <c r="AC62" i="12"/>
  <c r="S49" i="23"/>
  <c r="F83" i="19"/>
  <c r="AF83" i="19" s="1"/>
  <c r="V67" i="23"/>
  <c r="AC76" i="12"/>
  <c r="S61" i="23"/>
  <c r="AC61" i="12"/>
  <c r="S48" i="23"/>
  <c r="AC75" i="12"/>
  <c r="S60" i="23"/>
  <c r="F81" i="19"/>
  <c r="AF81" i="19" s="1"/>
  <c r="V65" i="23"/>
  <c r="AC38" i="12"/>
  <c r="S28" i="23"/>
  <c r="F26" i="19"/>
  <c r="AF26" i="19" s="1"/>
  <c r="V20" i="23"/>
  <c r="AC46" i="12"/>
  <c r="S35" i="23"/>
  <c r="AC67" i="12"/>
  <c r="S53" i="23"/>
  <c r="AC43" i="12"/>
  <c r="S33" i="23"/>
  <c r="AC41" i="12"/>
  <c r="S31" i="23"/>
  <c r="AC19" i="12"/>
  <c r="AD19" i="12" s="1"/>
  <c r="AE19" i="12" s="1"/>
  <c r="S15" i="23"/>
  <c r="F35" i="19"/>
  <c r="AF35" i="19" s="1"/>
  <c r="V26" i="23"/>
  <c r="AC60" i="12"/>
  <c r="S47" i="23"/>
  <c r="AC42" i="12"/>
  <c r="S32" i="23"/>
  <c r="AC45" i="12"/>
  <c r="S34" i="23"/>
  <c r="AC66" i="12"/>
  <c r="S52" i="23"/>
  <c r="F84" i="19"/>
  <c r="AF84" i="19" s="1"/>
  <c r="V68" i="23"/>
  <c r="AC18" i="12"/>
  <c r="AD18" i="12" s="1"/>
  <c r="AE18" i="12" s="1"/>
  <c r="S14" i="23"/>
  <c r="AC48" i="12"/>
  <c r="S37" i="23"/>
  <c r="AC54" i="12"/>
  <c r="S42" i="23"/>
  <c r="AC64" i="12"/>
  <c r="S51" i="23"/>
  <c r="AC17" i="12"/>
  <c r="AD17" i="12" s="1"/>
  <c r="AE17" i="12" s="1"/>
  <c r="S13" i="23"/>
  <c r="AC52" i="12"/>
  <c r="S40" i="23"/>
  <c r="F80" i="19"/>
  <c r="AF80" i="19" s="1"/>
  <c r="V64" i="23"/>
  <c r="AC59" i="12"/>
  <c r="S46" i="23"/>
  <c r="AC57" i="12"/>
  <c r="S45" i="23"/>
  <c r="AC50" i="12"/>
  <c r="S39" i="23"/>
  <c r="AC71" i="12"/>
  <c r="S57" i="23"/>
  <c r="F27" i="19"/>
  <c r="AF27" i="19" s="1"/>
  <c r="V21" i="23"/>
  <c r="AC73" i="12"/>
  <c r="S58" i="23"/>
  <c r="F29" i="19"/>
  <c r="AF29" i="19" s="1"/>
  <c r="AF31" i="19" s="1"/>
  <c r="V22" i="23"/>
  <c r="AC78" i="12"/>
  <c r="S63" i="23"/>
  <c r="F85" i="19"/>
  <c r="AF85" i="19" s="1"/>
  <c r="V69" i="23"/>
  <c r="AC74" i="12"/>
  <c r="S59" i="23"/>
  <c r="AC56" i="12"/>
  <c r="S44" i="23"/>
  <c r="J19" i="14"/>
  <c r="K19" i="14" s="1"/>
  <c r="J20" i="21"/>
  <c r="K20" i="21" s="1"/>
  <c r="AC49" i="12"/>
  <c r="S38" i="23"/>
  <c r="AC70" i="12"/>
  <c r="S56" i="23"/>
  <c r="F26" i="7"/>
  <c r="T26" i="7" s="1"/>
  <c r="F53" i="7"/>
  <c r="T53" i="7" s="1"/>
  <c r="F91" i="7"/>
  <c r="T91" i="7" s="1"/>
  <c r="F54" i="7"/>
  <c r="T54" i="7" s="1"/>
  <c r="F77" i="7"/>
  <c r="T77" i="7" s="1"/>
  <c r="F42" i="7"/>
  <c r="T42" i="7" s="1"/>
  <c r="F21" i="7"/>
  <c r="T21" i="7" s="1"/>
  <c r="F60" i="7"/>
  <c r="T60" i="7" s="1"/>
  <c r="F90" i="7"/>
  <c r="T90" i="7" s="1"/>
  <c r="F83" i="7"/>
  <c r="T83" i="7" s="1"/>
  <c r="F80" i="7"/>
  <c r="T80" i="7" s="1"/>
  <c r="F62" i="7"/>
  <c r="T62" i="7" s="1"/>
  <c r="F57" i="7"/>
  <c r="T57" i="7" s="1"/>
  <c r="F70" i="7"/>
  <c r="T70" i="7" s="1"/>
  <c r="F47" i="7"/>
  <c r="T47" i="7" s="1"/>
  <c r="F24" i="7"/>
  <c r="T24" i="7" s="1"/>
  <c r="F76" i="7"/>
  <c r="T76" i="7" s="1"/>
  <c r="F69" i="7"/>
  <c r="T69" i="7" s="1"/>
  <c r="F92" i="7"/>
  <c r="T92" i="7" s="1"/>
  <c r="F18" i="7"/>
  <c r="F73" i="7"/>
  <c r="T73" i="7" s="1"/>
  <c r="F55" i="7"/>
  <c r="T55" i="7" s="1"/>
  <c r="F52" i="7"/>
  <c r="T52" i="7" s="1"/>
  <c r="F30" i="7"/>
  <c r="T30" i="7" s="1"/>
  <c r="F27" i="7"/>
  <c r="T27" i="7" s="1"/>
  <c r="F84" i="7"/>
  <c r="T84" i="7" s="1"/>
  <c r="F78" i="7"/>
  <c r="T78" i="7" s="1"/>
  <c r="F88" i="7"/>
  <c r="T88" i="7" s="1"/>
  <c r="F23" i="7"/>
  <c r="F48" i="7"/>
  <c r="T48" i="7" s="1"/>
  <c r="F75" i="7"/>
  <c r="T75" i="7" s="1"/>
  <c r="F56" i="7"/>
  <c r="T56" i="7" s="1"/>
  <c r="F45" i="7"/>
  <c r="T45" i="7" s="1"/>
  <c r="F49" i="7"/>
  <c r="T49" i="7" s="1"/>
  <c r="F66" i="7"/>
  <c r="T66" i="7" s="1"/>
  <c r="F40" i="7"/>
  <c r="T40" i="7" s="1"/>
  <c r="F16" i="7"/>
  <c r="F20" i="7"/>
  <c r="T20" i="7" s="1"/>
  <c r="F29" i="7"/>
  <c r="T29" i="7" s="1"/>
  <c r="F63" i="7"/>
  <c r="T63" i="7" s="1"/>
  <c r="F43" i="7"/>
  <c r="T43" i="7" s="1"/>
  <c r="F61" i="7"/>
  <c r="T61" i="7" s="1"/>
  <c r="F59" i="7"/>
  <c r="T59" i="7" s="1"/>
  <c r="F50" i="7"/>
  <c r="T50" i="7" s="1"/>
  <c r="F89" i="7"/>
  <c r="T89" i="7" s="1"/>
  <c r="F81" i="7"/>
  <c r="T81" i="7" s="1"/>
  <c r="F85" i="7"/>
  <c r="T85" i="7" s="1"/>
  <c r="F82" i="7"/>
  <c r="T82" i="7" s="1"/>
  <c r="F41" i="7"/>
  <c r="T41" i="7" s="1"/>
  <c r="F38" i="7"/>
  <c r="T38" i="7" s="1"/>
  <c r="F68" i="7"/>
  <c r="T68" i="7" s="1"/>
  <c r="F46" i="7"/>
  <c r="T46" i="7" s="1"/>
  <c r="F64" i="7"/>
  <c r="T64" i="7" s="1"/>
  <c r="F67" i="7"/>
  <c r="T67" i="7" s="1"/>
  <c r="F74" i="7"/>
  <c r="T74" i="7" s="1"/>
  <c r="F39" i="7"/>
  <c r="T39" i="7" s="1"/>
  <c r="F71" i="7"/>
  <c r="T71" i="7" s="1"/>
  <c r="F87" i="7"/>
  <c r="T87" i="7" s="1"/>
  <c r="S19" i="17"/>
  <c r="S66" i="17"/>
  <c r="S63" i="17"/>
  <c r="S22" i="17"/>
  <c r="S20" i="17"/>
  <c r="S67" i="17"/>
  <c r="S21" i="17"/>
  <c r="S64" i="17"/>
  <c r="S68" i="17"/>
  <c r="S65" i="17"/>
  <c r="G17" i="7"/>
  <c r="X17" i="7" s="1"/>
  <c r="F45" i="6"/>
  <c r="AM45" i="6" s="1"/>
  <c r="AM33" i="17"/>
  <c r="BA33" i="17" s="1"/>
  <c r="AM51" i="17"/>
  <c r="BA51" i="17" s="1"/>
  <c r="F66" i="6"/>
  <c r="AM66" i="6" s="1"/>
  <c r="F40" i="6"/>
  <c r="AM40" i="6" s="1"/>
  <c r="AM29" i="17"/>
  <c r="BA29" i="17" s="1"/>
  <c r="AM11" i="17"/>
  <c r="BA11" i="17" s="1"/>
  <c r="F16" i="6"/>
  <c r="AM16" i="6" s="1"/>
  <c r="F20" i="6"/>
  <c r="AM20" i="6" s="1"/>
  <c r="AM15" i="17"/>
  <c r="BA15" i="17" s="1"/>
  <c r="F30" i="6"/>
  <c r="AM30" i="6" s="1"/>
  <c r="T22" i="17"/>
  <c r="T43" i="17"/>
  <c r="F56" i="6"/>
  <c r="AM56" i="6" s="1"/>
  <c r="T38" i="17"/>
  <c r="F50" i="6"/>
  <c r="AM50" i="6" s="1"/>
  <c r="T50" i="17"/>
  <c r="F64" i="6"/>
  <c r="AM64" i="6" s="1"/>
  <c r="F67" i="6"/>
  <c r="AM67" i="6" s="1"/>
  <c r="AM52" i="17"/>
  <c r="BA52" i="17" s="1"/>
  <c r="F39" i="6"/>
  <c r="AM39" i="6" s="1"/>
  <c r="AM28" i="17"/>
  <c r="BA28" i="17" s="1"/>
  <c r="F71" i="6"/>
  <c r="AM71" i="6" s="1"/>
  <c r="AM69" i="17"/>
  <c r="BA69" i="17" s="1"/>
  <c r="F87" i="6"/>
  <c r="AM87" i="6" s="1"/>
  <c r="F82" i="6"/>
  <c r="AM82" i="6" s="1"/>
  <c r="AM17" i="17"/>
  <c r="BA17" i="17" s="1"/>
  <c r="F23" i="6"/>
  <c r="AM23" i="6" s="1"/>
  <c r="AM34" i="17"/>
  <c r="BA34" i="17" s="1"/>
  <c r="F46" i="6"/>
  <c r="AM46" i="6" s="1"/>
  <c r="AM71" i="17"/>
  <c r="BA71" i="17" s="1"/>
  <c r="F89" i="6"/>
  <c r="AM89" i="6" s="1"/>
  <c r="AM58" i="17"/>
  <c r="BA58" i="17" s="1"/>
  <c r="F74" i="6"/>
  <c r="AM74" i="6" s="1"/>
  <c r="AM40" i="17"/>
  <c r="BA40" i="17" s="1"/>
  <c r="F53" i="6"/>
  <c r="AM53" i="6" s="1"/>
  <c r="F62" i="6"/>
  <c r="AM62" i="6" s="1"/>
  <c r="AM48" i="17"/>
  <c r="BA48" i="17" s="1"/>
  <c r="AM30" i="17"/>
  <c r="BA30" i="17" s="1"/>
  <c r="F41" i="6"/>
  <c r="AM41" i="6" s="1"/>
  <c r="AM13" i="17"/>
  <c r="BA13" i="17" s="1"/>
  <c r="F18" i="6"/>
  <c r="AM18" i="6" s="1"/>
  <c r="F63" i="6"/>
  <c r="AM63" i="6" s="1"/>
  <c r="F91" i="6"/>
  <c r="AM91" i="6" s="1"/>
  <c r="AM73" i="17"/>
  <c r="BA73" i="17" s="1"/>
  <c r="F85" i="6"/>
  <c r="AM85" i="6" s="1"/>
  <c r="V41" i="10"/>
  <c r="F49" i="6"/>
  <c r="AM49" i="6" s="1"/>
  <c r="F27" i="6"/>
  <c r="AM27" i="6" s="1"/>
  <c r="F26" i="6"/>
  <c r="AM26" i="6" s="1"/>
  <c r="T62" i="17"/>
  <c r="F78" i="6"/>
  <c r="AM78" i="6" s="1"/>
  <c r="AM27" i="17"/>
  <c r="BA27" i="17" s="1"/>
  <c r="F38" i="6"/>
  <c r="AM38" i="6" s="1"/>
  <c r="AM41" i="17"/>
  <c r="BA41" i="17" s="1"/>
  <c r="F54" i="6"/>
  <c r="AM54" i="6" s="1"/>
  <c r="F43" i="6"/>
  <c r="AM43" i="6" s="1"/>
  <c r="F57" i="6"/>
  <c r="AM57" i="6" s="1"/>
  <c r="AM57" i="17"/>
  <c r="BA57" i="17" s="1"/>
  <c r="F73" i="6"/>
  <c r="AM73" i="6" s="1"/>
  <c r="AM70" i="17"/>
  <c r="BA70" i="17" s="1"/>
  <c r="F88" i="6"/>
  <c r="AM88" i="6" s="1"/>
  <c r="F83" i="6"/>
  <c r="AM83" i="6" s="1"/>
  <c r="F29" i="6"/>
  <c r="AM29" i="6" s="1"/>
  <c r="AM47" i="17"/>
  <c r="BA47" i="17" s="1"/>
  <c r="F61" i="6"/>
  <c r="AM61" i="6" s="1"/>
  <c r="T61" i="17"/>
  <c r="F77" i="6"/>
  <c r="AM77" i="6" s="1"/>
  <c r="V35" i="10"/>
  <c r="F42" i="6"/>
  <c r="AM42" i="6" s="1"/>
  <c r="F21" i="6"/>
  <c r="AM21" i="6" s="1"/>
  <c r="AM16" i="17"/>
  <c r="BA16" i="17" s="1"/>
  <c r="AM46" i="17"/>
  <c r="BA46" i="17" s="1"/>
  <c r="F60" i="6"/>
  <c r="AM60" i="6" s="1"/>
  <c r="F90" i="6"/>
  <c r="AM90" i="6" s="1"/>
  <c r="AM72" i="17"/>
  <c r="BA72" i="17" s="1"/>
  <c r="G81" i="7"/>
  <c r="X81" i="7" s="1"/>
  <c r="F81" i="6"/>
  <c r="AM81" i="6" s="1"/>
  <c r="AM45" i="17"/>
  <c r="BA45" i="17" s="1"/>
  <c r="F59" i="6"/>
  <c r="AM59" i="6" s="1"/>
  <c r="F70" i="6"/>
  <c r="AM70" i="6" s="1"/>
  <c r="AM35" i="17"/>
  <c r="BA35" i="17" s="1"/>
  <c r="F47" i="6"/>
  <c r="AM47" i="6" s="1"/>
  <c r="AM18" i="17"/>
  <c r="BA18" i="17" s="1"/>
  <c r="F24" i="6"/>
  <c r="AM24" i="6" s="1"/>
  <c r="F76" i="6"/>
  <c r="AM76" i="6" s="1"/>
  <c r="AM54" i="17"/>
  <c r="BA54" i="17" s="1"/>
  <c r="F69" i="6"/>
  <c r="AM69" i="6" s="1"/>
  <c r="T74" i="17"/>
  <c r="F92" i="6"/>
  <c r="AM92" i="6" s="1"/>
  <c r="G80" i="7"/>
  <c r="X80" i="7" s="1"/>
  <c r="F80" i="6"/>
  <c r="AM80" i="6" s="1"/>
  <c r="F68" i="6"/>
  <c r="AM68" i="6" s="1"/>
  <c r="AM53" i="17"/>
  <c r="BA53" i="17" s="1"/>
  <c r="AM36" i="17"/>
  <c r="BA36" i="17" s="1"/>
  <c r="F48" i="6"/>
  <c r="AM48" i="6" s="1"/>
  <c r="AM42" i="17"/>
  <c r="BA42" i="17" s="1"/>
  <c r="F55" i="6"/>
  <c r="AM55" i="6" s="1"/>
  <c r="T59" i="17"/>
  <c r="F75" i="6"/>
  <c r="AM75" i="6" s="1"/>
  <c r="F52" i="6"/>
  <c r="AM52" i="6" s="1"/>
  <c r="AM39" i="17"/>
  <c r="BA39" i="17" s="1"/>
  <c r="F84" i="6"/>
  <c r="AM84" i="6" s="1"/>
  <c r="T12" i="17"/>
  <c r="V16" i="10"/>
  <c r="F17" i="11" s="1"/>
  <c r="T14" i="17"/>
  <c r="V18" i="10"/>
  <c r="F19" i="11" s="1"/>
  <c r="AM49" i="17"/>
  <c r="BA49" i="17" s="1"/>
  <c r="G19" i="7"/>
  <c r="X19" i="7" s="1"/>
  <c r="P17" i="7"/>
  <c r="J94" i="9"/>
  <c r="AB94" i="9" s="1"/>
  <c r="AJ94" i="9" s="1"/>
  <c r="P19" i="7"/>
  <c r="AF28" i="19" l="1"/>
  <c r="AD22" i="12"/>
  <c r="AE22" i="12" s="1"/>
  <c r="AD65" i="12"/>
  <c r="AE65" i="12" s="1"/>
  <c r="AD44" i="12"/>
  <c r="AE44" i="12" s="1"/>
  <c r="AF37" i="19"/>
  <c r="AF86" i="19"/>
  <c r="AD34" i="12"/>
  <c r="AE34" i="12" s="1"/>
  <c r="AD79" i="12"/>
  <c r="AE79" i="12" s="1"/>
  <c r="AD72" i="12"/>
  <c r="AE72" i="12" s="1"/>
  <c r="AD58" i="12"/>
  <c r="AE58" i="12" s="1"/>
  <c r="AD51" i="12"/>
  <c r="AE51" i="12" s="1"/>
  <c r="L21" i="14"/>
  <c r="M21" i="14" s="1"/>
  <c r="L22" i="21"/>
  <c r="M22" i="21" s="1"/>
  <c r="L19" i="14"/>
  <c r="M19" i="14" s="1"/>
  <c r="L20" i="21"/>
  <c r="M20" i="21" s="1"/>
  <c r="AI22" i="17"/>
  <c r="AI14" i="17"/>
  <c r="AI12" i="17"/>
  <c r="T16" i="7"/>
  <c r="T23" i="7"/>
  <c r="T25" i="7" s="1"/>
  <c r="T18" i="7"/>
  <c r="V36" i="10"/>
  <c r="F37" i="11" s="1"/>
  <c r="T86" i="7"/>
  <c r="V64" i="10"/>
  <c r="F76" i="9" s="1"/>
  <c r="AF76" i="9" s="1"/>
  <c r="V48" i="10"/>
  <c r="F57" i="9" s="1"/>
  <c r="AF57" i="9" s="1"/>
  <c r="S69" i="17"/>
  <c r="S27" i="17"/>
  <c r="S29" i="17"/>
  <c r="S43" i="17"/>
  <c r="AI43" i="17" s="1"/>
  <c r="S70" i="17"/>
  <c r="S55" i="17"/>
  <c r="S61" i="17"/>
  <c r="F36" i="7"/>
  <c r="T36" i="7" s="1"/>
  <c r="S38" i="17"/>
  <c r="AI38" i="17" s="1"/>
  <c r="S49" i="17"/>
  <c r="S62" i="17"/>
  <c r="S42" i="17"/>
  <c r="S54" i="17"/>
  <c r="S72" i="17"/>
  <c r="S56" i="17"/>
  <c r="S30" i="17"/>
  <c r="S51" i="17"/>
  <c r="S41" i="17"/>
  <c r="F35" i="7"/>
  <c r="T35" i="7" s="1"/>
  <c r="S28" i="17"/>
  <c r="S34" i="17"/>
  <c r="S45" i="17"/>
  <c r="S15" i="17"/>
  <c r="S60" i="17"/>
  <c r="S44" i="17"/>
  <c r="S46" i="17"/>
  <c r="F33" i="7"/>
  <c r="T33" i="7" s="1"/>
  <c r="S37" i="17"/>
  <c r="S36" i="17"/>
  <c r="S18" i="17"/>
  <c r="S50" i="17"/>
  <c r="AI50" i="17" s="1"/>
  <c r="S59" i="17"/>
  <c r="AI59" i="17" s="1"/>
  <c r="S57" i="17"/>
  <c r="S53" i="17"/>
  <c r="S47" i="17"/>
  <c r="S11" i="17"/>
  <c r="S13" i="17"/>
  <c r="S48" i="17"/>
  <c r="S16" i="17"/>
  <c r="S73" i="17"/>
  <c r="F32" i="7"/>
  <c r="T32" i="7" s="1"/>
  <c r="S58" i="17"/>
  <c r="S32" i="17"/>
  <c r="S33" i="17"/>
  <c r="S17" i="17"/>
  <c r="V66" i="10"/>
  <c r="F67" i="11" s="1"/>
  <c r="S52" i="17"/>
  <c r="S71" i="17"/>
  <c r="S39" i="17"/>
  <c r="S74" i="17"/>
  <c r="AI74" i="17" s="1"/>
  <c r="S35" i="17"/>
  <c r="S31" i="17"/>
  <c r="S40" i="17"/>
  <c r="G42" i="7"/>
  <c r="X42" i="7" s="1"/>
  <c r="T32" i="17"/>
  <c r="G49" i="7"/>
  <c r="X49" i="7" s="1"/>
  <c r="G64" i="7"/>
  <c r="X64" i="7" s="1"/>
  <c r="V54" i="10"/>
  <c r="G43" i="7"/>
  <c r="X43" i="7" s="1"/>
  <c r="V47" i="10"/>
  <c r="F56" i="9" s="1"/>
  <c r="AF56" i="9" s="1"/>
  <c r="T31" i="17"/>
  <c r="G92" i="7"/>
  <c r="X92" i="7" s="1"/>
  <c r="V78" i="10"/>
  <c r="F92" i="9" s="1"/>
  <c r="AF92" i="9" s="1"/>
  <c r="G56" i="7"/>
  <c r="X56" i="7" s="1"/>
  <c r="F17" i="9"/>
  <c r="AF17" i="9" s="1"/>
  <c r="G78" i="7"/>
  <c r="X78" i="7" s="1"/>
  <c r="F19" i="9"/>
  <c r="AF19" i="9" s="1"/>
  <c r="G82" i="7"/>
  <c r="X82" i="7" s="1"/>
  <c r="V67" i="10"/>
  <c r="G76" i="7"/>
  <c r="X76" i="7" s="1"/>
  <c r="G70" i="7"/>
  <c r="X70" i="7" s="1"/>
  <c r="T37" i="17"/>
  <c r="G26" i="7"/>
  <c r="X26" i="7" s="1"/>
  <c r="G57" i="7"/>
  <c r="X57" i="7" s="1"/>
  <c r="V26" i="10"/>
  <c r="F27" i="11" s="1"/>
  <c r="AM31" i="6"/>
  <c r="T60" i="17"/>
  <c r="T64" i="17"/>
  <c r="AI64" i="17" s="1"/>
  <c r="V42" i="10"/>
  <c r="G50" i="7"/>
  <c r="X50" i="7" s="1"/>
  <c r="G71" i="7"/>
  <c r="X71" i="7" s="1"/>
  <c r="G84" i="7"/>
  <c r="X84" i="7" s="1"/>
  <c r="G85" i="7"/>
  <c r="X85" i="7" s="1"/>
  <c r="T44" i="17"/>
  <c r="G77" i="7"/>
  <c r="X77" i="7" s="1"/>
  <c r="G83" i="7"/>
  <c r="X83" i="7" s="1"/>
  <c r="V65" i="10"/>
  <c r="F66" i="11" s="1"/>
  <c r="V63" i="10"/>
  <c r="G75" i="7"/>
  <c r="X75" i="7" s="1"/>
  <c r="T20" i="17"/>
  <c r="AI20" i="17" s="1"/>
  <c r="V24" i="10"/>
  <c r="F27" i="9" s="1"/>
  <c r="AF27" i="9" s="1"/>
  <c r="F26" i="11"/>
  <c r="T21" i="17"/>
  <c r="T19" i="17"/>
  <c r="V23" i="10"/>
  <c r="AM55" i="17"/>
  <c r="BA55" i="17" s="1"/>
  <c r="L60" i="11"/>
  <c r="AM68" i="17"/>
  <c r="BA68" i="17" s="1"/>
  <c r="L73" i="11"/>
  <c r="AM22" i="17"/>
  <c r="BA22" i="17" s="1"/>
  <c r="L27" i="11"/>
  <c r="F33" i="6"/>
  <c r="AM33" i="6" s="1"/>
  <c r="AM31" i="17"/>
  <c r="BA31" i="17" s="1"/>
  <c r="L36" i="11"/>
  <c r="AM38" i="17"/>
  <c r="BA38" i="17" s="1"/>
  <c r="L43" i="11"/>
  <c r="AM26" i="17"/>
  <c r="BA26" i="17" s="1"/>
  <c r="F36" i="6"/>
  <c r="AM36" i="6" s="1"/>
  <c r="AM74" i="17"/>
  <c r="BA74" i="17" s="1"/>
  <c r="L79" i="11"/>
  <c r="AM32" i="17"/>
  <c r="BA32" i="17" s="1"/>
  <c r="L37" i="11"/>
  <c r="AM65" i="17"/>
  <c r="BA65" i="17" s="1"/>
  <c r="L70" i="11"/>
  <c r="F32" i="6"/>
  <c r="AM32" i="6" s="1"/>
  <c r="AM21" i="17"/>
  <c r="BA21" i="17" s="1"/>
  <c r="L26" i="11"/>
  <c r="AM62" i="17"/>
  <c r="BA62" i="17" s="1"/>
  <c r="L67" i="11"/>
  <c r="AM20" i="17"/>
  <c r="BA20" i="17" s="1"/>
  <c r="L25" i="11"/>
  <c r="AM25" i="17"/>
  <c r="BA25" i="17" s="1"/>
  <c r="F35" i="6"/>
  <c r="AM35" i="6" s="1"/>
  <c r="AM59" i="17"/>
  <c r="BA59" i="17" s="1"/>
  <c r="L64" i="11"/>
  <c r="AM61" i="17"/>
  <c r="BA61" i="17" s="1"/>
  <c r="L66" i="11"/>
  <c r="AM43" i="17"/>
  <c r="BA43" i="17" s="1"/>
  <c r="L48" i="11"/>
  <c r="AM64" i="17"/>
  <c r="BA64" i="17" s="1"/>
  <c r="L69" i="11"/>
  <c r="AM67" i="17"/>
  <c r="BA67" i="17" s="1"/>
  <c r="L72" i="11"/>
  <c r="AM63" i="17"/>
  <c r="BA63" i="17" s="1"/>
  <c r="L68" i="11"/>
  <c r="AM66" i="17"/>
  <c r="BA66" i="17" s="1"/>
  <c r="L71" i="11"/>
  <c r="AM44" i="17"/>
  <c r="BA44" i="17" s="1"/>
  <c r="L49" i="11"/>
  <c r="AM28" i="6"/>
  <c r="AM37" i="17"/>
  <c r="BA37" i="17" s="1"/>
  <c r="L42" i="11"/>
  <c r="AM50" i="17"/>
  <c r="BA50" i="17" s="1"/>
  <c r="L55" i="11"/>
  <c r="AM86" i="6"/>
  <c r="AM60" i="17"/>
  <c r="BA60" i="17" s="1"/>
  <c r="L65" i="11"/>
  <c r="AM19" i="17"/>
  <c r="BA19" i="17" s="1"/>
  <c r="L24" i="11"/>
  <c r="AM56" i="17"/>
  <c r="BA56" i="17" s="1"/>
  <c r="L61" i="11"/>
  <c r="F36" i="11"/>
  <c r="F42" i="9"/>
  <c r="AF42" i="9" s="1"/>
  <c r="F42" i="11"/>
  <c r="F49" i="9"/>
  <c r="AF49" i="9" s="1"/>
  <c r="T68" i="17"/>
  <c r="AI68" i="17" s="1"/>
  <c r="V72" i="10"/>
  <c r="T55" i="17"/>
  <c r="V59" i="10"/>
  <c r="V69" i="10"/>
  <c r="T65" i="17"/>
  <c r="AI65" i="17" s="1"/>
  <c r="T56" i="17"/>
  <c r="V60" i="10"/>
  <c r="T67" i="17"/>
  <c r="AI67" i="17" s="1"/>
  <c r="V71" i="10"/>
  <c r="T66" i="17"/>
  <c r="AI66" i="17" s="1"/>
  <c r="V70" i="10"/>
  <c r="G74" i="7"/>
  <c r="X74" i="7" s="1"/>
  <c r="G67" i="7"/>
  <c r="X67" i="7" s="1"/>
  <c r="G38" i="7"/>
  <c r="X38" i="7" s="1"/>
  <c r="G54" i="7"/>
  <c r="X54" i="7" s="1"/>
  <c r="L44" i="11"/>
  <c r="L56" i="11"/>
  <c r="L21" i="11"/>
  <c r="L52" i="11"/>
  <c r="L78" i="11"/>
  <c r="L58" i="11"/>
  <c r="L39" i="11"/>
  <c r="L57" i="11"/>
  <c r="L32" i="11"/>
  <c r="L51" i="11"/>
  <c r="L16" i="11"/>
  <c r="L63" i="11"/>
  <c r="L23" i="11"/>
  <c r="L53" i="11"/>
  <c r="L50" i="11"/>
  <c r="L59" i="11"/>
  <c r="L38" i="11"/>
  <c r="L35" i="11"/>
  <c r="L54" i="11"/>
  <c r="L62" i="11"/>
  <c r="L22" i="11"/>
  <c r="L77" i="11"/>
  <c r="L75" i="11"/>
  <c r="L18" i="11"/>
  <c r="G20" i="7"/>
  <c r="X20" i="7" s="1"/>
  <c r="L34" i="11"/>
  <c r="L41" i="11"/>
  <c r="L40" i="11"/>
  <c r="L20" i="11"/>
  <c r="L74" i="11"/>
  <c r="L33" i="11"/>
  <c r="L47" i="11"/>
  <c r="L76" i="11"/>
  <c r="L45" i="11"/>
  <c r="L46" i="11"/>
  <c r="G53" i="7"/>
  <c r="X53" i="7" s="1"/>
  <c r="G88" i="7"/>
  <c r="X88" i="7" s="1"/>
  <c r="G90" i="7"/>
  <c r="X90" i="7" s="1"/>
  <c r="G55" i="7"/>
  <c r="X55" i="7" s="1"/>
  <c r="G89" i="7"/>
  <c r="X89" i="7" s="1"/>
  <c r="AM25" i="6"/>
  <c r="G21" i="7"/>
  <c r="X21" i="7" s="1"/>
  <c r="G18" i="7"/>
  <c r="X18" i="7" s="1"/>
  <c r="AM51" i="6"/>
  <c r="G39" i="7"/>
  <c r="X39" i="7" s="1"/>
  <c r="G66" i="7"/>
  <c r="X66" i="7" s="1"/>
  <c r="T16" i="17"/>
  <c r="V20" i="10"/>
  <c r="G61" i="7"/>
  <c r="X61" i="7" s="1"/>
  <c r="G91" i="7"/>
  <c r="X91" i="7" s="1"/>
  <c r="T54" i="17"/>
  <c r="V58" i="10"/>
  <c r="G68" i="7"/>
  <c r="X68" i="7" s="1"/>
  <c r="G46" i="7"/>
  <c r="X46" i="7" s="1"/>
  <c r="T52" i="17"/>
  <c r="V56" i="10"/>
  <c r="T27" i="17"/>
  <c r="V31" i="10"/>
  <c r="T39" i="17"/>
  <c r="V43" i="10"/>
  <c r="G16" i="7"/>
  <c r="X16" i="7" s="1"/>
  <c r="T58" i="17"/>
  <c r="V62" i="10"/>
  <c r="G24" i="7"/>
  <c r="X24" i="7" s="1"/>
  <c r="G62" i="7"/>
  <c r="X62" i="7" s="1"/>
  <c r="G59" i="7"/>
  <c r="X59" i="7" s="1"/>
  <c r="T46" i="17"/>
  <c r="V50" i="10"/>
  <c r="G69" i="7"/>
  <c r="X69" i="7" s="1"/>
  <c r="G52" i="7"/>
  <c r="X52" i="7" s="1"/>
  <c r="G45" i="7"/>
  <c r="X45" i="7" s="1"/>
  <c r="G41" i="7"/>
  <c r="X41" i="7" s="1"/>
  <c r="G63" i="7"/>
  <c r="X63" i="7" s="1"/>
  <c r="G73" i="7"/>
  <c r="X73" i="7" s="1"/>
  <c r="T28" i="17"/>
  <c r="V32" i="10"/>
  <c r="G23" i="7"/>
  <c r="X23" i="7" s="1"/>
  <c r="T72" i="17"/>
  <c r="AI72" i="17" s="1"/>
  <c r="V76" i="10"/>
  <c r="T70" i="17"/>
  <c r="AI70" i="17" s="1"/>
  <c r="V74" i="10"/>
  <c r="T13" i="17"/>
  <c r="V17" i="10"/>
  <c r="G60" i="7"/>
  <c r="X60" i="7" s="1"/>
  <c r="G40" i="7"/>
  <c r="X40" i="7" s="1"/>
  <c r="G48" i="7"/>
  <c r="X48" i="7" s="1"/>
  <c r="G47" i="7"/>
  <c r="X47" i="7" s="1"/>
  <c r="T15" i="17"/>
  <c r="V19" i="10"/>
  <c r="T69" i="17"/>
  <c r="AI69" i="17" s="1"/>
  <c r="V73" i="10"/>
  <c r="G87" i="7"/>
  <c r="X87" i="7" s="1"/>
  <c r="T42" i="17"/>
  <c r="V46" i="10"/>
  <c r="T71" i="17"/>
  <c r="V75" i="10"/>
  <c r="T40" i="17"/>
  <c r="V44" i="10"/>
  <c r="T41" i="17"/>
  <c r="V45" i="10"/>
  <c r="AM58" i="6"/>
  <c r="AM22" i="6"/>
  <c r="AM93" i="6"/>
  <c r="AM72" i="6"/>
  <c r="AM44" i="6"/>
  <c r="AM65" i="6"/>
  <c r="AM79" i="6"/>
  <c r="G27" i="7"/>
  <c r="X27" i="7" s="1"/>
  <c r="G29" i="7"/>
  <c r="X29" i="7" s="1"/>
  <c r="G30" i="7"/>
  <c r="X30" i="7" s="1"/>
  <c r="P21" i="7"/>
  <c r="P63" i="7"/>
  <c r="P59" i="7"/>
  <c r="P18" i="7"/>
  <c r="P73" i="7"/>
  <c r="P29" i="7"/>
  <c r="P87" i="7"/>
  <c r="P42" i="7"/>
  <c r="P38" i="7"/>
  <c r="P68" i="7"/>
  <c r="P43" i="7"/>
  <c r="P48" i="7"/>
  <c r="P41" i="7"/>
  <c r="P50" i="7"/>
  <c r="P20" i="7"/>
  <c r="P78" i="7"/>
  <c r="P77" i="7"/>
  <c r="P70" i="7"/>
  <c r="P57" i="7"/>
  <c r="P36" i="7"/>
  <c r="P64" i="7"/>
  <c r="P26" i="7"/>
  <c r="P56" i="7"/>
  <c r="P71" i="7"/>
  <c r="P35" i="7"/>
  <c r="P62" i="7"/>
  <c r="P45" i="7"/>
  <c r="P46" i="7"/>
  <c r="P74" i="7"/>
  <c r="P60" i="7"/>
  <c r="P40" i="7"/>
  <c r="P55" i="7"/>
  <c r="P61" i="7"/>
  <c r="P69" i="7"/>
  <c r="P52" i="7"/>
  <c r="P53" i="7"/>
  <c r="P75" i="7"/>
  <c r="P30" i="7"/>
  <c r="P76" i="7"/>
  <c r="P54" i="7"/>
  <c r="P39" i="7"/>
  <c r="P27" i="7"/>
  <c r="T93" i="7"/>
  <c r="P89" i="7"/>
  <c r="P90" i="7"/>
  <c r="P92" i="7"/>
  <c r="P47" i="7"/>
  <c r="P67" i="7"/>
  <c r="P66" i="7"/>
  <c r="P49" i="7"/>
  <c r="AF3" i="19" l="1"/>
  <c r="AH5" i="19" s="1"/>
  <c r="AI71" i="17"/>
  <c r="J35" i="14"/>
  <c r="K35" i="14" s="1"/>
  <c r="J36" i="21"/>
  <c r="K36" i="21" s="1"/>
  <c r="J20" i="14"/>
  <c r="K20" i="14" s="1"/>
  <c r="J21" i="21"/>
  <c r="K21" i="21" s="1"/>
  <c r="J23" i="14"/>
  <c r="K23" i="14" s="1"/>
  <c r="J24" i="21"/>
  <c r="K24" i="21" s="1"/>
  <c r="L18" i="14"/>
  <c r="M18" i="14" s="1"/>
  <c r="L19" i="21"/>
  <c r="M19" i="21" s="1"/>
  <c r="J18" i="14"/>
  <c r="K18" i="14" s="1"/>
  <c r="J19" i="21"/>
  <c r="K19" i="21" s="1"/>
  <c r="J34" i="14"/>
  <c r="K34" i="14" s="1"/>
  <c r="J35" i="21"/>
  <c r="K35" i="21" s="1"/>
  <c r="L20" i="14"/>
  <c r="M20" i="14" s="1"/>
  <c r="L21" i="21"/>
  <c r="M21" i="21" s="1"/>
  <c r="F43" i="9"/>
  <c r="AF43" i="9" s="1"/>
  <c r="AI32" i="17"/>
  <c r="AI55" i="17"/>
  <c r="AI27" i="17"/>
  <c r="AI31" i="17"/>
  <c r="AI16" i="17"/>
  <c r="AI41" i="17"/>
  <c r="AI19" i="17"/>
  <c r="AI21" i="17"/>
  <c r="AI52" i="17"/>
  <c r="AI46" i="17"/>
  <c r="AI58" i="17"/>
  <c r="AI54" i="17"/>
  <c r="AI44" i="17"/>
  <c r="AI13" i="17"/>
  <c r="AI28" i="17"/>
  <c r="AI42" i="17"/>
  <c r="AI61" i="17"/>
  <c r="AI39" i="17"/>
  <c r="AI60" i="17"/>
  <c r="AI40" i="17"/>
  <c r="AI37" i="17"/>
  <c r="AI15" i="17"/>
  <c r="AI56" i="17"/>
  <c r="AI62" i="17"/>
  <c r="F65" i="11"/>
  <c r="F49" i="11"/>
  <c r="F78" i="9"/>
  <c r="AF78" i="9" s="1"/>
  <c r="F30" i="9"/>
  <c r="AF30" i="9" s="1"/>
  <c r="S26" i="17"/>
  <c r="S24" i="17"/>
  <c r="T63" i="17"/>
  <c r="S25" i="17"/>
  <c r="S23" i="17"/>
  <c r="T34" i="7"/>
  <c r="F64" i="9"/>
  <c r="AF64" i="9" s="1"/>
  <c r="F55" i="11"/>
  <c r="F79" i="11"/>
  <c r="V68" i="10"/>
  <c r="F69" i="11" s="1"/>
  <c r="F48" i="11"/>
  <c r="F64" i="11"/>
  <c r="F75" i="9"/>
  <c r="AF75" i="9" s="1"/>
  <c r="F50" i="9"/>
  <c r="AF50" i="9" s="1"/>
  <c r="F26" i="9"/>
  <c r="AF26" i="9" s="1"/>
  <c r="F24" i="11"/>
  <c r="F43" i="11"/>
  <c r="F77" i="9"/>
  <c r="AF77" i="9" s="1"/>
  <c r="X86" i="7"/>
  <c r="F25" i="11"/>
  <c r="F29" i="9"/>
  <c r="AF29" i="9" s="1"/>
  <c r="F71" i="11"/>
  <c r="F83" i="9"/>
  <c r="AF83" i="9" s="1"/>
  <c r="F80" i="9"/>
  <c r="AF80" i="9" s="1"/>
  <c r="F68" i="11"/>
  <c r="F60" i="11"/>
  <c r="F70" i="9"/>
  <c r="AF70" i="9" s="1"/>
  <c r="F73" i="11"/>
  <c r="F85" i="9"/>
  <c r="AF85" i="9" s="1"/>
  <c r="F61" i="11"/>
  <c r="F71" i="9"/>
  <c r="AF71" i="9" s="1"/>
  <c r="F72" i="11"/>
  <c r="F84" i="9"/>
  <c r="AF84" i="9" s="1"/>
  <c r="F70" i="11"/>
  <c r="F82" i="9"/>
  <c r="AF82" i="9" s="1"/>
  <c r="G32" i="7"/>
  <c r="X32" i="7" s="1"/>
  <c r="AM23" i="17"/>
  <c r="BA23" i="17" s="1"/>
  <c r="L28" i="11"/>
  <c r="G33" i="7"/>
  <c r="X33" i="7" s="1"/>
  <c r="AM24" i="17"/>
  <c r="BA24" i="17" s="1"/>
  <c r="L29" i="11"/>
  <c r="AM34" i="6"/>
  <c r="L30" i="11"/>
  <c r="L31" i="11"/>
  <c r="X25" i="7"/>
  <c r="AM37" i="6"/>
  <c r="F47" i="11"/>
  <c r="F55" i="9"/>
  <c r="AF55" i="9" s="1"/>
  <c r="F18" i="11"/>
  <c r="F18" i="9"/>
  <c r="AF18" i="9" s="1"/>
  <c r="F33" i="11"/>
  <c r="F39" i="9"/>
  <c r="AF39" i="9" s="1"/>
  <c r="T33" i="17"/>
  <c r="V37" i="10"/>
  <c r="T45" i="17"/>
  <c r="V49" i="10"/>
  <c r="T11" i="17"/>
  <c r="AI11" i="17" s="1"/>
  <c r="V15" i="10"/>
  <c r="T34" i="17"/>
  <c r="AI34" i="17" s="1"/>
  <c r="V38" i="10"/>
  <c r="T47" i="17"/>
  <c r="AI47" i="17" s="1"/>
  <c r="V51" i="10"/>
  <c r="T35" i="17"/>
  <c r="V39" i="10"/>
  <c r="G36" i="7"/>
  <c r="X36" i="7" s="1"/>
  <c r="T36" i="17"/>
  <c r="V40" i="10"/>
  <c r="F46" i="11"/>
  <c r="F54" i="9"/>
  <c r="AF54" i="9" s="1"/>
  <c r="F75" i="11"/>
  <c r="F88" i="9"/>
  <c r="AF88" i="9" s="1"/>
  <c r="T57" i="17"/>
  <c r="AI57" i="17" s="1"/>
  <c r="V61" i="10"/>
  <c r="T48" i="17"/>
  <c r="V52" i="10"/>
  <c r="F44" i="11"/>
  <c r="F52" i="9"/>
  <c r="AF52" i="9" s="1"/>
  <c r="T53" i="17"/>
  <c r="AI53" i="17" s="1"/>
  <c r="V57" i="10"/>
  <c r="F21" i="11"/>
  <c r="F21" i="9"/>
  <c r="AF21" i="9" s="1"/>
  <c r="F74" i="11"/>
  <c r="F87" i="9"/>
  <c r="AF87" i="9" s="1"/>
  <c r="T29" i="17"/>
  <c r="V33" i="10"/>
  <c r="F45" i="11"/>
  <c r="F53" i="9"/>
  <c r="AF53" i="9" s="1"/>
  <c r="F77" i="11"/>
  <c r="F90" i="9"/>
  <c r="AF90" i="9" s="1"/>
  <c r="T49" i="17"/>
  <c r="V53" i="10"/>
  <c r="F51" i="11"/>
  <c r="F60" i="9"/>
  <c r="AF60" i="9" s="1"/>
  <c r="T18" i="17"/>
  <c r="V22" i="10"/>
  <c r="F32" i="11"/>
  <c r="F38" i="9"/>
  <c r="AF38" i="9" s="1"/>
  <c r="F59" i="11"/>
  <c r="F69" i="9"/>
  <c r="AF69" i="9" s="1"/>
  <c r="T51" i="17"/>
  <c r="V55" i="10"/>
  <c r="F20" i="11"/>
  <c r="F20" i="9"/>
  <c r="AF20" i="9" s="1"/>
  <c r="G35" i="7"/>
  <c r="X35" i="7" s="1"/>
  <c r="F76" i="11"/>
  <c r="F89" i="9"/>
  <c r="AF89" i="9" s="1"/>
  <c r="T17" i="17"/>
  <c r="AI17" i="17" s="1"/>
  <c r="V21" i="10"/>
  <c r="T30" i="17"/>
  <c r="AI30" i="17" s="1"/>
  <c r="V34" i="10"/>
  <c r="F63" i="11"/>
  <c r="F74" i="9"/>
  <c r="AF74" i="9" s="1"/>
  <c r="F57" i="11"/>
  <c r="F67" i="9"/>
  <c r="AF67" i="9" s="1"/>
  <c r="T73" i="17"/>
  <c r="V77" i="10"/>
  <c r="P22" i="7"/>
  <c r="G82" i="5"/>
  <c r="T31" i="7"/>
  <c r="T22" i="7"/>
  <c r="T79" i="7"/>
  <c r="T65" i="7"/>
  <c r="J32" i="21" s="1"/>
  <c r="K32" i="21" s="1"/>
  <c r="T28" i="7"/>
  <c r="J25" i="21" s="1"/>
  <c r="K25" i="21" s="1"/>
  <c r="T37" i="7"/>
  <c r="J28" i="21" s="1"/>
  <c r="K28" i="21" s="1"/>
  <c r="T58" i="7"/>
  <c r="J31" i="21" s="1"/>
  <c r="K31" i="21" s="1"/>
  <c r="T72" i="7"/>
  <c r="T44" i="7"/>
  <c r="T51" i="7"/>
  <c r="P88" i="7"/>
  <c r="X93" i="7"/>
  <c r="P91" i="7"/>
  <c r="X22" i="7"/>
  <c r="P31" i="7"/>
  <c r="X28" i="7"/>
  <c r="P44" i="7"/>
  <c r="X79" i="7"/>
  <c r="P28" i="7"/>
  <c r="X72" i="7"/>
  <c r="P79" i="7"/>
  <c r="X51" i="7"/>
  <c r="P72" i="7"/>
  <c r="X44" i="7"/>
  <c r="P51" i="7"/>
  <c r="P58" i="7"/>
  <c r="P37" i="7"/>
  <c r="X31" i="7"/>
  <c r="X58" i="7"/>
  <c r="P65" i="7"/>
  <c r="X65" i="7"/>
  <c r="L30" i="14" l="1"/>
  <c r="M30" i="14" s="1"/>
  <c r="L31" i="21"/>
  <c r="M31" i="21" s="1"/>
  <c r="L25" i="14"/>
  <c r="L26" i="21"/>
  <c r="M26" i="21" s="1"/>
  <c r="L32" i="14"/>
  <c r="M32" i="14" s="1"/>
  <c r="L33" i="21"/>
  <c r="M33" i="21" s="1"/>
  <c r="L35" i="14"/>
  <c r="M35" i="14" s="1"/>
  <c r="L36" i="21"/>
  <c r="M36" i="21" s="1"/>
  <c r="L34" i="14"/>
  <c r="M34" i="14" s="1"/>
  <c r="L35" i="21"/>
  <c r="M35" i="21" s="1"/>
  <c r="J33" i="14"/>
  <c r="K33" i="14" s="1"/>
  <c r="J34" i="21"/>
  <c r="K34" i="21" s="1"/>
  <c r="L33" i="14"/>
  <c r="M33" i="14" s="1"/>
  <c r="L34" i="21"/>
  <c r="M34" i="21" s="1"/>
  <c r="J28" i="14"/>
  <c r="K28" i="14" s="1"/>
  <c r="J29" i="21"/>
  <c r="K29" i="21" s="1"/>
  <c r="J25" i="14"/>
  <c r="K25" i="14" s="1"/>
  <c r="J26" i="21"/>
  <c r="K26" i="21" s="1"/>
  <c r="J29" i="14"/>
  <c r="K29" i="14" s="1"/>
  <c r="J30" i="21"/>
  <c r="K30" i="21" s="1"/>
  <c r="J22" i="14"/>
  <c r="K22" i="14" s="1"/>
  <c r="J23" i="21"/>
  <c r="K23" i="21" s="1"/>
  <c r="L28" i="14"/>
  <c r="M28" i="14" s="1"/>
  <c r="L29" i="21"/>
  <c r="M29" i="21" s="1"/>
  <c r="L24" i="14"/>
  <c r="M24" i="14" s="1"/>
  <c r="L25" i="21"/>
  <c r="M25" i="21" s="1"/>
  <c r="J32" i="14"/>
  <c r="K32" i="14" s="1"/>
  <c r="J33" i="21"/>
  <c r="K33" i="21" s="1"/>
  <c r="L31" i="14"/>
  <c r="M31" i="14" s="1"/>
  <c r="L32" i="21"/>
  <c r="M32" i="21" s="1"/>
  <c r="L23" i="14"/>
  <c r="M23" i="14" s="1"/>
  <c r="L24" i="21"/>
  <c r="M24" i="21" s="1"/>
  <c r="L29" i="14"/>
  <c r="M29" i="14" s="1"/>
  <c r="L30" i="21"/>
  <c r="M30" i="21" s="1"/>
  <c r="L22" i="14"/>
  <c r="M22" i="14" s="1"/>
  <c r="L23" i="21"/>
  <c r="M23" i="21" s="1"/>
  <c r="J26" i="14"/>
  <c r="K26" i="14" s="1"/>
  <c r="J27" i="21"/>
  <c r="K27" i="21" s="1"/>
  <c r="AI35" i="17"/>
  <c r="AI45" i="17"/>
  <c r="AI51" i="17"/>
  <c r="AI36" i="17"/>
  <c r="AI18" i="17"/>
  <c r="AI33" i="17"/>
  <c r="AI73" i="17"/>
  <c r="AI63" i="17"/>
  <c r="AI29" i="17"/>
  <c r="AI48" i="17"/>
  <c r="AI49" i="17"/>
  <c r="F81" i="9"/>
  <c r="AF81" i="9" s="1"/>
  <c r="AF86" i="9" s="1"/>
  <c r="J24" i="14"/>
  <c r="K24" i="14" s="1"/>
  <c r="J31" i="14"/>
  <c r="K31" i="14" s="1"/>
  <c r="J30" i="14"/>
  <c r="K30" i="14" s="1"/>
  <c r="X34" i="7"/>
  <c r="T24" i="17"/>
  <c r="AI24" i="17" s="1"/>
  <c r="V28" i="10"/>
  <c r="T23" i="17"/>
  <c r="AI23" i="17" s="1"/>
  <c r="V27" i="10"/>
  <c r="J27" i="14"/>
  <c r="X37" i="7"/>
  <c r="M25" i="14"/>
  <c r="F58" i="11"/>
  <c r="F68" i="9"/>
  <c r="AF68" i="9" s="1"/>
  <c r="F41" i="11"/>
  <c r="F48" i="9"/>
  <c r="AF48" i="9" s="1"/>
  <c r="F16" i="11"/>
  <c r="F16" i="9"/>
  <c r="F54" i="11"/>
  <c r="F63" i="9"/>
  <c r="AF63" i="9" s="1"/>
  <c r="F40" i="11"/>
  <c r="F47" i="9"/>
  <c r="AF47" i="9" s="1"/>
  <c r="F50" i="11"/>
  <c r="F59" i="9"/>
  <c r="AF59" i="9" s="1"/>
  <c r="F78" i="11"/>
  <c r="F91" i="9"/>
  <c r="AF91" i="9" s="1"/>
  <c r="F35" i="11"/>
  <c r="F41" i="9"/>
  <c r="AF41" i="9" s="1"/>
  <c r="F62" i="11"/>
  <c r="F73" i="9"/>
  <c r="AF73" i="9" s="1"/>
  <c r="F56" i="11"/>
  <c r="F66" i="9"/>
  <c r="AF66" i="9" s="1"/>
  <c r="F23" i="11"/>
  <c r="F24" i="9"/>
  <c r="AF24" i="9" s="1"/>
  <c r="F52" i="11"/>
  <c r="F61" i="9"/>
  <c r="AF61" i="9" s="1"/>
  <c r="F38" i="11"/>
  <c r="F45" i="9"/>
  <c r="AF45" i="9" s="1"/>
  <c r="F22" i="11"/>
  <c r="F23" i="9"/>
  <c r="AF23" i="9" s="1"/>
  <c r="T25" i="17"/>
  <c r="V29" i="10"/>
  <c r="F34" i="11"/>
  <c r="F40" i="9"/>
  <c r="AF40" i="9" s="1"/>
  <c r="F53" i="11"/>
  <c r="F62" i="9"/>
  <c r="AF62" i="9" s="1"/>
  <c r="T26" i="17"/>
  <c r="V30" i="10"/>
  <c r="F39" i="11"/>
  <c r="F46" i="9"/>
  <c r="AF46" i="9" s="1"/>
  <c r="H82" i="5"/>
  <c r="K82" i="5" s="1"/>
  <c r="P93" i="7"/>
  <c r="L26" i="14" l="1"/>
  <c r="M26" i="14" s="1"/>
  <c r="L27" i="21"/>
  <c r="M27" i="21" s="1"/>
  <c r="L27" i="14"/>
  <c r="M27" i="14" s="1"/>
  <c r="L28" i="21"/>
  <c r="M28" i="21" s="1"/>
  <c r="AI26" i="17"/>
  <c r="AI25" i="17"/>
  <c r="F32" i="9"/>
  <c r="AF32" i="9" s="1"/>
  <c r="F28" i="11"/>
  <c r="F29" i="11"/>
  <c r="F33" i="9"/>
  <c r="AF33" i="9" s="1"/>
  <c r="K27" i="14"/>
  <c r="AF25" i="9"/>
  <c r="F31" i="11"/>
  <c r="F36" i="9"/>
  <c r="AF36" i="9" s="1"/>
  <c r="F30" i="11"/>
  <c r="F35" i="9"/>
  <c r="AF35" i="9" s="1"/>
  <c r="P3" i="7"/>
  <c r="R5" i="7" s="1"/>
  <c r="AF34" i="9" l="1"/>
  <c r="AF16" i="9" l="1"/>
  <c r="AQ37" i="9" l="1"/>
  <c r="AF93" i="9"/>
  <c r="AF65" i="9"/>
  <c r="AF28" i="9"/>
  <c r="AF58" i="9"/>
  <c r="AF37" i="9"/>
  <c r="AF22" i="9"/>
  <c r="AF79" i="9"/>
  <c r="AF31" i="9"/>
  <c r="AF44" i="9"/>
  <c r="AF51" i="9"/>
  <c r="AF72" i="9"/>
  <c r="AQ31" i="9" l="1"/>
  <c r="AQ79" i="9"/>
  <c r="AQ72" i="9"/>
  <c r="AQ22" i="9"/>
  <c r="AQ44" i="9"/>
  <c r="AQ58" i="9"/>
  <c r="AQ28" i="9"/>
  <c r="AQ65" i="9"/>
  <c r="AQ51" i="9"/>
  <c r="AQ3" i="9" l="1"/>
  <c r="AS5" i="9" s="1"/>
  <c r="AV9" i="9" s="1"/>
  <c r="BE34" i="12" l="1"/>
  <c r="BE28" i="12" l="1"/>
  <c r="BE33" i="12"/>
  <c r="BE22" i="12"/>
  <c r="BE25" i="12"/>
  <c r="BE32" i="12"/>
  <c r="BE29" i="12" l="1"/>
  <c r="BE18" i="12" l="1"/>
  <c r="BE19" i="12"/>
  <c r="BE16" i="12"/>
  <c r="BE17" i="12"/>
  <c r="BE26" i="12" l="1"/>
  <c r="BE23" i="12"/>
  <c r="BE31" i="12"/>
  <c r="BE27" i="12"/>
  <c r="BE20" i="12"/>
  <c r="BE30" i="12"/>
  <c r="S40" i="14" l="1"/>
  <c r="P9" i="17"/>
  <c r="F14" i="7" l="1"/>
  <c r="T14" i="7" s="1"/>
  <c r="J17" i="21" s="1"/>
  <c r="G14" i="7"/>
  <c r="X14" i="7" s="1"/>
  <c r="L17" i="21" s="1"/>
  <c r="AM9" i="17"/>
  <c r="BA9" i="17" s="1"/>
  <c r="F14" i="6"/>
  <c r="AM14" i="6" s="1"/>
  <c r="J41" i="21" l="1"/>
  <c r="K41" i="21" s="1"/>
  <c r="K17" i="21"/>
  <c r="L41" i="21"/>
  <c r="M41" i="21" s="1"/>
  <c r="M17" i="21"/>
  <c r="T3" i="7"/>
  <c r="V5" i="7" s="1"/>
  <c r="AK4" i="7" s="1"/>
  <c r="AF14" i="7"/>
  <c r="S9" i="17"/>
  <c r="T9" i="17"/>
  <c r="AM3" i="6"/>
  <c r="L14" i="11"/>
  <c r="AI9" i="17" l="1"/>
  <c r="J16" i="14"/>
  <c r="J40" i="14" s="1"/>
  <c r="K40" i="14" s="1"/>
  <c r="X3" i="7"/>
  <c r="Z5" i="7" s="1"/>
  <c r="AK5" i="7" s="1"/>
  <c r="AK6" i="7" s="1"/>
  <c r="L16" i="14"/>
  <c r="L40" i="14" s="1"/>
  <c r="M40" i="14" s="1"/>
  <c r="K16" i="14" l="1"/>
  <c r="F14" i="11"/>
  <c r="F14" i="9"/>
  <c r="M16" i="14"/>
  <c r="AF14" i="9" l="1"/>
  <c r="AF3" i="9" s="1"/>
  <c r="AH5" i="9" s="1"/>
  <c r="AF94" i="7" l="1"/>
  <c r="AF16" i="7"/>
  <c r="AF15" i="7"/>
  <c r="AF18" i="7"/>
  <c r="AF96" i="7"/>
  <c r="AF19" i="7"/>
  <c r="AF95" i="7"/>
  <c r="AF17" i="7"/>
  <c r="AF38" i="7" l="1"/>
  <c r="AF91" i="7"/>
  <c r="AF23" i="7"/>
  <c r="AF43" i="7"/>
  <c r="AF47" i="7"/>
  <c r="AF76" i="7"/>
  <c r="AF70" i="7"/>
  <c r="AF90" i="7"/>
  <c r="AF21" i="7"/>
  <c r="AF24" i="7"/>
  <c r="AF45" i="7"/>
  <c r="AF84" i="7"/>
  <c r="AF59" i="7"/>
  <c r="AF39" i="7"/>
  <c r="AF48" i="7"/>
  <c r="AF75" i="7"/>
  <c r="AF66" i="7"/>
  <c r="AF81" i="7"/>
  <c r="AF56" i="7"/>
  <c r="AF71" i="7"/>
  <c r="AF40" i="7"/>
  <c r="AF64" i="7"/>
  <c r="AF30" i="7"/>
  <c r="AF74" i="7"/>
  <c r="AF88" i="7"/>
  <c r="AF32" i="7"/>
  <c r="AF82" i="7"/>
  <c r="AF53" i="7"/>
  <c r="AF50" i="7"/>
  <c r="AF67" i="7"/>
  <c r="AF52" i="7"/>
  <c r="AF61" i="7"/>
  <c r="AF29" i="7"/>
  <c r="AF73" i="7"/>
  <c r="AF89" i="7"/>
  <c r="AF33" i="7"/>
  <c r="AF83" i="7"/>
  <c r="AF57" i="7"/>
  <c r="AF20" i="7"/>
  <c r="AB22" i="7"/>
  <c r="AF60" i="7"/>
  <c r="AF62" i="7"/>
  <c r="AF42" i="7"/>
  <c r="AF46" i="7"/>
  <c r="AF68" i="7"/>
  <c r="AF92" i="7"/>
  <c r="AF26" i="7"/>
  <c r="AF36" i="7"/>
  <c r="AF85" i="7"/>
  <c r="AF55" i="7"/>
  <c r="AF77" i="7"/>
  <c r="AF78" i="7"/>
  <c r="AF63" i="7"/>
  <c r="AF41" i="7"/>
  <c r="AF49" i="7"/>
  <c r="AF69" i="7"/>
  <c r="AF87" i="7"/>
  <c r="AF27" i="7"/>
  <c r="AF35" i="7"/>
  <c r="AF80" i="7"/>
  <c r="AF54" i="7"/>
  <c r="AD22" i="14" l="1"/>
  <c r="AE23" i="21"/>
  <c r="AF34" i="7"/>
  <c r="AB25" i="7"/>
  <c r="AB86" i="7"/>
  <c r="AF22" i="7"/>
  <c r="AF37" i="7"/>
  <c r="AF25" i="7"/>
  <c r="AF31" i="7"/>
  <c r="AB28" i="7"/>
  <c r="AF86" i="7"/>
  <c r="AF28" i="7"/>
  <c r="AB58" i="7"/>
  <c r="AB34" i="7"/>
  <c r="AF58" i="7"/>
  <c r="AF79" i="7"/>
  <c r="AF51" i="7"/>
  <c r="AF72" i="7"/>
  <c r="AB37" i="7"/>
  <c r="AB79" i="7"/>
  <c r="AB51" i="7"/>
  <c r="AB31" i="7"/>
  <c r="AB72" i="7"/>
  <c r="AB93" i="7"/>
  <c r="AF65" i="7"/>
  <c r="AB44" i="7"/>
  <c r="AF93" i="7"/>
  <c r="AB65" i="7"/>
  <c r="AF44" i="7"/>
  <c r="AD29" i="14" l="1"/>
  <c r="AE30" i="21"/>
  <c r="AD25" i="14"/>
  <c r="AE26" i="21"/>
  <c r="AD33" i="14"/>
  <c r="AE34" i="21"/>
  <c r="AD23" i="14"/>
  <c r="AE24" i="21"/>
  <c r="AD32" i="14"/>
  <c r="AE33" i="21"/>
  <c r="AD26" i="14"/>
  <c r="AE27" i="21"/>
  <c r="AD31" i="14"/>
  <c r="AE32" i="21"/>
  <c r="AD27" i="14"/>
  <c r="AE28" i="21"/>
  <c r="AD34" i="14"/>
  <c r="AE35" i="21"/>
  <c r="AD24" i="14"/>
  <c r="AE25" i="21"/>
  <c r="AD35" i="14"/>
  <c r="AE36" i="21"/>
  <c r="AD30" i="14"/>
  <c r="AE31" i="21"/>
  <c r="AD28" i="14"/>
  <c r="AE29" i="21"/>
  <c r="AB3" i="7"/>
  <c r="AD5" i="7" s="1"/>
  <c r="AK8" i="7" s="1"/>
  <c r="AK9" i="7" s="1"/>
  <c r="AF3" i="7"/>
  <c r="AH5" i="7" s="1"/>
  <c r="AD40" i="14" l="1"/>
  <c r="AE41" i="21"/>
  <c r="AK10" i="7"/>
  <c r="AK13" i="7" s="1"/>
  <c r="Z38" i="14" l="1"/>
  <c r="S39" i="13"/>
  <c r="Q39" i="13"/>
  <c r="AG38" i="14" l="1"/>
  <c r="AE38" i="14"/>
  <c r="AC38" i="14"/>
  <c r="AI38" i="14"/>
  <c r="AL38" i="14"/>
  <c r="AN38" i="14" s="1"/>
  <c r="AA38" i="14"/>
  <c r="AM38" i="14" s="1"/>
  <c r="AO38" i="14" s="1"/>
  <c r="T39" i="13"/>
  <c r="R39" i="13"/>
  <c r="Z37" i="14" l="1"/>
  <c r="Q38" i="13"/>
  <c r="S38" i="13"/>
  <c r="Z36" i="14"/>
  <c r="S37" i="13"/>
  <c r="Q37" i="13"/>
  <c r="AA37" i="14" l="1"/>
  <c r="AM37" i="14" s="1"/>
  <c r="AO37" i="14" s="1"/>
  <c r="R38" i="13"/>
  <c r="T38" i="13"/>
  <c r="AE37" i="14"/>
  <c r="AG37" i="14"/>
  <c r="AC37" i="14"/>
  <c r="AI37" i="14"/>
  <c r="AL37" i="14"/>
  <c r="AN37" i="14" s="1"/>
  <c r="AE36" i="14"/>
  <c r="AG36" i="14"/>
  <c r="AC36" i="14"/>
  <c r="AI36" i="14"/>
  <c r="AL36" i="14"/>
  <c r="AN36" i="14" s="1"/>
  <c r="AA36" i="14" l="1"/>
  <c r="AM36" i="14" s="1"/>
  <c r="AO36" i="14" s="1"/>
  <c r="T37" i="13"/>
  <c r="R37" i="13"/>
  <c r="AR12" i="6" l="1"/>
  <c r="D23" i="2"/>
  <c r="L4" i="10" l="1"/>
  <c r="O5" i="17" s="1"/>
  <c r="S42" i="2"/>
  <c r="U42" i="2"/>
  <c r="X42" i="2"/>
  <c r="I42" i="2"/>
  <c r="E42" i="2"/>
  <c r="F42" i="2"/>
  <c r="G42" i="2"/>
  <c r="K42" i="2"/>
  <c r="N42" i="2"/>
  <c r="L42" i="2"/>
  <c r="D25" i="2"/>
  <c r="W42" i="2"/>
  <c r="Z42" i="2"/>
  <c r="Z63" i="2" s="1"/>
  <c r="R42" i="2"/>
  <c r="Y42" i="2"/>
  <c r="Y63" i="2" s="1"/>
  <c r="J42" i="2"/>
  <c r="M42" i="2"/>
  <c r="H42" i="2"/>
  <c r="P42" i="2"/>
  <c r="AY3" i="9"/>
  <c r="T42" i="2"/>
  <c r="V42" i="2"/>
  <c r="Q42" i="2"/>
  <c r="O42" i="2"/>
  <c r="V76" i="2" l="1"/>
  <c r="V63" i="2"/>
  <c r="R63" i="2"/>
  <c r="R76" i="2"/>
  <c r="F76" i="2"/>
  <c r="L14" i="10" s="1"/>
  <c r="F63" i="2"/>
  <c r="T63" i="2"/>
  <c r="T76" i="2"/>
  <c r="W63" i="2"/>
  <c r="I76" i="2"/>
  <c r="L17" i="10" s="1"/>
  <c r="I63" i="2"/>
  <c r="AY12" i="9"/>
  <c r="AV12" i="9" s="1"/>
  <c r="AY13" i="9"/>
  <c r="H76" i="2"/>
  <c r="L16" i="10" s="1"/>
  <c r="H63" i="2"/>
  <c r="L63" i="2"/>
  <c r="L76" i="2"/>
  <c r="X63" i="2"/>
  <c r="X76" i="2"/>
  <c r="Q76" i="2"/>
  <c r="Q63" i="2"/>
  <c r="P63" i="2"/>
  <c r="N63" i="2"/>
  <c r="U63" i="2"/>
  <c r="U76" i="2"/>
  <c r="E63" i="2"/>
  <c r="E76" i="2"/>
  <c r="L13" i="10" s="1"/>
  <c r="D42" i="2"/>
  <c r="D76" i="2" s="1"/>
  <c r="M63" i="2"/>
  <c r="O63" i="2"/>
  <c r="O76" i="2"/>
  <c r="J63" i="2"/>
  <c r="J76" i="2"/>
  <c r="L18" i="10" s="1"/>
  <c r="K63" i="2"/>
  <c r="K76" i="2"/>
  <c r="S63" i="2"/>
  <c r="S76" i="2"/>
  <c r="G63" i="2"/>
  <c r="G76" i="2"/>
  <c r="L15" i="10" s="1"/>
  <c r="O13" i="23" l="1"/>
  <c r="Q13" i="23" s="1"/>
  <c r="T13" i="23" s="1"/>
  <c r="O13" i="22"/>
  <c r="Q13" i="22" s="1"/>
  <c r="O15" i="23"/>
  <c r="Q15" i="23" s="1"/>
  <c r="T15" i="23" s="1"/>
  <c r="O15" i="22"/>
  <c r="Q15" i="22" s="1"/>
  <c r="O11" i="23"/>
  <c r="Q11" i="23" s="1"/>
  <c r="T11" i="23" s="1"/>
  <c r="O11" i="22"/>
  <c r="Q11" i="22" s="1"/>
  <c r="O10" i="23"/>
  <c r="Q10" i="23" s="1"/>
  <c r="T10" i="23" s="1"/>
  <c r="O10" i="22"/>
  <c r="Q10" i="22" s="1"/>
  <c r="O14" i="23"/>
  <c r="Q14" i="23" s="1"/>
  <c r="T14" i="23" s="1"/>
  <c r="O14" i="22"/>
  <c r="Q14" i="22" s="1"/>
  <c r="O12" i="23"/>
  <c r="Q12" i="23" s="1"/>
  <c r="T12" i="23" s="1"/>
  <c r="O12" i="22"/>
  <c r="Q12" i="22" s="1"/>
  <c r="O11" i="17"/>
  <c r="E16" i="11"/>
  <c r="H16" i="11" s="1"/>
  <c r="O15" i="10"/>
  <c r="R15" i="10" s="1"/>
  <c r="F18" i="5"/>
  <c r="G18" i="5" s="1"/>
  <c r="H18" i="5" s="1"/>
  <c r="K18" i="5" s="1"/>
  <c r="F16" i="4"/>
  <c r="G16" i="4" s="1"/>
  <c r="E16" i="6"/>
  <c r="I16" i="6" s="1"/>
  <c r="AB16" i="6" s="1"/>
  <c r="O13" i="10"/>
  <c r="R13" i="10" s="1"/>
  <c r="F16" i="5"/>
  <c r="G16" i="5" s="1"/>
  <c r="H16" i="5" s="1"/>
  <c r="O9" i="17"/>
  <c r="E14" i="11"/>
  <c r="H14" i="11" s="1"/>
  <c r="E14" i="6"/>
  <c r="I14" i="6" s="1"/>
  <c r="AB14" i="6" s="1"/>
  <c r="F14" i="4"/>
  <c r="G14" i="4" s="1"/>
  <c r="L53" i="10"/>
  <c r="L52" i="10"/>
  <c r="L50" i="10"/>
  <c r="L54" i="10"/>
  <c r="L51" i="10"/>
  <c r="L49" i="10"/>
  <c r="O18" i="10"/>
  <c r="R18" i="10" s="1"/>
  <c r="E19" i="6"/>
  <c r="I19" i="6" s="1"/>
  <c r="AB19" i="6" s="1"/>
  <c r="E19" i="11"/>
  <c r="H19" i="11" s="1"/>
  <c r="O14" i="17"/>
  <c r="F19" i="4"/>
  <c r="G19" i="4" s="1"/>
  <c r="F21" i="5"/>
  <c r="G21" i="5" s="1"/>
  <c r="H21" i="5" s="1"/>
  <c r="K21" i="5" s="1"/>
  <c r="F15" i="4"/>
  <c r="G15" i="4" s="1"/>
  <c r="O14" i="10"/>
  <c r="R14" i="10" s="1"/>
  <c r="E15" i="6"/>
  <c r="I15" i="6" s="1"/>
  <c r="AB15" i="6" s="1"/>
  <c r="O10" i="17"/>
  <c r="E15" i="11"/>
  <c r="H15" i="11" s="1"/>
  <c r="F17" i="5"/>
  <c r="G17" i="5" s="1"/>
  <c r="H17" i="5" s="1"/>
  <c r="K17" i="5" s="1"/>
  <c r="L75" i="10"/>
  <c r="L73" i="10"/>
  <c r="L76" i="10"/>
  <c r="L74" i="10"/>
  <c r="L77" i="10"/>
  <c r="L78" i="10"/>
  <c r="L28" i="10"/>
  <c r="L27" i="10"/>
  <c r="L22" i="10"/>
  <c r="L21" i="10"/>
  <c r="L39" i="10"/>
  <c r="L40" i="10"/>
  <c r="L41" i="10"/>
  <c r="L42" i="10"/>
  <c r="L38" i="10"/>
  <c r="L37" i="10"/>
  <c r="L33" i="10"/>
  <c r="L31" i="10"/>
  <c r="L34" i="10"/>
  <c r="L36" i="10"/>
  <c r="L32" i="10"/>
  <c r="L35" i="10"/>
  <c r="L58" i="10"/>
  <c r="L55" i="10"/>
  <c r="L60" i="10"/>
  <c r="L57" i="10"/>
  <c r="L59" i="10"/>
  <c r="L56" i="10"/>
  <c r="L44" i="10"/>
  <c r="L47" i="10"/>
  <c r="L46" i="10"/>
  <c r="L48" i="10"/>
  <c r="L45" i="10"/>
  <c r="L43" i="10"/>
  <c r="F20" i="5"/>
  <c r="G20" i="5" s="1"/>
  <c r="H20" i="5" s="1"/>
  <c r="K20" i="5" s="1"/>
  <c r="O17" i="10"/>
  <c r="R17" i="10" s="1"/>
  <c r="E18" i="11"/>
  <c r="H18" i="11" s="1"/>
  <c r="E18" i="6"/>
  <c r="I18" i="6" s="1"/>
  <c r="AB18" i="6" s="1"/>
  <c r="O13" i="17"/>
  <c r="F18" i="4"/>
  <c r="G18" i="4" s="1"/>
  <c r="D63" i="2"/>
  <c r="F65" i="2" s="1"/>
  <c r="L20" i="10"/>
  <c r="L19" i="10"/>
  <c r="F17" i="4"/>
  <c r="G17" i="4" s="1"/>
  <c r="E17" i="6"/>
  <c r="I17" i="6" s="1"/>
  <c r="AB17" i="6" s="1"/>
  <c r="F19" i="5"/>
  <c r="G19" i="5" s="1"/>
  <c r="H19" i="5" s="1"/>
  <c r="K19" i="5" s="1"/>
  <c r="O16" i="10"/>
  <c r="R16" i="10" s="1"/>
  <c r="O12" i="17"/>
  <c r="E17" i="11"/>
  <c r="H17" i="11" s="1"/>
  <c r="L61" i="10"/>
  <c r="L63" i="10"/>
  <c r="L62" i="10"/>
  <c r="L65" i="10"/>
  <c r="L64" i="10"/>
  <c r="L66" i="10"/>
  <c r="O51" i="22" l="1"/>
  <c r="Q51" i="22" s="1"/>
  <c r="O51" i="23"/>
  <c r="Q51" i="23" s="1"/>
  <c r="T51" i="23" s="1"/>
  <c r="O16" i="23"/>
  <c r="Q16" i="23" s="1"/>
  <c r="T16" i="23" s="1"/>
  <c r="O16" i="22"/>
  <c r="Q16" i="22" s="1"/>
  <c r="O40" i="23"/>
  <c r="Q40" i="23" s="1"/>
  <c r="T40" i="23" s="1"/>
  <c r="O40" i="22"/>
  <c r="Q40" i="22" s="1"/>
  <c r="O53" i="22"/>
  <c r="Q53" i="22" s="1"/>
  <c r="O53" i="23"/>
  <c r="Q53" i="23" s="1"/>
  <c r="T53" i="23" s="1"/>
  <c r="O33" i="23"/>
  <c r="Q33" i="23" s="1"/>
  <c r="T33" i="23" s="1"/>
  <c r="O33" i="22"/>
  <c r="Q33" i="22" s="1"/>
  <c r="O38" i="23"/>
  <c r="Q38" i="23" s="1"/>
  <c r="T38" i="23" s="1"/>
  <c r="O38" i="22"/>
  <c r="Q38" i="22" s="1"/>
  <c r="O25" i="23"/>
  <c r="Q25" i="23" s="1"/>
  <c r="T25" i="23" s="1"/>
  <c r="O25" i="22"/>
  <c r="Q25" i="22" s="1"/>
  <c r="O47" i="22"/>
  <c r="Q47" i="22" s="1"/>
  <c r="O47" i="23"/>
  <c r="Q47" i="23" s="1"/>
  <c r="T47" i="23" s="1"/>
  <c r="O29" i="23"/>
  <c r="Q29" i="23" s="1"/>
  <c r="T29" i="23" s="1"/>
  <c r="O29" i="22"/>
  <c r="Q29" i="22" s="1"/>
  <c r="O17" i="23"/>
  <c r="Q17" i="23" s="1"/>
  <c r="T17" i="23" s="1"/>
  <c r="O17" i="22"/>
  <c r="Q17" i="22" s="1"/>
  <c r="O56" i="23"/>
  <c r="Q56" i="23" s="1"/>
  <c r="T56" i="23" s="1"/>
  <c r="O56" i="22"/>
  <c r="Q56" i="22" s="1"/>
  <c r="O31" i="23"/>
  <c r="Q31" i="23" s="1"/>
  <c r="T31" i="23" s="1"/>
  <c r="O31" i="22"/>
  <c r="Q31" i="22" s="1"/>
  <c r="O37" i="23"/>
  <c r="Q37" i="23" s="1"/>
  <c r="T37" i="23" s="1"/>
  <c r="O37" i="22"/>
  <c r="Q37" i="22" s="1"/>
  <c r="O75" i="22"/>
  <c r="Q75" i="22" s="1"/>
  <c r="O75" i="23"/>
  <c r="Q75" i="23" s="1"/>
  <c r="T75" i="23" s="1"/>
  <c r="O49" i="23"/>
  <c r="Q49" i="23" s="1"/>
  <c r="T49" i="23" s="1"/>
  <c r="O49" i="22"/>
  <c r="Q49" i="22" s="1"/>
  <c r="O42" i="23"/>
  <c r="Q42" i="23" s="1"/>
  <c r="T42" i="23" s="1"/>
  <c r="O42" i="22"/>
  <c r="Q42" i="22" s="1"/>
  <c r="O45" i="22"/>
  <c r="Q45" i="22" s="1"/>
  <c r="O45" i="23"/>
  <c r="Q45" i="23" s="1"/>
  <c r="T45" i="23" s="1"/>
  <c r="O54" i="23"/>
  <c r="Q54" i="23" s="1"/>
  <c r="T54" i="23" s="1"/>
  <c r="O54" i="22"/>
  <c r="Q54" i="22" s="1"/>
  <c r="O28" i="23"/>
  <c r="Q28" i="23" s="1"/>
  <c r="T28" i="23" s="1"/>
  <c r="O28" i="22"/>
  <c r="Q28" i="22" s="1"/>
  <c r="O36" i="23"/>
  <c r="Q36" i="23" s="1"/>
  <c r="T36" i="23" s="1"/>
  <c r="O36" i="22"/>
  <c r="Q36" i="22" s="1"/>
  <c r="O74" i="23"/>
  <c r="Q74" i="23" s="1"/>
  <c r="T74" i="23" s="1"/>
  <c r="O74" i="22"/>
  <c r="Q74" i="22" s="1"/>
  <c r="O50" i="23"/>
  <c r="Q50" i="23" s="1"/>
  <c r="T50" i="23" s="1"/>
  <c r="O50" i="22"/>
  <c r="Q50" i="22" s="1"/>
  <c r="O61" i="23"/>
  <c r="Q61" i="23" s="1"/>
  <c r="T61" i="23" s="1"/>
  <c r="O61" i="22"/>
  <c r="Q61" i="22" s="1"/>
  <c r="O43" i="23"/>
  <c r="Q43" i="23" s="1"/>
  <c r="T43" i="23" s="1"/>
  <c r="O43" i="22"/>
  <c r="Q43" i="22" s="1"/>
  <c r="O57" i="22"/>
  <c r="Q57" i="22" s="1"/>
  <c r="O57" i="23"/>
  <c r="Q57" i="23" s="1"/>
  <c r="T57" i="23" s="1"/>
  <c r="O30" i="23"/>
  <c r="Q30" i="23" s="1"/>
  <c r="T30" i="23" s="1"/>
  <c r="O30" i="22"/>
  <c r="Q30" i="22" s="1"/>
  <c r="O71" i="22"/>
  <c r="Q71" i="22" s="1"/>
  <c r="O71" i="23"/>
  <c r="Q71" i="23" s="1"/>
  <c r="T71" i="23" s="1"/>
  <c r="O24" i="23"/>
  <c r="Q24" i="23" s="1"/>
  <c r="T24" i="23" s="1"/>
  <c r="O24" i="22"/>
  <c r="Q24" i="22" s="1"/>
  <c r="AE9" i="17"/>
  <c r="R9" i="17"/>
  <c r="V9" i="17" s="1"/>
  <c r="O63" i="22"/>
  <c r="Q63" i="22" s="1"/>
  <c r="O63" i="23"/>
  <c r="Q63" i="23" s="1"/>
  <c r="T63" i="23" s="1"/>
  <c r="O62" i="23"/>
  <c r="Q62" i="23" s="1"/>
  <c r="T62" i="23" s="1"/>
  <c r="O62" i="22"/>
  <c r="Q62" i="22" s="1"/>
  <c r="O44" i="23"/>
  <c r="Q44" i="23" s="1"/>
  <c r="T44" i="23" s="1"/>
  <c r="O44" i="22"/>
  <c r="Q44" i="22" s="1"/>
  <c r="O52" i="23"/>
  <c r="Q52" i="23" s="1"/>
  <c r="T52" i="23" s="1"/>
  <c r="O52" i="22"/>
  <c r="Q52" i="22" s="1"/>
  <c r="O18" i="23"/>
  <c r="Q18" i="23" s="1"/>
  <c r="T18" i="23" s="1"/>
  <c r="O18" i="22"/>
  <c r="Q18" i="22" s="1"/>
  <c r="O73" i="23"/>
  <c r="Q73" i="23" s="1"/>
  <c r="T73" i="23" s="1"/>
  <c r="O73" i="22"/>
  <c r="Q73" i="22" s="1"/>
  <c r="O59" i="22"/>
  <c r="Q59" i="22" s="1"/>
  <c r="O59" i="23"/>
  <c r="Q59" i="23" s="1"/>
  <c r="T59" i="23" s="1"/>
  <c r="O41" i="23"/>
  <c r="Q41" i="23" s="1"/>
  <c r="T41" i="23" s="1"/>
  <c r="O41" i="22"/>
  <c r="Q41" i="22" s="1"/>
  <c r="O55" i="23"/>
  <c r="Q55" i="23" s="1"/>
  <c r="T55" i="23" s="1"/>
  <c r="O55" i="22"/>
  <c r="Q55" i="22" s="1"/>
  <c r="O34" i="23"/>
  <c r="Q34" i="23" s="1"/>
  <c r="T34" i="23" s="1"/>
  <c r="O34" i="22"/>
  <c r="Q34" i="22" s="1"/>
  <c r="O19" i="23"/>
  <c r="Q19" i="23" s="1"/>
  <c r="T19" i="23" s="1"/>
  <c r="O19" i="22"/>
  <c r="Q19" i="22" s="1"/>
  <c r="O70" i="23"/>
  <c r="Q70" i="23" s="1"/>
  <c r="T70" i="23" s="1"/>
  <c r="O70" i="22"/>
  <c r="Q70" i="22" s="1"/>
  <c r="O46" i="23"/>
  <c r="Q46" i="23" s="1"/>
  <c r="T46" i="23" s="1"/>
  <c r="O46" i="22"/>
  <c r="Q46" i="22" s="1"/>
  <c r="O58" i="23"/>
  <c r="Q58" i="23" s="1"/>
  <c r="T58" i="23" s="1"/>
  <c r="O58" i="22"/>
  <c r="Q58" i="22" s="1"/>
  <c r="O39" i="23"/>
  <c r="Q39" i="23" s="1"/>
  <c r="T39" i="23" s="1"/>
  <c r="O39" i="22"/>
  <c r="Q39" i="22" s="1"/>
  <c r="O60" i="23"/>
  <c r="Q60" i="23" s="1"/>
  <c r="T60" i="23" s="1"/>
  <c r="O60" i="22"/>
  <c r="Q60" i="22" s="1"/>
  <c r="O32" i="23"/>
  <c r="Q32" i="23" s="1"/>
  <c r="T32" i="23" s="1"/>
  <c r="O32" i="22"/>
  <c r="Q32" i="22" s="1"/>
  <c r="O35" i="23"/>
  <c r="Q35" i="23" s="1"/>
  <c r="T35" i="23" s="1"/>
  <c r="O35" i="22"/>
  <c r="Q35" i="22" s="1"/>
  <c r="O72" i="23"/>
  <c r="Q72" i="23" s="1"/>
  <c r="T72" i="23" s="1"/>
  <c r="O72" i="22"/>
  <c r="Q72" i="22" s="1"/>
  <c r="O48" i="23"/>
  <c r="Q48" i="23" s="1"/>
  <c r="T48" i="23" s="1"/>
  <c r="O48" i="22"/>
  <c r="Q48" i="22" s="1"/>
  <c r="V65" i="2"/>
  <c r="R65" i="2"/>
  <c r="L65" i="2"/>
  <c r="L68" i="2" s="1"/>
  <c r="S65" i="2"/>
  <c r="S68" i="2" s="1"/>
  <c r="S74" i="2" s="1"/>
  <c r="T65" i="2"/>
  <c r="T68" i="2" s="1"/>
  <c r="T90" i="2" s="1"/>
  <c r="W65" i="2"/>
  <c r="W68" i="2" s="1"/>
  <c r="W90" i="2" s="1"/>
  <c r="P65" i="2"/>
  <c r="P68" i="2" s="1"/>
  <c r="P74" i="2" s="1"/>
  <c r="N65" i="2"/>
  <c r="N68" i="2" s="1"/>
  <c r="X65" i="2"/>
  <c r="X68" i="2" s="1"/>
  <c r="X90" i="2" s="1"/>
  <c r="U65" i="2"/>
  <c r="U68" i="2" s="1"/>
  <c r="U78" i="2" s="1"/>
  <c r="E65" i="2"/>
  <c r="E68" i="2" s="1"/>
  <c r="E90" i="2" s="1"/>
  <c r="S72" i="2"/>
  <c r="U75" i="2"/>
  <c r="X74" i="2"/>
  <c r="F68" i="2"/>
  <c r="Q18" i="12"/>
  <c r="R18" i="12" s="1"/>
  <c r="J18" i="11"/>
  <c r="O23" i="17"/>
  <c r="E32" i="6"/>
  <c r="I32" i="6" s="1"/>
  <c r="AB32" i="6" s="1"/>
  <c r="O27" i="10"/>
  <c r="R27" i="10" s="1"/>
  <c r="F30" i="5"/>
  <c r="G30" i="5" s="1"/>
  <c r="H30" i="5" s="1"/>
  <c r="F28" i="4"/>
  <c r="G28" i="4" s="1"/>
  <c r="E28" i="11"/>
  <c r="H28" i="11" s="1"/>
  <c r="AE12" i="17"/>
  <c r="R12" i="17"/>
  <c r="V12" i="17" s="1"/>
  <c r="F62" i="4"/>
  <c r="G62" i="4" s="1"/>
  <c r="F64" i="5"/>
  <c r="G64" i="5" s="1"/>
  <c r="H64" i="5" s="1"/>
  <c r="E62" i="11"/>
  <c r="H62" i="11" s="1"/>
  <c r="O61" i="10"/>
  <c r="R61" i="10" s="1"/>
  <c r="E73" i="6"/>
  <c r="I73" i="6" s="1"/>
  <c r="AB73" i="6" s="1"/>
  <c r="O57" i="17"/>
  <c r="AO17" i="6"/>
  <c r="AF17" i="6"/>
  <c r="AF18" i="6"/>
  <c r="AO18" i="6"/>
  <c r="O53" i="17"/>
  <c r="O57" i="10"/>
  <c r="R57" i="10" s="1"/>
  <c r="F60" i="5"/>
  <c r="G60" i="5" s="1"/>
  <c r="H60" i="5" s="1"/>
  <c r="E68" i="6"/>
  <c r="I68" i="6" s="1"/>
  <c r="AB68" i="6" s="1"/>
  <c r="F58" i="4"/>
  <c r="G58" i="4" s="1"/>
  <c r="E58" i="11"/>
  <c r="H58" i="11" s="1"/>
  <c r="E32" i="11"/>
  <c r="H32" i="11" s="1"/>
  <c r="O27" i="17"/>
  <c r="F32" i="4"/>
  <c r="G32" i="4" s="1"/>
  <c r="F34" i="5"/>
  <c r="G34" i="5" s="1"/>
  <c r="H34" i="5" s="1"/>
  <c r="O31" i="10"/>
  <c r="R31" i="10" s="1"/>
  <c r="E38" i="6"/>
  <c r="I38" i="6" s="1"/>
  <c r="AB38" i="6" s="1"/>
  <c r="E41" i="11"/>
  <c r="H41" i="11" s="1"/>
  <c r="O40" i="10"/>
  <c r="R40" i="10" s="1"/>
  <c r="O36" i="17"/>
  <c r="F41" i="4"/>
  <c r="G41" i="4" s="1"/>
  <c r="E48" i="6"/>
  <c r="I48" i="6" s="1"/>
  <c r="AB48" i="6" s="1"/>
  <c r="F43" i="5"/>
  <c r="G43" i="5" s="1"/>
  <c r="H43" i="5" s="1"/>
  <c r="O71" i="17"/>
  <c r="F76" i="4"/>
  <c r="G76" i="4" s="1"/>
  <c r="O75" i="10"/>
  <c r="R75" i="10" s="1"/>
  <c r="E89" i="6"/>
  <c r="I89" i="6" s="1"/>
  <c r="AB89" i="6" s="1"/>
  <c r="E76" i="11"/>
  <c r="H76" i="11" s="1"/>
  <c r="F78" i="5"/>
  <c r="G78" i="5" s="1"/>
  <c r="H78" i="5" s="1"/>
  <c r="Q19" i="12"/>
  <c r="R19" i="12" s="1"/>
  <c r="J19" i="11"/>
  <c r="E63" i="6"/>
  <c r="I63" i="6" s="1"/>
  <c r="AB63" i="6" s="1"/>
  <c r="E54" i="11"/>
  <c r="H54" i="11" s="1"/>
  <c r="O49" i="17"/>
  <c r="F54" i="4"/>
  <c r="G54" i="4" s="1"/>
  <c r="F56" i="5"/>
  <c r="G56" i="5" s="1"/>
  <c r="H56" i="5" s="1"/>
  <c r="O53" i="10"/>
  <c r="R53" i="10" s="1"/>
  <c r="K16" i="5"/>
  <c r="W15" i="10"/>
  <c r="H16" i="18"/>
  <c r="E16" i="9"/>
  <c r="J16" i="9" s="1"/>
  <c r="AB16" i="9" s="1"/>
  <c r="AJ16" i="9" s="1"/>
  <c r="H65" i="2"/>
  <c r="AA65" i="2"/>
  <c r="AA68" i="2" s="1"/>
  <c r="Y65" i="2"/>
  <c r="Z65" i="2"/>
  <c r="Z68" i="2" s="1"/>
  <c r="W17" i="10"/>
  <c r="H18" i="18"/>
  <c r="E18" i="9"/>
  <c r="J18" i="9" s="1"/>
  <c r="AB18" i="9" s="1"/>
  <c r="AJ18" i="9" s="1"/>
  <c r="E52" i="6"/>
  <c r="I52" i="6" s="1"/>
  <c r="AB52" i="6" s="1"/>
  <c r="E44" i="11"/>
  <c r="H44" i="11" s="1"/>
  <c r="F44" i="4"/>
  <c r="G44" i="4" s="1"/>
  <c r="F46" i="5"/>
  <c r="G46" i="5" s="1"/>
  <c r="H46" i="5" s="1"/>
  <c r="O43" i="10"/>
  <c r="R43" i="10" s="1"/>
  <c r="O39" i="17"/>
  <c r="O55" i="10"/>
  <c r="R55" i="10" s="1"/>
  <c r="F58" i="5"/>
  <c r="G58" i="5" s="1"/>
  <c r="H58" i="5" s="1"/>
  <c r="E66" i="6"/>
  <c r="I66" i="6" s="1"/>
  <c r="AB66" i="6" s="1"/>
  <c r="E56" i="11"/>
  <c r="H56" i="11" s="1"/>
  <c r="F56" i="4"/>
  <c r="G56" i="4" s="1"/>
  <c r="O51" i="17"/>
  <c r="I65" i="2"/>
  <c r="F29" i="4"/>
  <c r="G29" i="4" s="1"/>
  <c r="E33" i="6"/>
  <c r="I33" i="6" s="1"/>
  <c r="AB33" i="6" s="1"/>
  <c r="O24" i="17"/>
  <c r="E29" i="11"/>
  <c r="H29" i="11" s="1"/>
  <c r="O28" i="10"/>
  <c r="R28" i="10" s="1"/>
  <c r="F31" i="5"/>
  <c r="G31" i="5" s="1"/>
  <c r="H31" i="5" s="1"/>
  <c r="Q15" i="12"/>
  <c r="R15" i="12" s="1"/>
  <c r="J15" i="11"/>
  <c r="W18" i="10"/>
  <c r="E19" i="9"/>
  <c r="J19" i="9" s="1"/>
  <c r="AB19" i="9" s="1"/>
  <c r="AJ19" i="9" s="1"/>
  <c r="H19" i="18"/>
  <c r="Q65" i="2"/>
  <c r="AE11" i="17"/>
  <c r="R11" i="17"/>
  <c r="V11" i="17" s="1"/>
  <c r="F40" i="4"/>
  <c r="G40" i="4" s="1"/>
  <c r="F42" i="5"/>
  <c r="G42" i="5" s="1"/>
  <c r="H42" i="5" s="1"/>
  <c r="O35" i="17"/>
  <c r="E40" i="11"/>
  <c r="H40" i="11" s="1"/>
  <c r="O39" i="10"/>
  <c r="R39" i="10" s="1"/>
  <c r="E47" i="6"/>
  <c r="I47" i="6" s="1"/>
  <c r="AB47" i="6" s="1"/>
  <c r="AO19" i="6"/>
  <c r="AF19" i="6"/>
  <c r="W13" i="10"/>
  <c r="E14" i="9"/>
  <c r="J14" i="9" s="1"/>
  <c r="AB14" i="9" s="1"/>
  <c r="AJ14" i="9" s="1"/>
  <c r="H14" i="18"/>
  <c r="Q16" i="12"/>
  <c r="R16" i="12" s="1"/>
  <c r="J16" i="11"/>
  <c r="F67" i="4"/>
  <c r="G67" i="4" s="1"/>
  <c r="O62" i="17"/>
  <c r="O66" i="10"/>
  <c r="R66" i="10" s="1"/>
  <c r="F69" i="5"/>
  <c r="G69" i="5" s="1"/>
  <c r="H69" i="5" s="1"/>
  <c r="E67" i="11"/>
  <c r="H67" i="11" s="1"/>
  <c r="E78" i="6"/>
  <c r="I78" i="6" s="1"/>
  <c r="AB78" i="6" s="1"/>
  <c r="O41" i="17"/>
  <c r="F48" i="5"/>
  <c r="G48" i="5" s="1"/>
  <c r="H48" i="5" s="1"/>
  <c r="O45" i="10"/>
  <c r="R45" i="10" s="1"/>
  <c r="E46" i="11"/>
  <c r="H46" i="11" s="1"/>
  <c r="E54" i="6"/>
  <c r="I54" i="6" s="1"/>
  <c r="AB54" i="6" s="1"/>
  <c r="F46" i="4"/>
  <c r="G46" i="4" s="1"/>
  <c r="O58" i="10"/>
  <c r="R58" i="10" s="1"/>
  <c r="E69" i="6"/>
  <c r="I69" i="6" s="1"/>
  <c r="AB69" i="6" s="1"/>
  <c r="F59" i="4"/>
  <c r="G59" i="4" s="1"/>
  <c r="E59" i="11"/>
  <c r="H59" i="11" s="1"/>
  <c r="F61" i="5"/>
  <c r="G61" i="5" s="1"/>
  <c r="H61" i="5" s="1"/>
  <c r="O54" i="17"/>
  <c r="G65" i="2"/>
  <c r="O74" i="17"/>
  <c r="E92" i="6"/>
  <c r="I92" i="6" s="1"/>
  <c r="AB92" i="6" s="1"/>
  <c r="O78" i="10"/>
  <c r="R78" i="10" s="1"/>
  <c r="E79" i="11"/>
  <c r="H79" i="11" s="1"/>
  <c r="F81" i="5"/>
  <c r="G81" i="5" s="1"/>
  <c r="H81" i="5" s="1"/>
  <c r="F79" i="4"/>
  <c r="G79" i="4" s="1"/>
  <c r="AE10" i="17"/>
  <c r="R10" i="17"/>
  <c r="V10" i="17" s="1"/>
  <c r="J65" i="2"/>
  <c r="E50" i="11"/>
  <c r="H50" i="11" s="1"/>
  <c r="F52" i="5"/>
  <c r="G52" i="5" s="1"/>
  <c r="H52" i="5" s="1"/>
  <c r="F50" i="4"/>
  <c r="G50" i="4" s="1"/>
  <c r="O49" i="10"/>
  <c r="R49" i="10" s="1"/>
  <c r="O45" i="17"/>
  <c r="E59" i="6"/>
  <c r="I59" i="6" s="1"/>
  <c r="AB59" i="6" s="1"/>
  <c r="K65" i="2"/>
  <c r="F34" i="4"/>
  <c r="G34" i="4" s="1"/>
  <c r="O29" i="17"/>
  <c r="E40" i="6"/>
  <c r="I40" i="6" s="1"/>
  <c r="AB40" i="6" s="1"/>
  <c r="O33" i="10"/>
  <c r="R33" i="10" s="1"/>
  <c r="E34" i="11"/>
  <c r="H34" i="11" s="1"/>
  <c r="F36" i="5"/>
  <c r="G36" i="5" s="1"/>
  <c r="H36" i="5" s="1"/>
  <c r="F65" i="4"/>
  <c r="G65" i="4" s="1"/>
  <c r="E65" i="11"/>
  <c r="H65" i="11" s="1"/>
  <c r="O64" i="10"/>
  <c r="R64" i="10" s="1"/>
  <c r="E76" i="6"/>
  <c r="I76" i="6" s="1"/>
  <c r="AB76" i="6" s="1"/>
  <c r="O60" i="17"/>
  <c r="F67" i="5"/>
  <c r="G67" i="5" s="1"/>
  <c r="H67" i="5" s="1"/>
  <c r="Q17" i="12"/>
  <c r="R17" i="12" s="1"/>
  <c r="J17" i="11"/>
  <c r="R68" i="2"/>
  <c r="O48" i="10"/>
  <c r="R48" i="10" s="1"/>
  <c r="E57" i="6"/>
  <c r="I57" i="6" s="1"/>
  <c r="AB57" i="6" s="1"/>
  <c r="F51" i="5"/>
  <c r="G51" i="5" s="1"/>
  <c r="H51" i="5" s="1"/>
  <c r="O44" i="17"/>
  <c r="F49" i="4"/>
  <c r="G49" i="4" s="1"/>
  <c r="E49" i="11"/>
  <c r="H49" i="11" s="1"/>
  <c r="E42" i="6"/>
  <c r="I42" i="6" s="1"/>
  <c r="AB42" i="6" s="1"/>
  <c r="E36" i="11"/>
  <c r="H36" i="11" s="1"/>
  <c r="F36" i="4"/>
  <c r="G36" i="4" s="1"/>
  <c r="F38" i="5"/>
  <c r="G38" i="5" s="1"/>
  <c r="H38" i="5" s="1"/>
  <c r="O31" i="17"/>
  <c r="O35" i="10"/>
  <c r="R35" i="10" s="1"/>
  <c r="F40" i="5"/>
  <c r="G40" i="5" s="1"/>
  <c r="H40" i="5" s="1"/>
  <c r="E45" i="6"/>
  <c r="I45" i="6" s="1"/>
  <c r="AB45" i="6" s="1"/>
  <c r="F38" i="4"/>
  <c r="G38" i="4" s="1"/>
  <c r="E38" i="11"/>
  <c r="H38" i="11" s="1"/>
  <c r="O33" i="17"/>
  <c r="O37" i="10"/>
  <c r="R37" i="10" s="1"/>
  <c r="E23" i="6"/>
  <c r="I23" i="6" s="1"/>
  <c r="AB23" i="6" s="1"/>
  <c r="O17" i="17"/>
  <c r="E22" i="11"/>
  <c r="H22" i="11" s="1"/>
  <c r="O21" i="10"/>
  <c r="R21" i="10" s="1"/>
  <c r="F22" i="4"/>
  <c r="G22" i="4" s="1"/>
  <c r="F24" i="5"/>
  <c r="G24" i="5" s="1"/>
  <c r="H24" i="5" s="1"/>
  <c r="O77" i="10"/>
  <c r="R77" i="10" s="1"/>
  <c r="F80" i="5"/>
  <c r="G80" i="5" s="1"/>
  <c r="H80" i="5" s="1"/>
  <c r="E91" i="6"/>
  <c r="I91" i="6" s="1"/>
  <c r="AB91" i="6" s="1"/>
  <c r="F78" i="4"/>
  <c r="G78" i="4" s="1"/>
  <c r="E78" i="11"/>
  <c r="H78" i="11" s="1"/>
  <c r="O73" i="17"/>
  <c r="AO15" i="6"/>
  <c r="AF15" i="6"/>
  <c r="E52" i="11"/>
  <c r="H52" i="11" s="1"/>
  <c r="O51" i="10"/>
  <c r="R51" i="10" s="1"/>
  <c r="F52" i="4"/>
  <c r="G52" i="4" s="1"/>
  <c r="F54" i="5"/>
  <c r="G54" i="5" s="1"/>
  <c r="H54" i="5" s="1"/>
  <c r="E61" i="6"/>
  <c r="I61" i="6" s="1"/>
  <c r="AB61" i="6" s="1"/>
  <c r="O47" i="17"/>
  <c r="O56" i="17"/>
  <c r="O60" i="10"/>
  <c r="R60" i="10" s="1"/>
  <c r="F63" i="5"/>
  <c r="G63" i="5" s="1"/>
  <c r="H63" i="5" s="1"/>
  <c r="E71" i="6"/>
  <c r="I71" i="6" s="1"/>
  <c r="AB71" i="6" s="1"/>
  <c r="F61" i="4"/>
  <c r="G61" i="4" s="1"/>
  <c r="E61" i="11"/>
  <c r="H61" i="11" s="1"/>
  <c r="O15" i="17"/>
  <c r="F22" i="5"/>
  <c r="G22" i="5" s="1"/>
  <c r="H22" i="5" s="1"/>
  <c r="O19" i="10"/>
  <c r="R19" i="10" s="1"/>
  <c r="E20" i="11"/>
  <c r="H20" i="11" s="1"/>
  <c r="F20" i="4"/>
  <c r="G20" i="4" s="1"/>
  <c r="E20" i="6"/>
  <c r="I20" i="6" s="1"/>
  <c r="AB20" i="6" s="1"/>
  <c r="O42" i="17"/>
  <c r="O46" i="10"/>
  <c r="R46" i="10" s="1"/>
  <c r="E55" i="6"/>
  <c r="I55" i="6" s="1"/>
  <c r="AB55" i="6" s="1"/>
  <c r="E47" i="11"/>
  <c r="H47" i="11" s="1"/>
  <c r="F47" i="4"/>
  <c r="G47" i="4" s="1"/>
  <c r="F49" i="5"/>
  <c r="G49" i="5" s="1"/>
  <c r="H49" i="5" s="1"/>
  <c r="F33" i="4"/>
  <c r="G33" i="4" s="1"/>
  <c r="F35" i="5"/>
  <c r="G35" i="5" s="1"/>
  <c r="H35" i="5" s="1"/>
  <c r="O32" i="10"/>
  <c r="R32" i="10" s="1"/>
  <c r="E39" i="6"/>
  <c r="I39" i="6" s="1"/>
  <c r="AB39" i="6" s="1"/>
  <c r="E33" i="11"/>
  <c r="H33" i="11" s="1"/>
  <c r="O28" i="17"/>
  <c r="F41" i="5"/>
  <c r="G41" i="5" s="1"/>
  <c r="H41" i="5" s="1"/>
  <c r="O38" i="10"/>
  <c r="R38" i="10" s="1"/>
  <c r="E46" i="6"/>
  <c r="I46" i="6" s="1"/>
  <c r="AB46" i="6" s="1"/>
  <c r="E39" i="11"/>
  <c r="H39" i="11" s="1"/>
  <c r="F39" i="4"/>
  <c r="G39" i="4" s="1"/>
  <c r="O34" i="17"/>
  <c r="F23" i="4"/>
  <c r="G23" i="4" s="1"/>
  <c r="O18" i="17"/>
  <c r="E24" i="6"/>
  <c r="I24" i="6" s="1"/>
  <c r="AB24" i="6" s="1"/>
  <c r="O22" i="10"/>
  <c r="R22" i="10" s="1"/>
  <c r="F25" i="5"/>
  <c r="G25" i="5" s="1"/>
  <c r="H25" i="5" s="1"/>
  <c r="E23" i="11"/>
  <c r="H23" i="11" s="1"/>
  <c r="F75" i="4"/>
  <c r="G75" i="4" s="1"/>
  <c r="O70" i="17"/>
  <c r="F77" i="5"/>
  <c r="G77" i="5" s="1"/>
  <c r="H77" i="5" s="1"/>
  <c r="O74" i="10"/>
  <c r="R74" i="10" s="1"/>
  <c r="E88" i="6"/>
  <c r="I88" i="6" s="1"/>
  <c r="AB88" i="6" s="1"/>
  <c r="E75" i="11"/>
  <c r="H75" i="11" s="1"/>
  <c r="W14" i="10"/>
  <c r="H15" i="18"/>
  <c r="E15" i="9"/>
  <c r="J15" i="9" s="1"/>
  <c r="AB15" i="9" s="1"/>
  <c r="AJ15" i="9" s="1"/>
  <c r="E64" i="6"/>
  <c r="I64" i="6" s="1"/>
  <c r="AB64" i="6" s="1"/>
  <c r="E55" i="11"/>
  <c r="H55" i="11" s="1"/>
  <c r="F55" i="4"/>
  <c r="G55" i="4" s="1"/>
  <c r="O50" i="17"/>
  <c r="O54" i="10"/>
  <c r="R54" i="10" s="1"/>
  <c r="F57" i="5"/>
  <c r="G57" i="5" s="1"/>
  <c r="H57" i="5" s="1"/>
  <c r="AF14" i="6"/>
  <c r="AO14" i="6"/>
  <c r="AO16" i="6"/>
  <c r="AF16" i="6"/>
  <c r="W16" i="10"/>
  <c r="H17" i="18"/>
  <c r="E17" i="9"/>
  <c r="J17" i="9" s="1"/>
  <c r="AB17" i="9" s="1"/>
  <c r="AJ17" i="9" s="1"/>
  <c r="E56" i="6"/>
  <c r="I56" i="6" s="1"/>
  <c r="AB56" i="6" s="1"/>
  <c r="O43" i="17"/>
  <c r="E48" i="11"/>
  <c r="H48" i="11" s="1"/>
  <c r="O47" i="10"/>
  <c r="R47" i="10" s="1"/>
  <c r="F50" i="5"/>
  <c r="G50" i="5" s="1"/>
  <c r="H50" i="5" s="1"/>
  <c r="F48" i="4"/>
  <c r="G48" i="4" s="1"/>
  <c r="O56" i="10"/>
  <c r="R56" i="10" s="1"/>
  <c r="F57" i="4"/>
  <c r="G57" i="4" s="1"/>
  <c r="F59" i="5"/>
  <c r="G59" i="5" s="1"/>
  <c r="H59" i="5" s="1"/>
  <c r="E67" i="6"/>
  <c r="I67" i="6" s="1"/>
  <c r="AB67" i="6" s="1"/>
  <c r="O52" i="17"/>
  <c r="E57" i="11"/>
  <c r="H57" i="11" s="1"/>
  <c r="O32" i="17"/>
  <c r="F39" i="5"/>
  <c r="G39" i="5" s="1"/>
  <c r="H39" i="5" s="1"/>
  <c r="O36" i="10"/>
  <c r="R36" i="10" s="1"/>
  <c r="E43" i="6"/>
  <c r="I43" i="6" s="1"/>
  <c r="AB43" i="6" s="1"/>
  <c r="F37" i="4"/>
  <c r="G37" i="4" s="1"/>
  <c r="E37" i="11"/>
  <c r="H37" i="11" s="1"/>
  <c r="E50" i="6"/>
  <c r="I50" i="6" s="1"/>
  <c r="AB50" i="6" s="1"/>
  <c r="F43" i="4"/>
  <c r="G43" i="4" s="1"/>
  <c r="O42" i="10"/>
  <c r="R42" i="10" s="1"/>
  <c r="O38" i="17"/>
  <c r="F45" i="5"/>
  <c r="G45" i="5" s="1"/>
  <c r="H45" i="5" s="1"/>
  <c r="E43" i="11"/>
  <c r="H43" i="11" s="1"/>
  <c r="F79" i="5"/>
  <c r="G79" i="5" s="1"/>
  <c r="H79" i="5" s="1"/>
  <c r="E90" i="6"/>
  <c r="I90" i="6" s="1"/>
  <c r="AB90" i="6" s="1"/>
  <c r="O76" i="10"/>
  <c r="R76" i="10" s="1"/>
  <c r="O72" i="17"/>
  <c r="F77" i="4"/>
  <c r="G77" i="4" s="1"/>
  <c r="E77" i="11"/>
  <c r="H77" i="11" s="1"/>
  <c r="O50" i="10"/>
  <c r="R50" i="10" s="1"/>
  <c r="E51" i="11"/>
  <c r="H51" i="11" s="1"/>
  <c r="F53" i="5"/>
  <c r="G53" i="5" s="1"/>
  <c r="H53" i="5" s="1"/>
  <c r="O46" i="17"/>
  <c r="F51" i="4"/>
  <c r="G51" i="4" s="1"/>
  <c r="E60" i="6"/>
  <c r="I60" i="6" s="1"/>
  <c r="AB60" i="6" s="1"/>
  <c r="J14" i="11"/>
  <c r="Q14" i="12"/>
  <c r="R14" i="12" s="1"/>
  <c r="M65" i="2"/>
  <c r="O61" i="17"/>
  <c r="F68" i="5"/>
  <c r="G68" i="5" s="1"/>
  <c r="H68" i="5" s="1"/>
  <c r="O65" i="10"/>
  <c r="R65" i="10" s="1"/>
  <c r="F66" i="4"/>
  <c r="G66" i="4" s="1"/>
  <c r="E66" i="11"/>
  <c r="H66" i="11" s="1"/>
  <c r="E77" i="6"/>
  <c r="I77" i="6" s="1"/>
  <c r="AB77" i="6" s="1"/>
  <c r="T72" i="2"/>
  <c r="F65" i="5"/>
  <c r="G65" i="5" s="1"/>
  <c r="H65" i="5" s="1"/>
  <c r="E74" i="6"/>
  <c r="I74" i="6" s="1"/>
  <c r="AB74" i="6" s="1"/>
  <c r="O62" i="10"/>
  <c r="R62" i="10" s="1"/>
  <c r="F63" i="4"/>
  <c r="G63" i="4" s="1"/>
  <c r="O58" i="17"/>
  <c r="E63" i="11"/>
  <c r="H63" i="11" s="1"/>
  <c r="E21" i="6"/>
  <c r="I21" i="6" s="1"/>
  <c r="AB21" i="6" s="1"/>
  <c r="F23" i="5"/>
  <c r="G23" i="5" s="1"/>
  <c r="H23" i="5" s="1"/>
  <c r="O16" i="17"/>
  <c r="F21" i="4"/>
  <c r="G21" i="4" s="1"/>
  <c r="O20" i="10"/>
  <c r="R20" i="10" s="1"/>
  <c r="E21" i="11"/>
  <c r="H21" i="11" s="1"/>
  <c r="E64" i="11"/>
  <c r="H64" i="11" s="1"/>
  <c r="F66" i="5"/>
  <c r="G66" i="5" s="1"/>
  <c r="H66" i="5" s="1"/>
  <c r="O59" i="17"/>
  <c r="O63" i="10"/>
  <c r="R63" i="10" s="1"/>
  <c r="E75" i="6"/>
  <c r="I75" i="6" s="1"/>
  <c r="AB75" i="6" s="1"/>
  <c r="F64" i="4"/>
  <c r="G64" i="4" s="1"/>
  <c r="V68" i="2"/>
  <c r="R13" i="17"/>
  <c r="V13" i="17" s="1"/>
  <c r="AE13" i="17"/>
  <c r="F47" i="5"/>
  <c r="G47" i="5" s="1"/>
  <c r="H47" i="5" s="1"/>
  <c r="O44" i="10"/>
  <c r="R44" i="10" s="1"/>
  <c r="E53" i="6"/>
  <c r="I53" i="6" s="1"/>
  <c r="AB53" i="6" s="1"/>
  <c r="F45" i="4"/>
  <c r="G45" i="4" s="1"/>
  <c r="E45" i="11"/>
  <c r="H45" i="11" s="1"/>
  <c r="O40" i="17"/>
  <c r="E60" i="11"/>
  <c r="H60" i="11" s="1"/>
  <c r="E70" i="6"/>
  <c r="I70" i="6" s="1"/>
  <c r="AB70" i="6" s="1"/>
  <c r="O55" i="17"/>
  <c r="F60" i="4"/>
  <c r="G60" i="4" s="1"/>
  <c r="O59" i="10"/>
  <c r="R59" i="10" s="1"/>
  <c r="F62" i="5"/>
  <c r="G62" i="5" s="1"/>
  <c r="H62" i="5" s="1"/>
  <c r="F37" i="5"/>
  <c r="G37" i="5" s="1"/>
  <c r="H37" i="5" s="1"/>
  <c r="O30" i="17"/>
  <c r="O34" i="10"/>
  <c r="R34" i="10" s="1"/>
  <c r="F35" i="4"/>
  <c r="G35" i="4" s="1"/>
  <c r="E41" i="6"/>
  <c r="I41" i="6" s="1"/>
  <c r="AB41" i="6" s="1"/>
  <c r="E35" i="11"/>
  <c r="H35" i="11" s="1"/>
  <c r="F42" i="4"/>
  <c r="G42" i="4" s="1"/>
  <c r="O41" i="10"/>
  <c r="R41" i="10" s="1"/>
  <c r="E49" i="6"/>
  <c r="I49" i="6" s="1"/>
  <c r="AB49" i="6" s="1"/>
  <c r="E42" i="11"/>
  <c r="H42" i="11" s="1"/>
  <c r="F44" i="5"/>
  <c r="G44" i="5" s="1"/>
  <c r="H44" i="5" s="1"/>
  <c r="O37" i="17"/>
  <c r="O65" i="2"/>
  <c r="F76" i="5"/>
  <c r="G76" i="5" s="1"/>
  <c r="H76" i="5" s="1"/>
  <c r="O69" i="17"/>
  <c r="E74" i="11"/>
  <c r="H74" i="11" s="1"/>
  <c r="F74" i="4"/>
  <c r="G74" i="4" s="1"/>
  <c r="E87" i="6"/>
  <c r="I87" i="6" s="1"/>
  <c r="AB87" i="6" s="1"/>
  <c r="O73" i="10"/>
  <c r="R73" i="10" s="1"/>
  <c r="AE14" i="17"/>
  <c r="R14" i="17"/>
  <c r="V14" i="17" s="1"/>
  <c r="E62" i="6"/>
  <c r="I62" i="6" s="1"/>
  <c r="AB62" i="6" s="1"/>
  <c r="F55" i="5"/>
  <c r="G55" i="5" s="1"/>
  <c r="H55" i="5" s="1"/>
  <c r="O48" i="17"/>
  <c r="F53" i="4"/>
  <c r="G53" i="4" s="1"/>
  <c r="O52" i="10"/>
  <c r="R52" i="10" s="1"/>
  <c r="E53" i="11"/>
  <c r="H53" i="11" s="1"/>
  <c r="X72" i="2" l="1"/>
  <c r="L78" i="2"/>
  <c r="W74" i="2"/>
  <c r="W72" i="2"/>
  <c r="W75" i="2"/>
  <c r="AP15" i="12"/>
  <c r="AQ15" i="12" s="1"/>
  <c r="AP18" i="12"/>
  <c r="AQ18" i="12" s="1"/>
  <c r="T74" i="2"/>
  <c r="F18" i="21"/>
  <c r="F18" i="20"/>
  <c r="AP16" i="12"/>
  <c r="AQ16" i="12" s="1"/>
  <c r="G18" i="20"/>
  <c r="H18" i="21"/>
  <c r="I18" i="21" s="1"/>
  <c r="T78" i="2"/>
  <c r="T75" i="2"/>
  <c r="AP17" i="12"/>
  <c r="AQ17" i="12" s="1"/>
  <c r="H21" i="21"/>
  <c r="I21" i="21" s="1"/>
  <c r="G21" i="20"/>
  <c r="X78" i="2"/>
  <c r="F19" i="20"/>
  <c r="F19" i="21"/>
  <c r="F21" i="21"/>
  <c r="F21" i="20"/>
  <c r="AP19" i="12"/>
  <c r="AQ19" i="12" s="1"/>
  <c r="G19" i="20"/>
  <c r="H19" i="21"/>
  <c r="I19" i="21" s="1"/>
  <c r="AP14" i="12"/>
  <c r="AQ14" i="12" s="1"/>
  <c r="E72" i="2"/>
  <c r="U74" i="2"/>
  <c r="H20" i="21"/>
  <c r="I20" i="21" s="1"/>
  <c r="G20" i="20"/>
  <c r="G17" i="20"/>
  <c r="H17" i="21"/>
  <c r="F22" i="20"/>
  <c r="F22" i="21"/>
  <c r="X75" i="2"/>
  <c r="AJ9" i="17"/>
  <c r="F17" i="20"/>
  <c r="F17" i="21"/>
  <c r="H22" i="21"/>
  <c r="I22" i="21" s="1"/>
  <c r="G22" i="20"/>
  <c r="F20" i="21"/>
  <c r="F20" i="20"/>
  <c r="L72" i="2"/>
  <c r="E74" i="2"/>
  <c r="S78" i="2"/>
  <c r="E78" i="2"/>
  <c r="S75" i="2"/>
  <c r="P72" i="2"/>
  <c r="P73" i="2" s="1"/>
  <c r="L74" i="2"/>
  <c r="S90" i="2"/>
  <c r="E75" i="2"/>
  <c r="L75" i="2"/>
  <c r="L90" i="2"/>
  <c r="P90" i="2"/>
  <c r="P75" i="2"/>
  <c r="U90" i="2"/>
  <c r="D65" i="2"/>
  <c r="D68" i="2" s="1"/>
  <c r="U72" i="2"/>
  <c r="U73" i="2" s="1"/>
  <c r="Q70" i="12"/>
  <c r="J60" i="11"/>
  <c r="Q77" i="12"/>
  <c r="J66" i="11"/>
  <c r="AF88" i="6"/>
  <c r="AK88" i="6" s="1"/>
  <c r="AO88" i="6"/>
  <c r="AF42" i="6"/>
  <c r="AO42" i="6"/>
  <c r="W58" i="10"/>
  <c r="H69" i="18"/>
  <c r="E69" i="9"/>
  <c r="J69" i="9" s="1"/>
  <c r="AB69" i="9" s="1"/>
  <c r="AJ69" i="9" s="1"/>
  <c r="AO69" i="9" s="1"/>
  <c r="Q68" i="2"/>
  <c r="R57" i="17"/>
  <c r="V57" i="17" s="1"/>
  <c r="AE57" i="17"/>
  <c r="AR12" i="18"/>
  <c r="D29" i="2"/>
  <c r="AY3" i="19"/>
  <c r="AJ14" i="17"/>
  <c r="AE37" i="17"/>
  <c r="R37" i="17"/>
  <c r="V37" i="17" s="1"/>
  <c r="AO70" i="6"/>
  <c r="AF70" i="6"/>
  <c r="AK70" i="6" s="1"/>
  <c r="AK71" i="6" s="1"/>
  <c r="N74" i="2"/>
  <c r="N72" i="2"/>
  <c r="N75" i="2"/>
  <c r="N90" i="2"/>
  <c r="AF74" i="6"/>
  <c r="AK74" i="6" s="1"/>
  <c r="AO74" i="6"/>
  <c r="AF77" i="6"/>
  <c r="AK77" i="6" s="1"/>
  <c r="AK78" i="6" s="1"/>
  <c r="AO77" i="6"/>
  <c r="R46" i="17"/>
  <c r="V46" i="17" s="1"/>
  <c r="AE46" i="17"/>
  <c r="AO90" i="6"/>
  <c r="AF90" i="6"/>
  <c r="AK90" i="6" s="1"/>
  <c r="Q43" i="12"/>
  <c r="J37" i="11"/>
  <c r="AF67" i="6"/>
  <c r="AK67" i="6" s="1"/>
  <c r="AO67" i="6"/>
  <c r="AE43" i="17"/>
  <c r="R43" i="17"/>
  <c r="V43" i="17" s="1"/>
  <c r="Q88" i="12"/>
  <c r="J75" i="11"/>
  <c r="W22" i="10"/>
  <c r="E24" i="9"/>
  <c r="J24" i="9" s="1"/>
  <c r="AB24" i="9" s="1"/>
  <c r="AJ24" i="9" s="1"/>
  <c r="AO24" i="9" s="1"/>
  <c r="H24" i="18"/>
  <c r="W38" i="10"/>
  <c r="H46" i="18"/>
  <c r="E46" i="9"/>
  <c r="J46" i="9" s="1"/>
  <c r="AB46" i="9" s="1"/>
  <c r="AJ46" i="9" s="1"/>
  <c r="AO46" i="9" s="1"/>
  <c r="Q20" i="12"/>
  <c r="J20" i="11"/>
  <c r="W60" i="10"/>
  <c r="E71" i="9"/>
  <c r="J71" i="9" s="1"/>
  <c r="AB71" i="9" s="1"/>
  <c r="AJ71" i="9" s="1"/>
  <c r="H71" i="18"/>
  <c r="F17" i="14"/>
  <c r="F18" i="13"/>
  <c r="K24" i="5"/>
  <c r="Q45" i="12"/>
  <c r="J38" i="11"/>
  <c r="Q42" i="12"/>
  <c r="J36" i="11"/>
  <c r="AF57" i="6"/>
  <c r="AO57" i="6"/>
  <c r="R60" i="17"/>
  <c r="V60" i="17" s="1"/>
  <c r="AE60" i="17"/>
  <c r="AO40" i="6"/>
  <c r="AF40" i="6"/>
  <c r="AK40" i="6" s="1"/>
  <c r="K52" i="5"/>
  <c r="W78" i="10"/>
  <c r="H92" i="18"/>
  <c r="E92" i="9"/>
  <c r="J92" i="9" s="1"/>
  <c r="AB92" i="9" s="1"/>
  <c r="AJ92" i="9" s="1"/>
  <c r="AO92" i="9" s="1"/>
  <c r="AO69" i="6"/>
  <c r="AF69" i="6"/>
  <c r="AK69" i="6" s="1"/>
  <c r="AJ11" i="17"/>
  <c r="W28" i="10"/>
  <c r="H33" i="18"/>
  <c r="E33" i="9"/>
  <c r="J33" i="9" s="1"/>
  <c r="AB33" i="9" s="1"/>
  <c r="AJ33" i="9" s="1"/>
  <c r="AO33" i="9" s="1"/>
  <c r="Q66" i="12"/>
  <c r="J56" i="11"/>
  <c r="Q52" i="12"/>
  <c r="J44" i="11"/>
  <c r="AA75" i="2"/>
  <c r="AA72" i="2"/>
  <c r="AA90" i="2"/>
  <c r="AA74" i="2"/>
  <c r="S19" i="12"/>
  <c r="L22" i="20" s="1"/>
  <c r="BB19" i="12"/>
  <c r="AF48" i="6"/>
  <c r="AK48" i="6" s="1"/>
  <c r="AK49" i="6" s="1"/>
  <c r="AK50" i="6" s="1"/>
  <c r="AO48" i="6"/>
  <c r="AE53" i="17"/>
  <c r="R53" i="17"/>
  <c r="V53" i="17" s="1"/>
  <c r="H19" i="14"/>
  <c r="I19" i="14" s="1"/>
  <c r="G20" i="13"/>
  <c r="AJ12" i="17"/>
  <c r="S18" i="12"/>
  <c r="L21" i="20" s="1"/>
  <c r="BB18" i="12"/>
  <c r="Q64" i="12"/>
  <c r="J55" i="11"/>
  <c r="G18" i="13"/>
  <c r="H17" i="14"/>
  <c r="I17" i="14" s="1"/>
  <c r="Q59" i="12"/>
  <c r="J50" i="11"/>
  <c r="F22" i="13"/>
  <c r="F21" i="14"/>
  <c r="AK19" i="6"/>
  <c r="AJ19" i="6"/>
  <c r="AO66" i="6"/>
  <c r="AF66" i="6"/>
  <c r="AB72" i="6"/>
  <c r="H68" i="2"/>
  <c r="Q32" i="12"/>
  <c r="J28" i="11"/>
  <c r="F78" i="2"/>
  <c r="F75" i="2"/>
  <c r="F72" i="2"/>
  <c r="F90" i="2"/>
  <c r="F74" i="2"/>
  <c r="W52" i="10"/>
  <c r="H62" i="18"/>
  <c r="E62" i="9"/>
  <c r="J62" i="9" s="1"/>
  <c r="AB62" i="9" s="1"/>
  <c r="AJ62" i="9" s="1"/>
  <c r="AO62" i="9" s="1"/>
  <c r="AO87" i="6"/>
  <c r="AF87" i="6"/>
  <c r="AB93" i="6"/>
  <c r="Q49" i="12"/>
  <c r="J42" i="11"/>
  <c r="R30" i="17"/>
  <c r="V30" i="17" s="1"/>
  <c r="AE30" i="17"/>
  <c r="R40" i="17"/>
  <c r="V40" i="17" s="1"/>
  <c r="AE40" i="17"/>
  <c r="W63" i="10"/>
  <c r="H75" i="18"/>
  <c r="E75" i="9"/>
  <c r="J75" i="9" s="1"/>
  <c r="AB75" i="9" s="1"/>
  <c r="AJ75" i="9" s="1"/>
  <c r="AO75" i="9" s="1"/>
  <c r="T73" i="2"/>
  <c r="Q60" i="12"/>
  <c r="J51" i="11"/>
  <c r="Q50" i="12"/>
  <c r="J43" i="11"/>
  <c r="AF43" i="6"/>
  <c r="AO43" i="6"/>
  <c r="H18" i="14"/>
  <c r="I18" i="14" s="1"/>
  <c r="G19" i="13"/>
  <c r="AO64" i="6"/>
  <c r="AF64" i="6"/>
  <c r="AK64" i="6" s="1"/>
  <c r="W74" i="10"/>
  <c r="E88" i="9"/>
  <c r="J88" i="9" s="1"/>
  <c r="AB88" i="9" s="1"/>
  <c r="AJ88" i="9" s="1"/>
  <c r="AO88" i="9" s="1"/>
  <c r="H88" i="18"/>
  <c r="AE18" i="17"/>
  <c r="R18" i="17"/>
  <c r="V18" i="17" s="1"/>
  <c r="R28" i="17"/>
  <c r="V28" i="17" s="1"/>
  <c r="AE28" i="17"/>
  <c r="Q55" i="12"/>
  <c r="J47" i="11"/>
  <c r="K22" i="5"/>
  <c r="R47" i="17"/>
  <c r="V47" i="17" s="1"/>
  <c r="AE47" i="17"/>
  <c r="R73" i="17"/>
  <c r="V73" i="17" s="1"/>
  <c r="AE73" i="17"/>
  <c r="W21" i="10"/>
  <c r="H23" i="18"/>
  <c r="E23" i="9"/>
  <c r="J23" i="9" s="1"/>
  <c r="AB23" i="9" s="1"/>
  <c r="AB51" i="6"/>
  <c r="AO45" i="6"/>
  <c r="AF45" i="6"/>
  <c r="W64" i="10"/>
  <c r="E76" i="9"/>
  <c r="J76" i="9" s="1"/>
  <c r="AB76" i="9" s="1"/>
  <c r="AJ76" i="9" s="1"/>
  <c r="AO76" i="9" s="1"/>
  <c r="H76" i="18"/>
  <c r="J68" i="2"/>
  <c r="AE74" i="17"/>
  <c r="R74" i="17"/>
  <c r="V74" i="17" s="1"/>
  <c r="R62" i="17"/>
  <c r="V62" i="17" s="1"/>
  <c r="AE62" i="17"/>
  <c r="H21" i="14"/>
  <c r="I21" i="14" s="1"/>
  <c r="G22" i="13"/>
  <c r="W19" i="18"/>
  <c r="I19" i="19"/>
  <c r="X19" i="19" s="1"/>
  <c r="AE24" i="17"/>
  <c r="R24" i="17"/>
  <c r="V24" i="17" s="1"/>
  <c r="K58" i="5"/>
  <c r="AN18" i="9"/>
  <c r="AO18" i="9"/>
  <c r="Q89" i="12"/>
  <c r="J76" i="11"/>
  <c r="AE36" i="17"/>
  <c r="R36" i="17"/>
  <c r="V36" i="17" s="1"/>
  <c r="Q38" i="12"/>
  <c r="J32" i="11"/>
  <c r="AO73" i="6"/>
  <c r="AF73" i="6"/>
  <c r="AB79" i="6"/>
  <c r="X73" i="2"/>
  <c r="W73" i="10"/>
  <c r="E87" i="9"/>
  <c r="J87" i="9" s="1"/>
  <c r="AB87" i="9" s="1"/>
  <c r="H87" i="18"/>
  <c r="R16" i="17"/>
  <c r="V16" i="17" s="1"/>
  <c r="AE16" i="17"/>
  <c r="AO76" i="6"/>
  <c r="AF76" i="6"/>
  <c r="AK76" i="6" s="1"/>
  <c r="W66" i="10"/>
  <c r="H78" i="18"/>
  <c r="E78" i="9"/>
  <c r="J78" i="9" s="1"/>
  <c r="AB78" i="9" s="1"/>
  <c r="AJ78" i="9" s="1"/>
  <c r="AB58" i="6"/>
  <c r="AO52" i="6"/>
  <c r="AF52" i="6"/>
  <c r="AO49" i="6"/>
  <c r="AF49" i="6"/>
  <c r="Q53" i="12"/>
  <c r="J45" i="11"/>
  <c r="R59" i="17"/>
  <c r="V59" i="17" s="1"/>
  <c r="AE59" i="17"/>
  <c r="AF21" i="6"/>
  <c r="AK21" i="6" s="1"/>
  <c r="AO21" i="6"/>
  <c r="W65" i="10"/>
  <c r="E77" i="9"/>
  <c r="J77" i="9" s="1"/>
  <c r="AB77" i="9" s="1"/>
  <c r="AJ77" i="9" s="1"/>
  <c r="AO77" i="9" s="1"/>
  <c r="AO78" i="9" s="1"/>
  <c r="H77" i="18"/>
  <c r="M68" i="2"/>
  <c r="W50" i="10"/>
  <c r="H60" i="18"/>
  <c r="E60" i="9"/>
  <c r="J60" i="9" s="1"/>
  <c r="AB60" i="9" s="1"/>
  <c r="AJ60" i="9" s="1"/>
  <c r="AO60" i="9" s="1"/>
  <c r="W36" i="10"/>
  <c r="H43" i="18"/>
  <c r="E43" i="9"/>
  <c r="J43" i="9" s="1"/>
  <c r="AB43" i="9" s="1"/>
  <c r="AJ43" i="9" s="1"/>
  <c r="W56" i="10"/>
  <c r="E67" i="9"/>
  <c r="J67" i="9" s="1"/>
  <c r="AB67" i="9" s="1"/>
  <c r="AJ67" i="9" s="1"/>
  <c r="AO67" i="9" s="1"/>
  <c r="H67" i="18"/>
  <c r="G17" i="13"/>
  <c r="H16" i="14"/>
  <c r="Q39" i="12"/>
  <c r="J33" i="11"/>
  <c r="AF55" i="6"/>
  <c r="AK55" i="6" s="1"/>
  <c r="AO55" i="6"/>
  <c r="AE15" i="17"/>
  <c r="R15" i="17"/>
  <c r="V15" i="17" s="1"/>
  <c r="AO61" i="6"/>
  <c r="AF61" i="6"/>
  <c r="AK61" i="6" s="1"/>
  <c r="Q91" i="12"/>
  <c r="J78" i="11"/>
  <c r="Q23" i="12"/>
  <c r="J22" i="11"/>
  <c r="K40" i="5"/>
  <c r="Q76" i="12"/>
  <c r="J65" i="11"/>
  <c r="K68" i="2"/>
  <c r="G68" i="2"/>
  <c r="AO54" i="6"/>
  <c r="AF54" i="6"/>
  <c r="AK54" i="6" s="1"/>
  <c r="AO47" i="6"/>
  <c r="AF47" i="6"/>
  <c r="AK47" i="6" s="1"/>
  <c r="AN19" i="9"/>
  <c r="AO19" i="9"/>
  <c r="AO33" i="6"/>
  <c r="AF33" i="6"/>
  <c r="AK33" i="6" s="1"/>
  <c r="W55" i="10"/>
  <c r="E66" i="9"/>
  <c r="J66" i="9" s="1"/>
  <c r="AB66" i="9" s="1"/>
  <c r="H66" i="18"/>
  <c r="W18" i="18"/>
  <c r="I18" i="19"/>
  <c r="X18" i="19" s="1"/>
  <c r="AO89" i="6"/>
  <c r="AF89" i="6"/>
  <c r="AK89" i="6" s="1"/>
  <c r="W40" i="10"/>
  <c r="H48" i="18"/>
  <c r="E48" i="9"/>
  <c r="J48" i="9" s="1"/>
  <c r="AB48" i="9" s="1"/>
  <c r="AJ48" i="9" s="1"/>
  <c r="AO48" i="9" s="1"/>
  <c r="AO49" i="9" s="1"/>
  <c r="AO50" i="9" s="1"/>
  <c r="Q68" i="12"/>
  <c r="J58" i="11"/>
  <c r="H20" i="14"/>
  <c r="I20" i="14" s="1"/>
  <c r="G21" i="13"/>
  <c r="W61" i="10"/>
  <c r="H73" i="18"/>
  <c r="E73" i="9"/>
  <c r="J73" i="9" s="1"/>
  <c r="AB73" i="9" s="1"/>
  <c r="K30" i="5"/>
  <c r="E73" i="2"/>
  <c r="Q62" i="12"/>
  <c r="J53" i="11"/>
  <c r="AJ13" i="17"/>
  <c r="F18" i="14"/>
  <c r="F19" i="13"/>
  <c r="AK16" i="6"/>
  <c r="AJ16" i="6"/>
  <c r="W19" i="10"/>
  <c r="E20" i="9"/>
  <c r="J20" i="9" s="1"/>
  <c r="AB20" i="9" s="1"/>
  <c r="H20" i="18"/>
  <c r="AO92" i="6"/>
  <c r="AF92" i="6"/>
  <c r="AK92" i="6" s="1"/>
  <c r="Q33" i="12"/>
  <c r="J29" i="11"/>
  <c r="R48" i="17"/>
  <c r="V48" i="17" s="1"/>
  <c r="AE48" i="17"/>
  <c r="Q87" i="12"/>
  <c r="J74" i="11"/>
  <c r="W41" i="10"/>
  <c r="H49" i="18"/>
  <c r="E49" i="9"/>
  <c r="J49" i="9" s="1"/>
  <c r="AB49" i="9" s="1"/>
  <c r="AJ49" i="9" s="1"/>
  <c r="Q74" i="12"/>
  <c r="J63" i="11"/>
  <c r="S14" i="12"/>
  <c r="L17" i="20" s="1"/>
  <c r="BB14" i="12"/>
  <c r="Q90" i="12"/>
  <c r="J77" i="11"/>
  <c r="R38" i="17"/>
  <c r="V38" i="17" s="1"/>
  <c r="AE38" i="17"/>
  <c r="AN17" i="9"/>
  <c r="AO17" i="9"/>
  <c r="F16" i="14"/>
  <c r="F17" i="13"/>
  <c r="R70" i="17"/>
  <c r="V70" i="17" s="1"/>
  <c r="AE70" i="17"/>
  <c r="AE34" i="17"/>
  <c r="R34" i="17"/>
  <c r="V34" i="17" s="1"/>
  <c r="AO39" i="6"/>
  <c r="AF39" i="6"/>
  <c r="AK39" i="6" s="1"/>
  <c r="W46" i="10"/>
  <c r="E55" i="9"/>
  <c r="J55" i="9" s="1"/>
  <c r="AB55" i="9" s="1"/>
  <c r="AJ55" i="9" s="1"/>
  <c r="AO55" i="9" s="1"/>
  <c r="H55" i="18"/>
  <c r="Q71" i="12"/>
  <c r="J61" i="11"/>
  <c r="R17" i="17"/>
  <c r="V17" i="17" s="1"/>
  <c r="AE17" i="17"/>
  <c r="W35" i="10"/>
  <c r="H42" i="18"/>
  <c r="E42" i="9"/>
  <c r="J42" i="9" s="1"/>
  <c r="AB42" i="9" s="1"/>
  <c r="AJ42" i="9" s="1"/>
  <c r="Q57" i="12"/>
  <c r="J49" i="11"/>
  <c r="R75" i="2"/>
  <c r="R90" i="2"/>
  <c r="R72" i="2"/>
  <c r="R74" i="2"/>
  <c r="R78" i="2"/>
  <c r="AO59" i="6"/>
  <c r="AB65" i="6"/>
  <c r="AF59" i="6"/>
  <c r="AJ10" i="17"/>
  <c r="AE54" i="17"/>
  <c r="R54" i="17"/>
  <c r="V54" i="17" s="1"/>
  <c r="Q54" i="12"/>
  <c r="J46" i="11"/>
  <c r="AF16" i="12"/>
  <c r="AG16" i="12" s="1"/>
  <c r="BC45" i="12" s="1"/>
  <c r="L16" i="12"/>
  <c r="W39" i="10"/>
  <c r="H47" i="18"/>
  <c r="E47" i="9"/>
  <c r="J47" i="9" s="1"/>
  <c r="AB47" i="9" s="1"/>
  <c r="AJ47" i="9" s="1"/>
  <c r="AO47" i="9" s="1"/>
  <c r="W73" i="2"/>
  <c r="AE39" i="17"/>
  <c r="R39" i="17"/>
  <c r="V39" i="17" s="1"/>
  <c r="AO16" i="9"/>
  <c r="AN16" i="9"/>
  <c r="AE49" i="17"/>
  <c r="R49" i="17"/>
  <c r="V49" i="17" s="1"/>
  <c r="W75" i="10"/>
  <c r="E89" i="9"/>
  <c r="J89" i="9" s="1"/>
  <c r="AB89" i="9" s="1"/>
  <c r="AJ89" i="9" s="1"/>
  <c r="AO89" i="9" s="1"/>
  <c r="H89" i="18"/>
  <c r="Q48" i="12"/>
  <c r="J41" i="11"/>
  <c r="F20" i="14"/>
  <c r="AK18" i="6"/>
  <c r="AJ18" i="6"/>
  <c r="F21" i="13"/>
  <c r="Q73" i="12"/>
  <c r="J62" i="11"/>
  <c r="W27" i="10"/>
  <c r="E32" i="9"/>
  <c r="J32" i="9" s="1"/>
  <c r="AB32" i="9" s="1"/>
  <c r="H32" i="18"/>
  <c r="AF56" i="6"/>
  <c r="AK56" i="6" s="1"/>
  <c r="AK57" i="6" s="1"/>
  <c r="AO56" i="6"/>
  <c r="AE27" i="17"/>
  <c r="R27" i="17"/>
  <c r="V27" i="17" s="1"/>
  <c r="W59" i="10"/>
  <c r="H70" i="18"/>
  <c r="E70" i="9"/>
  <c r="J70" i="9" s="1"/>
  <c r="AB70" i="9" s="1"/>
  <c r="AJ70" i="9" s="1"/>
  <c r="AO70" i="9" s="1"/>
  <c r="AO71" i="9" s="1"/>
  <c r="AE58" i="17"/>
  <c r="R58" i="17"/>
  <c r="V58" i="17" s="1"/>
  <c r="I17" i="19"/>
  <c r="X17" i="19" s="1"/>
  <c r="W17" i="18"/>
  <c r="W32" i="10"/>
  <c r="H39" i="18"/>
  <c r="E39" i="9"/>
  <c r="J39" i="9" s="1"/>
  <c r="AB39" i="9" s="1"/>
  <c r="AJ39" i="9" s="1"/>
  <c r="AO39" i="9" s="1"/>
  <c r="R42" i="17"/>
  <c r="V42" i="17" s="1"/>
  <c r="AE42" i="17"/>
  <c r="AF91" i="6"/>
  <c r="AK91" i="6" s="1"/>
  <c r="AO91" i="6"/>
  <c r="AF23" i="6"/>
  <c r="AO23" i="6"/>
  <c r="AB25" i="6"/>
  <c r="AE31" i="17"/>
  <c r="R31" i="17"/>
  <c r="V31" i="17" s="1"/>
  <c r="L17" i="12"/>
  <c r="AF17" i="12"/>
  <c r="AG17" i="12" s="1"/>
  <c r="BC46" i="12" s="1"/>
  <c r="AE45" i="17"/>
  <c r="R45" i="17"/>
  <c r="V45" i="17" s="1"/>
  <c r="W45" i="10"/>
  <c r="H54" i="18"/>
  <c r="E54" i="9"/>
  <c r="J54" i="9" s="1"/>
  <c r="AB54" i="9" s="1"/>
  <c r="AJ54" i="9" s="1"/>
  <c r="AO54" i="9" s="1"/>
  <c r="BB16" i="12"/>
  <c r="S16" i="12"/>
  <c r="L19" i="20" s="1"/>
  <c r="Q47" i="12"/>
  <c r="J40" i="11"/>
  <c r="AF15" i="12"/>
  <c r="AG15" i="12" s="1"/>
  <c r="BC44" i="12" s="1"/>
  <c r="L15" i="12"/>
  <c r="I68" i="2"/>
  <c r="W43" i="10"/>
  <c r="H52" i="18"/>
  <c r="E52" i="9"/>
  <c r="J52" i="9" s="1"/>
  <c r="AB52" i="9" s="1"/>
  <c r="Z75" i="2"/>
  <c r="Z74" i="2"/>
  <c r="Z72" i="2"/>
  <c r="Z90" i="2"/>
  <c r="I16" i="19"/>
  <c r="X16" i="19" s="1"/>
  <c r="W16" i="18"/>
  <c r="Q63" i="12"/>
  <c r="J54" i="11"/>
  <c r="AF38" i="6"/>
  <c r="AO38" i="6"/>
  <c r="AB44" i="6"/>
  <c r="AF68" i="6"/>
  <c r="AK68" i="6" s="1"/>
  <c r="AO68" i="6"/>
  <c r="K64" i="5"/>
  <c r="AB34" i="6"/>
  <c r="AF32" i="6"/>
  <c r="AO32" i="6"/>
  <c r="L73" i="2"/>
  <c r="AO75" i="6"/>
  <c r="AF75" i="6"/>
  <c r="AK75" i="6" s="1"/>
  <c r="R29" i="17"/>
  <c r="V29" i="17" s="1"/>
  <c r="AE29" i="17"/>
  <c r="W53" i="10"/>
  <c r="E63" i="9"/>
  <c r="J63" i="9" s="1"/>
  <c r="AB63" i="9" s="1"/>
  <c r="AJ63" i="9" s="1"/>
  <c r="AO63" i="9" s="1"/>
  <c r="H63" i="18"/>
  <c r="R69" i="17"/>
  <c r="V69" i="17" s="1"/>
  <c r="AE69" i="17"/>
  <c r="Q75" i="12"/>
  <c r="J64" i="11"/>
  <c r="R61" i="17"/>
  <c r="V61" i="17" s="1"/>
  <c r="AE61" i="17"/>
  <c r="W42" i="10"/>
  <c r="H50" i="18"/>
  <c r="E50" i="9"/>
  <c r="J50" i="9" s="1"/>
  <c r="AB50" i="9" s="1"/>
  <c r="AJ50" i="9" s="1"/>
  <c r="AF62" i="6"/>
  <c r="AK62" i="6" s="1"/>
  <c r="AO62" i="6"/>
  <c r="Q41" i="12"/>
  <c r="J35" i="11"/>
  <c r="W44" i="10"/>
  <c r="H53" i="18"/>
  <c r="E53" i="9"/>
  <c r="J53" i="9" s="1"/>
  <c r="AB53" i="9" s="1"/>
  <c r="AJ53" i="9" s="1"/>
  <c r="AO53" i="9" s="1"/>
  <c r="Q21" i="12"/>
  <c r="J21" i="11"/>
  <c r="AF60" i="6"/>
  <c r="AK60" i="6" s="1"/>
  <c r="AO60" i="6"/>
  <c r="R72" i="17"/>
  <c r="V72" i="17" s="1"/>
  <c r="AE72" i="17"/>
  <c r="Q67" i="12"/>
  <c r="J57" i="11"/>
  <c r="W47" i="10"/>
  <c r="E56" i="9"/>
  <c r="J56" i="9" s="1"/>
  <c r="AB56" i="9" s="1"/>
  <c r="AJ56" i="9" s="1"/>
  <c r="AO56" i="9" s="1"/>
  <c r="AO57" i="9" s="1"/>
  <c r="H56" i="18"/>
  <c r="W54" i="10"/>
  <c r="E64" i="9"/>
  <c r="J64" i="9" s="1"/>
  <c r="AB64" i="9" s="1"/>
  <c r="AJ64" i="9" s="1"/>
  <c r="AO64" i="9" s="1"/>
  <c r="H64" i="18"/>
  <c r="W15" i="18"/>
  <c r="I15" i="19"/>
  <c r="X15" i="19" s="1"/>
  <c r="Q24" i="12"/>
  <c r="J23" i="11"/>
  <c r="Q46" i="12"/>
  <c r="J39" i="11"/>
  <c r="AF20" i="6"/>
  <c r="AO20" i="6"/>
  <c r="AB22" i="6"/>
  <c r="AF71" i="6"/>
  <c r="AO71" i="6"/>
  <c r="W51" i="10"/>
  <c r="E61" i="9"/>
  <c r="J61" i="9" s="1"/>
  <c r="AB61" i="9" s="1"/>
  <c r="AJ61" i="9" s="1"/>
  <c r="AO61" i="9" s="1"/>
  <c r="H61" i="18"/>
  <c r="W37" i="10"/>
  <c r="H45" i="18"/>
  <c r="E45" i="9"/>
  <c r="J45" i="9" s="1"/>
  <c r="AB45" i="9" s="1"/>
  <c r="AE44" i="17"/>
  <c r="R44" i="17"/>
  <c r="V44" i="17" s="1"/>
  <c r="BB17" i="12"/>
  <c r="S17" i="12"/>
  <c r="L20" i="20" s="1"/>
  <c r="Q40" i="12"/>
  <c r="J34" i="11"/>
  <c r="W49" i="10"/>
  <c r="H59" i="18"/>
  <c r="E59" i="9"/>
  <c r="J59" i="9" s="1"/>
  <c r="AB59" i="9" s="1"/>
  <c r="Q69" i="12"/>
  <c r="J59" i="11"/>
  <c r="AF78" i="6"/>
  <c r="AO78" i="6"/>
  <c r="W14" i="18"/>
  <c r="I14" i="19"/>
  <c r="X14" i="19" s="1"/>
  <c r="R35" i="17"/>
  <c r="V35" i="17" s="1"/>
  <c r="AE35" i="17"/>
  <c r="S15" i="12"/>
  <c r="L18" i="20" s="1"/>
  <c r="BB15" i="12"/>
  <c r="AE51" i="17"/>
  <c r="R51" i="17"/>
  <c r="V51" i="17" s="1"/>
  <c r="K46" i="5"/>
  <c r="Y68" i="2"/>
  <c r="AO63" i="6"/>
  <c r="AF63" i="6"/>
  <c r="AK63" i="6" s="1"/>
  <c r="AE71" i="17"/>
  <c r="R71" i="17"/>
  <c r="V71" i="17" s="1"/>
  <c r="W31" i="10"/>
  <c r="H38" i="18"/>
  <c r="E38" i="9"/>
  <c r="J38" i="9" s="1"/>
  <c r="AB38" i="9" s="1"/>
  <c r="R23" i="17"/>
  <c r="V23" i="17" s="1"/>
  <c r="AE23" i="17"/>
  <c r="W34" i="10"/>
  <c r="E41" i="9"/>
  <c r="J41" i="9" s="1"/>
  <c r="AB41" i="9" s="1"/>
  <c r="AJ41" i="9" s="1"/>
  <c r="AO41" i="9" s="1"/>
  <c r="AO42" i="9" s="1"/>
  <c r="AO43" i="9" s="1"/>
  <c r="H41" i="18"/>
  <c r="AF24" i="6"/>
  <c r="AK24" i="6" s="1"/>
  <c r="AO24" i="6"/>
  <c r="AE56" i="17"/>
  <c r="R56" i="17"/>
  <c r="V56" i="17" s="1"/>
  <c r="W48" i="10"/>
  <c r="E57" i="9"/>
  <c r="J57" i="9" s="1"/>
  <c r="AB57" i="9" s="1"/>
  <c r="AJ57" i="9" s="1"/>
  <c r="H57" i="18"/>
  <c r="AF53" i="6"/>
  <c r="AK53" i="6" s="1"/>
  <c r="AO53" i="6"/>
  <c r="V72" i="2"/>
  <c r="V75" i="2"/>
  <c r="V90" i="2"/>
  <c r="V78" i="2"/>
  <c r="V74" i="2"/>
  <c r="AF14" i="12"/>
  <c r="AG14" i="12" s="1"/>
  <c r="BC43" i="12" s="1"/>
  <c r="L14" i="12"/>
  <c r="O14" i="12" s="1"/>
  <c r="AE32" i="17"/>
  <c r="R32" i="17"/>
  <c r="V32" i="17" s="1"/>
  <c r="K76" i="5"/>
  <c r="O68" i="2"/>
  <c r="AO41" i="6"/>
  <c r="AF41" i="6"/>
  <c r="AK41" i="6" s="1"/>
  <c r="AK42" i="6" s="1"/>
  <c r="AK43" i="6" s="1"/>
  <c r="AE55" i="17"/>
  <c r="R55" i="17"/>
  <c r="V55" i="17" s="1"/>
  <c r="W20" i="10"/>
  <c r="H21" i="18"/>
  <c r="E21" i="9"/>
  <c r="J21" i="9" s="1"/>
  <c r="AB21" i="9" s="1"/>
  <c r="AJ21" i="9" s="1"/>
  <c r="AO21" i="9" s="1"/>
  <c r="W62" i="10"/>
  <c r="E74" i="9"/>
  <c r="J74" i="9" s="1"/>
  <c r="AB74" i="9" s="1"/>
  <c r="AJ74" i="9" s="1"/>
  <c r="AO74" i="9" s="1"/>
  <c r="H74" i="18"/>
  <c r="W76" i="10"/>
  <c r="H90" i="18"/>
  <c r="E90" i="9"/>
  <c r="J90" i="9" s="1"/>
  <c r="AB90" i="9" s="1"/>
  <c r="AJ90" i="9" s="1"/>
  <c r="AO90" i="9" s="1"/>
  <c r="AF50" i="6"/>
  <c r="AO50" i="6"/>
  <c r="AE52" i="17"/>
  <c r="R52" i="17"/>
  <c r="V52" i="17" s="1"/>
  <c r="Q56" i="12"/>
  <c r="J48" i="11"/>
  <c r="AE50" i="17"/>
  <c r="R50" i="17"/>
  <c r="V50" i="17" s="1"/>
  <c r="AO46" i="6"/>
  <c r="AF46" i="6"/>
  <c r="AK46" i="6" s="1"/>
  <c r="Q61" i="12"/>
  <c r="J52" i="11"/>
  <c r="W77" i="10"/>
  <c r="H91" i="18"/>
  <c r="E91" i="9"/>
  <c r="J91" i="9" s="1"/>
  <c r="AB91" i="9" s="1"/>
  <c r="AJ91" i="9" s="1"/>
  <c r="AO91" i="9" s="1"/>
  <c r="AE33" i="17"/>
  <c r="R33" i="17"/>
  <c r="V33" i="17" s="1"/>
  <c r="W33" i="10"/>
  <c r="H40" i="18"/>
  <c r="E40" i="9"/>
  <c r="J40" i="9" s="1"/>
  <c r="AB40" i="9" s="1"/>
  <c r="AJ40" i="9" s="1"/>
  <c r="AO40" i="9" s="1"/>
  <c r="Q92" i="12"/>
  <c r="J79" i="11"/>
  <c r="AE41" i="17"/>
  <c r="R41" i="17"/>
  <c r="V41" i="17" s="1"/>
  <c r="Q78" i="12"/>
  <c r="J67" i="11"/>
  <c r="AF19" i="12"/>
  <c r="AG19" i="12" s="1"/>
  <c r="BC48" i="12" s="1"/>
  <c r="L19" i="12"/>
  <c r="K34" i="5"/>
  <c r="W57" i="10"/>
  <c r="H68" i="18"/>
  <c r="E68" i="9"/>
  <c r="J68" i="9" s="1"/>
  <c r="AB68" i="9" s="1"/>
  <c r="AJ68" i="9" s="1"/>
  <c r="AO68" i="9" s="1"/>
  <c r="AJ17" i="6"/>
  <c r="F20" i="13"/>
  <c r="F19" i="14"/>
  <c r="AK17" i="6"/>
  <c r="L18" i="12"/>
  <c r="AF18" i="12"/>
  <c r="AG18" i="12" s="1"/>
  <c r="BC47" i="12" s="1"/>
  <c r="S73" i="2"/>
  <c r="Z14" i="18" l="1"/>
  <c r="AO22" i="6"/>
  <c r="H22" i="14" s="1"/>
  <c r="I22" i="14" s="1"/>
  <c r="AO34" i="6"/>
  <c r="AP24" i="12"/>
  <c r="G21" i="21"/>
  <c r="N21" i="21"/>
  <c r="P21" i="21"/>
  <c r="AP90" i="12"/>
  <c r="AP59" i="12"/>
  <c r="H23" i="21"/>
  <c r="I23" i="21" s="1"/>
  <c r="AP53" i="12"/>
  <c r="AP63" i="12"/>
  <c r="H27" i="21"/>
  <c r="I27" i="21" s="1"/>
  <c r="G27" i="20"/>
  <c r="AP54" i="12"/>
  <c r="AP39" i="12"/>
  <c r="AP42" i="12"/>
  <c r="AP23" i="12"/>
  <c r="AQ25" i="12" s="1"/>
  <c r="AP62" i="12"/>
  <c r="AP33" i="12"/>
  <c r="I17" i="20"/>
  <c r="R17" i="20" s="1"/>
  <c r="K17" i="20"/>
  <c r="H17" i="20"/>
  <c r="Q17" i="20" s="1"/>
  <c r="J17" i="20"/>
  <c r="G19" i="21"/>
  <c r="N19" i="21"/>
  <c r="P19" i="21"/>
  <c r="I18" i="20"/>
  <c r="R18" i="20" s="1"/>
  <c r="J18" i="20"/>
  <c r="H18" i="20"/>
  <c r="Q18" i="20" s="1"/>
  <c r="K18" i="20"/>
  <c r="AP70" i="12"/>
  <c r="AP71" i="12"/>
  <c r="G17" i="21"/>
  <c r="N17" i="21"/>
  <c r="AP91" i="12"/>
  <c r="AP38" i="12"/>
  <c r="AP45" i="12"/>
  <c r="AP89" i="12"/>
  <c r="AP66" i="12"/>
  <c r="AP60" i="12"/>
  <c r="H19" i="20"/>
  <c r="Q19" i="20" s="1"/>
  <c r="J19" i="20"/>
  <c r="I19" i="20"/>
  <c r="R19" i="20" s="1"/>
  <c r="K19" i="20"/>
  <c r="G18" i="21"/>
  <c r="N18" i="21"/>
  <c r="P18" i="21"/>
  <c r="N16" i="14"/>
  <c r="P16" i="14"/>
  <c r="AP77" i="12"/>
  <c r="AP64" i="12"/>
  <c r="AP48" i="12"/>
  <c r="AP76" i="12"/>
  <c r="AP50" i="12"/>
  <c r="AP47" i="12"/>
  <c r="AP73" i="12"/>
  <c r="AP67" i="12"/>
  <c r="J20" i="20"/>
  <c r="K20" i="20"/>
  <c r="I20" i="20"/>
  <c r="R20" i="20" s="1"/>
  <c r="H20" i="20"/>
  <c r="Q20" i="20" s="1"/>
  <c r="P17" i="21"/>
  <c r="I17" i="21"/>
  <c r="AP40" i="12"/>
  <c r="AP41" i="12"/>
  <c r="AP61" i="12"/>
  <c r="AP52" i="12"/>
  <c r="AP49" i="12"/>
  <c r="AP75" i="12"/>
  <c r="AP46" i="12"/>
  <c r="AP69" i="12"/>
  <c r="G20" i="21"/>
  <c r="N20" i="21"/>
  <c r="P20" i="21"/>
  <c r="AP20" i="12"/>
  <c r="AP74" i="12"/>
  <c r="AP57" i="12"/>
  <c r="AP56" i="12"/>
  <c r="AP87" i="12"/>
  <c r="G22" i="21"/>
  <c r="N22" i="21"/>
  <c r="P22" i="21"/>
  <c r="AP68" i="12"/>
  <c r="AP55" i="12"/>
  <c r="AP21" i="12"/>
  <c r="AQ22" i="12" s="1"/>
  <c r="AP32" i="12"/>
  <c r="AQ34" i="12" s="1"/>
  <c r="AP43" i="12"/>
  <c r="AP78" i="12"/>
  <c r="AP88" i="12"/>
  <c r="AP92" i="12"/>
  <c r="J22" i="20"/>
  <c r="I22" i="20"/>
  <c r="R22" i="20" s="1"/>
  <c r="K22" i="20"/>
  <c r="H22" i="20"/>
  <c r="Q22" i="20" s="1"/>
  <c r="K21" i="20"/>
  <c r="I21" i="20"/>
  <c r="R21" i="20" s="1"/>
  <c r="J21" i="20"/>
  <c r="H21" i="20"/>
  <c r="Q21" i="20" s="1"/>
  <c r="R79" i="12"/>
  <c r="BF48" i="12"/>
  <c r="BG48" i="12"/>
  <c r="BR44" i="12"/>
  <c r="BG43" i="12"/>
  <c r="BF43" i="12"/>
  <c r="BF44" i="12"/>
  <c r="BG44" i="12"/>
  <c r="BF46" i="12"/>
  <c r="BG46" i="12"/>
  <c r="BG47" i="12"/>
  <c r="BF47" i="12"/>
  <c r="BF45" i="12"/>
  <c r="BG45" i="12"/>
  <c r="AO25" i="6"/>
  <c r="H23" i="14" s="1"/>
  <c r="I23" i="14" s="1"/>
  <c r="AO51" i="6"/>
  <c r="AJ59" i="9"/>
  <c r="AB65" i="9"/>
  <c r="AF24" i="12"/>
  <c r="L24" i="12"/>
  <c r="AJ61" i="17"/>
  <c r="AF47" i="12"/>
  <c r="L47" i="12"/>
  <c r="I42" i="19"/>
  <c r="X42" i="19" s="1"/>
  <c r="W42" i="18"/>
  <c r="AK52" i="6"/>
  <c r="AF58" i="6"/>
  <c r="AF89" i="12"/>
  <c r="L89" i="12"/>
  <c r="J78" i="2"/>
  <c r="J75" i="2"/>
  <c r="J74" i="2"/>
  <c r="Z19" i="18" s="1"/>
  <c r="J90" i="2"/>
  <c r="J72" i="2"/>
  <c r="AA73" i="2"/>
  <c r="AA99" i="2"/>
  <c r="AA100" i="2" s="1"/>
  <c r="Q90" i="2"/>
  <c r="Q74" i="2"/>
  <c r="Q75" i="2"/>
  <c r="Q78" i="2"/>
  <c r="Q72" i="2"/>
  <c r="AI19" i="12"/>
  <c r="BF19" i="12"/>
  <c r="AH19" i="12"/>
  <c r="V22" i="21" s="1"/>
  <c r="AJ50" i="17"/>
  <c r="AJ56" i="17"/>
  <c r="AJ71" i="17"/>
  <c r="AJ51" i="17"/>
  <c r="G23" i="13"/>
  <c r="AI18" i="12"/>
  <c r="BF18" i="12"/>
  <c r="AH18" i="12"/>
  <c r="V21" i="21" s="1"/>
  <c r="W68" i="18"/>
  <c r="I68" i="19"/>
  <c r="X68" i="19" s="1"/>
  <c r="AF78" i="12"/>
  <c r="L78" i="12"/>
  <c r="I40" i="19"/>
  <c r="X40" i="19" s="1"/>
  <c r="W40" i="18"/>
  <c r="L61" i="12"/>
  <c r="AF61" i="12"/>
  <c r="Y90" i="2"/>
  <c r="Y74" i="2"/>
  <c r="Y72" i="2"/>
  <c r="Y75" i="2"/>
  <c r="AJ35" i="17"/>
  <c r="W63" i="18"/>
  <c r="I63" i="19"/>
  <c r="X63" i="19" s="1"/>
  <c r="AB58" i="9"/>
  <c r="AJ52" i="9"/>
  <c r="AI15" i="12"/>
  <c r="AH15" i="12"/>
  <c r="V18" i="21" s="1"/>
  <c r="BF15" i="12"/>
  <c r="I32" i="19"/>
  <c r="X32" i="19" s="1"/>
  <c r="W32" i="18"/>
  <c r="P20" i="14"/>
  <c r="N20" i="14"/>
  <c r="G20" i="14"/>
  <c r="AJ49" i="17"/>
  <c r="W55" i="18"/>
  <c r="I55" i="19"/>
  <c r="X55" i="19" s="1"/>
  <c r="H19" i="13"/>
  <c r="N19" i="13" s="1"/>
  <c r="AA19" i="21" s="1"/>
  <c r="K19" i="13"/>
  <c r="J19" i="13"/>
  <c r="I19" i="13"/>
  <c r="O19" i="13" s="1"/>
  <c r="AB19" i="21" s="1"/>
  <c r="AF19" i="21" s="1"/>
  <c r="K74" i="2"/>
  <c r="K90" i="2"/>
  <c r="K78" i="2"/>
  <c r="K75" i="2"/>
  <c r="K72" i="2"/>
  <c r="AF91" i="12"/>
  <c r="L91" i="12"/>
  <c r="L39" i="12"/>
  <c r="AF39" i="12"/>
  <c r="M75" i="2"/>
  <c r="M74" i="2"/>
  <c r="M90" i="2"/>
  <c r="M72" i="2"/>
  <c r="AJ36" i="17"/>
  <c r="AJ74" i="17"/>
  <c r="AF51" i="6"/>
  <c r="AK45" i="6"/>
  <c r="AJ30" i="17"/>
  <c r="F73" i="2"/>
  <c r="R65" i="12"/>
  <c r="AA102" i="2"/>
  <c r="AA101" i="2"/>
  <c r="K18" i="13"/>
  <c r="I18" i="13"/>
  <c r="O18" i="13" s="1"/>
  <c r="AB18" i="21" s="1"/>
  <c r="AF18" i="21" s="1"/>
  <c r="J18" i="13"/>
  <c r="H18" i="13"/>
  <c r="N18" i="13" s="1"/>
  <c r="AA18" i="21" s="1"/>
  <c r="AF88" i="12"/>
  <c r="L88" i="12"/>
  <c r="R73" i="2"/>
  <c r="G16" i="14"/>
  <c r="BC14" i="12"/>
  <c r="L17" i="13"/>
  <c r="R93" i="12"/>
  <c r="AJ73" i="9"/>
  <c r="AB79" i="9"/>
  <c r="I66" i="19"/>
  <c r="X66" i="19" s="1"/>
  <c r="W66" i="18"/>
  <c r="I16" i="14"/>
  <c r="W43" i="18"/>
  <c r="I43" i="19"/>
  <c r="X43" i="19" s="1"/>
  <c r="AO58" i="6"/>
  <c r="AJ16" i="17"/>
  <c r="L49" i="12"/>
  <c r="AF49" i="12"/>
  <c r="AO72" i="6"/>
  <c r="W33" i="18"/>
  <c r="I33" i="19"/>
  <c r="X33" i="19" s="1"/>
  <c r="W92" i="18"/>
  <c r="I92" i="19"/>
  <c r="X92" i="19" s="1"/>
  <c r="W46" i="18"/>
  <c r="I46" i="19"/>
  <c r="X46" i="19" s="1"/>
  <c r="AJ46" i="17"/>
  <c r="I41" i="19"/>
  <c r="X41" i="19" s="1"/>
  <c r="W41" i="18"/>
  <c r="W70" i="18"/>
  <c r="I70" i="19"/>
  <c r="X70" i="19" s="1"/>
  <c r="AJ54" i="17"/>
  <c r="P17" i="14"/>
  <c r="G17" i="14"/>
  <c r="N17" i="14"/>
  <c r="I59" i="19"/>
  <c r="X59" i="19" s="1"/>
  <c r="W59" i="18"/>
  <c r="W56" i="18"/>
  <c r="I56" i="19"/>
  <c r="X56" i="19" s="1"/>
  <c r="AJ45" i="17"/>
  <c r="AK23" i="6"/>
  <c r="AF25" i="6"/>
  <c r="G19" i="14"/>
  <c r="P19" i="14"/>
  <c r="N19" i="14"/>
  <c r="AJ41" i="17"/>
  <c r="AJ33" i="17"/>
  <c r="AB51" i="9"/>
  <c r="AJ45" i="9"/>
  <c r="AF21" i="12"/>
  <c r="L21" i="12"/>
  <c r="L75" i="12"/>
  <c r="AF75" i="12"/>
  <c r="AJ29" i="17"/>
  <c r="L19" i="13"/>
  <c r="BC16" i="12"/>
  <c r="L73" i="12"/>
  <c r="AF73" i="12"/>
  <c r="AJ17" i="17"/>
  <c r="AF74" i="12"/>
  <c r="L74" i="12"/>
  <c r="AJ48" i="17"/>
  <c r="I20" i="19"/>
  <c r="X20" i="19" s="1"/>
  <c r="W20" i="18"/>
  <c r="I73" i="19"/>
  <c r="X73" i="19" s="1"/>
  <c r="W73" i="18"/>
  <c r="I48" i="19"/>
  <c r="X48" i="19" s="1"/>
  <c r="W48" i="18"/>
  <c r="AJ66" i="9"/>
  <c r="AB72" i="9"/>
  <c r="AF76" i="12"/>
  <c r="L76" i="12"/>
  <c r="L53" i="12"/>
  <c r="AF53" i="12"/>
  <c r="AK73" i="6"/>
  <c r="AF79" i="6"/>
  <c r="W88" i="18"/>
  <c r="I88" i="19"/>
  <c r="X88" i="19" s="1"/>
  <c r="AF32" i="12"/>
  <c r="L32" i="12"/>
  <c r="L64" i="12"/>
  <c r="AF64" i="12"/>
  <c r="L42" i="12"/>
  <c r="AF42" i="12"/>
  <c r="W71" i="18"/>
  <c r="I71" i="19"/>
  <c r="X71" i="19" s="1"/>
  <c r="AJ43" i="17"/>
  <c r="N73" i="2"/>
  <c r="I57" i="19"/>
  <c r="X57" i="19" s="1"/>
  <c r="W57" i="18"/>
  <c r="AF87" i="12"/>
  <c r="L87" i="12"/>
  <c r="AJ47" i="17"/>
  <c r="AJ37" i="17"/>
  <c r="H20" i="13"/>
  <c r="N20" i="13" s="1"/>
  <c r="AA20" i="21" s="1"/>
  <c r="K20" i="13"/>
  <c r="J20" i="13"/>
  <c r="I20" i="13"/>
  <c r="O20" i="13" s="1"/>
  <c r="AB20" i="21" s="1"/>
  <c r="AF20" i="21" s="1"/>
  <c r="P19" i="12"/>
  <c r="O19" i="12"/>
  <c r="AF92" i="12"/>
  <c r="AF94" i="12"/>
  <c r="AG94" i="12" s="1"/>
  <c r="BC63" i="12" s="1"/>
  <c r="L92" i="12"/>
  <c r="AJ32" i="17"/>
  <c r="L40" i="12"/>
  <c r="AF40" i="12"/>
  <c r="W45" i="18"/>
  <c r="I45" i="19"/>
  <c r="X45" i="19" s="1"/>
  <c r="AO44" i="6"/>
  <c r="Z73" i="2"/>
  <c r="AI17" i="12"/>
  <c r="AH17" i="12"/>
  <c r="V20" i="21" s="1"/>
  <c r="BF17" i="12"/>
  <c r="AJ27" i="17"/>
  <c r="S79" i="12"/>
  <c r="L34" i="20" s="1"/>
  <c r="BB31" i="12"/>
  <c r="I89" i="19"/>
  <c r="X89" i="19" s="1"/>
  <c r="W89" i="18"/>
  <c r="AJ39" i="17"/>
  <c r="P16" i="12"/>
  <c r="O16" i="12"/>
  <c r="AK59" i="6"/>
  <c r="AF65" i="6"/>
  <c r="AJ20" i="9"/>
  <c r="AB22" i="9"/>
  <c r="L62" i="12"/>
  <c r="AF62" i="12"/>
  <c r="W77" i="18"/>
  <c r="I77" i="19"/>
  <c r="X77" i="19" s="1"/>
  <c r="AO79" i="6"/>
  <c r="AJ23" i="9"/>
  <c r="AB25" i="9"/>
  <c r="AF55" i="12"/>
  <c r="L55" i="12"/>
  <c r="AF50" i="12"/>
  <c r="L50" i="12"/>
  <c r="I75" i="19"/>
  <c r="X75" i="19" s="1"/>
  <c r="W75" i="18"/>
  <c r="R34" i="12"/>
  <c r="AF52" i="12"/>
  <c r="L52" i="12"/>
  <c r="AY12" i="19"/>
  <c r="AV12" i="19" s="1"/>
  <c r="AY13" i="19"/>
  <c r="AF77" i="12"/>
  <c r="L77" i="12"/>
  <c r="I47" i="19"/>
  <c r="X47" i="19" s="1"/>
  <c r="W47" i="18"/>
  <c r="I17" i="13"/>
  <c r="J17" i="13"/>
  <c r="K17" i="13"/>
  <c r="H17" i="13"/>
  <c r="P18" i="14"/>
  <c r="N18" i="14"/>
  <c r="G18" i="14"/>
  <c r="AJ59" i="17"/>
  <c r="AF72" i="6"/>
  <c r="AK66" i="6"/>
  <c r="AJ55" i="17"/>
  <c r="AF67" i="12"/>
  <c r="L67" i="12"/>
  <c r="AJ69" i="17"/>
  <c r="G27" i="13"/>
  <c r="H26" i="14"/>
  <c r="I26" i="14" s="1"/>
  <c r="AF44" i="6"/>
  <c r="AK38" i="6"/>
  <c r="I78" i="2"/>
  <c r="I72" i="2"/>
  <c r="I75" i="2"/>
  <c r="I90" i="2"/>
  <c r="I74" i="2"/>
  <c r="Z18" i="18" s="1"/>
  <c r="P17" i="12"/>
  <c r="O17" i="12"/>
  <c r="AJ42" i="17"/>
  <c r="K21" i="13"/>
  <c r="J21" i="13"/>
  <c r="H21" i="13"/>
  <c r="N21" i="13" s="1"/>
  <c r="AA21" i="21" s="1"/>
  <c r="I21" i="13"/>
  <c r="O21" i="13" s="1"/>
  <c r="AB21" i="21" s="1"/>
  <c r="AF21" i="21" s="1"/>
  <c r="AI16" i="12"/>
  <c r="BF16" i="12"/>
  <c r="AH16" i="12"/>
  <c r="V19" i="21" s="1"/>
  <c r="L57" i="12"/>
  <c r="AF57" i="12"/>
  <c r="L71" i="12"/>
  <c r="AF71" i="12"/>
  <c r="AJ38" i="17"/>
  <c r="AJ15" i="17"/>
  <c r="W67" i="18"/>
  <c r="I67" i="19"/>
  <c r="X67" i="19" s="1"/>
  <c r="I87" i="19"/>
  <c r="X87" i="19" s="1"/>
  <c r="W87" i="18"/>
  <c r="L38" i="12"/>
  <c r="AF38" i="12"/>
  <c r="AG44" i="12" s="1"/>
  <c r="BC55" i="12" s="1"/>
  <c r="AJ62" i="17"/>
  <c r="W76" i="18"/>
  <c r="I76" i="19"/>
  <c r="X76" i="19" s="1"/>
  <c r="I23" i="19"/>
  <c r="X23" i="19" s="1"/>
  <c r="W23" i="18"/>
  <c r="AK87" i="6"/>
  <c r="AF93" i="6"/>
  <c r="Z15" i="18"/>
  <c r="H90" i="2"/>
  <c r="H75" i="2"/>
  <c r="H72" i="2"/>
  <c r="H78" i="2"/>
  <c r="H74" i="2"/>
  <c r="Z17" i="18" s="1"/>
  <c r="P21" i="14"/>
  <c r="G21" i="14"/>
  <c r="N21" i="14"/>
  <c r="AJ53" i="17"/>
  <c r="R58" i="12"/>
  <c r="L45" i="12"/>
  <c r="AF45" i="12"/>
  <c r="W24" i="18"/>
  <c r="I24" i="19"/>
  <c r="X24" i="19" s="1"/>
  <c r="D31" i="2"/>
  <c r="P18" i="12"/>
  <c r="O18" i="12"/>
  <c r="AJ52" i="17"/>
  <c r="L41" i="12"/>
  <c r="AF41" i="12"/>
  <c r="AB34" i="9"/>
  <c r="AJ32" i="9"/>
  <c r="AJ18" i="17"/>
  <c r="I74" i="19"/>
  <c r="X74" i="19" s="1"/>
  <c r="W74" i="18"/>
  <c r="W38" i="18"/>
  <c r="I38" i="19"/>
  <c r="X38" i="19" s="1"/>
  <c r="V73" i="2"/>
  <c r="I91" i="19"/>
  <c r="X91" i="19" s="1"/>
  <c r="W91" i="18"/>
  <c r="I90" i="19"/>
  <c r="X90" i="19" s="1"/>
  <c r="W90" i="18"/>
  <c r="AJ23" i="17"/>
  <c r="AK20" i="6"/>
  <c r="AF22" i="6"/>
  <c r="I64" i="19"/>
  <c r="X64" i="19" s="1"/>
  <c r="W64" i="18"/>
  <c r="AK32" i="6"/>
  <c r="AF34" i="6"/>
  <c r="L63" i="12"/>
  <c r="AF63" i="12"/>
  <c r="AJ58" i="17"/>
  <c r="AF54" i="12"/>
  <c r="L54" i="12"/>
  <c r="AO65" i="6"/>
  <c r="AJ34" i="17"/>
  <c r="L33" i="12"/>
  <c r="AF33" i="12"/>
  <c r="L23" i="12"/>
  <c r="AF23" i="12"/>
  <c r="W60" i="18"/>
  <c r="I60" i="19"/>
  <c r="X60" i="19" s="1"/>
  <c r="I78" i="19"/>
  <c r="X78" i="19" s="1"/>
  <c r="W78" i="18"/>
  <c r="AB93" i="9"/>
  <c r="AJ87" i="9"/>
  <c r="R44" i="12"/>
  <c r="AJ28" i="17"/>
  <c r="L60" i="12"/>
  <c r="AF60" i="12"/>
  <c r="AJ40" i="17"/>
  <c r="AO93" i="6"/>
  <c r="J22" i="13"/>
  <c r="H22" i="13"/>
  <c r="N22" i="13" s="1"/>
  <c r="AA22" i="21" s="1"/>
  <c r="K22" i="13"/>
  <c r="I22" i="13"/>
  <c r="O22" i="13" s="1"/>
  <c r="AB22" i="21" s="1"/>
  <c r="AF22" i="21" s="1"/>
  <c r="AF66" i="12"/>
  <c r="L66" i="12"/>
  <c r="R51" i="12"/>
  <c r="L20" i="12"/>
  <c r="AF20" i="12"/>
  <c r="L43" i="12"/>
  <c r="AF43" i="12"/>
  <c r="W69" i="18"/>
  <c r="I69" i="19"/>
  <c r="X69" i="19" s="1"/>
  <c r="L70" i="12"/>
  <c r="AF70" i="12"/>
  <c r="AB44" i="9"/>
  <c r="AJ38" i="9"/>
  <c r="AJ44" i="17"/>
  <c r="I52" i="19"/>
  <c r="X52" i="19" s="1"/>
  <c r="W52" i="18"/>
  <c r="I39" i="19"/>
  <c r="X39" i="19" s="1"/>
  <c r="W39" i="18"/>
  <c r="L48" i="12"/>
  <c r="AF48" i="12"/>
  <c r="W62" i="18"/>
  <c r="I62" i="19"/>
  <c r="X62" i="19" s="1"/>
  <c r="L22" i="13"/>
  <c r="BC19" i="12"/>
  <c r="O75" i="2"/>
  <c r="O74" i="2"/>
  <c r="O90" i="2"/>
  <c r="O78" i="2"/>
  <c r="O72" i="2"/>
  <c r="AF56" i="12"/>
  <c r="L56" i="12"/>
  <c r="P14" i="12"/>
  <c r="AF69" i="12"/>
  <c r="L69" i="12"/>
  <c r="L20" i="13"/>
  <c r="BC17" i="12"/>
  <c r="D72" i="2"/>
  <c r="D90" i="2"/>
  <c r="N93" i="2" s="1"/>
  <c r="D78" i="2"/>
  <c r="D74" i="2"/>
  <c r="D75" i="2"/>
  <c r="D80" i="2" s="1"/>
  <c r="I21" i="19"/>
  <c r="X21" i="19" s="1"/>
  <c r="W21" i="18"/>
  <c r="AI14" i="12"/>
  <c r="BF14" i="12"/>
  <c r="AH14" i="12"/>
  <c r="V17" i="21" s="1"/>
  <c r="L18" i="13"/>
  <c r="BC15" i="12"/>
  <c r="W61" i="18"/>
  <c r="I61" i="19"/>
  <c r="X61" i="19" s="1"/>
  <c r="AF46" i="12"/>
  <c r="L46" i="12"/>
  <c r="AJ72" i="17"/>
  <c r="I53" i="19"/>
  <c r="X53" i="19" s="1"/>
  <c r="W53" i="18"/>
  <c r="I50" i="19"/>
  <c r="X50" i="19" s="1"/>
  <c r="W50" i="18"/>
  <c r="O15" i="12"/>
  <c r="P15" i="12"/>
  <c r="I54" i="19"/>
  <c r="X54" i="19" s="1"/>
  <c r="W54" i="18"/>
  <c r="AJ31" i="17"/>
  <c r="AJ70" i="17"/>
  <c r="L90" i="12"/>
  <c r="AF90" i="12"/>
  <c r="I49" i="19"/>
  <c r="X49" i="19" s="1"/>
  <c r="W49" i="18"/>
  <c r="L68" i="12"/>
  <c r="AF68" i="12"/>
  <c r="G78" i="2"/>
  <c r="G75" i="2"/>
  <c r="G72" i="2"/>
  <c r="G74" i="2"/>
  <c r="Z16" i="18" s="1"/>
  <c r="G90" i="2"/>
  <c r="R25" i="12"/>
  <c r="AJ24" i="17"/>
  <c r="AJ73" i="17"/>
  <c r="AF59" i="12"/>
  <c r="L59" i="12"/>
  <c r="L21" i="13"/>
  <c r="BC18" i="12"/>
  <c r="R72" i="12"/>
  <c r="AJ60" i="17"/>
  <c r="R22" i="12"/>
  <c r="AJ57" i="17"/>
  <c r="AQ51" i="12" l="1"/>
  <c r="G23" i="20"/>
  <c r="AQ65" i="12"/>
  <c r="AQ93" i="12"/>
  <c r="AQ72" i="12"/>
  <c r="AQ44" i="12"/>
  <c r="AQ58" i="12"/>
  <c r="AQ79" i="12"/>
  <c r="F27" i="21"/>
  <c r="F27" i="20"/>
  <c r="H34" i="21"/>
  <c r="I34" i="21" s="1"/>
  <c r="G34" i="20"/>
  <c r="F30" i="20"/>
  <c r="F30" i="21"/>
  <c r="R17" i="21"/>
  <c r="T17" i="21" s="1"/>
  <c r="O17" i="21"/>
  <c r="F29" i="21"/>
  <c r="F29" i="20"/>
  <c r="G31" i="20"/>
  <c r="H31" i="21"/>
  <c r="I31" i="21" s="1"/>
  <c r="F31" i="21"/>
  <c r="F31" i="20"/>
  <c r="H36" i="21"/>
  <c r="I36" i="21" s="1"/>
  <c r="G36" i="20"/>
  <c r="F36" i="20"/>
  <c r="F36" i="21"/>
  <c r="F32" i="21"/>
  <c r="F32" i="20"/>
  <c r="F34" i="21"/>
  <c r="F34" i="20"/>
  <c r="Q21" i="21"/>
  <c r="S21" i="21"/>
  <c r="U21" i="21" s="1"/>
  <c r="F33" i="20"/>
  <c r="F33" i="21"/>
  <c r="R22" i="21"/>
  <c r="T22" i="21" s="1"/>
  <c r="O22" i="21"/>
  <c r="O18" i="21"/>
  <c r="R18" i="21"/>
  <c r="T18" i="21" s="1"/>
  <c r="H29" i="21"/>
  <c r="I29" i="21" s="1"/>
  <c r="G29" i="20"/>
  <c r="H32" i="21"/>
  <c r="I32" i="21" s="1"/>
  <c r="G32" i="20"/>
  <c r="G30" i="13"/>
  <c r="H30" i="21"/>
  <c r="I30" i="21" s="1"/>
  <c r="G30" i="20"/>
  <c r="S20" i="21"/>
  <c r="U20" i="21" s="1"/>
  <c r="Q20" i="21"/>
  <c r="S19" i="21"/>
  <c r="U19" i="21" s="1"/>
  <c r="Q19" i="21"/>
  <c r="O21" i="21"/>
  <c r="R21" i="21"/>
  <c r="T21" i="21" s="1"/>
  <c r="S17" i="21"/>
  <c r="U17" i="21" s="1"/>
  <c r="Q17" i="21"/>
  <c r="H33" i="21"/>
  <c r="I33" i="21" s="1"/>
  <c r="G33" i="20"/>
  <c r="R20" i="21"/>
  <c r="T20" i="21" s="1"/>
  <c r="O20" i="21"/>
  <c r="R19" i="21"/>
  <c r="T19" i="21" s="1"/>
  <c r="O19" i="21"/>
  <c r="G24" i="13"/>
  <c r="G24" i="20"/>
  <c r="H24" i="21"/>
  <c r="I24" i="21" s="1"/>
  <c r="F23" i="21"/>
  <c r="F23" i="20"/>
  <c r="AG25" i="12"/>
  <c r="BC50" i="12" s="1"/>
  <c r="BF50" i="12" s="1"/>
  <c r="F24" i="21"/>
  <c r="F24" i="20"/>
  <c r="S22" i="21"/>
  <c r="U22" i="21" s="1"/>
  <c r="Q22" i="21"/>
  <c r="Q18" i="21"/>
  <c r="S18" i="21"/>
  <c r="U18" i="21" s="1"/>
  <c r="H29" i="14"/>
  <c r="I29" i="14" s="1"/>
  <c r="AG22" i="12"/>
  <c r="BC49" i="12" s="1"/>
  <c r="BG49" i="12" s="1"/>
  <c r="AG79" i="12"/>
  <c r="BC60" i="12" s="1"/>
  <c r="BG60" i="12" s="1"/>
  <c r="K93" i="2"/>
  <c r="K101" i="2" s="1"/>
  <c r="BG55" i="12"/>
  <c r="BF55" i="12"/>
  <c r="AR16" i="12"/>
  <c r="BH45" i="12"/>
  <c r="AR15" i="12"/>
  <c r="BH44" i="12"/>
  <c r="AR18" i="12"/>
  <c r="BH47" i="12"/>
  <c r="AR17" i="12"/>
  <c r="BH46" i="12"/>
  <c r="BG63" i="12"/>
  <c r="BF63" i="12"/>
  <c r="AR14" i="12"/>
  <c r="BH43" i="12"/>
  <c r="AR19" i="12"/>
  <c r="BH48" i="12"/>
  <c r="T93" i="2"/>
  <c r="T103" i="2" s="1"/>
  <c r="AG72" i="12"/>
  <c r="BC59" i="12" s="1"/>
  <c r="W93" i="18"/>
  <c r="Z93" i="18" s="1"/>
  <c r="W44" i="18"/>
  <c r="Z44" i="18" s="1"/>
  <c r="AG58" i="12"/>
  <c r="BC57" i="12" s="1"/>
  <c r="W22" i="18"/>
  <c r="Z22" i="18" s="1"/>
  <c r="N102" i="2"/>
  <c r="N99" i="2"/>
  <c r="N100" i="2" s="1"/>
  <c r="N101" i="2"/>
  <c r="J73" i="2"/>
  <c r="W76" i="2"/>
  <c r="P76" i="2"/>
  <c r="M76" i="2"/>
  <c r="N76" i="2"/>
  <c r="W78" i="2"/>
  <c r="P78" i="2"/>
  <c r="N78" i="2"/>
  <c r="G36" i="13"/>
  <c r="H35" i="14"/>
  <c r="I35" i="14" s="1"/>
  <c r="S22" i="12"/>
  <c r="L23" i="20" s="1"/>
  <c r="BB20" i="12"/>
  <c r="S25" i="12"/>
  <c r="L24" i="20" s="1"/>
  <c r="BB21" i="12"/>
  <c r="X58" i="19"/>
  <c r="BB27" i="12"/>
  <c r="S51" i="12"/>
  <c r="L30" i="20" s="1"/>
  <c r="X44" i="19"/>
  <c r="AJ34" i="9"/>
  <c r="AO32" i="9"/>
  <c r="I93" i="2"/>
  <c r="I99" i="2" s="1"/>
  <c r="I100" i="2" s="1"/>
  <c r="F93" i="2"/>
  <c r="H73" i="2"/>
  <c r="O44" i="12"/>
  <c r="P44" i="12"/>
  <c r="AJ72" i="6"/>
  <c r="F32" i="14"/>
  <c r="AK72" i="6"/>
  <c r="F33" i="13"/>
  <c r="BB24" i="12"/>
  <c r="S34" i="12"/>
  <c r="L27" i="20" s="1"/>
  <c r="X79" i="19"/>
  <c r="AJ51" i="9"/>
  <c r="AO45" i="9"/>
  <c r="Q17" i="14"/>
  <c r="U17" i="14"/>
  <c r="BB29" i="12"/>
  <c r="S65" i="12"/>
  <c r="L32" i="20" s="1"/>
  <c r="AA18" i="14"/>
  <c r="AO52" i="9"/>
  <c r="AJ58" i="9"/>
  <c r="X20" i="14"/>
  <c r="BG18" i="12"/>
  <c r="AH25" i="12"/>
  <c r="V24" i="21" s="1"/>
  <c r="AJ34" i="6"/>
  <c r="AK34" i="6"/>
  <c r="F27" i="13"/>
  <c r="F26" i="14"/>
  <c r="Q93" i="2"/>
  <c r="U93" i="2"/>
  <c r="M93" i="2"/>
  <c r="O21" i="14"/>
  <c r="T21" i="14"/>
  <c r="V21" i="14" s="1"/>
  <c r="X93" i="19"/>
  <c r="X18" i="14"/>
  <c r="BG16" i="12"/>
  <c r="I73" i="2"/>
  <c r="O17" i="13"/>
  <c r="AB17" i="21" s="1"/>
  <c r="AF17" i="21" s="1"/>
  <c r="AO23" i="9"/>
  <c r="AJ25" i="9"/>
  <c r="W51" i="18"/>
  <c r="Z51" i="18" s="1"/>
  <c r="AI94" i="12"/>
  <c r="AH94" i="12"/>
  <c r="V37" i="21" s="1"/>
  <c r="BF34" i="12"/>
  <c r="Z19" i="14"/>
  <c r="AG93" i="12"/>
  <c r="BC62" i="12" s="1"/>
  <c r="F33" i="14"/>
  <c r="F34" i="13"/>
  <c r="AJ79" i="6"/>
  <c r="AK79" i="6"/>
  <c r="X22" i="19"/>
  <c r="W72" i="18"/>
  <c r="Z72" i="18" s="1"/>
  <c r="Z17" i="14"/>
  <c r="Q20" i="14"/>
  <c r="U20" i="14"/>
  <c r="Y73" i="2"/>
  <c r="AJ58" i="6"/>
  <c r="F30" i="14"/>
  <c r="F31" i="13"/>
  <c r="AK58" i="6"/>
  <c r="BJ16" i="12"/>
  <c r="AO16" i="12"/>
  <c r="BK16" i="12" s="1"/>
  <c r="AJ44" i="9"/>
  <c r="AO38" i="9"/>
  <c r="AJ93" i="9"/>
  <c r="AO87" i="9"/>
  <c r="P25" i="12"/>
  <c r="O25" i="12"/>
  <c r="E93" i="2"/>
  <c r="H33" i="14"/>
  <c r="I33" i="14" s="1"/>
  <c r="G34" i="13"/>
  <c r="X19" i="14"/>
  <c r="BG17" i="12"/>
  <c r="O19" i="14"/>
  <c r="T19" i="14"/>
  <c r="V19" i="14" s="1"/>
  <c r="X72" i="19"/>
  <c r="T16" i="14"/>
  <c r="O16" i="14"/>
  <c r="M78" i="2"/>
  <c r="Z18" i="14"/>
  <c r="W34" i="18"/>
  <c r="Z34" i="18" s="1"/>
  <c r="BJ18" i="12"/>
  <c r="AO18" i="12"/>
  <c r="BK18" i="12" s="1"/>
  <c r="O93" i="2"/>
  <c r="O101" i="2" s="1"/>
  <c r="V93" i="2"/>
  <c r="X93" i="2"/>
  <c r="S93" i="2"/>
  <c r="G93" i="2"/>
  <c r="G101" i="2" s="1"/>
  <c r="AG51" i="12"/>
  <c r="BC56" i="12" s="1"/>
  <c r="Q21" i="14"/>
  <c r="U21" i="14"/>
  <c r="W21" i="14" s="1"/>
  <c r="AK93" i="6"/>
  <c r="AJ93" i="6"/>
  <c r="F36" i="13"/>
  <c r="F35" i="14"/>
  <c r="T18" i="14"/>
  <c r="V18" i="14" s="1"/>
  <c r="O18" i="14"/>
  <c r="AO20" i="9"/>
  <c r="AJ22" i="9"/>
  <c r="P34" i="12"/>
  <c r="O34" i="12"/>
  <c r="AO66" i="9"/>
  <c r="AJ72" i="9"/>
  <c r="Q19" i="14"/>
  <c r="U19" i="14"/>
  <c r="W19" i="14" s="1"/>
  <c r="W65" i="18"/>
  <c r="Z65" i="18" s="1"/>
  <c r="U16" i="14"/>
  <c r="Q16" i="14"/>
  <c r="AA17" i="14"/>
  <c r="M73" i="2"/>
  <c r="X34" i="19"/>
  <c r="H31" i="14"/>
  <c r="I31" i="14" s="1"/>
  <c r="G32" i="13"/>
  <c r="O20" i="14"/>
  <c r="T20" i="14"/>
  <c r="AG65" i="12"/>
  <c r="BC58" i="12" s="1"/>
  <c r="O72" i="12"/>
  <c r="P72" i="12"/>
  <c r="O73" i="2"/>
  <c r="O99" i="2"/>
  <c r="O100" i="2" s="1"/>
  <c r="BB30" i="12"/>
  <c r="S72" i="12"/>
  <c r="L33" i="20" s="1"/>
  <c r="X16" i="14"/>
  <c r="BG14" i="12"/>
  <c r="AA21" i="14"/>
  <c r="R93" i="2"/>
  <c r="H93" i="2"/>
  <c r="P51" i="12"/>
  <c r="O51" i="12"/>
  <c r="AA20" i="14"/>
  <c r="BJ17" i="12"/>
  <c r="AO17" i="12"/>
  <c r="BK17" i="12" s="1"/>
  <c r="F29" i="13"/>
  <c r="AK44" i="6"/>
  <c r="AJ44" i="6"/>
  <c r="F28" i="14"/>
  <c r="Q18" i="14"/>
  <c r="U18" i="14"/>
  <c r="W18" i="14" s="1"/>
  <c r="P58" i="12"/>
  <c r="O58" i="12"/>
  <c r="AK65" i="6"/>
  <c r="F32" i="13"/>
  <c r="AJ65" i="6"/>
  <c r="F31" i="14"/>
  <c r="AG34" i="12"/>
  <c r="BC53" i="12" s="1"/>
  <c r="O79" i="12"/>
  <c r="P79" i="12"/>
  <c r="X65" i="19"/>
  <c r="H30" i="14"/>
  <c r="I30" i="14" s="1"/>
  <c r="G31" i="13"/>
  <c r="AO73" i="9"/>
  <c r="AJ79" i="9"/>
  <c r="Q101" i="2"/>
  <c r="P93" i="12"/>
  <c r="O93" i="12"/>
  <c r="Q73" i="2"/>
  <c r="Q99" i="2"/>
  <c r="Q100" i="2" s="1"/>
  <c r="S44" i="12"/>
  <c r="L29" i="20" s="1"/>
  <c r="BB26" i="12"/>
  <c r="BJ15" i="12"/>
  <c r="AO15" i="12"/>
  <c r="BK15" i="12" s="1"/>
  <c r="F23" i="13"/>
  <c r="AK22" i="6"/>
  <c r="AJ22" i="6"/>
  <c r="F22" i="14"/>
  <c r="L93" i="2"/>
  <c r="S58" i="12"/>
  <c r="L31" i="20" s="1"/>
  <c r="BB28" i="12"/>
  <c r="W25" i="18"/>
  <c r="Z25" i="18" s="1"/>
  <c r="Z20" i="14"/>
  <c r="AO19" i="12"/>
  <c r="BK19" i="12" s="1"/>
  <c r="BJ19" i="12"/>
  <c r="AJ25" i="6"/>
  <c r="AK25" i="6"/>
  <c r="F23" i="14"/>
  <c r="F24" i="13"/>
  <c r="O17" i="14"/>
  <c r="T17" i="14"/>
  <c r="V17" i="14" s="1"/>
  <c r="S93" i="12"/>
  <c r="L36" i="20" s="1"/>
  <c r="BB33" i="12"/>
  <c r="AK51" i="6"/>
  <c r="F29" i="14"/>
  <c r="AJ51" i="6"/>
  <c r="F30" i="13"/>
  <c r="X17" i="14"/>
  <c r="BG15" i="12"/>
  <c r="X21" i="14"/>
  <c r="BG19" i="12"/>
  <c r="P65" i="12"/>
  <c r="O65" i="12"/>
  <c r="X51" i="19"/>
  <c r="G73" i="2"/>
  <c r="W93" i="2"/>
  <c r="Z93" i="2"/>
  <c r="D73" i="2"/>
  <c r="AO14" i="12"/>
  <c r="BK14" i="12" s="1"/>
  <c r="BJ14" i="12"/>
  <c r="W58" i="18"/>
  <c r="Z58" i="18" s="1"/>
  <c r="P22" i="12"/>
  <c r="O22" i="12"/>
  <c r="Z21" i="14"/>
  <c r="Y93" i="2"/>
  <c r="Y102" i="2" s="1"/>
  <c r="P93" i="2"/>
  <c r="J93" i="2"/>
  <c r="X25" i="19"/>
  <c r="AI44" i="12"/>
  <c r="AH44" i="12"/>
  <c r="V29" i="21" s="1"/>
  <c r="BF26" i="12"/>
  <c r="N17" i="13"/>
  <c r="AA17" i="21" s="1"/>
  <c r="L34" i="13"/>
  <c r="BC31" i="12"/>
  <c r="H28" i="14"/>
  <c r="I28" i="14" s="1"/>
  <c r="G29" i="13"/>
  <c r="AA19" i="14"/>
  <c r="W79" i="18"/>
  <c r="Z79" i="18" s="1"/>
  <c r="G33" i="13"/>
  <c r="H32" i="14"/>
  <c r="I32" i="14" s="1"/>
  <c r="K73" i="2"/>
  <c r="AO59" i="9"/>
  <c r="AJ65" i="9"/>
  <c r="AI25" i="12" l="1"/>
  <c r="BR46" i="12"/>
  <c r="AI22" i="12"/>
  <c r="BF21" i="12"/>
  <c r="BG50" i="12"/>
  <c r="G99" i="2"/>
  <c r="G100" i="2" s="1"/>
  <c r="J23" i="20"/>
  <c r="H23" i="20"/>
  <c r="Q23" i="20" s="1"/>
  <c r="I23" i="20"/>
  <c r="R23" i="20" s="1"/>
  <c r="K23" i="20"/>
  <c r="I34" i="20"/>
  <c r="R34" i="20" s="1"/>
  <c r="K34" i="20"/>
  <c r="J34" i="20"/>
  <c r="H34" i="20"/>
  <c r="Q34" i="20" s="1"/>
  <c r="I31" i="20"/>
  <c r="R31" i="20" s="1"/>
  <c r="H31" i="20"/>
  <c r="Q31" i="20" s="1"/>
  <c r="J31" i="20"/>
  <c r="K31" i="20"/>
  <c r="G30" i="21"/>
  <c r="N30" i="21"/>
  <c r="P30" i="21"/>
  <c r="K103" i="2"/>
  <c r="Y19" i="10" s="1"/>
  <c r="G34" i="21"/>
  <c r="P34" i="21"/>
  <c r="N34" i="21"/>
  <c r="G31" i="21"/>
  <c r="N31" i="21"/>
  <c r="P31" i="21"/>
  <c r="J30" i="20"/>
  <c r="H30" i="20"/>
  <c r="Q30" i="20" s="1"/>
  <c r="I30" i="20"/>
  <c r="R30" i="20" s="1"/>
  <c r="K30" i="20"/>
  <c r="K102" i="2"/>
  <c r="K32" i="20"/>
  <c r="J32" i="20"/>
  <c r="H32" i="20"/>
  <c r="Q32" i="20" s="1"/>
  <c r="I32" i="20"/>
  <c r="R32" i="20" s="1"/>
  <c r="J24" i="20"/>
  <c r="K24" i="20"/>
  <c r="I24" i="20"/>
  <c r="R24" i="20" s="1"/>
  <c r="H24" i="20"/>
  <c r="Q24" i="20" s="1"/>
  <c r="G32" i="21"/>
  <c r="N32" i="21"/>
  <c r="P32" i="21"/>
  <c r="G23" i="21"/>
  <c r="N23" i="21"/>
  <c r="P23" i="21"/>
  <c r="G24" i="21"/>
  <c r="N24" i="21"/>
  <c r="P24" i="21"/>
  <c r="G33" i="21"/>
  <c r="N33" i="21"/>
  <c r="P33" i="21"/>
  <c r="G36" i="21"/>
  <c r="N36" i="21"/>
  <c r="P36" i="21"/>
  <c r="H29" i="20"/>
  <c r="Q29" i="20" s="1"/>
  <c r="K29" i="20"/>
  <c r="J29" i="20"/>
  <c r="I29" i="20"/>
  <c r="R29" i="20" s="1"/>
  <c r="J27" i="20"/>
  <c r="H27" i="20"/>
  <c r="Q27" i="20" s="1"/>
  <c r="K27" i="20"/>
  <c r="I27" i="20"/>
  <c r="R27" i="20" s="1"/>
  <c r="K99" i="2"/>
  <c r="K100" i="2" s="1"/>
  <c r="I33" i="20"/>
  <c r="R33" i="20" s="1"/>
  <c r="J33" i="20"/>
  <c r="K33" i="20"/>
  <c r="H33" i="20"/>
  <c r="Q33" i="20" s="1"/>
  <c r="I36" i="20"/>
  <c r="R36" i="20" s="1"/>
  <c r="K36" i="20"/>
  <c r="H36" i="20"/>
  <c r="Q36" i="20" s="1"/>
  <c r="J36" i="20"/>
  <c r="G29" i="21"/>
  <c r="N29" i="21"/>
  <c r="P29" i="21"/>
  <c r="G27" i="21"/>
  <c r="P27" i="21"/>
  <c r="N27" i="21"/>
  <c r="BF20" i="12"/>
  <c r="AH79" i="12"/>
  <c r="V34" i="21" s="1"/>
  <c r="BF49" i="12"/>
  <c r="AH22" i="12"/>
  <c r="V23" i="21" s="1"/>
  <c r="BR45" i="12"/>
  <c r="AH72" i="12"/>
  <c r="V33" i="21" s="1"/>
  <c r="BF30" i="12"/>
  <c r="AI72" i="12"/>
  <c r="BF60" i="12"/>
  <c r="BF31" i="12"/>
  <c r="AH58" i="12"/>
  <c r="V31" i="21" s="1"/>
  <c r="AI79" i="12"/>
  <c r="AR34" i="12"/>
  <c r="BH53" i="12"/>
  <c r="AR44" i="12"/>
  <c r="BH55" i="12"/>
  <c r="T101" i="2"/>
  <c r="AI58" i="12"/>
  <c r="AR22" i="12"/>
  <c r="BH49" i="12"/>
  <c r="T99" i="2"/>
  <c r="T100" i="2" s="1"/>
  <c r="BF28" i="12"/>
  <c r="AR58" i="12"/>
  <c r="BH57" i="12"/>
  <c r="AR72" i="12"/>
  <c r="BH59" i="12"/>
  <c r="BF62" i="12"/>
  <c r="BG62" i="12"/>
  <c r="T102" i="2"/>
  <c r="BF58" i="12"/>
  <c r="BG58" i="12"/>
  <c r="BF57" i="12"/>
  <c r="BG57" i="12"/>
  <c r="AR79" i="12"/>
  <c r="BH60" i="12"/>
  <c r="AR25" i="12"/>
  <c r="BH50" i="12"/>
  <c r="AR65" i="12"/>
  <c r="BH58" i="12"/>
  <c r="BF53" i="12"/>
  <c r="BG53" i="12"/>
  <c r="AR51" i="12"/>
  <c r="BH56" i="12"/>
  <c r="AR93" i="12"/>
  <c r="BH62" i="12"/>
  <c r="BF56" i="12"/>
  <c r="BG56" i="12"/>
  <c r="AF53" i="14"/>
  <c r="U5" i="14"/>
  <c r="BG59" i="12"/>
  <c r="BF59" i="12"/>
  <c r="Y101" i="2"/>
  <c r="AO22" i="9"/>
  <c r="AN22" i="9"/>
  <c r="X36" i="14"/>
  <c r="BG34" i="12"/>
  <c r="Y52" i="10"/>
  <c r="Y53" i="10"/>
  <c r="Y51" i="10"/>
  <c r="Y54" i="10"/>
  <c r="Y50" i="10"/>
  <c r="Y49" i="10"/>
  <c r="K30" i="13"/>
  <c r="I30" i="13"/>
  <c r="O30" i="13" s="1"/>
  <c r="AB30" i="21" s="1"/>
  <c r="AF30" i="21" s="1"/>
  <c r="H30" i="13"/>
  <c r="N30" i="13" s="1"/>
  <c r="AA30" i="21" s="1"/>
  <c r="J30" i="13"/>
  <c r="I24" i="13"/>
  <c r="O24" i="13" s="1"/>
  <c r="AB24" i="21" s="1"/>
  <c r="AF24" i="21" s="1"/>
  <c r="J24" i="13"/>
  <c r="H24" i="13"/>
  <c r="N24" i="13" s="1"/>
  <c r="AA24" i="21" s="1"/>
  <c r="K24" i="13"/>
  <c r="I23" i="13"/>
  <c r="H23" i="13"/>
  <c r="K23" i="13"/>
  <c r="J23" i="13"/>
  <c r="AN79" i="9"/>
  <c r="AO79" i="9"/>
  <c r="AI34" i="12"/>
  <c r="AH34" i="12"/>
  <c r="V27" i="21" s="1"/>
  <c r="BF24" i="12"/>
  <c r="BJ28" i="12"/>
  <c r="AO58" i="12"/>
  <c r="BK28" i="12" s="1"/>
  <c r="BJ24" i="12"/>
  <c r="AO34" i="12"/>
  <c r="BK24" i="12" s="1"/>
  <c r="AA16" i="14"/>
  <c r="AN58" i="9"/>
  <c r="AO58" i="9"/>
  <c r="W17" i="14"/>
  <c r="F102" i="2"/>
  <c r="F103" i="2"/>
  <c r="Y14" i="10" s="1"/>
  <c r="F101" i="2"/>
  <c r="F99" i="2"/>
  <c r="F100" i="2" s="1"/>
  <c r="G32" i="14"/>
  <c r="N32" i="14"/>
  <c r="P32" i="14"/>
  <c r="J103" i="2"/>
  <c r="Y18" i="10" s="1"/>
  <c r="J102" i="2"/>
  <c r="Z102" i="2"/>
  <c r="Z99" i="2"/>
  <c r="Z100" i="2" s="1"/>
  <c r="Z101" i="2"/>
  <c r="G29" i="14"/>
  <c r="P29" i="14"/>
  <c r="N29" i="14"/>
  <c r="L31" i="13"/>
  <c r="BC28" i="12"/>
  <c r="BJ33" i="12"/>
  <c r="AO93" i="12"/>
  <c r="BK33" i="12" s="1"/>
  <c r="N31" i="14"/>
  <c r="P31" i="14"/>
  <c r="G31" i="14"/>
  <c r="BJ30" i="12"/>
  <c r="AO72" i="12"/>
  <c r="BK30" i="12" s="1"/>
  <c r="AO25" i="12"/>
  <c r="BK21" i="12" s="1"/>
  <c r="BJ21" i="12"/>
  <c r="H34" i="13"/>
  <c r="N34" i="13" s="1"/>
  <c r="AA34" i="21" s="1"/>
  <c r="J34" i="13"/>
  <c r="I34" i="13"/>
  <c r="O34" i="13" s="1"/>
  <c r="AB34" i="21" s="1"/>
  <c r="AF34" i="21" s="1"/>
  <c r="K34" i="13"/>
  <c r="U102" i="2"/>
  <c r="U103" i="2"/>
  <c r="U99" i="2"/>
  <c r="U100" i="2" s="1"/>
  <c r="U101" i="2"/>
  <c r="L26" i="10"/>
  <c r="L25" i="10"/>
  <c r="AO65" i="9"/>
  <c r="AN65" i="9"/>
  <c r="P102" i="2"/>
  <c r="P101" i="2"/>
  <c r="P99" i="2"/>
  <c r="P100" i="2" s="1"/>
  <c r="W102" i="2"/>
  <c r="W99" i="2"/>
  <c r="W100" i="2" s="1"/>
  <c r="W101" i="2"/>
  <c r="AO65" i="12"/>
  <c r="BK29" i="12" s="1"/>
  <c r="BJ29" i="12"/>
  <c r="L103" i="2"/>
  <c r="L102" i="2"/>
  <c r="L101" i="2"/>
  <c r="L99" i="2"/>
  <c r="L100" i="2" s="1"/>
  <c r="N28" i="14"/>
  <c r="G28" i="14"/>
  <c r="P28" i="14"/>
  <c r="V103" i="2"/>
  <c r="V102" i="2"/>
  <c r="V99" i="2"/>
  <c r="V100" i="2" s="1"/>
  <c r="V101" i="2"/>
  <c r="H31" i="13"/>
  <c r="N31" i="13" s="1"/>
  <c r="AA31" i="21" s="1"/>
  <c r="J31" i="13"/>
  <c r="I31" i="13"/>
  <c r="O31" i="13" s="1"/>
  <c r="AB31" i="21" s="1"/>
  <c r="AF31" i="21" s="1"/>
  <c r="K31" i="13"/>
  <c r="N33" i="14"/>
  <c r="G33" i="14"/>
  <c r="P33" i="14"/>
  <c r="Q102" i="2"/>
  <c r="Q103" i="2"/>
  <c r="AO51" i="9"/>
  <c r="AN51" i="9"/>
  <c r="AO34" i="9"/>
  <c r="AN34" i="9"/>
  <c r="BC20" i="12"/>
  <c r="L23" i="13"/>
  <c r="L24" i="10"/>
  <c r="L23" i="10"/>
  <c r="M102" i="2"/>
  <c r="AO22" i="12"/>
  <c r="BK20" i="12" s="1"/>
  <c r="BJ20" i="12"/>
  <c r="Z16" i="14"/>
  <c r="J32" i="13"/>
  <c r="H32" i="13"/>
  <c r="N32" i="13" s="1"/>
  <c r="AA32" i="21" s="1"/>
  <c r="I32" i="13"/>
  <c r="O32" i="13" s="1"/>
  <c r="AB32" i="21" s="1"/>
  <c r="AF32" i="21" s="1"/>
  <c r="K32" i="13"/>
  <c r="AI65" i="12"/>
  <c r="BF29" i="12"/>
  <c r="AH65" i="12"/>
  <c r="V32" i="21" s="1"/>
  <c r="W16" i="14"/>
  <c r="AO72" i="9"/>
  <c r="AN72" i="9"/>
  <c r="AI51" i="12"/>
  <c r="BF27" i="12"/>
  <c r="AH51" i="12"/>
  <c r="V30" i="21" s="1"/>
  <c r="O102" i="2"/>
  <c r="O103" i="2"/>
  <c r="AN93" i="9"/>
  <c r="AO93" i="9"/>
  <c r="N30" i="14"/>
  <c r="P30" i="14"/>
  <c r="G30" i="14"/>
  <c r="AG17" i="14"/>
  <c r="AE17" i="14"/>
  <c r="P26" i="14"/>
  <c r="G26" i="14"/>
  <c r="N26" i="14"/>
  <c r="L32" i="13"/>
  <c r="BC29" i="12"/>
  <c r="AO44" i="12"/>
  <c r="BK26" i="12" s="1"/>
  <c r="BJ26" i="12"/>
  <c r="L29" i="10"/>
  <c r="L30" i="10"/>
  <c r="W20" i="14"/>
  <c r="BJ27" i="12"/>
  <c r="AO51" i="12"/>
  <c r="BK27" i="12" s="1"/>
  <c r="V20" i="14"/>
  <c r="G103" i="2"/>
  <c r="Y15" i="10" s="1"/>
  <c r="G102" i="2"/>
  <c r="V53" i="14"/>
  <c r="U64" i="14" s="1"/>
  <c r="V16" i="14"/>
  <c r="AI93" i="12"/>
  <c r="BF33" i="12"/>
  <c r="AH93" i="12"/>
  <c r="V36" i="21" s="1"/>
  <c r="AN25" i="9"/>
  <c r="AO25" i="9"/>
  <c r="K27" i="13"/>
  <c r="J27" i="13"/>
  <c r="H27" i="13"/>
  <c r="N27" i="13" s="1"/>
  <c r="AA27" i="21" s="1"/>
  <c r="I27" i="13"/>
  <c r="O27" i="13" s="1"/>
  <c r="AB27" i="21" s="1"/>
  <c r="AF27" i="21" s="1"/>
  <c r="BC24" i="12"/>
  <c r="L27" i="13"/>
  <c r="L30" i="13"/>
  <c r="BC27" i="12"/>
  <c r="L71" i="10"/>
  <c r="L69" i="10"/>
  <c r="L70" i="10"/>
  <c r="L67" i="10"/>
  <c r="L72" i="10"/>
  <c r="L68" i="10"/>
  <c r="BG31" i="12"/>
  <c r="X33" i="14"/>
  <c r="X23" i="14"/>
  <c r="BG21" i="12"/>
  <c r="I102" i="2"/>
  <c r="I103" i="2"/>
  <c r="Y17" i="10" s="1"/>
  <c r="BC33" i="12"/>
  <c r="L36" i="13"/>
  <c r="G22" i="14"/>
  <c r="P22" i="14"/>
  <c r="N22" i="14"/>
  <c r="L33" i="13"/>
  <c r="BC30" i="12"/>
  <c r="BG20" i="12"/>
  <c r="X22" i="14"/>
  <c r="AG20" i="14"/>
  <c r="AE20" i="14"/>
  <c r="BJ31" i="12"/>
  <c r="AO79" i="12"/>
  <c r="BK31" i="12" s="1"/>
  <c r="J29" i="13"/>
  <c r="K29" i="13"/>
  <c r="H29" i="13"/>
  <c r="N29" i="13" s="1"/>
  <c r="AA29" i="21" s="1"/>
  <c r="I29" i="13"/>
  <c r="O29" i="13" s="1"/>
  <c r="AB29" i="21" s="1"/>
  <c r="AF29" i="21" s="1"/>
  <c r="H103" i="2"/>
  <c r="Y16" i="10" s="1"/>
  <c r="H102" i="2"/>
  <c r="M99" i="2"/>
  <c r="M100" i="2" s="1"/>
  <c r="G35" i="14"/>
  <c r="P35" i="14"/>
  <c r="N35" i="14"/>
  <c r="S103" i="2"/>
  <c r="S102" i="2"/>
  <c r="S101" i="2"/>
  <c r="S99" i="2"/>
  <c r="S100" i="2" s="1"/>
  <c r="AN44" i="9"/>
  <c r="AO44" i="9"/>
  <c r="J101" i="2"/>
  <c r="H101" i="2"/>
  <c r="H99" i="2"/>
  <c r="H100" i="2" s="1"/>
  <c r="J99" i="2"/>
  <c r="J100" i="2" s="1"/>
  <c r="N23" i="14"/>
  <c r="P23" i="14"/>
  <c r="G23" i="14"/>
  <c r="L24" i="13"/>
  <c r="BC21" i="12"/>
  <c r="I101" i="2"/>
  <c r="L29" i="13"/>
  <c r="BC26" i="12"/>
  <c r="X28" i="14"/>
  <c r="BG26" i="12"/>
  <c r="AE21" i="14"/>
  <c r="AG21" i="14"/>
  <c r="M101" i="2"/>
  <c r="R103" i="2"/>
  <c r="R102" i="2"/>
  <c r="R99" i="2"/>
  <c r="R100" i="2" s="1"/>
  <c r="R101" i="2"/>
  <c r="K36" i="13"/>
  <c r="I36" i="13"/>
  <c r="O36" i="13" s="1"/>
  <c r="AB36" i="21" s="1"/>
  <c r="AF36" i="21" s="1"/>
  <c r="J36" i="13"/>
  <c r="H36" i="13"/>
  <c r="N36" i="13" s="1"/>
  <c r="AA36" i="21" s="1"/>
  <c r="X103" i="2"/>
  <c r="X102" i="2"/>
  <c r="X101" i="2"/>
  <c r="X99" i="2"/>
  <c r="X100" i="2" s="1"/>
  <c r="AE18" i="14"/>
  <c r="AG18" i="14"/>
  <c r="E102" i="2"/>
  <c r="E103" i="2"/>
  <c r="Y13" i="10" s="1"/>
  <c r="D93" i="2"/>
  <c r="E99" i="2"/>
  <c r="E100" i="2" s="1"/>
  <c r="E101" i="2"/>
  <c r="Y99" i="2"/>
  <c r="Y100" i="2" s="1"/>
  <c r="AE19" i="14"/>
  <c r="AG19" i="14"/>
  <c r="K33" i="13"/>
  <c r="I33" i="13"/>
  <c r="O33" i="13" s="1"/>
  <c r="AB33" i="21" s="1"/>
  <c r="AF33" i="21" s="1"/>
  <c r="J33" i="13"/>
  <c r="H33" i="13"/>
  <c r="N33" i="13" s="1"/>
  <c r="AA33" i="21" s="1"/>
  <c r="X30" i="14" l="1"/>
  <c r="BG28" i="12"/>
  <c r="O27" i="23"/>
  <c r="Q27" i="23" s="1"/>
  <c r="T27" i="23" s="1"/>
  <c r="O27" i="22"/>
  <c r="Q27" i="22" s="1"/>
  <c r="S27" i="21"/>
  <c r="U27" i="21" s="1"/>
  <c r="Q27" i="21"/>
  <c r="R23" i="21"/>
  <c r="T23" i="21" s="1"/>
  <c r="O23" i="21"/>
  <c r="O66" i="23"/>
  <c r="Q66" i="23" s="1"/>
  <c r="T66" i="23" s="1"/>
  <c r="O66" i="22"/>
  <c r="Q66" i="22" s="1"/>
  <c r="O26" i="23"/>
  <c r="Q26" i="23" s="1"/>
  <c r="T26" i="23" s="1"/>
  <c r="O26" i="22"/>
  <c r="Q26" i="22" s="1"/>
  <c r="Q33" i="21"/>
  <c r="S33" i="21"/>
  <c r="U33" i="21" s="1"/>
  <c r="Q30" i="21"/>
  <c r="S30" i="21"/>
  <c r="U30" i="21" s="1"/>
  <c r="O30" i="21"/>
  <c r="R30" i="21"/>
  <c r="T30" i="21" s="1"/>
  <c r="O20" i="23"/>
  <c r="Q20" i="23" s="1"/>
  <c r="T20" i="23" s="1"/>
  <c r="O20" i="22"/>
  <c r="Q20" i="22" s="1"/>
  <c r="O25" i="10"/>
  <c r="R25" i="10" s="1"/>
  <c r="W25" i="10" s="1"/>
  <c r="O22" i="23"/>
  <c r="Q22" i="23" s="1"/>
  <c r="T22" i="23" s="1"/>
  <c r="O22" i="22"/>
  <c r="Q22" i="22" s="1"/>
  <c r="O29" i="21"/>
  <c r="R29" i="21"/>
  <c r="T29" i="21" s="1"/>
  <c r="O32" i="21"/>
  <c r="R32" i="21"/>
  <c r="T32" i="21" s="1"/>
  <c r="R31" i="21"/>
  <c r="T31" i="21" s="1"/>
  <c r="O31" i="21"/>
  <c r="O68" i="23"/>
  <c r="Q68" i="23" s="1"/>
  <c r="T68" i="23" s="1"/>
  <c r="O68" i="22"/>
  <c r="Q68" i="22" s="1"/>
  <c r="Q31" i="21"/>
  <c r="S31" i="21"/>
  <c r="U31" i="21" s="1"/>
  <c r="Y20" i="10"/>
  <c r="AA20" i="10" s="1"/>
  <c r="AB20" i="10" s="1"/>
  <c r="O21" i="23"/>
  <c r="Q21" i="23" s="1"/>
  <c r="T21" i="23" s="1"/>
  <c r="O21" i="22"/>
  <c r="Q21" i="22" s="1"/>
  <c r="O23" i="23"/>
  <c r="Q23" i="23" s="1"/>
  <c r="T23" i="23" s="1"/>
  <c r="O23" i="22"/>
  <c r="Q23" i="22" s="1"/>
  <c r="S24" i="21"/>
  <c r="U24" i="21" s="1"/>
  <c r="Q24" i="21"/>
  <c r="S32" i="21"/>
  <c r="U32" i="21" s="1"/>
  <c r="Q32" i="21"/>
  <c r="O65" i="22"/>
  <c r="Q65" i="22" s="1"/>
  <c r="O65" i="23"/>
  <c r="Q65" i="23" s="1"/>
  <c r="T65" i="23" s="1"/>
  <c r="R24" i="21"/>
  <c r="T24" i="21" s="1"/>
  <c r="O24" i="21"/>
  <c r="R34" i="21"/>
  <c r="T34" i="21" s="1"/>
  <c r="O34" i="21"/>
  <c r="O33" i="21"/>
  <c r="R33" i="21"/>
  <c r="T33" i="21" s="1"/>
  <c r="O69" i="22"/>
  <c r="Q69" i="22" s="1"/>
  <c r="O69" i="23"/>
  <c r="Q69" i="23" s="1"/>
  <c r="T69" i="23" s="1"/>
  <c r="S36" i="21"/>
  <c r="U36" i="21" s="1"/>
  <c r="Q36" i="21"/>
  <c r="Q34" i="21"/>
  <c r="S34" i="21"/>
  <c r="U34" i="21" s="1"/>
  <c r="O67" i="23"/>
  <c r="Q67" i="23" s="1"/>
  <c r="T67" i="23" s="1"/>
  <c r="O67" i="22"/>
  <c r="Q67" i="22" s="1"/>
  <c r="Q29" i="21"/>
  <c r="S29" i="21"/>
  <c r="U29" i="21" s="1"/>
  <c r="O64" i="23"/>
  <c r="Q64" i="23" s="1"/>
  <c r="T64" i="23" s="1"/>
  <c r="O64" i="22"/>
  <c r="Q64" i="22" s="1"/>
  <c r="R27" i="21"/>
  <c r="T27" i="21" s="1"/>
  <c r="O27" i="21"/>
  <c r="R36" i="21"/>
  <c r="T36" i="21" s="1"/>
  <c r="O36" i="21"/>
  <c r="Q23" i="21"/>
  <c r="S23" i="21"/>
  <c r="U23" i="21" s="1"/>
  <c r="U14" i="23"/>
  <c r="W14" i="23" s="1"/>
  <c r="R14" i="22"/>
  <c r="S14" i="22" s="1"/>
  <c r="U15" i="23"/>
  <c r="W15" i="23" s="1"/>
  <c r="R15" i="22"/>
  <c r="S15" i="22" s="1"/>
  <c r="U47" i="23"/>
  <c r="W47" i="23" s="1"/>
  <c r="R47" i="22"/>
  <c r="S47" i="22" s="1"/>
  <c r="R46" i="22"/>
  <c r="S46" i="22" s="1"/>
  <c r="U46" i="23"/>
  <c r="W46" i="23" s="1"/>
  <c r="U16" i="23"/>
  <c r="W16" i="23" s="1"/>
  <c r="R16" i="22"/>
  <c r="S16" i="22" s="1"/>
  <c r="R51" i="22"/>
  <c r="S51" i="22" s="1"/>
  <c r="U51" i="23"/>
  <c r="W51" i="23" s="1"/>
  <c r="X32" i="14"/>
  <c r="R12" i="22"/>
  <c r="S12" i="22" s="1"/>
  <c r="U12" i="23"/>
  <c r="W12" i="23" s="1"/>
  <c r="U48" i="23"/>
  <c r="W48" i="23" s="1"/>
  <c r="R48" i="22"/>
  <c r="S48" i="22" s="1"/>
  <c r="R50" i="22"/>
  <c r="S50" i="22" s="1"/>
  <c r="U50" i="23"/>
  <c r="W50" i="23" s="1"/>
  <c r="U10" i="23"/>
  <c r="W10" i="23" s="1"/>
  <c r="R10" i="22"/>
  <c r="S10" i="22" s="1"/>
  <c r="U49" i="23"/>
  <c r="W49" i="23" s="1"/>
  <c r="R49" i="22"/>
  <c r="S49" i="22" s="1"/>
  <c r="BG30" i="12"/>
  <c r="U13" i="23"/>
  <c r="W13" i="23" s="1"/>
  <c r="R13" i="22"/>
  <c r="S13" i="22" s="1"/>
  <c r="R11" i="22"/>
  <c r="S11" i="22" s="1"/>
  <c r="U11" i="23"/>
  <c r="W11" i="23" s="1"/>
  <c r="Z64" i="14"/>
  <c r="AE64" i="14" s="1"/>
  <c r="E17" i="18"/>
  <c r="I17" i="18" s="1"/>
  <c r="AB17" i="18" s="1"/>
  <c r="K17" i="11"/>
  <c r="AL12" i="17"/>
  <c r="E17" i="19"/>
  <c r="J17" i="19" s="1"/>
  <c r="AB17" i="19" s="1"/>
  <c r="AJ17" i="19" s="1"/>
  <c r="AA16" i="10"/>
  <c r="AB16" i="10" s="1"/>
  <c r="W53" i="14"/>
  <c r="AA32" i="14"/>
  <c r="Q35" i="14"/>
  <c r="U35" i="14"/>
  <c r="W35" i="14" s="1"/>
  <c r="Z35" i="14"/>
  <c r="T22" i="14"/>
  <c r="O22" i="14"/>
  <c r="F72" i="5"/>
  <c r="G72" i="5" s="1"/>
  <c r="H72" i="5" s="1"/>
  <c r="E70" i="11"/>
  <c r="H70" i="11" s="1"/>
  <c r="F70" i="4"/>
  <c r="G70" i="4" s="1"/>
  <c r="E82" i="6"/>
  <c r="I82" i="6" s="1"/>
  <c r="AB82" i="6" s="1"/>
  <c r="O65" i="17"/>
  <c r="O69" i="10"/>
  <c r="R69" i="10" s="1"/>
  <c r="Q30" i="14"/>
  <c r="U30" i="14"/>
  <c r="W30" i="14" s="1"/>
  <c r="AG16" i="14"/>
  <c r="AE16" i="14"/>
  <c r="Q33" i="14"/>
  <c r="U33" i="14"/>
  <c r="W33" i="14" s="1"/>
  <c r="AA33" i="14"/>
  <c r="Q29" i="14"/>
  <c r="U29" i="14"/>
  <c r="W29" i="14" s="1"/>
  <c r="O32" i="14"/>
  <c r="T32" i="14"/>
  <c r="V32" i="14" s="1"/>
  <c r="AA23" i="14"/>
  <c r="E61" i="18"/>
  <c r="I61" i="18" s="1"/>
  <c r="AB61" i="18" s="1"/>
  <c r="AA51" i="10"/>
  <c r="AB51" i="10" s="1"/>
  <c r="E61" i="19"/>
  <c r="J61" i="19" s="1"/>
  <c r="AB61" i="19" s="1"/>
  <c r="AJ61" i="19" s="1"/>
  <c r="AO61" i="19" s="1"/>
  <c r="AL47" i="17"/>
  <c r="K52" i="11"/>
  <c r="Y39" i="10"/>
  <c r="Y40" i="10"/>
  <c r="Y41" i="10"/>
  <c r="Y42" i="10"/>
  <c r="Y37" i="10"/>
  <c r="Y38" i="10"/>
  <c r="AA35" i="14"/>
  <c r="AA28" i="14"/>
  <c r="O33" i="14"/>
  <c r="T33" i="14"/>
  <c r="V33" i="14" s="1"/>
  <c r="Y64" i="10"/>
  <c r="Y66" i="10"/>
  <c r="Y65" i="10"/>
  <c r="Y61" i="10"/>
  <c r="Y62" i="10"/>
  <c r="Y63" i="10"/>
  <c r="E30" i="6"/>
  <c r="I30" i="6" s="1"/>
  <c r="AB30" i="6" s="1"/>
  <c r="E27" i="11"/>
  <c r="H27" i="11" s="1"/>
  <c r="O26" i="10"/>
  <c r="R26" i="10" s="1"/>
  <c r="O22" i="17"/>
  <c r="F27" i="4"/>
  <c r="G27" i="4" s="1"/>
  <c r="F29" i="5"/>
  <c r="G29" i="5" s="1"/>
  <c r="H29" i="5" s="1"/>
  <c r="Z33" i="14"/>
  <c r="O31" i="14"/>
  <c r="T31" i="14"/>
  <c r="V31" i="14" s="1"/>
  <c r="Z29" i="14"/>
  <c r="K53" i="11"/>
  <c r="E62" i="18"/>
  <c r="I62" i="18" s="1"/>
  <c r="AB62" i="18" s="1"/>
  <c r="AA52" i="10"/>
  <c r="AB52" i="10" s="1"/>
  <c r="E62" i="19"/>
  <c r="J62" i="19" s="1"/>
  <c r="AB62" i="19" s="1"/>
  <c r="AJ62" i="19" s="1"/>
  <c r="AO62" i="19" s="1"/>
  <c r="AL48" i="17"/>
  <c r="T26" i="14"/>
  <c r="O26" i="14"/>
  <c r="Y22" i="10"/>
  <c r="Y21" i="10"/>
  <c r="K54" i="11"/>
  <c r="AA53" i="10"/>
  <c r="AB53" i="10" s="1"/>
  <c r="E63" i="19"/>
  <c r="J63" i="19" s="1"/>
  <c r="AB63" i="19" s="1"/>
  <c r="AJ63" i="19" s="1"/>
  <c r="AO63" i="19" s="1"/>
  <c r="E63" i="18"/>
  <c r="I63" i="18" s="1"/>
  <c r="AB63" i="18" s="1"/>
  <c r="AL49" i="17"/>
  <c r="Z32" i="14"/>
  <c r="Y46" i="10"/>
  <c r="Y43" i="10"/>
  <c r="Y45" i="10"/>
  <c r="Y44" i="10"/>
  <c r="Y47" i="10"/>
  <c r="Y48" i="10"/>
  <c r="Z28" i="14"/>
  <c r="AA15" i="10"/>
  <c r="AB15" i="10" s="1"/>
  <c r="AL11" i="17"/>
  <c r="E16" i="18"/>
  <c r="I16" i="18" s="1"/>
  <c r="AB16" i="18" s="1"/>
  <c r="E16" i="19"/>
  <c r="J16" i="19" s="1"/>
  <c r="AB16" i="19" s="1"/>
  <c r="AJ16" i="19" s="1"/>
  <c r="K16" i="11"/>
  <c r="E36" i="6"/>
  <c r="I36" i="6" s="1"/>
  <c r="AB36" i="6" s="1"/>
  <c r="E31" i="11"/>
  <c r="H31" i="11" s="1"/>
  <c r="F31" i="4"/>
  <c r="G31" i="4" s="1"/>
  <c r="F33" i="5"/>
  <c r="G33" i="5" s="1"/>
  <c r="H33" i="5" s="1"/>
  <c r="O26" i="17"/>
  <c r="O30" i="10"/>
  <c r="R30" i="10" s="1"/>
  <c r="U26" i="14"/>
  <c r="W26" i="14" s="1"/>
  <c r="Q26" i="14"/>
  <c r="AA31" i="14"/>
  <c r="Q28" i="14"/>
  <c r="U28" i="14"/>
  <c r="W28" i="14" s="1"/>
  <c r="N23" i="13"/>
  <c r="AA23" i="21" s="1"/>
  <c r="AA29" i="14"/>
  <c r="O67" i="17"/>
  <c r="F72" i="4"/>
  <c r="G72" i="4" s="1"/>
  <c r="E84" i="6"/>
  <c r="I84" i="6" s="1"/>
  <c r="AB84" i="6" s="1"/>
  <c r="E72" i="11"/>
  <c r="H72" i="11" s="1"/>
  <c r="O71" i="10"/>
  <c r="R71" i="10" s="1"/>
  <c r="F74" i="5"/>
  <c r="G74" i="5" s="1"/>
  <c r="H74" i="5" s="1"/>
  <c r="O30" i="14"/>
  <c r="T30" i="14"/>
  <c r="V30" i="14" s="1"/>
  <c r="U31" i="14"/>
  <c r="W31" i="14" s="1"/>
  <c r="Q31" i="14"/>
  <c r="E20" i="19"/>
  <c r="J20" i="19" s="1"/>
  <c r="AB20" i="19" s="1"/>
  <c r="AA19" i="10"/>
  <c r="AB19" i="10" s="1"/>
  <c r="E20" i="18"/>
  <c r="I20" i="18" s="1"/>
  <c r="AB20" i="18" s="1"/>
  <c r="AL15" i="17"/>
  <c r="K20" i="11"/>
  <c r="O35" i="14"/>
  <c r="T35" i="14"/>
  <c r="V35" i="14" s="1"/>
  <c r="E69" i="11"/>
  <c r="H69" i="11" s="1"/>
  <c r="F71" i="5"/>
  <c r="G71" i="5" s="1"/>
  <c r="H71" i="5" s="1"/>
  <c r="F69" i="4"/>
  <c r="G69" i="4" s="1"/>
  <c r="E81" i="6"/>
  <c r="I81" i="6" s="1"/>
  <c r="AB81" i="6" s="1"/>
  <c r="O64" i="17"/>
  <c r="O68" i="10"/>
  <c r="R68" i="10" s="1"/>
  <c r="X35" i="14"/>
  <c r="BG33" i="12"/>
  <c r="F32" i="5"/>
  <c r="G32" i="5" s="1"/>
  <c r="H32" i="5" s="1"/>
  <c r="E35" i="6"/>
  <c r="I35" i="6" s="1"/>
  <c r="AB35" i="6" s="1"/>
  <c r="F30" i="4"/>
  <c r="G30" i="4" s="1"/>
  <c r="E30" i="11"/>
  <c r="H30" i="11" s="1"/>
  <c r="O29" i="10"/>
  <c r="R29" i="10" s="1"/>
  <c r="O25" i="17"/>
  <c r="Y27" i="10"/>
  <c r="Y28" i="10"/>
  <c r="V5" i="14"/>
  <c r="W5" i="14"/>
  <c r="Z31" i="14"/>
  <c r="AA30" i="14"/>
  <c r="BG24" i="12"/>
  <c r="X26" i="14"/>
  <c r="O23" i="13"/>
  <c r="AB23" i="21" s="1"/>
  <c r="AF23" i="21" s="1"/>
  <c r="E73" i="11"/>
  <c r="H73" i="11" s="1"/>
  <c r="F73" i="4"/>
  <c r="G73" i="4" s="1"/>
  <c r="F75" i="5"/>
  <c r="G75" i="5" s="1"/>
  <c r="H75" i="5" s="1"/>
  <c r="E85" i="6"/>
  <c r="I85" i="6" s="1"/>
  <c r="AB85" i="6" s="1"/>
  <c r="O68" i="17"/>
  <c r="O72" i="10"/>
  <c r="R72" i="10" s="1"/>
  <c r="O19" i="17"/>
  <c r="E26" i="6"/>
  <c r="I26" i="6" s="1"/>
  <c r="AB26" i="6" s="1"/>
  <c r="E24" i="11"/>
  <c r="H24" i="11" s="1"/>
  <c r="O23" i="10"/>
  <c r="R23" i="10" s="1"/>
  <c r="F24" i="4"/>
  <c r="G24" i="4" s="1"/>
  <c r="F26" i="5"/>
  <c r="G26" i="5" s="1"/>
  <c r="H26" i="5" s="1"/>
  <c r="O28" i="14"/>
  <c r="T28" i="14"/>
  <c r="V28" i="14" s="1"/>
  <c r="Y59" i="10"/>
  <c r="Y57" i="10"/>
  <c r="Y58" i="10"/>
  <c r="Y56" i="10"/>
  <c r="Y60" i="10"/>
  <c r="Y55" i="10"/>
  <c r="AL10" i="17"/>
  <c r="E15" i="18"/>
  <c r="I15" i="18" s="1"/>
  <c r="AB15" i="18" s="1"/>
  <c r="E15" i="19"/>
  <c r="J15" i="19" s="1"/>
  <c r="AB15" i="19" s="1"/>
  <c r="AJ15" i="19" s="1"/>
  <c r="K15" i="11"/>
  <c r="AA14" i="10"/>
  <c r="AB14" i="10" s="1"/>
  <c r="AA49" i="10"/>
  <c r="AB49" i="10" s="1"/>
  <c r="E59" i="19"/>
  <c r="J59" i="19" s="1"/>
  <c r="AB59" i="19" s="1"/>
  <c r="AL45" i="17"/>
  <c r="E59" i="18"/>
  <c r="I59" i="18" s="1"/>
  <c r="AB59" i="18" s="1"/>
  <c r="K50" i="11"/>
  <c r="F26" i="4"/>
  <c r="G26" i="4" s="1"/>
  <c r="O21" i="17"/>
  <c r="E26" i="11"/>
  <c r="H26" i="11" s="1"/>
  <c r="E29" i="6"/>
  <c r="I29" i="6" s="1"/>
  <c r="AB29" i="6" s="1"/>
  <c r="F28" i="5"/>
  <c r="G28" i="5" s="1"/>
  <c r="H28" i="5" s="1"/>
  <c r="D103" i="2"/>
  <c r="D102" i="2"/>
  <c r="D105" i="2" s="1"/>
  <c r="D99" i="2"/>
  <c r="D100" i="2" s="1"/>
  <c r="D101" i="2"/>
  <c r="U23" i="14"/>
  <c r="Q23" i="14"/>
  <c r="E18" i="19"/>
  <c r="J18" i="19" s="1"/>
  <c r="AB18" i="19" s="1"/>
  <c r="AJ18" i="19" s="1"/>
  <c r="E18" i="18"/>
  <c r="I18" i="18" s="1"/>
  <c r="AB18" i="18" s="1"/>
  <c r="AA17" i="10"/>
  <c r="AB17" i="10" s="1"/>
  <c r="AL13" i="17"/>
  <c r="K18" i="11"/>
  <c r="AA26" i="14"/>
  <c r="BG27" i="12"/>
  <c r="X29" i="14"/>
  <c r="AG53" i="14"/>
  <c r="AM53" i="14" s="1"/>
  <c r="F27" i="5"/>
  <c r="G27" i="5" s="1"/>
  <c r="H27" i="5" s="1"/>
  <c r="O24" i="10"/>
  <c r="R24" i="10" s="1"/>
  <c r="O20" i="17"/>
  <c r="E27" i="6"/>
  <c r="I27" i="6" s="1"/>
  <c r="AB27" i="6" s="1"/>
  <c r="F25" i="4"/>
  <c r="G25" i="4" s="1"/>
  <c r="E25" i="11"/>
  <c r="H25" i="11" s="1"/>
  <c r="Y35" i="10"/>
  <c r="Y32" i="10"/>
  <c r="Y33" i="10"/>
  <c r="Y36" i="10"/>
  <c r="Y31" i="10"/>
  <c r="Y34" i="10"/>
  <c r="Z30" i="14"/>
  <c r="AL14" i="17"/>
  <c r="AA18" i="10"/>
  <c r="AB18" i="10" s="1"/>
  <c r="E19" i="19"/>
  <c r="J19" i="19" s="1"/>
  <c r="AB19" i="19" s="1"/>
  <c r="AJ19" i="19" s="1"/>
  <c r="E19" i="18"/>
  <c r="I19" i="18" s="1"/>
  <c r="AB19" i="18" s="1"/>
  <c r="K19" i="11"/>
  <c r="Z23" i="14"/>
  <c r="E60" i="19"/>
  <c r="J60" i="19" s="1"/>
  <c r="AB60" i="19" s="1"/>
  <c r="AJ60" i="19" s="1"/>
  <c r="AO60" i="19" s="1"/>
  <c r="AL46" i="17"/>
  <c r="K51" i="11"/>
  <c r="AA50" i="10"/>
  <c r="AB50" i="10" s="1"/>
  <c r="E60" i="18"/>
  <c r="I60" i="18" s="1"/>
  <c r="AB60" i="18" s="1"/>
  <c r="U22" i="14"/>
  <c r="Q22" i="14"/>
  <c r="E80" i="6"/>
  <c r="I80" i="6" s="1"/>
  <c r="AB80" i="6" s="1"/>
  <c r="O63" i="17"/>
  <c r="F70" i="5"/>
  <c r="G70" i="5" s="1"/>
  <c r="H70" i="5" s="1"/>
  <c r="O67" i="10"/>
  <c r="R67" i="10" s="1"/>
  <c r="E68" i="11"/>
  <c r="H68" i="11" s="1"/>
  <c r="F68" i="4"/>
  <c r="G68" i="4" s="1"/>
  <c r="AA13" i="10"/>
  <c r="AB13" i="10" s="1"/>
  <c r="E14" i="19"/>
  <c r="J14" i="19" s="1"/>
  <c r="AB14" i="19" s="1"/>
  <c r="AJ14" i="19" s="1"/>
  <c r="E14" i="18"/>
  <c r="I14" i="18" s="1"/>
  <c r="AB14" i="18" s="1"/>
  <c r="K14" i="11"/>
  <c r="N14" i="11" s="1"/>
  <c r="P14" i="11" s="1"/>
  <c r="AL9" i="17"/>
  <c r="Y73" i="10"/>
  <c r="Y76" i="10"/>
  <c r="Y77" i="10"/>
  <c r="Y75" i="10"/>
  <c r="Y74" i="10"/>
  <c r="Y78" i="10"/>
  <c r="O23" i="14"/>
  <c r="T23" i="14"/>
  <c r="F71" i="4"/>
  <c r="G71" i="4" s="1"/>
  <c r="F73" i="5"/>
  <c r="G73" i="5" s="1"/>
  <c r="H73" i="5" s="1"/>
  <c r="E83" i="6"/>
  <c r="I83" i="6" s="1"/>
  <c r="AB83" i="6" s="1"/>
  <c r="E71" i="11"/>
  <c r="H71" i="11" s="1"/>
  <c r="O66" i="17"/>
  <c r="O70" i="10"/>
  <c r="R70" i="10" s="1"/>
  <c r="Z26" i="14"/>
  <c r="X31" i="14"/>
  <c r="BG29" i="12"/>
  <c r="O29" i="14"/>
  <c r="T29" i="14"/>
  <c r="V29" i="14" s="1"/>
  <c r="Q32" i="14"/>
  <c r="U32" i="14"/>
  <c r="W32" i="14" s="1"/>
  <c r="E64" i="18"/>
  <c r="I64" i="18" s="1"/>
  <c r="AB64" i="18" s="1"/>
  <c r="E64" i="19"/>
  <c r="J64" i="19" s="1"/>
  <c r="AB64" i="19" s="1"/>
  <c r="AJ64" i="19" s="1"/>
  <c r="AO64" i="19" s="1"/>
  <c r="AL50" i="17"/>
  <c r="AA54" i="10"/>
  <c r="AB54" i="10" s="1"/>
  <c r="K55" i="11"/>
  <c r="K32" i="5" l="1"/>
  <c r="K28" i="5"/>
  <c r="E21" i="19"/>
  <c r="J21" i="19" s="1"/>
  <c r="AB21" i="19" s="1"/>
  <c r="AJ21" i="19" s="1"/>
  <c r="AO21" i="19" s="1"/>
  <c r="AL16" i="17"/>
  <c r="K21" i="11"/>
  <c r="R17" i="22"/>
  <c r="S17" i="22" s="1"/>
  <c r="E21" i="18"/>
  <c r="I21" i="18" s="1"/>
  <c r="AB21" i="18" s="1"/>
  <c r="AO21" i="18" s="1"/>
  <c r="U17" i="23"/>
  <c r="W17" i="23" s="1"/>
  <c r="AN9" i="17"/>
  <c r="AW9" i="17"/>
  <c r="BB9" i="17" s="1"/>
  <c r="U73" i="23"/>
  <c r="W73" i="23" s="1"/>
  <c r="R73" i="22"/>
  <c r="S73" i="22" s="1"/>
  <c r="R70" i="22"/>
  <c r="S70" i="22" s="1"/>
  <c r="U70" i="23"/>
  <c r="W70" i="23" s="1"/>
  <c r="R28" i="22"/>
  <c r="S28" i="22" s="1"/>
  <c r="U28" i="23"/>
  <c r="W28" i="23" s="1"/>
  <c r="U60" i="23"/>
  <c r="W60" i="23" s="1"/>
  <c r="R60" i="22"/>
  <c r="S60" i="22" s="1"/>
  <c r="R59" i="22"/>
  <c r="S59" i="22" s="1"/>
  <c r="U59" i="23"/>
  <c r="W59" i="23" s="1"/>
  <c r="U30" i="23"/>
  <c r="W30" i="23" s="1"/>
  <c r="R30" i="22"/>
  <c r="S30" i="22" s="1"/>
  <c r="R52" i="22"/>
  <c r="S52" i="22" s="1"/>
  <c r="U52" i="23"/>
  <c r="W52" i="23" s="1"/>
  <c r="R44" i="22"/>
  <c r="S44" i="22" s="1"/>
  <c r="U44" i="23"/>
  <c r="W44" i="23" s="1"/>
  <c r="U58" i="23"/>
  <c r="W58" i="23" s="1"/>
  <c r="R58" i="22"/>
  <c r="S58" i="22" s="1"/>
  <c r="R35" i="22"/>
  <c r="S35" i="22" s="1"/>
  <c r="U35" i="23"/>
  <c r="W35" i="23" s="1"/>
  <c r="R75" i="22"/>
  <c r="S75" i="22" s="1"/>
  <c r="U75" i="23"/>
  <c r="W75" i="23" s="1"/>
  <c r="R57" i="22"/>
  <c r="S57" i="22" s="1"/>
  <c r="U57" i="23"/>
  <c r="W57" i="23" s="1"/>
  <c r="U41" i="23"/>
  <c r="W41" i="23" s="1"/>
  <c r="R41" i="22"/>
  <c r="S41" i="22" s="1"/>
  <c r="U62" i="23"/>
  <c r="W62" i="23" s="1"/>
  <c r="R62" i="22"/>
  <c r="S62" i="22" s="1"/>
  <c r="U34" i="23"/>
  <c r="W34" i="23" s="1"/>
  <c r="R34" i="22"/>
  <c r="S34" i="22" s="1"/>
  <c r="R32" i="22"/>
  <c r="S32" i="22" s="1"/>
  <c r="U32" i="23"/>
  <c r="W32" i="23" s="1"/>
  <c r="U53" i="23"/>
  <c r="W53" i="23" s="1"/>
  <c r="R53" i="22"/>
  <c r="S53" i="22" s="1"/>
  <c r="U42" i="23"/>
  <c r="W42" i="23" s="1"/>
  <c r="R42" i="22"/>
  <c r="S42" i="22" s="1"/>
  <c r="R63" i="22"/>
  <c r="S63" i="22" s="1"/>
  <c r="U63" i="23"/>
  <c r="W63" i="23" s="1"/>
  <c r="U39" i="23"/>
  <c r="W39" i="23" s="1"/>
  <c r="R39" i="22"/>
  <c r="S39" i="22" s="1"/>
  <c r="R45" i="22"/>
  <c r="S45" i="22" s="1"/>
  <c r="U45" i="23"/>
  <c r="W45" i="23" s="1"/>
  <c r="U55" i="23"/>
  <c r="W55" i="23" s="1"/>
  <c r="R55" i="22"/>
  <c r="S55" i="22" s="1"/>
  <c r="U25" i="23"/>
  <c r="W25" i="23" s="1"/>
  <c r="R25" i="22"/>
  <c r="S25" i="22" s="1"/>
  <c r="U40" i="23"/>
  <c r="W40" i="23" s="1"/>
  <c r="R40" i="22"/>
  <c r="S40" i="22" s="1"/>
  <c r="R18" i="22"/>
  <c r="S18" i="22" s="1"/>
  <c r="U18" i="23"/>
  <c r="W18" i="23" s="1"/>
  <c r="U61" i="23"/>
  <c r="W61" i="23" s="1"/>
  <c r="R61" i="22"/>
  <c r="S61" i="22" s="1"/>
  <c r="R38" i="22"/>
  <c r="S38" i="22" s="1"/>
  <c r="U38" i="23"/>
  <c r="W38" i="23" s="1"/>
  <c r="U29" i="23"/>
  <c r="W29" i="23" s="1"/>
  <c r="R29" i="22"/>
  <c r="S29" i="22" s="1"/>
  <c r="R72" i="22"/>
  <c r="S72" i="22" s="1"/>
  <c r="U72" i="23"/>
  <c r="W72" i="23" s="1"/>
  <c r="U74" i="23"/>
  <c r="W74" i="23" s="1"/>
  <c r="R74" i="22"/>
  <c r="S74" i="22" s="1"/>
  <c r="U54" i="23"/>
  <c r="W54" i="23" s="1"/>
  <c r="R54" i="22"/>
  <c r="S54" i="22" s="1"/>
  <c r="R24" i="22"/>
  <c r="S24" i="22" s="1"/>
  <c r="U24" i="23"/>
  <c r="W24" i="23" s="1"/>
  <c r="R43" i="22"/>
  <c r="S43" i="22" s="1"/>
  <c r="U43" i="23"/>
  <c r="W43" i="23" s="1"/>
  <c r="R19" i="22"/>
  <c r="S19" i="22" s="1"/>
  <c r="U19" i="23"/>
  <c r="W19" i="23" s="1"/>
  <c r="R37" i="22"/>
  <c r="S37" i="22" s="1"/>
  <c r="U37" i="23"/>
  <c r="W37" i="23" s="1"/>
  <c r="U33" i="23"/>
  <c r="W33" i="23" s="1"/>
  <c r="R33" i="22"/>
  <c r="S33" i="22" s="1"/>
  <c r="U71" i="23"/>
  <c r="W71" i="23" s="1"/>
  <c r="R71" i="22"/>
  <c r="S71" i="22" s="1"/>
  <c r="R31" i="22"/>
  <c r="S31" i="22" s="1"/>
  <c r="U31" i="23"/>
  <c r="W31" i="23" s="1"/>
  <c r="R56" i="22"/>
  <c r="S56" i="22" s="1"/>
  <c r="U56" i="23"/>
  <c r="W56" i="23" s="1"/>
  <c r="U36" i="23"/>
  <c r="W36" i="23" s="1"/>
  <c r="R36" i="22"/>
  <c r="S36" i="22" s="1"/>
  <c r="AF55" i="14"/>
  <c r="AG55" i="14" s="1"/>
  <c r="Z66" i="14"/>
  <c r="AE66" i="14" s="1"/>
  <c r="AA53" i="14"/>
  <c r="AL72" i="17"/>
  <c r="K77" i="11"/>
  <c r="E90" i="19"/>
  <c r="J90" i="19" s="1"/>
  <c r="AB90" i="19" s="1"/>
  <c r="AJ90" i="19" s="1"/>
  <c r="AO90" i="19" s="1"/>
  <c r="AA76" i="10"/>
  <c r="AB76" i="10" s="1"/>
  <c r="E90" i="18"/>
  <c r="I90" i="18" s="1"/>
  <c r="AB90" i="18" s="1"/>
  <c r="Q80" i="12"/>
  <c r="R86" i="12" s="1"/>
  <c r="J68" i="11"/>
  <c r="AN46" i="17"/>
  <c r="AW46" i="17"/>
  <c r="BB46" i="17" s="1"/>
  <c r="AN19" i="19"/>
  <c r="AO19" i="19"/>
  <c r="E40" i="19"/>
  <c r="J40" i="19" s="1"/>
  <c r="AB40" i="19" s="1"/>
  <c r="AJ40" i="19" s="1"/>
  <c r="AO40" i="19" s="1"/>
  <c r="E40" i="18"/>
  <c r="I40" i="18" s="1"/>
  <c r="AB40" i="18" s="1"/>
  <c r="AL29" i="17"/>
  <c r="K34" i="11"/>
  <c r="AA33" i="10"/>
  <c r="AB33" i="10" s="1"/>
  <c r="AN13" i="17"/>
  <c r="AW13" i="17"/>
  <c r="BB13" i="17" s="1"/>
  <c r="N103" i="2"/>
  <c r="Y26" i="10" s="1"/>
  <c r="P103" i="2"/>
  <c r="Y29" i="10" s="1"/>
  <c r="M103" i="2"/>
  <c r="Y24" i="10" s="1"/>
  <c r="W103" i="2"/>
  <c r="Y67" i="10" s="1"/>
  <c r="N50" i="11"/>
  <c r="AJ59" i="12"/>
  <c r="AO15" i="18"/>
  <c r="AF15" i="18"/>
  <c r="W72" i="10"/>
  <c r="H85" i="18"/>
  <c r="E85" i="9"/>
  <c r="J85" i="9" s="1"/>
  <c r="AB85" i="9" s="1"/>
  <c r="AJ85" i="9" s="1"/>
  <c r="Y72" i="10"/>
  <c r="Q81" i="12"/>
  <c r="J69" i="11"/>
  <c r="Q36" i="12"/>
  <c r="J31" i="11"/>
  <c r="AG28" i="14"/>
  <c r="AE28" i="14"/>
  <c r="AG32" i="14"/>
  <c r="AE32" i="14"/>
  <c r="AE29" i="14"/>
  <c r="AG29" i="14"/>
  <c r="W26" i="10"/>
  <c r="H30" i="18"/>
  <c r="E30" i="9"/>
  <c r="J30" i="9" s="1"/>
  <c r="AB30" i="9" s="1"/>
  <c r="AJ30" i="9" s="1"/>
  <c r="AO30" i="9" s="1"/>
  <c r="K65" i="11"/>
  <c r="E76" i="18"/>
  <c r="I76" i="18" s="1"/>
  <c r="AB76" i="18" s="1"/>
  <c r="E76" i="19"/>
  <c r="J76" i="19" s="1"/>
  <c r="AB76" i="19" s="1"/>
  <c r="AJ76" i="19" s="1"/>
  <c r="AO76" i="19" s="1"/>
  <c r="AA64" i="10"/>
  <c r="AB64" i="10" s="1"/>
  <c r="AL60" i="17"/>
  <c r="E45" i="19"/>
  <c r="J45" i="19" s="1"/>
  <c r="AB45" i="19" s="1"/>
  <c r="E45" i="18"/>
  <c r="I45" i="18" s="1"/>
  <c r="AB45" i="18" s="1"/>
  <c r="AA37" i="10"/>
  <c r="AB37" i="10" s="1"/>
  <c r="AL33" i="17"/>
  <c r="K38" i="11"/>
  <c r="AN50" i="17"/>
  <c r="AW50" i="17"/>
  <c r="BB50" i="17" s="1"/>
  <c r="K33" i="11"/>
  <c r="AL28" i="17"/>
  <c r="AA32" i="10"/>
  <c r="AB32" i="10" s="1"/>
  <c r="E39" i="18"/>
  <c r="I39" i="18" s="1"/>
  <c r="AB39" i="18" s="1"/>
  <c r="E39" i="19"/>
  <c r="J39" i="19" s="1"/>
  <c r="AB39" i="19" s="1"/>
  <c r="AJ39" i="19" s="1"/>
  <c r="AO39" i="19" s="1"/>
  <c r="AO59" i="18"/>
  <c r="AB65" i="18"/>
  <c r="AF59" i="18"/>
  <c r="R68" i="17"/>
  <c r="V68" i="17" s="1"/>
  <c r="AE68" i="17"/>
  <c r="AA28" i="10"/>
  <c r="AB28" i="10" s="1"/>
  <c r="E33" i="18"/>
  <c r="I33" i="18" s="1"/>
  <c r="AB33" i="18" s="1"/>
  <c r="E33" i="19"/>
  <c r="J33" i="19" s="1"/>
  <c r="AB33" i="19" s="1"/>
  <c r="AJ33" i="19" s="1"/>
  <c r="AO33" i="19" s="1"/>
  <c r="K29" i="11"/>
  <c r="AL24" i="17"/>
  <c r="R67" i="17"/>
  <c r="V67" i="17" s="1"/>
  <c r="AE67" i="17"/>
  <c r="AO36" i="6"/>
  <c r="AF36" i="6"/>
  <c r="AK36" i="6" s="1"/>
  <c r="E57" i="19"/>
  <c r="J57" i="19" s="1"/>
  <c r="AB57" i="19" s="1"/>
  <c r="AJ57" i="19" s="1"/>
  <c r="AA48" i="10"/>
  <c r="AB48" i="10" s="1"/>
  <c r="E57" i="18"/>
  <c r="I57" i="18" s="1"/>
  <c r="AB57" i="18" s="1"/>
  <c r="AL44" i="17"/>
  <c r="K49" i="11"/>
  <c r="AN49" i="17"/>
  <c r="AW49" i="17"/>
  <c r="BB49" i="17" s="1"/>
  <c r="V26" i="14"/>
  <c r="Q30" i="12"/>
  <c r="J27" i="11"/>
  <c r="E50" i="18"/>
  <c r="I50" i="18" s="1"/>
  <c r="AB50" i="18" s="1"/>
  <c r="AL38" i="17"/>
  <c r="E50" i="19"/>
  <c r="J50" i="19" s="1"/>
  <c r="AB50" i="19" s="1"/>
  <c r="AJ50" i="19" s="1"/>
  <c r="K43" i="11"/>
  <c r="AA42" i="10"/>
  <c r="AB42" i="10" s="1"/>
  <c r="AO61" i="18"/>
  <c r="AF61" i="18"/>
  <c r="AK61" i="18" s="1"/>
  <c r="K70" i="5"/>
  <c r="AN14" i="17"/>
  <c r="AW14" i="17"/>
  <c r="BB14" i="17" s="1"/>
  <c r="E42" i="18"/>
  <c r="I42" i="18" s="1"/>
  <c r="AB42" i="18" s="1"/>
  <c r="AA35" i="10"/>
  <c r="AB35" i="10" s="1"/>
  <c r="K36" i="11"/>
  <c r="AL31" i="17"/>
  <c r="E42" i="19"/>
  <c r="J42" i="19" s="1"/>
  <c r="AB42" i="19" s="1"/>
  <c r="AJ42" i="19" s="1"/>
  <c r="AH53" i="14"/>
  <c r="AF18" i="18"/>
  <c r="AO18" i="18"/>
  <c r="AP29" i="12"/>
  <c r="AQ31" i="12" s="1"/>
  <c r="E29" i="9"/>
  <c r="J29" i="9" s="1"/>
  <c r="AB29" i="9" s="1"/>
  <c r="H29" i="18"/>
  <c r="AN45" i="17"/>
  <c r="AW45" i="17"/>
  <c r="BB45" i="17" s="1"/>
  <c r="E66" i="19"/>
  <c r="J66" i="19" s="1"/>
  <c r="AB66" i="19" s="1"/>
  <c r="AA55" i="10"/>
  <c r="AB55" i="10" s="1"/>
  <c r="E66" i="18"/>
  <c r="I66" i="18" s="1"/>
  <c r="AB66" i="18" s="1"/>
  <c r="AL51" i="17"/>
  <c r="K56" i="11"/>
  <c r="K26" i="5"/>
  <c r="H86" i="5"/>
  <c r="AF85" i="6"/>
  <c r="AO85" i="6"/>
  <c r="E32" i="18"/>
  <c r="I32" i="18" s="1"/>
  <c r="AB32" i="18" s="1"/>
  <c r="K28" i="11"/>
  <c r="E32" i="19"/>
  <c r="J32" i="19" s="1"/>
  <c r="AB32" i="19" s="1"/>
  <c r="AL23" i="17"/>
  <c r="AA27" i="10"/>
  <c r="AB27" i="10" s="1"/>
  <c r="N16" i="11"/>
  <c r="AJ16" i="12"/>
  <c r="AK16" i="12" s="1"/>
  <c r="E56" i="19"/>
  <c r="J56" i="19" s="1"/>
  <c r="AB56" i="19" s="1"/>
  <c r="AJ56" i="19" s="1"/>
  <c r="AO56" i="19" s="1"/>
  <c r="AO57" i="19" s="1"/>
  <c r="E56" i="18"/>
  <c r="I56" i="18" s="1"/>
  <c r="AB56" i="18" s="1"/>
  <c r="AL43" i="17"/>
  <c r="K48" i="11"/>
  <c r="AA47" i="10"/>
  <c r="AB47" i="10" s="1"/>
  <c r="AO63" i="18"/>
  <c r="AF63" i="18"/>
  <c r="AK63" i="18" s="1"/>
  <c r="AN48" i="17"/>
  <c r="AW48" i="17"/>
  <c r="BB48" i="17" s="1"/>
  <c r="AF30" i="6"/>
  <c r="AK30" i="6" s="1"/>
  <c r="AO30" i="6"/>
  <c r="K42" i="11"/>
  <c r="E49" i="19"/>
  <c r="J49" i="19" s="1"/>
  <c r="AB49" i="19" s="1"/>
  <c r="AJ49" i="19" s="1"/>
  <c r="AL37" i="17"/>
  <c r="E49" i="18"/>
  <c r="I49" i="18" s="1"/>
  <c r="AB49" i="18" s="1"/>
  <c r="AA41" i="10"/>
  <c r="AB41" i="10" s="1"/>
  <c r="W69" i="10"/>
  <c r="H82" i="18"/>
  <c r="E82" i="9"/>
  <c r="J82" i="9" s="1"/>
  <c r="AB82" i="9" s="1"/>
  <c r="AJ82" i="9" s="1"/>
  <c r="AO82" i="9" s="1"/>
  <c r="V54" i="14"/>
  <c r="U65" i="14" s="1"/>
  <c r="V22" i="14"/>
  <c r="X53" i="14"/>
  <c r="W67" i="10"/>
  <c r="E80" i="9"/>
  <c r="J80" i="9" s="1"/>
  <c r="AB80" i="9" s="1"/>
  <c r="H80" i="18"/>
  <c r="AN10" i="17"/>
  <c r="AW10" i="17"/>
  <c r="BB10" i="17" s="1"/>
  <c r="V23" i="14"/>
  <c r="V55" i="14"/>
  <c r="AF64" i="18"/>
  <c r="AK64" i="18" s="1"/>
  <c r="AO64" i="18"/>
  <c r="AE26" i="14"/>
  <c r="AG26" i="14"/>
  <c r="AS14" i="12"/>
  <c r="AT14" i="12" s="1"/>
  <c r="BI43" i="12" s="1"/>
  <c r="AJ14" i="12"/>
  <c r="AK14" i="12" s="1"/>
  <c r="R63" i="17"/>
  <c r="V63" i="17" s="1"/>
  <c r="AE63" i="17"/>
  <c r="AG23" i="14"/>
  <c r="AE23" i="14"/>
  <c r="Q27" i="12"/>
  <c r="J25" i="11"/>
  <c r="AN18" i="19"/>
  <c r="AO18" i="19"/>
  <c r="AB65" i="19"/>
  <c r="AJ59" i="19"/>
  <c r="AL56" i="17"/>
  <c r="K61" i="11"/>
  <c r="AA60" i="10"/>
  <c r="AB60" i="10" s="1"/>
  <c r="E71" i="19"/>
  <c r="J71" i="19" s="1"/>
  <c r="AB71" i="19" s="1"/>
  <c r="AJ71" i="19" s="1"/>
  <c r="E71" i="18"/>
  <c r="I71" i="18" s="1"/>
  <c r="AB71" i="18" s="1"/>
  <c r="AE25" i="17"/>
  <c r="R25" i="17"/>
  <c r="V25" i="17" s="1"/>
  <c r="W68" i="10"/>
  <c r="E81" i="9"/>
  <c r="J81" i="9" s="1"/>
  <c r="AB81" i="9" s="1"/>
  <c r="AJ81" i="9" s="1"/>
  <c r="AO81" i="9" s="1"/>
  <c r="H81" i="18"/>
  <c r="N20" i="11"/>
  <c r="AJ20" i="12"/>
  <c r="AN16" i="19"/>
  <c r="AO16" i="19"/>
  <c r="E53" i="19"/>
  <c r="J53" i="19" s="1"/>
  <c r="AB53" i="19" s="1"/>
  <c r="AJ53" i="19" s="1"/>
  <c r="AO53" i="19" s="1"/>
  <c r="E53" i="18"/>
  <c r="I53" i="18" s="1"/>
  <c r="AB53" i="18" s="1"/>
  <c r="K45" i="11"/>
  <c r="AL40" i="17"/>
  <c r="AA44" i="10"/>
  <c r="AB44" i="10" s="1"/>
  <c r="E75" i="18"/>
  <c r="I75" i="18" s="1"/>
  <c r="AB75" i="18" s="1"/>
  <c r="E75" i="19"/>
  <c r="J75" i="19" s="1"/>
  <c r="AB75" i="19" s="1"/>
  <c r="AJ75" i="19" s="1"/>
  <c r="AO75" i="19" s="1"/>
  <c r="AA63" i="10"/>
  <c r="AB63" i="10" s="1"/>
  <c r="AL59" i="17"/>
  <c r="K64" i="11"/>
  <c r="E48" i="18"/>
  <c r="I48" i="18" s="1"/>
  <c r="AB48" i="18" s="1"/>
  <c r="E48" i="19"/>
  <c r="J48" i="19" s="1"/>
  <c r="AB48" i="19" s="1"/>
  <c r="AJ48" i="19" s="1"/>
  <c r="AO48" i="19" s="1"/>
  <c r="AO49" i="19" s="1"/>
  <c r="AO50" i="19" s="1"/>
  <c r="AA40" i="10"/>
  <c r="AB40" i="10" s="1"/>
  <c r="AL36" i="17"/>
  <c r="K41" i="11"/>
  <c r="AE65" i="17"/>
  <c r="R65" i="17"/>
  <c r="V65" i="17" s="1"/>
  <c r="E87" i="19"/>
  <c r="J87" i="19" s="1"/>
  <c r="AB87" i="19" s="1"/>
  <c r="AA73" i="10"/>
  <c r="AB73" i="10" s="1"/>
  <c r="E87" i="18"/>
  <c r="I87" i="18" s="1"/>
  <c r="AB87" i="18" s="1"/>
  <c r="AL69" i="17"/>
  <c r="K74" i="11"/>
  <c r="W70" i="10"/>
  <c r="H83" i="18"/>
  <c r="E83" i="9"/>
  <c r="J83" i="9" s="1"/>
  <c r="AB83" i="9" s="1"/>
  <c r="AJ83" i="9" s="1"/>
  <c r="AO83" i="9" s="1"/>
  <c r="AA78" i="10"/>
  <c r="AB78" i="10" s="1"/>
  <c r="K79" i="11"/>
  <c r="E92" i="18"/>
  <c r="I92" i="18" s="1"/>
  <c r="AB92" i="18" s="1"/>
  <c r="E92" i="19"/>
  <c r="J92" i="19" s="1"/>
  <c r="AB92" i="19" s="1"/>
  <c r="AJ92" i="19" s="1"/>
  <c r="AO92" i="19" s="1"/>
  <c r="AL74" i="17"/>
  <c r="AF14" i="18"/>
  <c r="AO14" i="18"/>
  <c r="AO80" i="6"/>
  <c r="AF80" i="6"/>
  <c r="AB86" i="6"/>
  <c r="W22" i="14"/>
  <c r="AF54" i="14"/>
  <c r="AE30" i="14"/>
  <c r="AG30" i="14"/>
  <c r="AF29" i="6"/>
  <c r="AB31" i="6"/>
  <c r="AO29" i="6"/>
  <c r="E67" i="19"/>
  <c r="J67" i="19" s="1"/>
  <c r="AB67" i="19" s="1"/>
  <c r="AJ67" i="19" s="1"/>
  <c r="AO67" i="19" s="1"/>
  <c r="AA56" i="10"/>
  <c r="AB56" i="10" s="1"/>
  <c r="K57" i="11"/>
  <c r="E67" i="18"/>
  <c r="I67" i="18" s="1"/>
  <c r="AB67" i="18" s="1"/>
  <c r="AL52" i="17"/>
  <c r="W23" i="10"/>
  <c r="E26" i="9"/>
  <c r="J26" i="9" s="1"/>
  <c r="AB26" i="9" s="1"/>
  <c r="H26" i="18"/>
  <c r="Y23" i="10"/>
  <c r="W29" i="10"/>
  <c r="H35" i="18"/>
  <c r="E35" i="9"/>
  <c r="J35" i="9" s="1"/>
  <c r="AB35" i="9" s="1"/>
  <c r="AE64" i="17"/>
  <c r="R64" i="17"/>
  <c r="V64" i="17" s="1"/>
  <c r="AN15" i="17"/>
  <c r="AW15" i="17"/>
  <c r="BB15" i="17" s="1"/>
  <c r="W30" i="10"/>
  <c r="E36" i="9"/>
  <c r="J36" i="9" s="1"/>
  <c r="AB36" i="9" s="1"/>
  <c r="AJ36" i="9" s="1"/>
  <c r="AO36" i="9" s="1"/>
  <c r="H36" i="18"/>
  <c r="AO16" i="18"/>
  <c r="AF16" i="18"/>
  <c r="AL41" i="17"/>
  <c r="K46" i="11"/>
  <c r="E54" i="19"/>
  <c r="J54" i="19" s="1"/>
  <c r="AB54" i="19" s="1"/>
  <c r="AJ54" i="19" s="1"/>
  <c r="AO54" i="19" s="1"/>
  <c r="AA45" i="10"/>
  <c r="AB45" i="10" s="1"/>
  <c r="E54" i="18"/>
  <c r="I54" i="18" s="1"/>
  <c r="AB54" i="18" s="1"/>
  <c r="AG33" i="14"/>
  <c r="AE33" i="14"/>
  <c r="E74" i="18"/>
  <c r="I74" i="18" s="1"/>
  <c r="AB74" i="18" s="1"/>
  <c r="AA62" i="10"/>
  <c r="AB62" i="10" s="1"/>
  <c r="AL58" i="17"/>
  <c r="K63" i="11"/>
  <c r="E74" i="19"/>
  <c r="J74" i="19" s="1"/>
  <c r="AB74" i="19" s="1"/>
  <c r="AJ74" i="19" s="1"/>
  <c r="AO74" i="19" s="1"/>
  <c r="AA39" i="10"/>
  <c r="AB39" i="10" s="1"/>
  <c r="E47" i="19"/>
  <c r="J47" i="19" s="1"/>
  <c r="AB47" i="19" s="1"/>
  <c r="AJ47" i="19" s="1"/>
  <c r="AO47" i="19" s="1"/>
  <c r="AL35" i="17"/>
  <c r="E47" i="18"/>
  <c r="I47" i="18" s="1"/>
  <c r="AB47" i="18" s="1"/>
  <c r="K40" i="11"/>
  <c r="AO82" i="6"/>
  <c r="AF82" i="6"/>
  <c r="AK82" i="6" s="1"/>
  <c r="AG35" i="14"/>
  <c r="AE35" i="14"/>
  <c r="AN17" i="19"/>
  <c r="AO17" i="19"/>
  <c r="R66" i="17"/>
  <c r="V66" i="17" s="1"/>
  <c r="AE66" i="17"/>
  <c r="AA34" i="10"/>
  <c r="AB34" i="10" s="1"/>
  <c r="AL30" i="17"/>
  <c r="E41" i="19"/>
  <c r="J41" i="19" s="1"/>
  <c r="AB41" i="19" s="1"/>
  <c r="AJ41" i="19" s="1"/>
  <c r="AO41" i="19" s="1"/>
  <c r="AO42" i="19" s="1"/>
  <c r="AO43" i="19" s="1"/>
  <c r="K35" i="11"/>
  <c r="E41" i="18"/>
  <c r="I41" i="18" s="1"/>
  <c r="AB41" i="18" s="1"/>
  <c r="Q29" i="12"/>
  <c r="R31" i="12" s="1"/>
  <c r="J26" i="11"/>
  <c r="AA58" i="10"/>
  <c r="AB58" i="10" s="1"/>
  <c r="E69" i="18"/>
  <c r="I69" i="18" s="1"/>
  <c r="AB69" i="18" s="1"/>
  <c r="E69" i="19"/>
  <c r="J69" i="19" s="1"/>
  <c r="AB69" i="19" s="1"/>
  <c r="AJ69" i="19" s="1"/>
  <c r="AO69" i="19" s="1"/>
  <c r="K59" i="11"/>
  <c r="AL54" i="17"/>
  <c r="Q26" i="12"/>
  <c r="R28" i="12" s="1"/>
  <c r="J24" i="11"/>
  <c r="Q85" i="12"/>
  <c r="J73" i="11"/>
  <c r="AG31" i="14"/>
  <c r="AE31" i="14"/>
  <c r="Q35" i="12"/>
  <c r="R37" i="12" s="1"/>
  <c r="J30" i="11"/>
  <c r="AO81" i="6"/>
  <c r="AF81" i="6"/>
  <c r="AK81" i="6" s="1"/>
  <c r="AF20" i="18"/>
  <c r="AO20" i="18"/>
  <c r="W71" i="10"/>
  <c r="E84" i="9"/>
  <c r="J84" i="9" s="1"/>
  <c r="AB84" i="9" s="1"/>
  <c r="AJ84" i="9" s="1"/>
  <c r="AO84" i="9" s="1"/>
  <c r="AO85" i="9" s="1"/>
  <c r="H84" i="18"/>
  <c r="Z22" i="14"/>
  <c r="AE26" i="17"/>
  <c r="R26" i="17"/>
  <c r="V26" i="17" s="1"/>
  <c r="AN11" i="17"/>
  <c r="AW11" i="17"/>
  <c r="BB11" i="17" s="1"/>
  <c r="AL39" i="17"/>
  <c r="K44" i="11"/>
  <c r="E52" i="19"/>
  <c r="J52" i="19" s="1"/>
  <c r="AB52" i="19" s="1"/>
  <c r="AA43" i="10"/>
  <c r="AB43" i="10" s="1"/>
  <c r="E52" i="18"/>
  <c r="I52" i="18" s="1"/>
  <c r="AB52" i="18" s="1"/>
  <c r="N54" i="11"/>
  <c r="AJ63" i="12"/>
  <c r="AO62" i="18"/>
  <c r="AF62" i="18"/>
  <c r="AK62" i="18" s="1"/>
  <c r="AA61" i="10"/>
  <c r="AB61" i="10" s="1"/>
  <c r="K62" i="11"/>
  <c r="E73" i="18"/>
  <c r="I73" i="18" s="1"/>
  <c r="AB73" i="18" s="1"/>
  <c r="AL57" i="17"/>
  <c r="E73" i="19"/>
  <c r="J73" i="19" s="1"/>
  <c r="AB73" i="19" s="1"/>
  <c r="N52" i="11"/>
  <c r="AJ61" i="12"/>
  <c r="AN12" i="17"/>
  <c r="AW12" i="17"/>
  <c r="BB12" i="17" s="1"/>
  <c r="AF27" i="6"/>
  <c r="AK27" i="6" s="1"/>
  <c r="AO27" i="6"/>
  <c r="Q83" i="12"/>
  <c r="J71" i="11"/>
  <c r="E89" i="18"/>
  <c r="I89" i="18" s="1"/>
  <c r="AB89" i="18" s="1"/>
  <c r="AL71" i="17"/>
  <c r="E89" i="19"/>
  <c r="J89" i="19" s="1"/>
  <c r="AB89" i="19" s="1"/>
  <c r="AJ89" i="19" s="1"/>
  <c r="AO89" i="19" s="1"/>
  <c r="K76" i="11"/>
  <c r="AA75" i="10"/>
  <c r="AB75" i="10" s="1"/>
  <c r="AN16" i="17"/>
  <c r="AW16" i="17"/>
  <c r="BB16" i="17" s="1"/>
  <c r="N19" i="11"/>
  <c r="AJ19" i="12"/>
  <c r="AK19" i="12" s="1"/>
  <c r="K32" i="11"/>
  <c r="AA31" i="10"/>
  <c r="AB31" i="10" s="1"/>
  <c r="E38" i="19"/>
  <c r="J38" i="19" s="1"/>
  <c r="AB38" i="19" s="1"/>
  <c r="E38" i="18"/>
  <c r="I38" i="18" s="1"/>
  <c r="AB38" i="18" s="1"/>
  <c r="AL27" i="17"/>
  <c r="AE20" i="17"/>
  <c r="R20" i="17"/>
  <c r="V20" i="17" s="1"/>
  <c r="R21" i="17"/>
  <c r="V21" i="17" s="1"/>
  <c r="AE21" i="17"/>
  <c r="N15" i="11"/>
  <c r="AJ15" i="12"/>
  <c r="AK15" i="12" s="1"/>
  <c r="E68" i="19"/>
  <c r="J68" i="19" s="1"/>
  <c r="AB68" i="19" s="1"/>
  <c r="AJ68" i="19" s="1"/>
  <c r="AO68" i="19" s="1"/>
  <c r="AL53" i="17"/>
  <c r="AA57" i="10"/>
  <c r="AB57" i="10" s="1"/>
  <c r="E68" i="18"/>
  <c r="I68" i="18" s="1"/>
  <c r="AB68" i="18" s="1"/>
  <c r="K58" i="11"/>
  <c r="AF26" i="6"/>
  <c r="AO26" i="6"/>
  <c r="AB28" i="6"/>
  <c r="Q84" i="12"/>
  <c r="J72" i="11"/>
  <c r="K47" i="11"/>
  <c r="E55" i="19"/>
  <c r="J55" i="19" s="1"/>
  <c r="AB55" i="19" s="1"/>
  <c r="AJ55" i="19" s="1"/>
  <c r="AO55" i="19" s="1"/>
  <c r="AL42" i="17"/>
  <c r="E55" i="18"/>
  <c r="I55" i="18" s="1"/>
  <c r="AB55" i="18" s="1"/>
  <c r="AA46" i="10"/>
  <c r="AB46" i="10" s="1"/>
  <c r="AA21" i="10"/>
  <c r="AB21" i="10" s="1"/>
  <c r="AL17" i="17"/>
  <c r="K22" i="11"/>
  <c r="E23" i="18"/>
  <c r="I23" i="18" s="1"/>
  <c r="AB23" i="18" s="1"/>
  <c r="E23" i="19"/>
  <c r="J23" i="19" s="1"/>
  <c r="AB23" i="19" s="1"/>
  <c r="N53" i="11"/>
  <c r="AJ62" i="12"/>
  <c r="AL61" i="17"/>
  <c r="K66" i="11"/>
  <c r="AA65" i="10"/>
  <c r="AB65" i="10" s="1"/>
  <c r="E77" i="19"/>
  <c r="J77" i="19" s="1"/>
  <c r="AB77" i="19" s="1"/>
  <c r="AJ77" i="19" s="1"/>
  <c r="AO77" i="19" s="1"/>
  <c r="AO78" i="19" s="1"/>
  <c r="E77" i="18"/>
  <c r="I77" i="18" s="1"/>
  <c r="AB77" i="18" s="1"/>
  <c r="AN47" i="17"/>
  <c r="AW47" i="17"/>
  <c r="BB47" i="17" s="1"/>
  <c r="Q82" i="12"/>
  <c r="J70" i="11"/>
  <c r="N17" i="11"/>
  <c r="AJ17" i="12"/>
  <c r="AK17" i="12" s="1"/>
  <c r="K75" i="11"/>
  <c r="E88" i="19"/>
  <c r="J88" i="19" s="1"/>
  <c r="AB88" i="19" s="1"/>
  <c r="AJ88" i="19" s="1"/>
  <c r="AO88" i="19" s="1"/>
  <c r="E88" i="18"/>
  <c r="I88" i="18" s="1"/>
  <c r="AB88" i="18" s="1"/>
  <c r="AA74" i="10"/>
  <c r="AB74" i="10" s="1"/>
  <c r="AL70" i="17"/>
  <c r="AF60" i="18"/>
  <c r="AK60" i="18" s="1"/>
  <c r="AO60" i="18"/>
  <c r="W23" i="14"/>
  <c r="N55" i="11"/>
  <c r="AJ64" i="12"/>
  <c r="AF83" i="6"/>
  <c r="AK83" i="6" s="1"/>
  <c r="AO83" i="6"/>
  <c r="K78" i="11"/>
  <c r="E91" i="18"/>
  <c r="I91" i="18" s="1"/>
  <c r="AB91" i="18" s="1"/>
  <c r="AL73" i="17"/>
  <c r="E91" i="19"/>
  <c r="J91" i="19" s="1"/>
  <c r="AB91" i="19" s="1"/>
  <c r="AJ91" i="19" s="1"/>
  <c r="AO91" i="19" s="1"/>
  <c r="AA77" i="10"/>
  <c r="AB77" i="10" s="1"/>
  <c r="N21" i="11"/>
  <c r="AJ21" i="12"/>
  <c r="N51" i="11"/>
  <c r="AJ60" i="12"/>
  <c r="AO19" i="18"/>
  <c r="AF19" i="18"/>
  <c r="E43" i="19"/>
  <c r="J43" i="19" s="1"/>
  <c r="AB43" i="19" s="1"/>
  <c r="AJ43" i="19" s="1"/>
  <c r="E43" i="18"/>
  <c r="I43" i="18" s="1"/>
  <c r="AB43" i="18" s="1"/>
  <c r="K37" i="11"/>
  <c r="AL32" i="17"/>
  <c r="AA36" i="10"/>
  <c r="AB36" i="10" s="1"/>
  <c r="W24" i="10"/>
  <c r="E27" i="9"/>
  <c r="J27" i="9" s="1"/>
  <c r="AB27" i="9" s="1"/>
  <c r="AJ27" i="9" s="1"/>
  <c r="AO27" i="9" s="1"/>
  <c r="H27" i="18"/>
  <c r="N18" i="11"/>
  <c r="AJ18" i="12"/>
  <c r="AK18" i="12" s="1"/>
  <c r="AL55" i="17"/>
  <c r="K60" i="11"/>
  <c r="AA59" i="10"/>
  <c r="AB59" i="10" s="1"/>
  <c r="E70" i="18"/>
  <c r="I70" i="18" s="1"/>
  <c r="AB70" i="18" s="1"/>
  <c r="E70" i="19"/>
  <c r="J70" i="19" s="1"/>
  <c r="AB70" i="19" s="1"/>
  <c r="AJ70" i="19" s="1"/>
  <c r="AO70" i="19" s="1"/>
  <c r="AO71" i="19" s="1"/>
  <c r="R19" i="17"/>
  <c r="V19" i="17" s="1"/>
  <c r="AE19" i="17"/>
  <c r="AA22" i="14"/>
  <c r="AF35" i="6"/>
  <c r="AO35" i="6"/>
  <c r="AB37" i="6"/>
  <c r="AJ20" i="19"/>
  <c r="AB22" i="19"/>
  <c r="AF84" i="6"/>
  <c r="AK84" i="6" s="1"/>
  <c r="AK85" i="6" s="1"/>
  <c r="AO84" i="6"/>
  <c r="AL18" i="17"/>
  <c r="AA22" i="10"/>
  <c r="AB22" i="10" s="1"/>
  <c r="K23" i="11"/>
  <c r="E24" i="19"/>
  <c r="J24" i="19" s="1"/>
  <c r="AB24" i="19" s="1"/>
  <c r="AJ24" i="19" s="1"/>
  <c r="AO24" i="19" s="1"/>
  <c r="E24" i="18"/>
  <c r="I24" i="18" s="1"/>
  <c r="AB24" i="18" s="1"/>
  <c r="R22" i="17"/>
  <c r="V22" i="17" s="1"/>
  <c r="AE22" i="17"/>
  <c r="K67" i="11"/>
  <c r="E78" i="19"/>
  <c r="J78" i="19" s="1"/>
  <c r="AB78" i="19" s="1"/>
  <c r="AJ78" i="19" s="1"/>
  <c r="E78" i="18"/>
  <c r="I78" i="18" s="1"/>
  <c r="AB78" i="18" s="1"/>
  <c r="AA66" i="10"/>
  <c r="AB66" i="10" s="1"/>
  <c r="AL62" i="17"/>
  <c r="K39" i="11"/>
  <c r="E46" i="19"/>
  <c r="J46" i="19" s="1"/>
  <c r="AB46" i="19" s="1"/>
  <c r="AJ46" i="19" s="1"/>
  <c r="AO46" i="19" s="1"/>
  <c r="AA38" i="10"/>
  <c r="AB38" i="10" s="1"/>
  <c r="E46" i="18"/>
  <c r="I46" i="18" s="1"/>
  <c r="AB46" i="18" s="1"/>
  <c r="AL34" i="17"/>
  <c r="AO17" i="18"/>
  <c r="AF17" i="18"/>
  <c r="AO37" i="6" l="1"/>
  <c r="AB22" i="18"/>
  <c r="AF21" i="18"/>
  <c r="AK21" i="18" s="1"/>
  <c r="Y25" i="10"/>
  <c r="U22" i="23" s="1"/>
  <c r="W22" i="23" s="1"/>
  <c r="Z65" i="14"/>
  <c r="P55" i="11"/>
  <c r="AS64" i="12" s="1"/>
  <c r="AP82" i="12"/>
  <c r="G28" i="20"/>
  <c r="H28" i="21"/>
  <c r="I28" i="21" s="1"/>
  <c r="AP35" i="12"/>
  <c r="AQ37" i="12" s="1"/>
  <c r="P20" i="11"/>
  <c r="AS20" i="12" s="1"/>
  <c r="P19" i="11"/>
  <c r="AS19" i="12" s="1"/>
  <c r="AT19" i="12" s="1"/>
  <c r="P18" i="11"/>
  <c r="AS18" i="12" s="1"/>
  <c r="AT18" i="12" s="1"/>
  <c r="AP36" i="12"/>
  <c r="AP80" i="12"/>
  <c r="AQ86" i="12" s="1"/>
  <c r="P16" i="11"/>
  <c r="AS16" i="12" s="1"/>
  <c r="AT16" i="12" s="1"/>
  <c r="AP85" i="12"/>
  <c r="P21" i="11"/>
  <c r="AS21" i="12" s="1"/>
  <c r="AO28" i="6"/>
  <c r="H24" i="14" s="1"/>
  <c r="P15" i="11"/>
  <c r="AS15" i="12" s="1"/>
  <c r="AT15" i="12" s="1"/>
  <c r="AP84" i="12"/>
  <c r="AO31" i="6"/>
  <c r="H25" i="14" s="1"/>
  <c r="I25" i="14" s="1"/>
  <c r="P54" i="11"/>
  <c r="AS63" i="12" s="1"/>
  <c r="P50" i="11"/>
  <c r="AS59" i="12" s="1"/>
  <c r="AP27" i="12"/>
  <c r="AO22" i="18"/>
  <c r="Y70" i="10"/>
  <c r="U67" i="23" s="1"/>
  <c r="W67" i="23" s="1"/>
  <c r="AP81" i="12"/>
  <c r="AP30" i="12"/>
  <c r="AP83" i="12"/>
  <c r="P17" i="11"/>
  <c r="AS17" i="12" s="1"/>
  <c r="AT17" i="12" s="1"/>
  <c r="P51" i="11"/>
  <c r="AS60" i="12" s="1"/>
  <c r="P53" i="11"/>
  <c r="AS62" i="12" s="1"/>
  <c r="P52" i="11"/>
  <c r="AS61" i="12" s="1"/>
  <c r="AP26" i="12"/>
  <c r="AQ28" i="12" s="1"/>
  <c r="U23" i="23"/>
  <c r="W23" i="23" s="1"/>
  <c r="R23" i="22"/>
  <c r="S23" i="22" s="1"/>
  <c r="U26" i="23"/>
  <c r="W26" i="23" s="1"/>
  <c r="R26" i="22"/>
  <c r="S26" i="22" s="1"/>
  <c r="AC20" i="21"/>
  <c r="S20" i="20"/>
  <c r="S18" i="20"/>
  <c r="AC18" i="21"/>
  <c r="AC19" i="21"/>
  <c r="S19" i="20"/>
  <c r="AC17" i="21"/>
  <c r="S17" i="20"/>
  <c r="AC22" i="21"/>
  <c r="S22" i="20"/>
  <c r="R69" i="22"/>
  <c r="S69" i="22" s="1"/>
  <c r="U69" i="23"/>
  <c r="W69" i="23" s="1"/>
  <c r="R64" i="22"/>
  <c r="S64" i="22" s="1"/>
  <c r="U64" i="23"/>
  <c r="W64" i="23" s="1"/>
  <c r="R20" i="22"/>
  <c r="S20" i="22" s="1"/>
  <c r="U20" i="23"/>
  <c r="W20" i="23" s="1"/>
  <c r="AC21" i="21"/>
  <c r="S21" i="20"/>
  <c r="R21" i="22"/>
  <c r="S21" i="22" s="1"/>
  <c r="U21" i="23"/>
  <c r="W21" i="23" s="1"/>
  <c r="AH55" i="14"/>
  <c r="AM55" i="14"/>
  <c r="BM43" i="12"/>
  <c r="BL43" i="12"/>
  <c r="AE65" i="14"/>
  <c r="W55" i="14"/>
  <c r="X55" i="14" s="1"/>
  <c r="U66" i="14"/>
  <c r="Y71" i="10"/>
  <c r="E84" i="19" s="1"/>
  <c r="AB3" i="6"/>
  <c r="AD5" i="6" s="1"/>
  <c r="Y68" i="10"/>
  <c r="AL64" i="17" s="1"/>
  <c r="AN64" i="17" s="1"/>
  <c r="Y69" i="10"/>
  <c r="AL65" i="17" s="1"/>
  <c r="AN65" i="17" s="1"/>
  <c r="AJ52" i="19"/>
  <c r="AB58" i="19"/>
  <c r="AJ66" i="17"/>
  <c r="I83" i="19"/>
  <c r="X83" i="19" s="1"/>
  <c r="W83" i="18"/>
  <c r="N61" i="11"/>
  <c r="AJ71" i="12"/>
  <c r="AN61" i="17"/>
  <c r="AW61" i="17"/>
  <c r="BB61" i="17" s="1"/>
  <c r="AN58" i="17"/>
  <c r="AW58" i="17"/>
  <c r="BB58" i="17" s="1"/>
  <c r="AF24" i="18"/>
  <c r="AK24" i="18" s="1"/>
  <c r="AO24" i="18"/>
  <c r="AN73" i="17"/>
  <c r="AW73" i="17"/>
  <c r="BB73" i="17" s="1"/>
  <c r="AF77" i="18"/>
  <c r="AK77" i="18" s="1"/>
  <c r="AK78" i="18" s="1"/>
  <c r="AO77" i="18"/>
  <c r="N47" i="11"/>
  <c r="AJ55" i="12"/>
  <c r="AN62" i="17"/>
  <c r="AW62" i="17"/>
  <c r="BB62" i="17" s="1"/>
  <c r="AO91" i="18"/>
  <c r="AF91" i="18"/>
  <c r="AK91" i="18" s="1"/>
  <c r="AL17" i="12"/>
  <c r="X20" i="20" s="1"/>
  <c r="BH17" i="12"/>
  <c r="AJ17" i="18"/>
  <c r="AK17" i="18"/>
  <c r="AB19" i="14"/>
  <c r="P20" i="13"/>
  <c r="N23" i="11"/>
  <c r="AJ24" i="12"/>
  <c r="G28" i="13"/>
  <c r="H27" i="14"/>
  <c r="I27" i="14" s="1"/>
  <c r="AF70" i="18"/>
  <c r="AK70" i="18" s="1"/>
  <c r="AK71" i="18" s="1"/>
  <c r="AO70" i="18"/>
  <c r="N78" i="11"/>
  <c r="AJ91" i="12"/>
  <c r="AN17" i="17"/>
  <c r="AW17" i="17"/>
  <c r="BB17" i="17" s="1"/>
  <c r="AN27" i="17"/>
  <c r="AW27" i="17"/>
  <c r="BB27" i="17" s="1"/>
  <c r="AO73" i="18"/>
  <c r="AF73" i="18"/>
  <c r="AB79" i="18"/>
  <c r="AF69" i="18"/>
  <c r="AK69" i="18" s="1"/>
  <c r="AO69" i="18"/>
  <c r="AF54" i="18"/>
  <c r="AK54" i="18" s="1"/>
  <c r="AO54" i="18"/>
  <c r="I36" i="19"/>
  <c r="X36" i="19" s="1"/>
  <c r="W36" i="18"/>
  <c r="I35" i="19"/>
  <c r="W35" i="18"/>
  <c r="N57" i="11"/>
  <c r="AJ67" i="12"/>
  <c r="N64" i="11"/>
  <c r="AJ75" i="12"/>
  <c r="AF53" i="18"/>
  <c r="AK53" i="18" s="1"/>
  <c r="AO53" i="18"/>
  <c r="I81" i="19"/>
  <c r="X81" i="19" s="1"/>
  <c r="W81" i="18"/>
  <c r="AF27" i="12"/>
  <c r="L27" i="12"/>
  <c r="AV14" i="12"/>
  <c r="AU14" i="12"/>
  <c r="BM14" i="12" s="1"/>
  <c r="BL14" i="12"/>
  <c r="AL16" i="12"/>
  <c r="X19" i="20" s="1"/>
  <c r="BH16" i="12"/>
  <c r="AN38" i="17"/>
  <c r="AW38" i="17"/>
  <c r="BB38" i="17" s="1"/>
  <c r="N49" i="11"/>
  <c r="AJ57" i="12"/>
  <c r="AJ67" i="17"/>
  <c r="N33" i="11"/>
  <c r="AJ39" i="12"/>
  <c r="AJ45" i="19"/>
  <c r="AB51" i="19"/>
  <c r="K73" i="11"/>
  <c r="N73" i="11" s="1"/>
  <c r="E85" i="19"/>
  <c r="E85" i="18"/>
  <c r="I85" i="18" s="1"/>
  <c r="AB85" i="18" s="1"/>
  <c r="AL68" i="17"/>
  <c r="AN68" i="17" s="1"/>
  <c r="AA72" i="10"/>
  <c r="AB72" i="10" s="1"/>
  <c r="E80" i="18"/>
  <c r="I80" i="18" s="1"/>
  <c r="AB80" i="18" s="1"/>
  <c r="AA67" i="10"/>
  <c r="AB67" i="10" s="1"/>
  <c r="AL63" i="17"/>
  <c r="AN63" i="17" s="1"/>
  <c r="E80" i="19"/>
  <c r="K68" i="11"/>
  <c r="N68" i="11" s="1"/>
  <c r="AN29" i="17"/>
  <c r="AW29" i="17"/>
  <c r="BB29" i="17" s="1"/>
  <c r="AF82" i="12"/>
  <c r="L82" i="12"/>
  <c r="L85" i="12"/>
  <c r="AF85" i="12"/>
  <c r="N63" i="11"/>
  <c r="AJ74" i="12"/>
  <c r="AG54" i="14"/>
  <c r="AM54" i="14" s="1"/>
  <c r="AN59" i="17"/>
  <c r="AW59" i="17"/>
  <c r="BB59" i="17" s="1"/>
  <c r="AO50" i="18"/>
  <c r="AF50" i="18"/>
  <c r="AN44" i="17"/>
  <c r="AW44" i="17"/>
  <c r="BB44" i="17" s="1"/>
  <c r="AK59" i="18"/>
  <c r="AF65" i="18"/>
  <c r="AN60" i="17"/>
  <c r="AW60" i="17"/>
  <c r="BB60" i="17" s="1"/>
  <c r="AA24" i="10"/>
  <c r="AB24" i="10" s="1"/>
  <c r="E27" i="19"/>
  <c r="E27" i="18"/>
  <c r="I27" i="18" s="1"/>
  <c r="AB27" i="18" s="1"/>
  <c r="AL20" i="17"/>
  <c r="AN20" i="17" s="1"/>
  <c r="K25" i="11"/>
  <c r="N25" i="11" s="1"/>
  <c r="AF40" i="18"/>
  <c r="AK40" i="18" s="1"/>
  <c r="AO40" i="18"/>
  <c r="L80" i="12"/>
  <c r="AF80" i="12"/>
  <c r="AG86" i="12" s="1"/>
  <c r="BC61" i="12" s="1"/>
  <c r="P17" i="13"/>
  <c r="AB16" i="14"/>
  <c r="AO49" i="18"/>
  <c r="AF49" i="18"/>
  <c r="AN32" i="17"/>
  <c r="AW32" i="17"/>
  <c r="BB32" i="17" s="1"/>
  <c r="AG22" i="14"/>
  <c r="AE22" i="14"/>
  <c r="E26" i="18"/>
  <c r="I26" i="18" s="1"/>
  <c r="AB26" i="18" s="1"/>
  <c r="AA23" i="10"/>
  <c r="AB23" i="10" s="1"/>
  <c r="AL19" i="17"/>
  <c r="AN19" i="17" s="1"/>
  <c r="K24" i="11"/>
  <c r="N24" i="11" s="1"/>
  <c r="E26" i="19"/>
  <c r="AN74" i="17"/>
  <c r="AW74" i="17"/>
  <c r="BB74" i="17" s="1"/>
  <c r="AN56" i="17"/>
  <c r="AW56" i="17"/>
  <c r="BB56" i="17" s="1"/>
  <c r="P86" i="5"/>
  <c r="Q70" i="5" s="1"/>
  <c r="K86" i="5"/>
  <c r="M86" i="5"/>
  <c r="W29" i="18"/>
  <c r="I29" i="19"/>
  <c r="L30" i="12"/>
  <c r="AF30" i="12"/>
  <c r="AF57" i="18"/>
  <c r="AO57" i="18"/>
  <c r="AN24" i="17"/>
  <c r="AW24" i="17"/>
  <c r="BB24" i="17" s="1"/>
  <c r="W85" i="18"/>
  <c r="I85" i="19"/>
  <c r="X85" i="19" s="1"/>
  <c r="E35" i="18"/>
  <c r="I35" i="18" s="1"/>
  <c r="AB35" i="18" s="1"/>
  <c r="K30" i="11"/>
  <c r="N30" i="11" s="1"/>
  <c r="AA29" i="10"/>
  <c r="AB29" i="10" s="1"/>
  <c r="E35" i="19"/>
  <c r="AL25" i="17"/>
  <c r="AN25" i="17" s="1"/>
  <c r="BB32" i="12"/>
  <c r="S86" i="12"/>
  <c r="L35" i="20" s="1"/>
  <c r="AK35" i="6"/>
  <c r="AF37" i="6"/>
  <c r="AJ65" i="17"/>
  <c r="AN34" i="17"/>
  <c r="AW34" i="17"/>
  <c r="BB34" i="17" s="1"/>
  <c r="N44" i="11"/>
  <c r="AJ52" i="12"/>
  <c r="AF36" i="12"/>
  <c r="L36" i="12"/>
  <c r="AO46" i="18"/>
  <c r="AF46" i="18"/>
  <c r="AK46" i="18" s="1"/>
  <c r="N67" i="11"/>
  <c r="AJ78" i="12"/>
  <c r="AN55" i="17"/>
  <c r="AW55" i="17"/>
  <c r="BB55" i="17" s="1"/>
  <c r="N37" i="11"/>
  <c r="AJ43" i="12"/>
  <c r="AO55" i="18"/>
  <c r="AF55" i="18"/>
  <c r="AK55" i="18" s="1"/>
  <c r="AK26" i="6"/>
  <c r="AF28" i="6"/>
  <c r="AJ21" i="17"/>
  <c r="AN39" i="17"/>
  <c r="AW39" i="17"/>
  <c r="BB39" i="17" s="1"/>
  <c r="AF26" i="12"/>
  <c r="AG28" i="12" s="1"/>
  <c r="BC51" i="12" s="1"/>
  <c r="L26" i="12"/>
  <c r="BB23" i="12"/>
  <c r="S31" i="12"/>
  <c r="L26" i="20" s="1"/>
  <c r="AF47" i="18"/>
  <c r="AK47" i="18" s="1"/>
  <c r="AO47" i="18"/>
  <c r="N46" i="11"/>
  <c r="AJ54" i="12"/>
  <c r="I26" i="19"/>
  <c r="X26" i="19" s="1"/>
  <c r="W26" i="18"/>
  <c r="N74" i="11"/>
  <c r="AJ87" i="12"/>
  <c r="N41" i="11"/>
  <c r="AJ48" i="12"/>
  <c r="AJ65" i="19"/>
  <c r="AO59" i="19"/>
  <c r="W54" i="14"/>
  <c r="AN23" i="17"/>
  <c r="AW23" i="17"/>
  <c r="BB23" i="17" s="1"/>
  <c r="N56" i="11"/>
  <c r="AJ66" i="12"/>
  <c r="AB31" i="9"/>
  <c r="AJ29" i="9"/>
  <c r="AN31" i="17"/>
  <c r="AW31" i="17"/>
  <c r="BB31" i="17" s="1"/>
  <c r="N29" i="11"/>
  <c r="AJ33" i="12"/>
  <c r="AO65" i="18"/>
  <c r="AL22" i="17"/>
  <c r="AN22" i="17" s="1"/>
  <c r="E30" i="18"/>
  <c r="I30" i="18" s="1"/>
  <c r="AB30" i="18" s="1"/>
  <c r="E30" i="19"/>
  <c r="AA26" i="10"/>
  <c r="AB26" i="10" s="1"/>
  <c r="K27" i="11"/>
  <c r="N27" i="11" s="1"/>
  <c r="AO90" i="18"/>
  <c r="AF90" i="18"/>
  <c r="AK90" i="18" s="1"/>
  <c r="AN18" i="17"/>
  <c r="AW18" i="17"/>
  <c r="BB18" i="17" s="1"/>
  <c r="G25" i="13"/>
  <c r="AN37" i="17"/>
  <c r="AW37" i="17"/>
  <c r="BB37" i="17" s="1"/>
  <c r="AJ22" i="17"/>
  <c r="AL18" i="12"/>
  <c r="X21" i="20" s="1"/>
  <c r="BH18" i="12"/>
  <c r="AO43" i="18"/>
  <c r="AF43" i="18"/>
  <c r="AF88" i="18"/>
  <c r="AK88" i="18" s="1"/>
  <c r="AO88" i="18"/>
  <c r="AN42" i="17"/>
  <c r="AW42" i="17"/>
  <c r="BB42" i="17" s="1"/>
  <c r="N58" i="11"/>
  <c r="AJ68" i="12"/>
  <c r="N32" i="11"/>
  <c r="AJ38" i="12"/>
  <c r="AN71" i="17"/>
  <c r="AW71" i="17"/>
  <c r="BB71" i="17" s="1"/>
  <c r="I84" i="19"/>
  <c r="X84" i="19" s="1"/>
  <c r="W84" i="18"/>
  <c r="AF35" i="12"/>
  <c r="AG37" i="12" s="1"/>
  <c r="BC54" i="12" s="1"/>
  <c r="L35" i="12"/>
  <c r="S28" i="12"/>
  <c r="L25" i="20" s="1"/>
  <c r="BB22" i="12"/>
  <c r="AO41" i="18"/>
  <c r="AF41" i="18"/>
  <c r="AK41" i="18" s="1"/>
  <c r="AK42" i="18" s="1"/>
  <c r="AK43" i="18" s="1"/>
  <c r="AN35" i="17"/>
  <c r="AW35" i="17"/>
  <c r="BB35" i="17" s="1"/>
  <c r="AF74" i="18"/>
  <c r="AK74" i="18" s="1"/>
  <c r="AO74" i="18"/>
  <c r="AN41" i="17"/>
  <c r="AW41" i="17"/>
  <c r="BB41" i="17" s="1"/>
  <c r="AJ26" i="9"/>
  <c r="AB28" i="9"/>
  <c r="AO92" i="18"/>
  <c r="AF92" i="18"/>
  <c r="AK92" i="18" s="1"/>
  <c r="AN69" i="17"/>
  <c r="AW69" i="17"/>
  <c r="BB69" i="17" s="1"/>
  <c r="AN36" i="17"/>
  <c r="AW36" i="17"/>
  <c r="BB36" i="17" s="1"/>
  <c r="AO75" i="18"/>
  <c r="AF75" i="18"/>
  <c r="AK75" i="18" s="1"/>
  <c r="AJ25" i="17"/>
  <c r="W80" i="18"/>
  <c r="I80" i="19"/>
  <c r="N42" i="11"/>
  <c r="AJ49" i="12"/>
  <c r="N48" i="11"/>
  <c r="AJ56" i="12"/>
  <c r="AJ32" i="19"/>
  <c r="AB34" i="19"/>
  <c r="AN51" i="17"/>
  <c r="AW51" i="17"/>
  <c r="BB51" i="17" s="1"/>
  <c r="AL21" i="17"/>
  <c r="AN21" i="17" s="1"/>
  <c r="K26" i="11"/>
  <c r="N26" i="11" s="1"/>
  <c r="E29" i="19"/>
  <c r="E29" i="18"/>
  <c r="I29" i="18" s="1"/>
  <c r="AB29" i="18" s="1"/>
  <c r="N36" i="11"/>
  <c r="AJ42" i="12"/>
  <c r="N38" i="11"/>
  <c r="AJ45" i="12"/>
  <c r="AF76" i="18"/>
  <c r="AK76" i="18" s="1"/>
  <c r="AO76" i="18"/>
  <c r="AF81" i="12"/>
  <c r="L81" i="12"/>
  <c r="P18" i="13"/>
  <c r="AB17" i="14"/>
  <c r="N66" i="11"/>
  <c r="AJ77" i="12"/>
  <c r="N62" i="11"/>
  <c r="AJ73" i="12"/>
  <c r="AN70" i="17"/>
  <c r="AW70" i="17"/>
  <c r="BB70" i="17" s="1"/>
  <c r="AJ19" i="17"/>
  <c r="AB25" i="19"/>
  <c r="AJ23" i="19"/>
  <c r="AF68" i="18"/>
  <c r="AK68" i="18" s="1"/>
  <c r="AO68" i="18"/>
  <c r="BH19" i="12"/>
  <c r="AL19" i="12"/>
  <c r="X22" i="20" s="1"/>
  <c r="AO89" i="18"/>
  <c r="AF89" i="18"/>
  <c r="AK89" i="18" s="1"/>
  <c r="S37" i="12"/>
  <c r="L28" i="20" s="1"/>
  <c r="BB25" i="12"/>
  <c r="AN54" i="17"/>
  <c r="AW54" i="17"/>
  <c r="BB54" i="17" s="1"/>
  <c r="N35" i="11"/>
  <c r="AJ41" i="12"/>
  <c r="AB18" i="14"/>
  <c r="AJ16" i="18"/>
  <c r="AK16" i="18"/>
  <c r="P19" i="13"/>
  <c r="AF31" i="6"/>
  <c r="AK29" i="6"/>
  <c r="N79" i="11"/>
  <c r="AJ92" i="12"/>
  <c r="AB93" i="18"/>
  <c r="AO87" i="18"/>
  <c r="AF87" i="18"/>
  <c r="AK22" i="12"/>
  <c r="AJ63" i="17"/>
  <c r="AJ80" i="9"/>
  <c r="AB86" i="9"/>
  <c r="AN43" i="17"/>
  <c r="AW43" i="17"/>
  <c r="BB43" i="17" s="1"/>
  <c r="N28" i="11"/>
  <c r="AJ32" i="12"/>
  <c r="AO66" i="18"/>
  <c r="AF66" i="18"/>
  <c r="AB72" i="18"/>
  <c r="AF33" i="18"/>
  <c r="AK33" i="18" s="1"/>
  <c r="AO33" i="18"/>
  <c r="AF39" i="18"/>
  <c r="AK39" i="18" s="1"/>
  <c r="AO39" i="18"/>
  <c r="AN33" i="17"/>
  <c r="AW33" i="17"/>
  <c r="BB33" i="17" s="1"/>
  <c r="N65" i="11"/>
  <c r="AJ76" i="12"/>
  <c r="AF38" i="18"/>
  <c r="AO38" i="18"/>
  <c r="AB44" i="18"/>
  <c r="AF22" i="18"/>
  <c r="AK20" i="18"/>
  <c r="N60" i="11"/>
  <c r="AJ70" i="12"/>
  <c r="N76" i="11"/>
  <c r="AJ89" i="12"/>
  <c r="I27" i="19"/>
  <c r="W27" i="18"/>
  <c r="N75" i="11"/>
  <c r="AJ88" i="12"/>
  <c r="AF83" i="12"/>
  <c r="L83" i="12"/>
  <c r="AB79" i="19"/>
  <c r="AJ73" i="19"/>
  <c r="N59" i="11"/>
  <c r="AJ69" i="12"/>
  <c r="AJ64" i="17"/>
  <c r="AN52" i="17"/>
  <c r="AW52" i="17"/>
  <c r="BB52" i="17" s="1"/>
  <c r="AK80" i="6"/>
  <c r="AF86" i="6"/>
  <c r="AN40" i="17"/>
  <c r="AW40" i="17"/>
  <c r="BB40" i="17" s="1"/>
  <c r="AO71" i="18"/>
  <c r="AF71" i="18"/>
  <c r="W82" i="18"/>
  <c r="I82" i="19"/>
  <c r="AO56" i="18"/>
  <c r="AF56" i="18"/>
  <c r="AK56" i="18" s="1"/>
  <c r="AK57" i="18" s="1"/>
  <c r="AB34" i="18"/>
  <c r="AF32" i="18"/>
  <c r="AO32" i="18"/>
  <c r="AF42" i="18"/>
  <c r="AO42" i="18"/>
  <c r="N43" i="11"/>
  <c r="AJ50" i="12"/>
  <c r="AK65" i="12"/>
  <c r="N77" i="11"/>
  <c r="AJ90" i="12"/>
  <c r="AO78" i="18"/>
  <c r="AF78" i="18"/>
  <c r="AL15" i="12"/>
  <c r="X18" i="20" s="1"/>
  <c r="BH15" i="12"/>
  <c r="AB44" i="19"/>
  <c r="AJ38" i="19"/>
  <c r="AF29" i="12"/>
  <c r="AG31" i="12" s="1"/>
  <c r="BC52" i="12" s="1"/>
  <c r="L29" i="12"/>
  <c r="N40" i="11"/>
  <c r="AJ47" i="12"/>
  <c r="N39" i="11"/>
  <c r="AJ46" i="12"/>
  <c r="AO20" i="19"/>
  <c r="AJ22" i="19"/>
  <c r="P22" i="13"/>
  <c r="AJ19" i="18"/>
  <c r="AB21" i="14"/>
  <c r="AK19" i="18"/>
  <c r="AF23" i="18"/>
  <c r="AO23" i="18"/>
  <c r="AO25" i="18" s="1"/>
  <c r="AB25" i="18"/>
  <c r="N22" i="11"/>
  <c r="AJ23" i="12"/>
  <c r="AF84" i="12"/>
  <c r="L84" i="12"/>
  <c r="AN53" i="17"/>
  <c r="AW53" i="17"/>
  <c r="BB53" i="17" s="1"/>
  <c r="AJ20" i="17"/>
  <c r="AN57" i="17"/>
  <c r="AW57" i="17"/>
  <c r="BB57" i="17" s="1"/>
  <c r="AB58" i="18"/>
  <c r="AF52" i="18"/>
  <c r="AO52" i="18"/>
  <c r="AJ26" i="17"/>
  <c r="AN30" i="17"/>
  <c r="AW30" i="17"/>
  <c r="BB30" i="17" s="1"/>
  <c r="Y30" i="10"/>
  <c r="AJ35" i="9"/>
  <c r="AB37" i="9"/>
  <c r="AO67" i="18"/>
  <c r="AF67" i="18"/>
  <c r="AK67" i="18" s="1"/>
  <c r="AO86" i="6"/>
  <c r="AJ87" i="19"/>
  <c r="AB93" i="19"/>
  <c r="AO48" i="18"/>
  <c r="AF48" i="18"/>
  <c r="AK48" i="18" s="1"/>
  <c r="AK49" i="18" s="1"/>
  <c r="AK50" i="18" s="1"/>
  <c r="N45" i="11"/>
  <c r="AJ53" i="12"/>
  <c r="BH14" i="12"/>
  <c r="AL14" i="12"/>
  <c r="X17" i="20" s="1"/>
  <c r="AB53" i="14"/>
  <c r="AB72" i="19"/>
  <c r="AJ66" i="19"/>
  <c r="P21" i="13"/>
  <c r="AJ18" i="18"/>
  <c r="AK18" i="18"/>
  <c r="AB20" i="14"/>
  <c r="AJ68" i="17"/>
  <c r="AN28" i="17"/>
  <c r="AW28" i="17"/>
  <c r="BB28" i="17" s="1"/>
  <c r="AF45" i="18"/>
  <c r="AB51" i="18"/>
  <c r="AO45" i="18"/>
  <c r="I30" i="19"/>
  <c r="W30" i="18"/>
  <c r="N34" i="11"/>
  <c r="AJ40" i="12"/>
  <c r="AN72" i="17"/>
  <c r="AW72" i="17"/>
  <c r="BB72" i="17" s="1"/>
  <c r="AA25" i="10" l="1"/>
  <c r="AB25" i="10" s="1"/>
  <c r="AW63" i="17"/>
  <c r="BB63" i="17" s="1"/>
  <c r="R22" i="22"/>
  <c r="S22" i="22" s="1"/>
  <c r="K72" i="11"/>
  <c r="N72" i="11" s="1"/>
  <c r="AA71" i="10"/>
  <c r="AB71" i="10" s="1"/>
  <c r="AL67" i="17"/>
  <c r="AN67" i="17" s="1"/>
  <c r="E84" i="18"/>
  <c r="I84" i="18" s="1"/>
  <c r="AB84" i="18" s="1"/>
  <c r="AF84" i="18" s="1"/>
  <c r="AK84" i="18" s="1"/>
  <c r="AK85" i="18" s="1"/>
  <c r="K71" i="11"/>
  <c r="N71" i="11" s="1"/>
  <c r="P71" i="11" s="1"/>
  <c r="AS83" i="12" s="1"/>
  <c r="AA70" i="10"/>
  <c r="AB70" i="10" s="1"/>
  <c r="AT22" i="12"/>
  <c r="BI49" i="12" s="1"/>
  <c r="BL49" i="12" s="1"/>
  <c r="AT65" i="12"/>
  <c r="BI58" i="12" s="1"/>
  <c r="BM58" i="12" s="1"/>
  <c r="AG19" i="21"/>
  <c r="AH19" i="21" s="1"/>
  <c r="AI19" i="21"/>
  <c r="AG21" i="21"/>
  <c r="AH21" i="21" s="1"/>
  <c r="AI21" i="21"/>
  <c r="AG22" i="21"/>
  <c r="AH22" i="21" s="1"/>
  <c r="AI22" i="21"/>
  <c r="AG18" i="21"/>
  <c r="AH18" i="21" s="1"/>
  <c r="AI18" i="21"/>
  <c r="AG20" i="21"/>
  <c r="AH20" i="21" s="1"/>
  <c r="AI20" i="21"/>
  <c r="AG17" i="21"/>
  <c r="AH17" i="21" s="1"/>
  <c r="AI17" i="21"/>
  <c r="BI46" i="12"/>
  <c r="AV17" i="12"/>
  <c r="AU17" i="12"/>
  <c r="BM17" i="12" s="1"/>
  <c r="AP19" i="14" s="1"/>
  <c r="BL17" i="12"/>
  <c r="BI48" i="12"/>
  <c r="AV19" i="12"/>
  <c r="AU19" i="12"/>
  <c r="BM19" i="12" s="1"/>
  <c r="BL19" i="12"/>
  <c r="BI45" i="12"/>
  <c r="BL16" i="12"/>
  <c r="AU16" i="12"/>
  <c r="BM16" i="12" s="1"/>
  <c r="AM19" i="21" s="1"/>
  <c r="AV16" i="12"/>
  <c r="BI44" i="12"/>
  <c r="AU15" i="12"/>
  <c r="BM15" i="12" s="1"/>
  <c r="AM18" i="21" s="1"/>
  <c r="AV15" i="12"/>
  <c r="BL15" i="12"/>
  <c r="BI47" i="12"/>
  <c r="AV18" i="12"/>
  <c r="BL18" i="12"/>
  <c r="AU18" i="12"/>
  <c r="BM18" i="12" s="1"/>
  <c r="AP20" i="14" s="1"/>
  <c r="F35" i="21"/>
  <c r="F35" i="20"/>
  <c r="P45" i="11"/>
  <c r="AS53" i="12" s="1"/>
  <c r="AL66" i="17"/>
  <c r="AN66" i="17" s="1"/>
  <c r="P43" i="11"/>
  <c r="AS50" i="12" s="1"/>
  <c r="P26" i="11"/>
  <c r="AS29" i="12" s="1"/>
  <c r="AT31" i="12" s="1"/>
  <c r="BI52" i="12" s="1"/>
  <c r="F25" i="21"/>
  <c r="F25" i="20"/>
  <c r="P64" i="11"/>
  <c r="AS75" i="12" s="1"/>
  <c r="P47" i="11"/>
  <c r="AS55" i="12" s="1"/>
  <c r="P44" i="11"/>
  <c r="AS52" i="12" s="1"/>
  <c r="P39" i="11"/>
  <c r="AS46" i="12" s="1"/>
  <c r="P42" i="11"/>
  <c r="AS49" i="12" s="1"/>
  <c r="P32" i="11"/>
  <c r="AS38" i="12" s="1"/>
  <c r="P41" i="11"/>
  <c r="AS48" i="12" s="1"/>
  <c r="AO3" i="6"/>
  <c r="AO5" i="6" s="1"/>
  <c r="AR9" i="6" s="1"/>
  <c r="H35" i="21"/>
  <c r="I35" i="21" s="1"/>
  <c r="G35" i="20"/>
  <c r="P76" i="11"/>
  <c r="AS89" i="12" s="1"/>
  <c r="P79" i="11"/>
  <c r="AS92" i="12" s="1"/>
  <c r="P35" i="11"/>
  <c r="AS41" i="12" s="1"/>
  <c r="P56" i="11"/>
  <c r="AS66" i="12" s="1"/>
  <c r="P63" i="11"/>
  <c r="AS74" i="12" s="1"/>
  <c r="P73" i="11"/>
  <c r="AS85" i="12" s="1"/>
  <c r="P57" i="11"/>
  <c r="AS67" i="12" s="1"/>
  <c r="P62" i="11"/>
  <c r="AS73" i="12" s="1"/>
  <c r="P46" i="11"/>
  <c r="AS54" i="12" s="1"/>
  <c r="P67" i="11"/>
  <c r="AS78" i="12" s="1"/>
  <c r="P66" i="11"/>
  <c r="AS77" i="12" s="1"/>
  <c r="P38" i="11"/>
  <c r="AS45" i="12" s="1"/>
  <c r="P58" i="11"/>
  <c r="AS68" i="12" s="1"/>
  <c r="P74" i="11"/>
  <c r="AS87" i="12" s="1"/>
  <c r="G26" i="20"/>
  <c r="P48" i="11"/>
  <c r="AS56" i="12" s="1"/>
  <c r="P72" i="11"/>
  <c r="AS84" i="12" s="1"/>
  <c r="P25" i="11"/>
  <c r="AS27" i="12" s="1"/>
  <c r="P49" i="11"/>
  <c r="AS57" i="12" s="1"/>
  <c r="P60" i="11"/>
  <c r="AS70" i="12" s="1"/>
  <c r="P29" i="11"/>
  <c r="AS33" i="12" s="1"/>
  <c r="G26" i="13"/>
  <c r="P23" i="11"/>
  <c r="AS24" i="12" s="1"/>
  <c r="P61" i="11"/>
  <c r="AS71" i="12" s="1"/>
  <c r="H26" i="21"/>
  <c r="I26" i="21" s="1"/>
  <c r="H25" i="21"/>
  <c r="I25" i="21" s="1"/>
  <c r="G25" i="20"/>
  <c r="P24" i="11"/>
  <c r="AS26" i="12" s="1"/>
  <c r="AT28" i="12" s="1"/>
  <c r="BI51" i="12" s="1"/>
  <c r="P68" i="11"/>
  <c r="AS80" i="12" s="1"/>
  <c r="AT86" i="12" s="1"/>
  <c r="BI61" i="12" s="1"/>
  <c r="P34" i="11"/>
  <c r="AS40" i="12" s="1"/>
  <c r="AW68" i="17"/>
  <c r="BB68" i="17" s="1"/>
  <c r="P40" i="11"/>
  <c r="AS47" i="12" s="1"/>
  <c r="E83" i="19"/>
  <c r="J83" i="19" s="1"/>
  <c r="AB83" i="19" s="1"/>
  <c r="AJ83" i="19" s="1"/>
  <c r="AO83" i="19" s="1"/>
  <c r="P77" i="11"/>
  <c r="AS90" i="12" s="1"/>
  <c r="P59" i="11"/>
  <c r="AS69" i="12" s="1"/>
  <c r="P36" i="11"/>
  <c r="AS42" i="12" s="1"/>
  <c r="P27" i="11"/>
  <c r="AS30" i="12" s="1"/>
  <c r="P37" i="11"/>
  <c r="AS43" i="12" s="1"/>
  <c r="P30" i="11"/>
  <c r="AS35" i="12" s="1"/>
  <c r="AT37" i="12" s="1"/>
  <c r="BI54" i="12" s="1"/>
  <c r="R67" i="22"/>
  <c r="S67" i="22" s="1"/>
  <c r="P65" i="11"/>
  <c r="AS76" i="12" s="1"/>
  <c r="E83" i="18"/>
  <c r="I83" i="18" s="1"/>
  <c r="AB83" i="18" s="1"/>
  <c r="AO83" i="18" s="1"/>
  <c r="P22" i="11"/>
  <c r="AS23" i="12" s="1"/>
  <c r="P75" i="11"/>
  <c r="AS88" i="12" s="1"/>
  <c r="P28" i="11"/>
  <c r="AS32" i="12" s="1"/>
  <c r="F28" i="21"/>
  <c r="F28" i="20"/>
  <c r="P33" i="11"/>
  <c r="AS39" i="12" s="1"/>
  <c r="P78" i="11"/>
  <c r="AS91" i="12" s="1"/>
  <c r="W20" i="20"/>
  <c r="V20" i="20"/>
  <c r="T20" i="20"/>
  <c r="U20" i="20"/>
  <c r="AD17" i="21"/>
  <c r="AD20" i="21"/>
  <c r="AP21" i="14"/>
  <c r="AM22" i="21"/>
  <c r="W19" i="20"/>
  <c r="V19" i="20"/>
  <c r="T19" i="20"/>
  <c r="U19" i="20"/>
  <c r="W17" i="20"/>
  <c r="V17" i="20"/>
  <c r="T17" i="20"/>
  <c r="U17" i="20"/>
  <c r="F26" i="21"/>
  <c r="F26" i="20"/>
  <c r="E82" i="18"/>
  <c r="I82" i="18" s="1"/>
  <c r="AB82" i="18" s="1"/>
  <c r="AO82" i="18" s="1"/>
  <c r="R66" i="22"/>
  <c r="S66" i="22" s="1"/>
  <c r="U66" i="23"/>
  <c r="W66" i="23" s="1"/>
  <c r="V21" i="20"/>
  <c r="U21" i="20"/>
  <c r="W21" i="20"/>
  <c r="T21" i="20"/>
  <c r="W22" i="20"/>
  <c r="V22" i="20"/>
  <c r="U22" i="20"/>
  <c r="T22" i="20"/>
  <c r="AD19" i="21"/>
  <c r="K69" i="11"/>
  <c r="N69" i="11" s="1"/>
  <c r="R65" i="22"/>
  <c r="S65" i="22" s="1"/>
  <c r="U65" i="23"/>
  <c r="W65" i="23" s="1"/>
  <c r="AD21" i="21"/>
  <c r="AD22" i="21"/>
  <c r="AC23" i="21"/>
  <c r="S23" i="20"/>
  <c r="AA55" i="14"/>
  <c r="AB55" i="14" s="1"/>
  <c r="AC55" i="14" s="1"/>
  <c r="AP16" i="14"/>
  <c r="AM17" i="21"/>
  <c r="R68" i="22"/>
  <c r="S68" i="22" s="1"/>
  <c r="U68" i="23"/>
  <c r="W68" i="23" s="1"/>
  <c r="AD18" i="21"/>
  <c r="R27" i="22"/>
  <c r="S27" i="22" s="1"/>
  <c r="U27" i="23"/>
  <c r="W27" i="23" s="1"/>
  <c r="AC32" i="21"/>
  <c r="S32" i="20"/>
  <c r="V18" i="20"/>
  <c r="W18" i="20"/>
  <c r="T18" i="20"/>
  <c r="U18" i="20"/>
  <c r="K70" i="11"/>
  <c r="N70" i="11" s="1"/>
  <c r="AA69" i="10"/>
  <c r="AB69" i="10" s="1"/>
  <c r="E82" i="19"/>
  <c r="J82" i="19" s="1"/>
  <c r="AB82" i="19" s="1"/>
  <c r="AW19" i="17"/>
  <c r="BB19" i="17" s="1"/>
  <c r="AW25" i="17"/>
  <c r="BB25" i="17" s="1"/>
  <c r="AJ85" i="12"/>
  <c r="AW20" i="17"/>
  <c r="BB20" i="17" s="1"/>
  <c r="E81" i="18"/>
  <c r="I81" i="18" s="1"/>
  <c r="AB81" i="18" s="1"/>
  <c r="AK25" i="12"/>
  <c r="BH21" i="12" s="1"/>
  <c r="BF52" i="12"/>
  <c r="BG52" i="12"/>
  <c r="BG51" i="12"/>
  <c r="BF51" i="12"/>
  <c r="BR47" i="12"/>
  <c r="BF61" i="12"/>
  <c r="BG61" i="12"/>
  <c r="AK44" i="12"/>
  <c r="AL44" i="12" s="1"/>
  <c r="X29" i="20" s="1"/>
  <c r="AO51" i="18"/>
  <c r="E81" i="19"/>
  <c r="J81" i="19" s="1"/>
  <c r="AB81" i="19" s="1"/>
  <c r="AJ81" i="19" s="1"/>
  <c r="AO81" i="19" s="1"/>
  <c r="BF54" i="12"/>
  <c r="BG54" i="12"/>
  <c r="BR48" i="12"/>
  <c r="AA64" i="14"/>
  <c r="BM49" i="12"/>
  <c r="AA68" i="10"/>
  <c r="AB68" i="10" s="1"/>
  <c r="AK93" i="12"/>
  <c r="AL93" i="12" s="1"/>
  <c r="X36" i="20" s="1"/>
  <c r="AK51" i="12"/>
  <c r="BH27" i="12" s="1"/>
  <c r="AW22" i="17"/>
  <c r="BB22" i="17" s="1"/>
  <c r="AO72" i="18"/>
  <c r="Q26" i="5"/>
  <c r="R27" i="5" s="1"/>
  <c r="AB3" i="9"/>
  <c r="AD5" i="9" s="1"/>
  <c r="R75" i="5"/>
  <c r="R73" i="5"/>
  <c r="R71" i="5"/>
  <c r="R74" i="5"/>
  <c r="R72" i="5"/>
  <c r="R70" i="5"/>
  <c r="F35" i="13"/>
  <c r="AJ86" i="6"/>
  <c r="AK86" i="6"/>
  <c r="F34" i="14"/>
  <c r="P23" i="13"/>
  <c r="AK22" i="18"/>
  <c r="AB22" i="14"/>
  <c r="AJ22" i="18"/>
  <c r="AL26" i="17"/>
  <c r="K31" i="11"/>
  <c r="N31" i="11" s="1"/>
  <c r="AA30" i="10"/>
  <c r="AB30" i="10" s="1"/>
  <c r="E36" i="18"/>
  <c r="I36" i="18" s="1"/>
  <c r="AB36" i="18" s="1"/>
  <c r="AB37" i="18" s="1"/>
  <c r="E36" i="19"/>
  <c r="J36" i="19" s="1"/>
  <c r="AB36" i="19" s="1"/>
  <c r="AJ36" i="19" s="1"/>
  <c r="AO36" i="19" s="1"/>
  <c r="AI31" i="12"/>
  <c r="AH31" i="12"/>
  <c r="V26" i="21" s="1"/>
  <c r="BF23" i="12"/>
  <c r="AF30" i="18"/>
  <c r="AK30" i="18" s="1"/>
  <c r="AO30" i="18"/>
  <c r="AW21" i="17"/>
  <c r="BB21" i="17" s="1"/>
  <c r="X30" i="19"/>
  <c r="J30" i="19"/>
  <c r="AB30" i="19" s="1"/>
  <c r="AH20" i="14"/>
  <c r="AC20" i="14"/>
  <c r="U17" i="13"/>
  <c r="BI14" i="12"/>
  <c r="AN22" i="19"/>
  <c r="AO22" i="19"/>
  <c r="AJ44" i="19"/>
  <c r="AO38" i="19"/>
  <c r="AL65" i="12"/>
  <c r="X32" i="20" s="1"/>
  <c r="BH29" i="12"/>
  <c r="AK34" i="12"/>
  <c r="BH20" i="12"/>
  <c r="AL22" i="12"/>
  <c r="X23" i="20" s="1"/>
  <c r="T19" i="13"/>
  <c r="S19" i="13"/>
  <c r="Q19" i="13"/>
  <c r="R19" i="13"/>
  <c r="AJ25" i="19"/>
  <c r="AO23" i="19"/>
  <c r="AK72" i="12"/>
  <c r="J84" i="19"/>
  <c r="AB84" i="19" s="1"/>
  <c r="AJ84" i="19" s="1"/>
  <c r="AO84" i="19" s="1"/>
  <c r="AO85" i="19" s="1"/>
  <c r="AJ37" i="6"/>
  <c r="F27" i="14"/>
  <c r="F28" i="13"/>
  <c r="AK37" i="6"/>
  <c r="AF35" i="18"/>
  <c r="AO35" i="18"/>
  <c r="AJ30" i="12"/>
  <c r="AB28" i="18"/>
  <c r="AO26" i="18"/>
  <c r="AF26" i="18"/>
  <c r="AW67" i="17"/>
  <c r="BB67" i="17" s="1"/>
  <c r="J35" i="19"/>
  <c r="AB35" i="19" s="1"/>
  <c r="X35" i="19"/>
  <c r="X37" i="19" s="1"/>
  <c r="BC25" i="12"/>
  <c r="L28" i="13"/>
  <c r="AO85" i="18"/>
  <c r="AF85" i="18"/>
  <c r="W31" i="18"/>
  <c r="Z31" i="18" s="1"/>
  <c r="S17" i="13"/>
  <c r="T17" i="13"/>
  <c r="Q17" i="13"/>
  <c r="R17" i="13"/>
  <c r="J85" i="19"/>
  <c r="AB85" i="19" s="1"/>
  <c r="AJ85" i="19" s="1"/>
  <c r="AO79" i="18"/>
  <c r="S20" i="13"/>
  <c r="T20" i="13"/>
  <c r="Q20" i="13"/>
  <c r="R20" i="13"/>
  <c r="AO26" i="9"/>
  <c r="AJ28" i="9"/>
  <c r="BC32" i="12"/>
  <c r="L35" i="13"/>
  <c r="S21" i="13"/>
  <c r="T21" i="13"/>
  <c r="Q21" i="13"/>
  <c r="R21" i="13"/>
  <c r="AF25" i="18"/>
  <c r="AK23" i="18"/>
  <c r="U18" i="13"/>
  <c r="BI15" i="12"/>
  <c r="AJ83" i="12"/>
  <c r="X27" i="19"/>
  <c r="X28" i="19" s="1"/>
  <c r="J27" i="19"/>
  <c r="AB27" i="19" s="1"/>
  <c r="AO44" i="18"/>
  <c r="AH18" i="14"/>
  <c r="AC18" i="14"/>
  <c r="AJ81" i="12"/>
  <c r="AJ34" i="19"/>
  <c r="AO32" i="19"/>
  <c r="N82" i="5"/>
  <c r="O82" i="5" s="1"/>
  <c r="N83" i="5"/>
  <c r="O83" i="5" s="1"/>
  <c r="N84" i="5"/>
  <c r="O84" i="5" s="1"/>
  <c r="N17" i="5"/>
  <c r="O17" i="5" s="1"/>
  <c r="N19" i="5"/>
  <c r="O19" i="5" s="1"/>
  <c r="N20" i="5"/>
  <c r="O20" i="5" s="1"/>
  <c r="N21" i="5"/>
  <c r="O21" i="5" s="1"/>
  <c r="N18" i="5"/>
  <c r="O18" i="5" s="1"/>
  <c r="N16" i="5"/>
  <c r="N40" i="5"/>
  <c r="N76" i="5"/>
  <c r="N30" i="5"/>
  <c r="N24" i="5"/>
  <c r="N64" i="5"/>
  <c r="N46" i="5"/>
  <c r="N58" i="5"/>
  <c r="N34" i="5"/>
  <c r="N52" i="5"/>
  <c r="N22" i="5"/>
  <c r="N32" i="5"/>
  <c r="N28" i="5"/>
  <c r="AI86" i="12"/>
  <c r="AH86" i="12"/>
  <c r="V35" i="21" s="1"/>
  <c r="BF32" i="12"/>
  <c r="AC19" i="14"/>
  <c r="AH19" i="14"/>
  <c r="AK87" i="18"/>
  <c r="AF93" i="18"/>
  <c r="AC17" i="14"/>
  <c r="AH17" i="14"/>
  <c r="AH54" i="14"/>
  <c r="S18" i="13"/>
  <c r="T18" i="13"/>
  <c r="Q18" i="13"/>
  <c r="R18" i="13"/>
  <c r="AO87" i="19"/>
  <c r="AJ93" i="19"/>
  <c r="AO58" i="18"/>
  <c r="AF44" i="18"/>
  <c r="AK38" i="18"/>
  <c r="BI19" i="12"/>
  <c r="U22" i="13"/>
  <c r="AB31" i="18"/>
  <c r="AO29" i="18"/>
  <c r="AF29" i="18"/>
  <c r="L25" i="13"/>
  <c r="BC22" i="12"/>
  <c r="L26" i="13"/>
  <c r="BC23" i="12"/>
  <c r="AO84" i="18"/>
  <c r="J26" i="19"/>
  <c r="AB26" i="19" s="1"/>
  <c r="P86" i="12"/>
  <c r="AJ80" i="12"/>
  <c r="AK86" i="12" s="1"/>
  <c r="O86" i="12"/>
  <c r="AO73" i="19"/>
  <c r="AJ79" i="19"/>
  <c r="F25" i="13"/>
  <c r="F24" i="14"/>
  <c r="AK28" i="6"/>
  <c r="AJ28" i="6"/>
  <c r="AF3" i="6"/>
  <c r="AO27" i="18"/>
  <c r="AF27" i="18"/>
  <c r="AK27" i="18" s="1"/>
  <c r="AF79" i="18"/>
  <c r="AK73" i="18"/>
  <c r="AO93" i="18"/>
  <c r="AJ72" i="19"/>
  <c r="AO66" i="19"/>
  <c r="AK52" i="18"/>
  <c r="AF58" i="18"/>
  <c r="AJ84" i="12"/>
  <c r="AH21" i="14"/>
  <c r="AC21" i="14"/>
  <c r="AO34" i="18"/>
  <c r="AW64" i="17"/>
  <c r="BB64" i="17" s="1"/>
  <c r="AJ86" i="9"/>
  <c r="AO80" i="9"/>
  <c r="AK79" i="12"/>
  <c r="X80" i="19"/>
  <c r="J80" i="19"/>
  <c r="AB80" i="19" s="1"/>
  <c r="P37" i="12"/>
  <c r="O37" i="12"/>
  <c r="AJ35" i="12"/>
  <c r="AK37" i="12" s="1"/>
  <c r="X54" i="14"/>
  <c r="AA54" i="14"/>
  <c r="Q28" i="5"/>
  <c r="Q84" i="5"/>
  <c r="R84" i="5" s="1"/>
  <c r="Q82" i="5"/>
  <c r="R82" i="5" s="1"/>
  <c r="Q83" i="5"/>
  <c r="R83" i="5" s="1"/>
  <c r="Q19" i="5"/>
  <c r="R19" i="5" s="1"/>
  <c r="Q18" i="5"/>
  <c r="R18" i="5" s="1"/>
  <c r="Q21" i="5"/>
  <c r="R21" i="5" s="1"/>
  <c r="Q20" i="5"/>
  <c r="R20" i="5" s="1"/>
  <c r="Q17" i="5"/>
  <c r="R17" i="5" s="1"/>
  <c r="Q16" i="5"/>
  <c r="Q30" i="5"/>
  <c r="Q24" i="5"/>
  <c r="Q58" i="5"/>
  <c r="Q34" i="5"/>
  <c r="Q22" i="5"/>
  <c r="Q64" i="5"/>
  <c r="Q46" i="5"/>
  <c r="Q52" i="5"/>
  <c r="Q76" i="5"/>
  <c r="Q40" i="5"/>
  <c r="Q32" i="5"/>
  <c r="N70" i="5"/>
  <c r="AO45" i="19"/>
  <c r="AJ51" i="19"/>
  <c r="AJ27" i="12"/>
  <c r="J29" i="19"/>
  <c r="AB29" i="19" s="1"/>
  <c r="X29" i="19"/>
  <c r="AC16" i="14"/>
  <c r="AH16" i="14"/>
  <c r="AM16" i="14" s="1"/>
  <c r="G35" i="13"/>
  <c r="H34" i="14"/>
  <c r="I34" i="14" s="1"/>
  <c r="X82" i="19"/>
  <c r="AK45" i="18"/>
  <c r="AF51" i="18"/>
  <c r="AF81" i="18"/>
  <c r="AK81" i="18" s="1"/>
  <c r="AO35" i="9"/>
  <c r="AJ37" i="9"/>
  <c r="AJ29" i="12"/>
  <c r="AK31" i="12" s="1"/>
  <c r="P31" i="12"/>
  <c r="O31" i="12"/>
  <c r="AK32" i="18"/>
  <c r="AF34" i="18"/>
  <c r="AU22" i="12"/>
  <c r="BM20" i="12" s="1"/>
  <c r="BL20" i="12"/>
  <c r="AK66" i="18"/>
  <c r="AF72" i="18"/>
  <c r="W86" i="18"/>
  <c r="Z86" i="18" s="1"/>
  <c r="AI37" i="12"/>
  <c r="AH37" i="12"/>
  <c r="V28" i="21" s="1"/>
  <c r="BF25" i="12"/>
  <c r="U21" i="13"/>
  <c r="BI18" i="12"/>
  <c r="I24" i="14"/>
  <c r="AO29" i="9"/>
  <c r="AJ31" i="9"/>
  <c r="W28" i="18"/>
  <c r="O28" i="12"/>
  <c r="P28" i="12"/>
  <c r="AJ26" i="12"/>
  <c r="AK28" i="12" s="1"/>
  <c r="AW65" i="17"/>
  <c r="BB65" i="17" s="1"/>
  <c r="N26" i="5"/>
  <c r="AB31" i="14"/>
  <c r="P32" i="13"/>
  <c r="AJ65" i="18"/>
  <c r="AK65" i="18"/>
  <c r="AO80" i="18"/>
  <c r="AF80" i="18"/>
  <c r="AC53" i="14"/>
  <c r="T22" i="13"/>
  <c r="S22" i="13"/>
  <c r="Q22" i="13"/>
  <c r="R22" i="13"/>
  <c r="F26" i="13"/>
  <c r="AK31" i="6"/>
  <c r="AJ31" i="6"/>
  <c r="F25" i="14"/>
  <c r="AN65" i="19"/>
  <c r="AO65" i="19"/>
  <c r="AI28" i="12"/>
  <c r="BF22" i="12"/>
  <c r="AH28" i="12"/>
  <c r="V25" i="21" s="1"/>
  <c r="AK58" i="12"/>
  <c r="BI16" i="12"/>
  <c r="U19" i="13"/>
  <c r="W37" i="18"/>
  <c r="Z37" i="18" s="1"/>
  <c r="U20" i="13"/>
  <c r="BI17" i="12"/>
  <c r="AO52" i="19"/>
  <c r="AJ58" i="19"/>
  <c r="AP18" i="14" l="1"/>
  <c r="AL25" i="12"/>
  <c r="X24" i="20" s="1"/>
  <c r="G41" i="13"/>
  <c r="AV65" i="12"/>
  <c r="AU65" i="12"/>
  <c r="BM29" i="12" s="1"/>
  <c r="BL58" i="12"/>
  <c r="BL29" i="12"/>
  <c r="AM21" i="21"/>
  <c r="AV22" i="12"/>
  <c r="AM20" i="21"/>
  <c r="AO31" i="18"/>
  <c r="AW66" i="17"/>
  <c r="BB66" i="17" s="1"/>
  <c r="AJ82" i="12"/>
  <c r="AF83" i="18"/>
  <c r="AK83" i="18" s="1"/>
  <c r="AB86" i="18"/>
  <c r="AT58" i="12"/>
  <c r="BI57" i="12" s="1"/>
  <c r="BM57" i="12" s="1"/>
  <c r="R26" i="5"/>
  <c r="AT25" i="12"/>
  <c r="BI50" i="12" s="1"/>
  <c r="BS46" i="12" s="1"/>
  <c r="AT34" i="12"/>
  <c r="BI53" i="12" s="1"/>
  <c r="BL53" i="12" s="1"/>
  <c r="AT93" i="12"/>
  <c r="BI62" i="12" s="1"/>
  <c r="BL62" i="12" s="1"/>
  <c r="AT51" i="12"/>
  <c r="BI56" i="12" s="1"/>
  <c r="AT44" i="12"/>
  <c r="BI55" i="12" s="1"/>
  <c r="BS45" i="12" s="1"/>
  <c r="G41" i="20"/>
  <c r="AG23" i="21"/>
  <c r="AH23" i="21" s="1"/>
  <c r="AI23" i="21"/>
  <c r="AG32" i="21"/>
  <c r="AH32" i="21" s="1"/>
  <c r="AI32" i="21"/>
  <c r="AT72" i="12"/>
  <c r="BL30" i="12" s="1"/>
  <c r="AT79" i="12"/>
  <c r="AU79" i="12" s="1"/>
  <c r="BM31" i="12" s="1"/>
  <c r="P70" i="11"/>
  <c r="AS82" i="12" s="1"/>
  <c r="I25" i="20"/>
  <c r="R25" i="20" s="1"/>
  <c r="K25" i="20"/>
  <c r="J25" i="20"/>
  <c r="H25" i="20"/>
  <c r="Q25" i="20" s="1"/>
  <c r="J35" i="20"/>
  <c r="H35" i="20"/>
  <c r="Q35" i="20" s="1"/>
  <c r="K35" i="20"/>
  <c r="I35" i="20"/>
  <c r="R35" i="20" s="1"/>
  <c r="G35" i="21"/>
  <c r="N35" i="21"/>
  <c r="P35" i="21"/>
  <c r="P31" i="11"/>
  <c r="AS36" i="12" s="1"/>
  <c r="H41" i="21"/>
  <c r="I41" i="21" s="1"/>
  <c r="G28" i="21"/>
  <c r="N28" i="21"/>
  <c r="P28" i="21"/>
  <c r="G25" i="21"/>
  <c r="N25" i="21"/>
  <c r="P25" i="21"/>
  <c r="BL48" i="12"/>
  <c r="BM48" i="12"/>
  <c r="AV31" i="12"/>
  <c r="AO81" i="18"/>
  <c r="AO86" i="18" s="1"/>
  <c r="AF82" i="18"/>
  <c r="AK82" i="18" s="1"/>
  <c r="H28" i="20"/>
  <c r="Q28" i="20" s="1"/>
  <c r="I28" i="20"/>
  <c r="R28" i="20" s="1"/>
  <c r="J28" i="20"/>
  <c r="K28" i="20"/>
  <c r="AP17" i="14"/>
  <c r="BL44" i="12"/>
  <c r="BM44" i="12"/>
  <c r="AU37" i="12"/>
  <c r="BM25" i="12" s="1"/>
  <c r="AM28" i="21" s="1"/>
  <c r="P69" i="11"/>
  <c r="AS81" i="12" s="1"/>
  <c r="BL47" i="12"/>
  <c r="BM47" i="12"/>
  <c r="BS44" i="12"/>
  <c r="BM45" i="12"/>
  <c r="BL45" i="12"/>
  <c r="BL46" i="12"/>
  <c r="BM46" i="12"/>
  <c r="BH26" i="12"/>
  <c r="AD32" i="21"/>
  <c r="V23" i="20"/>
  <c r="U23" i="20"/>
  <c r="T23" i="20"/>
  <c r="W23" i="20"/>
  <c r="AK20" i="21"/>
  <c r="AJ20" i="21"/>
  <c r="AL20" i="21" s="1"/>
  <c r="AC29" i="21"/>
  <c r="S29" i="20"/>
  <c r="S24" i="20"/>
  <c r="AC24" i="21"/>
  <c r="AD23" i="21"/>
  <c r="K26" i="20"/>
  <c r="H26" i="20"/>
  <c r="I26" i="20"/>
  <c r="F41" i="20"/>
  <c r="J26" i="20"/>
  <c r="AP31" i="14"/>
  <c r="AM32" i="21"/>
  <c r="AK22" i="21"/>
  <c r="AJ22" i="21"/>
  <c r="AL22" i="21" s="1"/>
  <c r="N26" i="21"/>
  <c r="F41" i="21"/>
  <c r="G41" i="21" s="1"/>
  <c r="G26" i="21"/>
  <c r="P26" i="21"/>
  <c r="AJ17" i="21"/>
  <c r="AC36" i="21"/>
  <c r="S36" i="20"/>
  <c r="AP22" i="14"/>
  <c r="AM23" i="21"/>
  <c r="AC30" i="21"/>
  <c r="S30" i="20"/>
  <c r="AC34" i="21"/>
  <c r="S34" i="20"/>
  <c r="AJ21" i="21"/>
  <c r="AL21" i="21" s="1"/>
  <c r="AK21" i="21"/>
  <c r="AC33" i="21"/>
  <c r="S33" i="20"/>
  <c r="AJ18" i="21"/>
  <c r="AL18" i="21" s="1"/>
  <c r="AK18" i="21"/>
  <c r="AK19" i="21"/>
  <c r="AJ19" i="21"/>
  <c r="AL19" i="21" s="1"/>
  <c r="AC27" i="21"/>
  <c r="S27" i="20"/>
  <c r="AC31" i="21"/>
  <c r="S31" i="20"/>
  <c r="W32" i="20"/>
  <c r="U32" i="20"/>
  <c r="V32" i="20"/>
  <c r="T32" i="20"/>
  <c r="AJ30" i="19"/>
  <c r="AO30" i="19" s="1"/>
  <c r="AL51" i="12"/>
  <c r="X30" i="20" s="1"/>
  <c r="BH33" i="12"/>
  <c r="AR28" i="12"/>
  <c r="BH51" i="12"/>
  <c r="AR37" i="12"/>
  <c r="BH54" i="12"/>
  <c r="F41" i="13"/>
  <c r="H40" i="14"/>
  <c r="I40" i="14" s="1"/>
  <c r="AR86" i="12"/>
  <c r="BH61" i="12"/>
  <c r="BL56" i="12"/>
  <c r="BM56" i="12"/>
  <c r="AR31" i="12"/>
  <c r="BH52" i="12"/>
  <c r="AJ82" i="19"/>
  <c r="AO82" i="19" s="1"/>
  <c r="AJ36" i="12"/>
  <c r="X86" i="19"/>
  <c r="BL32" i="12"/>
  <c r="BL23" i="12"/>
  <c r="AV86" i="12"/>
  <c r="P33" i="13"/>
  <c r="AJ72" i="18"/>
  <c r="AB32" i="14"/>
  <c r="AK72" i="18"/>
  <c r="R52" i="5"/>
  <c r="R53" i="5"/>
  <c r="R57" i="5"/>
  <c r="R55" i="5"/>
  <c r="R56" i="5"/>
  <c r="R54" i="5"/>
  <c r="AK79" i="18"/>
  <c r="AJ79" i="18"/>
  <c r="P34" i="13"/>
  <c r="AB33" i="14"/>
  <c r="O32" i="5"/>
  <c r="O33" i="5"/>
  <c r="K35" i="13"/>
  <c r="I35" i="13"/>
  <c r="O35" i="13" s="1"/>
  <c r="AB35" i="21" s="1"/>
  <c r="AF35" i="21" s="1"/>
  <c r="J35" i="13"/>
  <c r="H35" i="13"/>
  <c r="N35" i="13" s="1"/>
  <c r="AA35" i="21" s="1"/>
  <c r="G25" i="14"/>
  <c r="N25" i="14"/>
  <c r="P25" i="14"/>
  <c r="R24" i="5"/>
  <c r="R25" i="5"/>
  <c r="AJ26" i="19"/>
  <c r="AB28" i="19"/>
  <c r="AN93" i="19"/>
  <c r="AO93" i="19"/>
  <c r="BH28" i="12"/>
  <c r="AL58" i="12"/>
  <c r="X31" i="20" s="1"/>
  <c r="BI21" i="12"/>
  <c r="U24" i="13"/>
  <c r="Z28" i="18"/>
  <c r="Z3" i="18" s="1"/>
  <c r="W3" i="18"/>
  <c r="BG25" i="12"/>
  <c r="X27" i="14"/>
  <c r="AO51" i="19"/>
  <c r="AN51" i="19"/>
  <c r="R77" i="5"/>
  <c r="R76" i="5"/>
  <c r="R81" i="5"/>
  <c r="R78" i="5"/>
  <c r="R80" i="5"/>
  <c r="R79" i="5"/>
  <c r="R31" i="5"/>
  <c r="R30" i="5"/>
  <c r="AO37" i="12"/>
  <c r="BK25" i="12" s="1"/>
  <c r="BJ25" i="12"/>
  <c r="H25" i="13"/>
  <c r="I25" i="13"/>
  <c r="K25" i="13"/>
  <c r="J25" i="13"/>
  <c r="O29" i="5"/>
  <c r="O28" i="5"/>
  <c r="O24" i="5"/>
  <c r="O25" i="5"/>
  <c r="AJ27" i="19"/>
  <c r="AO27" i="19" s="1"/>
  <c r="AU86" i="12"/>
  <c r="BM32" i="12" s="1"/>
  <c r="AO44" i="19"/>
  <c r="AN44" i="19"/>
  <c r="AI20" i="14"/>
  <c r="AM20" i="14"/>
  <c r="AL20" i="14"/>
  <c r="AN26" i="17"/>
  <c r="AW26" i="17"/>
  <c r="BB26" i="17" s="1"/>
  <c r="X24" i="14"/>
  <c r="BG22" i="12"/>
  <c r="O31" i="5"/>
  <c r="O30" i="5"/>
  <c r="O75" i="5"/>
  <c r="O73" i="5"/>
  <c r="O70" i="5"/>
  <c r="O74" i="5"/>
  <c r="O71" i="5"/>
  <c r="O72" i="5"/>
  <c r="U36" i="13"/>
  <c r="BI33" i="12"/>
  <c r="AL72" i="12"/>
  <c r="X33" i="20" s="1"/>
  <c r="BH30" i="12"/>
  <c r="O26" i="5"/>
  <c r="O27" i="5"/>
  <c r="AU31" i="12"/>
  <c r="BM23" i="12" s="1"/>
  <c r="AN37" i="9"/>
  <c r="AO37" i="9"/>
  <c r="AI16" i="14"/>
  <c r="AL16" i="14"/>
  <c r="AU28" i="12"/>
  <c r="BM22" i="12" s="1"/>
  <c r="R69" i="5"/>
  <c r="R66" i="5"/>
  <c r="R67" i="5"/>
  <c r="R65" i="5"/>
  <c r="R64" i="5"/>
  <c r="R68" i="5"/>
  <c r="BH31" i="12"/>
  <c r="AL79" i="12"/>
  <c r="X34" i="20" s="1"/>
  <c r="AK58" i="18"/>
  <c r="P31" i="13"/>
  <c r="AB30" i="14"/>
  <c r="AJ58" i="18"/>
  <c r="AI19" i="14"/>
  <c r="AL19" i="14"/>
  <c r="AN19" i="14" s="1"/>
  <c r="AM19" i="14"/>
  <c r="AO19" i="14" s="1"/>
  <c r="O52" i="5"/>
  <c r="O53" i="5"/>
  <c r="O55" i="5"/>
  <c r="O57" i="5"/>
  <c r="O56" i="5"/>
  <c r="O54" i="5"/>
  <c r="O42" i="5"/>
  <c r="O45" i="5"/>
  <c r="O44" i="5"/>
  <c r="O41" i="5"/>
  <c r="O43" i="5"/>
  <c r="O40" i="5"/>
  <c r="AO34" i="19"/>
  <c r="AN34" i="19"/>
  <c r="AJ35" i="19"/>
  <c r="AB37" i="19"/>
  <c r="AK35" i="18"/>
  <c r="BL27" i="12"/>
  <c r="AV51" i="12"/>
  <c r="AU51" i="12"/>
  <c r="BM27" i="12" s="1"/>
  <c r="AC22" i="14"/>
  <c r="AH22" i="14"/>
  <c r="AC31" i="14"/>
  <c r="AH31" i="14"/>
  <c r="O81" i="5"/>
  <c r="O78" i="5"/>
  <c r="O79" i="5"/>
  <c r="O80" i="5"/>
  <c r="O76" i="5"/>
  <c r="O77" i="5"/>
  <c r="AK80" i="18"/>
  <c r="AK51" i="18"/>
  <c r="AB29" i="14"/>
  <c r="P30" i="13"/>
  <c r="AJ51" i="18"/>
  <c r="BL22" i="12"/>
  <c r="R22" i="5"/>
  <c r="R23" i="5"/>
  <c r="AB54" i="14"/>
  <c r="AR3" i="6"/>
  <c r="AR7" i="6" s="1"/>
  <c r="AR10" i="6" s="1"/>
  <c r="AR13" i="6" s="1"/>
  <c r="AH5" i="6"/>
  <c r="O34" i="5"/>
  <c r="O38" i="5"/>
  <c r="O35" i="5"/>
  <c r="O36" i="5"/>
  <c r="O39" i="5"/>
  <c r="O37" i="5"/>
  <c r="N86" i="5"/>
  <c r="O16" i="5"/>
  <c r="BH24" i="12"/>
  <c r="AL34" i="12"/>
  <c r="X27" i="20" s="1"/>
  <c r="AN31" i="9"/>
  <c r="AO31" i="9"/>
  <c r="AI21" i="14"/>
  <c r="AL21" i="14"/>
  <c r="AN21" i="14" s="1"/>
  <c r="AM21" i="14"/>
  <c r="AO21" i="14" s="1"/>
  <c r="AJ93" i="18"/>
  <c r="P36" i="13"/>
  <c r="AK93" i="18"/>
  <c r="AB35" i="14"/>
  <c r="R28" i="5"/>
  <c r="R29" i="5"/>
  <c r="O23" i="5"/>
  <c r="O22" i="5"/>
  <c r="BI20" i="12"/>
  <c r="U23" i="13"/>
  <c r="BL25" i="12"/>
  <c r="AL28" i="12"/>
  <c r="X25" i="20" s="1"/>
  <c r="BH22" i="12"/>
  <c r="X31" i="19"/>
  <c r="AV28" i="12"/>
  <c r="R37" i="5"/>
  <c r="R36" i="5"/>
  <c r="R34" i="5"/>
  <c r="R35" i="5"/>
  <c r="R38" i="5"/>
  <c r="R39" i="5"/>
  <c r="BH32" i="12"/>
  <c r="AL86" i="12"/>
  <c r="X35" i="20" s="1"/>
  <c r="AB28" i="14"/>
  <c r="AA65" i="14" s="1"/>
  <c r="P29" i="13"/>
  <c r="AK44" i="18"/>
  <c r="AJ44" i="18"/>
  <c r="O62" i="5"/>
  <c r="O58" i="5"/>
  <c r="O60" i="5"/>
  <c r="O59" i="5"/>
  <c r="O63" i="5"/>
  <c r="O61" i="5"/>
  <c r="AU93" i="12"/>
  <c r="BM33" i="12" s="1"/>
  <c r="BL33" i="12"/>
  <c r="AV93" i="12"/>
  <c r="AN28" i="9"/>
  <c r="AO28" i="9"/>
  <c r="AJ3" i="9"/>
  <c r="AF28" i="18"/>
  <c r="AK26" i="18"/>
  <c r="H28" i="13"/>
  <c r="N28" i="13" s="1"/>
  <c r="AA28" i="21" s="1"/>
  <c r="K28" i="13"/>
  <c r="I28" i="13"/>
  <c r="O28" i="13" s="1"/>
  <c r="AB28" i="21" s="1"/>
  <c r="AF28" i="21" s="1"/>
  <c r="J28" i="13"/>
  <c r="AN25" i="19"/>
  <c r="AO25" i="19"/>
  <c r="AO36" i="18"/>
  <c r="AO37" i="18" s="1"/>
  <c r="AF36" i="18"/>
  <c r="AK36" i="18" s="1"/>
  <c r="S23" i="13"/>
  <c r="T23" i="13"/>
  <c r="R23" i="13"/>
  <c r="Q23" i="13"/>
  <c r="BJ23" i="12"/>
  <c r="AO31" i="12"/>
  <c r="BK23" i="12" s="1"/>
  <c r="R16" i="5"/>
  <c r="Q86" i="5"/>
  <c r="AO79" i="19"/>
  <c r="AN79" i="19"/>
  <c r="J26" i="13"/>
  <c r="I26" i="13"/>
  <c r="O26" i="13" s="1"/>
  <c r="AB26" i="21" s="1"/>
  <c r="AF26" i="21" s="1"/>
  <c r="H26" i="13"/>
  <c r="N26" i="13" s="1"/>
  <c r="AA26" i="21" s="1"/>
  <c r="K26" i="13"/>
  <c r="BH23" i="12"/>
  <c r="AL31" i="12"/>
  <c r="X26" i="20" s="1"/>
  <c r="R48" i="5"/>
  <c r="R49" i="5"/>
  <c r="R46" i="5"/>
  <c r="R50" i="5"/>
  <c r="R47" i="5"/>
  <c r="R51" i="5"/>
  <c r="X25" i="14"/>
  <c r="BG23" i="12"/>
  <c r="AO58" i="19"/>
  <c r="AN58" i="19"/>
  <c r="AV37" i="12"/>
  <c r="AO28" i="12"/>
  <c r="BK22" i="12" s="1"/>
  <c r="BJ22" i="12"/>
  <c r="P27" i="13"/>
  <c r="AB26" i="14"/>
  <c r="AJ34" i="18"/>
  <c r="AK34" i="18"/>
  <c r="AB31" i="19"/>
  <c r="AJ29" i="19"/>
  <c r="R32" i="5"/>
  <c r="R33" i="5"/>
  <c r="R59" i="5"/>
  <c r="R63" i="5"/>
  <c r="R61" i="5"/>
  <c r="R62" i="5"/>
  <c r="R58" i="5"/>
  <c r="R60" i="5"/>
  <c r="BH25" i="12"/>
  <c r="AL37" i="12"/>
  <c r="X28" i="20" s="1"/>
  <c r="AO72" i="19"/>
  <c r="AN72" i="19"/>
  <c r="AO86" i="12"/>
  <c r="BK32" i="12" s="1"/>
  <c r="BJ32" i="12"/>
  <c r="X34" i="14"/>
  <c r="BG32" i="12"/>
  <c r="O46" i="5"/>
  <c r="O50" i="5"/>
  <c r="O48" i="5"/>
  <c r="O49" i="5"/>
  <c r="O47" i="5"/>
  <c r="O51" i="5"/>
  <c r="AI18" i="14"/>
  <c r="AL18" i="14"/>
  <c r="AN18" i="14" s="1"/>
  <c r="AM18" i="14"/>
  <c r="AO18" i="14" s="1"/>
  <c r="P24" i="13"/>
  <c r="AJ25" i="18"/>
  <c r="AB23" i="14"/>
  <c r="AK25" i="18"/>
  <c r="AO28" i="18"/>
  <c r="G27" i="14"/>
  <c r="N27" i="14"/>
  <c r="P27" i="14"/>
  <c r="U32" i="13"/>
  <c r="BI29" i="12"/>
  <c r="N34" i="14"/>
  <c r="P34" i="14"/>
  <c r="G34" i="14"/>
  <c r="S32" i="13"/>
  <c r="T32" i="13"/>
  <c r="Q32" i="13"/>
  <c r="R32" i="13"/>
  <c r="AJ80" i="19"/>
  <c r="AB86" i="19"/>
  <c r="R41" i="5"/>
  <c r="R42" i="5"/>
  <c r="R40" i="5"/>
  <c r="R43" i="5"/>
  <c r="R44" i="5"/>
  <c r="R45" i="5"/>
  <c r="N24" i="14"/>
  <c r="G24" i="14"/>
  <c r="P24" i="14"/>
  <c r="F40" i="14"/>
  <c r="G40" i="14" s="1"/>
  <c r="AK29" i="18"/>
  <c r="AF31" i="18"/>
  <c r="AI17" i="14"/>
  <c r="AL17" i="14"/>
  <c r="AM17" i="14"/>
  <c r="O67" i="5"/>
  <c r="O68" i="5"/>
  <c r="O65" i="5"/>
  <c r="O66" i="5"/>
  <c r="O69" i="5"/>
  <c r="O64" i="5"/>
  <c r="U29" i="13"/>
  <c r="BI26" i="12"/>
  <c r="AB3" i="18"/>
  <c r="AD5" i="18" s="1"/>
  <c r="BL50" i="12" l="1"/>
  <c r="BL57" i="12"/>
  <c r="AV79" i="12"/>
  <c r="U30" i="13"/>
  <c r="BM50" i="12"/>
  <c r="AU25" i="12"/>
  <c r="BM21" i="12" s="1"/>
  <c r="AP23" i="14" s="1"/>
  <c r="BL21" i="12"/>
  <c r="AV25" i="12"/>
  <c r="BM55" i="12"/>
  <c r="BM62" i="12"/>
  <c r="AU58" i="12"/>
  <c r="BM28" i="12" s="1"/>
  <c r="AM31" i="21" s="1"/>
  <c r="BL28" i="12"/>
  <c r="AV58" i="12"/>
  <c r="AV34" i="12"/>
  <c r="BL24" i="12"/>
  <c r="AU34" i="12"/>
  <c r="BM24" i="12" s="1"/>
  <c r="AP26" i="14" s="1"/>
  <c r="BM53" i="12"/>
  <c r="AU72" i="12"/>
  <c r="BM30" i="12" s="1"/>
  <c r="AP32" i="14" s="1"/>
  <c r="BI59" i="12"/>
  <c r="BM59" i="12" s="1"/>
  <c r="AV72" i="12"/>
  <c r="AF86" i="18"/>
  <c r="P35" i="13" s="1"/>
  <c r="Q35" i="13" s="1"/>
  <c r="AP27" i="14"/>
  <c r="AV44" i="12"/>
  <c r="BL26" i="12"/>
  <c r="AU44" i="12"/>
  <c r="BM26" i="12" s="1"/>
  <c r="AM29" i="21" s="1"/>
  <c r="BL55" i="12"/>
  <c r="AG34" i="21"/>
  <c r="AH34" i="21" s="1"/>
  <c r="AI34" i="21"/>
  <c r="AG24" i="21"/>
  <c r="AH24" i="21" s="1"/>
  <c r="AI24" i="21"/>
  <c r="AG30" i="21"/>
  <c r="AH30" i="21" s="1"/>
  <c r="AI30" i="21"/>
  <c r="AG29" i="21"/>
  <c r="AH29" i="21" s="1"/>
  <c r="AI29" i="21"/>
  <c r="AG31" i="21"/>
  <c r="AH31" i="21" s="1"/>
  <c r="AI31" i="21"/>
  <c r="AG33" i="21"/>
  <c r="AH33" i="21" s="1"/>
  <c r="AI33" i="21"/>
  <c r="AG27" i="21"/>
  <c r="AH27" i="21" s="1"/>
  <c r="AI27" i="21"/>
  <c r="AG36" i="21"/>
  <c r="AH36" i="21" s="1"/>
  <c r="AI36" i="21"/>
  <c r="O25" i="21"/>
  <c r="R25" i="21"/>
  <c r="T25" i="21" s="1"/>
  <c r="S35" i="21"/>
  <c r="U35" i="21" s="1"/>
  <c r="Q35" i="21"/>
  <c r="AA66" i="14"/>
  <c r="O35" i="21"/>
  <c r="R35" i="21"/>
  <c r="T35" i="21" s="1"/>
  <c r="S28" i="21"/>
  <c r="U28" i="21" s="1"/>
  <c r="Q28" i="21"/>
  <c r="R28" i="21"/>
  <c r="T28" i="21" s="1"/>
  <c r="O28" i="21"/>
  <c r="BI60" i="12"/>
  <c r="BL31" i="12"/>
  <c r="S25" i="21"/>
  <c r="U25" i="21" s="1"/>
  <c r="Q25" i="21"/>
  <c r="BI27" i="12"/>
  <c r="W31" i="20"/>
  <c r="U31" i="20"/>
  <c r="T31" i="20"/>
  <c r="V31" i="20"/>
  <c r="V34" i="20"/>
  <c r="W34" i="20"/>
  <c r="T34" i="20"/>
  <c r="U34" i="20"/>
  <c r="AD34" i="21"/>
  <c r="O26" i="21"/>
  <c r="R26" i="21"/>
  <c r="N41" i="21"/>
  <c r="O41" i="21" s="1"/>
  <c r="AJ23" i="21"/>
  <c r="AL23" i="21" s="1"/>
  <c r="AK23" i="21"/>
  <c r="W27" i="20"/>
  <c r="V27" i="20"/>
  <c r="T27" i="20"/>
  <c r="U27" i="20"/>
  <c r="W33" i="20"/>
  <c r="V33" i="20"/>
  <c r="U33" i="20"/>
  <c r="T33" i="20"/>
  <c r="V30" i="20"/>
  <c r="T30" i="20"/>
  <c r="W30" i="20"/>
  <c r="U30" i="20"/>
  <c r="AL17" i="21"/>
  <c r="AD24" i="21"/>
  <c r="AP29" i="14"/>
  <c r="AM30" i="21"/>
  <c r="AP35" i="14"/>
  <c r="AM36" i="21"/>
  <c r="AD27" i="21"/>
  <c r="AD33" i="21"/>
  <c r="AD30" i="21"/>
  <c r="AK17" i="21"/>
  <c r="J41" i="20"/>
  <c r="K41" i="20"/>
  <c r="V24" i="20"/>
  <c r="W24" i="20"/>
  <c r="U24" i="20"/>
  <c r="T24" i="20"/>
  <c r="AP24" i="14"/>
  <c r="AM25" i="21"/>
  <c r="AP34" i="14"/>
  <c r="AM35" i="21"/>
  <c r="R26" i="20"/>
  <c r="I41" i="20"/>
  <c r="W29" i="20"/>
  <c r="V29" i="20"/>
  <c r="T29" i="20"/>
  <c r="U29" i="20"/>
  <c r="AP33" i="14"/>
  <c r="AM34" i="21"/>
  <c r="AC25" i="21"/>
  <c r="AG25" i="21" s="1"/>
  <c r="S25" i="20"/>
  <c r="Q26" i="20"/>
  <c r="H41" i="20"/>
  <c r="AD29" i="21"/>
  <c r="AD31" i="21"/>
  <c r="V36" i="20"/>
  <c r="W36" i="20"/>
  <c r="T36" i="20"/>
  <c r="U36" i="20"/>
  <c r="Q26" i="21"/>
  <c r="S26" i="21"/>
  <c r="P41" i="21"/>
  <c r="Q41" i="21" s="1"/>
  <c r="AC26" i="21"/>
  <c r="AG26" i="21" s="1"/>
  <c r="AH26" i="21" s="1"/>
  <c r="S26" i="20"/>
  <c r="AD36" i="21"/>
  <c r="AK32" i="21"/>
  <c r="AJ32" i="21"/>
  <c r="AL32" i="21" s="1"/>
  <c r="AP25" i="14"/>
  <c r="AM26" i="21"/>
  <c r="X3" i="19"/>
  <c r="Z5" i="19" s="1"/>
  <c r="BL54" i="12"/>
  <c r="BM54" i="12"/>
  <c r="BL52" i="12"/>
  <c r="BM52" i="12"/>
  <c r="BM61" i="12"/>
  <c r="BL61" i="12"/>
  <c r="AF64" i="14"/>
  <c r="BM51" i="12"/>
  <c r="BL51" i="12"/>
  <c r="AN20" i="14"/>
  <c r="V64" i="14"/>
  <c r="W64" i="14" s="1"/>
  <c r="BS48" i="12"/>
  <c r="AN17" i="14"/>
  <c r="Z5" i="18"/>
  <c r="Q27" i="14"/>
  <c r="U27" i="14"/>
  <c r="BI31" i="12"/>
  <c r="U34" i="13"/>
  <c r="T25" i="14"/>
  <c r="V25" i="14" s="1"/>
  <c r="O25" i="14"/>
  <c r="O24" i="14"/>
  <c r="T24" i="14"/>
  <c r="N40" i="14"/>
  <c r="O40" i="14" s="1"/>
  <c r="T24" i="13"/>
  <c r="S24" i="13"/>
  <c r="R24" i="13"/>
  <c r="Q24" i="13"/>
  <c r="BI25" i="12"/>
  <c r="U28" i="13"/>
  <c r="Z25" i="14"/>
  <c r="AC54" i="14"/>
  <c r="AI31" i="14"/>
  <c r="AM31" i="14"/>
  <c r="AO31" i="14" s="1"/>
  <c r="AL31" i="14"/>
  <c r="AN31" i="14" s="1"/>
  <c r="BI28" i="12"/>
  <c r="U31" i="13"/>
  <c r="U25" i="14"/>
  <c r="Q25" i="14"/>
  <c r="J41" i="13"/>
  <c r="K41" i="13"/>
  <c r="BI22" i="12"/>
  <c r="U25" i="13"/>
  <c r="AN16" i="14"/>
  <c r="T34" i="13"/>
  <c r="S34" i="13"/>
  <c r="Q34" i="13"/>
  <c r="R34" i="13"/>
  <c r="AA27" i="14"/>
  <c r="AI22" i="14"/>
  <c r="AL22" i="14"/>
  <c r="AN22" i="14" s="1"/>
  <c r="AM22" i="14"/>
  <c r="AO22" i="14" s="1"/>
  <c r="AO35" i="19"/>
  <c r="AJ37" i="19"/>
  <c r="AO3" i="18"/>
  <c r="AO5" i="18" s="1"/>
  <c r="AR9" i="18" s="1"/>
  <c r="AH35" i="14"/>
  <c r="AC35" i="14"/>
  <c r="AM5" i="14"/>
  <c r="AO16" i="14"/>
  <c r="Z34" i="14"/>
  <c r="AO20" i="14"/>
  <c r="O25" i="13"/>
  <c r="AB25" i="21" s="1"/>
  <c r="AF25" i="21" s="1"/>
  <c r="I41" i="13"/>
  <c r="AB3" i="19"/>
  <c r="AD5" i="19" s="1"/>
  <c r="AC32" i="14"/>
  <c r="AH32" i="14"/>
  <c r="AK31" i="18"/>
  <c r="P26" i="13"/>
  <c r="Q26" i="13" s="1"/>
  <c r="AB25" i="14"/>
  <c r="AJ31" i="18"/>
  <c r="BI30" i="12"/>
  <c r="U33" i="13"/>
  <c r="U24" i="14"/>
  <c r="Q24" i="14"/>
  <c r="P40" i="14"/>
  <c r="Q40" i="14" s="1"/>
  <c r="U34" i="14"/>
  <c r="W34" i="14" s="1"/>
  <c r="Q34" i="14"/>
  <c r="BI23" i="12"/>
  <c r="U26" i="13"/>
  <c r="S29" i="13"/>
  <c r="T29" i="13"/>
  <c r="Q29" i="13"/>
  <c r="R29" i="13"/>
  <c r="T36" i="13"/>
  <c r="S36" i="13"/>
  <c r="R36" i="13"/>
  <c r="Q36" i="13"/>
  <c r="S30" i="13"/>
  <c r="T30" i="13"/>
  <c r="Q30" i="13"/>
  <c r="R30" i="13"/>
  <c r="N25" i="13"/>
  <c r="AA25" i="21" s="1"/>
  <c r="H41" i="13"/>
  <c r="AJ28" i="19"/>
  <c r="AO26" i="19"/>
  <c r="AA34" i="14"/>
  <c r="AC33" i="14"/>
  <c r="AH33" i="14"/>
  <c r="O27" i="14"/>
  <c r="T27" i="14"/>
  <c r="O34" i="14"/>
  <c r="T34" i="14"/>
  <c r="V34" i="14" s="1"/>
  <c r="AH26" i="14"/>
  <c r="AC26" i="14"/>
  <c r="P25" i="13"/>
  <c r="AB24" i="14"/>
  <c r="AK28" i="18"/>
  <c r="AJ28" i="18"/>
  <c r="AC28" i="14"/>
  <c r="AH28" i="14"/>
  <c r="AC29" i="14"/>
  <c r="AH29" i="14"/>
  <c r="AC30" i="14"/>
  <c r="AH30" i="14"/>
  <c r="T33" i="13"/>
  <c r="S33" i="13"/>
  <c r="R33" i="13"/>
  <c r="Q33" i="13"/>
  <c r="AA25" i="14"/>
  <c r="AO29" i="19"/>
  <c r="AJ31" i="19"/>
  <c r="Z27" i="14"/>
  <c r="AC23" i="14"/>
  <c r="AH23" i="14"/>
  <c r="AO17" i="14"/>
  <c r="AO80" i="19"/>
  <c r="AJ86" i="19"/>
  <c r="T27" i="13"/>
  <c r="S27" i="13"/>
  <c r="R27" i="13"/>
  <c r="Q27" i="13"/>
  <c r="AV3" i="9"/>
  <c r="AV7" i="9" s="1"/>
  <c r="AV10" i="9" s="1"/>
  <c r="AV13" i="9" s="1"/>
  <c r="AL5" i="9"/>
  <c r="BI32" i="12"/>
  <c r="U35" i="13"/>
  <c r="U27" i="13"/>
  <c r="BI24" i="12"/>
  <c r="AF37" i="18"/>
  <c r="T31" i="13"/>
  <c r="S31" i="13"/>
  <c r="Q31" i="13"/>
  <c r="R31" i="13"/>
  <c r="AM24" i="21" l="1"/>
  <c r="AP30" i="14"/>
  <c r="AM33" i="21"/>
  <c r="AP28" i="14"/>
  <c r="BL59" i="12"/>
  <c r="BS47" i="12"/>
  <c r="AM27" i="21"/>
  <c r="AJ86" i="18"/>
  <c r="AK86" i="18"/>
  <c r="S35" i="20"/>
  <c r="W35" i="20" s="1"/>
  <c r="AC35" i="21"/>
  <c r="AG35" i="21" s="1"/>
  <c r="AH35" i="21" s="1"/>
  <c r="AB34" i="14"/>
  <c r="AH34" i="14" s="1"/>
  <c r="AI34" i="14" s="1"/>
  <c r="AI25" i="21"/>
  <c r="S41" i="21"/>
  <c r="U41" i="21" s="1"/>
  <c r="AH25" i="21"/>
  <c r="AI26" i="21"/>
  <c r="BM60" i="12"/>
  <c r="BL60" i="12"/>
  <c r="AK27" i="21"/>
  <c r="AJ27" i="21"/>
  <c r="AL27" i="21" s="1"/>
  <c r="AB41" i="21"/>
  <c r="AF41" i="21" s="1"/>
  <c r="T26" i="20"/>
  <c r="Q41" i="20"/>
  <c r="AA41" i="21"/>
  <c r="W26" i="20"/>
  <c r="V26" i="20"/>
  <c r="T26" i="21"/>
  <c r="R41" i="21"/>
  <c r="T41" i="21" s="1"/>
  <c r="AJ30" i="21"/>
  <c r="AL30" i="21" s="1"/>
  <c r="AK30" i="21"/>
  <c r="AJ36" i="21"/>
  <c r="AL36" i="21" s="1"/>
  <c r="AK36" i="21"/>
  <c r="AJ31" i="21"/>
  <c r="AL31" i="21" s="1"/>
  <c r="AK31" i="21"/>
  <c r="W25" i="20"/>
  <c r="V25" i="20"/>
  <c r="U25" i="20"/>
  <c r="T25" i="20"/>
  <c r="R35" i="13"/>
  <c r="U26" i="21"/>
  <c r="AD25" i="21"/>
  <c r="U26" i="20"/>
  <c r="R41" i="20"/>
  <c r="AJ33" i="21"/>
  <c r="AL33" i="21" s="1"/>
  <c r="AK33" i="21"/>
  <c r="AJ24" i="21"/>
  <c r="AK34" i="21"/>
  <c r="AJ34" i="21"/>
  <c r="AL34" i="21" s="1"/>
  <c r="AC28" i="21"/>
  <c r="S28" i="20"/>
  <c r="AD26" i="21"/>
  <c r="AK29" i="21"/>
  <c r="AJ29" i="21"/>
  <c r="AL29" i="21" s="1"/>
  <c r="R26" i="13"/>
  <c r="Z68" i="14"/>
  <c r="AE68" i="14" s="1"/>
  <c r="X64" i="14"/>
  <c r="AJ37" i="18"/>
  <c r="AB27" i="14"/>
  <c r="AK37" i="18"/>
  <c r="P28" i="13"/>
  <c r="AI23" i="14"/>
  <c r="AL23" i="14"/>
  <c r="AM23" i="14"/>
  <c r="AF56" i="14"/>
  <c r="W24" i="14"/>
  <c r="U40" i="14"/>
  <c r="W40" i="14" s="1"/>
  <c r="U6" i="14"/>
  <c r="W25" i="14"/>
  <c r="U7" i="14"/>
  <c r="AI26" i="14"/>
  <c r="AM26" i="14"/>
  <c r="AL26" i="14"/>
  <c r="AF3" i="18"/>
  <c r="AN28" i="19"/>
  <c r="AO28" i="19"/>
  <c r="AJ3" i="19"/>
  <c r="AA24" i="14"/>
  <c r="R25" i="13"/>
  <c r="O41" i="13"/>
  <c r="AO5" i="14"/>
  <c r="AN5" i="14"/>
  <c r="AG27" i="14"/>
  <c r="AE27" i="14"/>
  <c r="V27" i="14"/>
  <c r="V57" i="14"/>
  <c r="AH25" i="14"/>
  <c r="AI25" i="14" s="1"/>
  <c r="AC25" i="14"/>
  <c r="AI35" i="14"/>
  <c r="AL35" i="14"/>
  <c r="AN35" i="14" s="1"/>
  <c r="AM35" i="14"/>
  <c r="AO35" i="14" s="1"/>
  <c r="AF57" i="14"/>
  <c r="AG57" i="14" s="1"/>
  <c r="W27" i="14"/>
  <c r="Z24" i="14"/>
  <c r="N41" i="13"/>
  <c r="S26" i="13"/>
  <c r="T26" i="13"/>
  <c r="AG25" i="14"/>
  <c r="AE25" i="14"/>
  <c r="AI28" i="14"/>
  <c r="AL28" i="14"/>
  <c r="AN28" i="14" s="1"/>
  <c r="AM28" i="14"/>
  <c r="AO28" i="14" s="1"/>
  <c r="AN31" i="19"/>
  <c r="AO31" i="19"/>
  <c r="AH24" i="14"/>
  <c r="AI33" i="14"/>
  <c r="AL33" i="14"/>
  <c r="AN33" i="14" s="1"/>
  <c r="AM33" i="14"/>
  <c r="AO33" i="14" s="1"/>
  <c r="AO37" i="19"/>
  <c r="AN37" i="19"/>
  <c r="V24" i="14"/>
  <c r="V56" i="14"/>
  <c r="U67" i="14" s="1"/>
  <c r="T40" i="14"/>
  <c r="V40" i="14" s="1"/>
  <c r="AI30" i="14"/>
  <c r="AL30" i="14"/>
  <c r="AN30" i="14" s="1"/>
  <c r="AM30" i="14"/>
  <c r="AO30" i="14" s="1"/>
  <c r="AI29" i="14"/>
  <c r="AM29" i="14"/>
  <c r="AO29" i="14" s="1"/>
  <c r="AL29" i="14"/>
  <c r="AN29" i="14" s="1"/>
  <c r="Q25" i="13"/>
  <c r="S25" i="13"/>
  <c r="T25" i="13"/>
  <c r="AI32" i="14"/>
  <c r="AL32" i="14"/>
  <c r="AN32" i="14" s="1"/>
  <c r="AM32" i="14"/>
  <c r="AO32" i="14" s="1"/>
  <c r="AE34" i="14"/>
  <c r="AG34" i="14"/>
  <c r="T35" i="13"/>
  <c r="S35" i="13"/>
  <c r="AC34" i="14" l="1"/>
  <c r="AD35" i="21"/>
  <c r="T35" i="20"/>
  <c r="U35" i="20"/>
  <c r="V35" i="20"/>
  <c r="AI35" i="21"/>
  <c r="AK35" i="21" s="1"/>
  <c r="AG28" i="21"/>
  <c r="AH28" i="21" s="1"/>
  <c r="AI28" i="21"/>
  <c r="AA40" i="14"/>
  <c r="AK40" i="14" s="1"/>
  <c r="AK25" i="21"/>
  <c r="AL24" i="21"/>
  <c r="AJ26" i="21"/>
  <c r="AL26" i="21" s="1"/>
  <c r="AK26" i="21"/>
  <c r="W28" i="20"/>
  <c r="V28" i="20"/>
  <c r="T28" i="20"/>
  <c r="U28" i="20"/>
  <c r="U41" i="20" s="1"/>
  <c r="S41" i="20"/>
  <c r="W41" i="20" s="1"/>
  <c r="AK24" i="21"/>
  <c r="AD28" i="21"/>
  <c r="AJ35" i="21"/>
  <c r="AL35" i="21" s="1"/>
  <c r="AJ25" i="21"/>
  <c r="AL25" i="21" s="1"/>
  <c r="AC41" i="21"/>
  <c r="AD41" i="21" s="1"/>
  <c r="AH57" i="14"/>
  <c r="AM57" i="14"/>
  <c r="Z67" i="14"/>
  <c r="AE67" i="14" s="1"/>
  <c r="AE69" i="14" s="1"/>
  <c r="AF66" i="14"/>
  <c r="W57" i="14"/>
  <c r="U68" i="14"/>
  <c r="U69" i="14" s="1"/>
  <c r="AN23" i="14"/>
  <c r="V66" i="14"/>
  <c r="W66" i="14" s="1"/>
  <c r="AO26" i="14"/>
  <c r="AA68" i="14"/>
  <c r="AM34" i="14"/>
  <c r="AO34" i="14" s="1"/>
  <c r="AL34" i="14"/>
  <c r="AN34" i="14" s="1"/>
  <c r="AN26" i="14"/>
  <c r="V65" i="14"/>
  <c r="W65" i="14" s="1"/>
  <c r="AF65" i="14"/>
  <c r="AL5" i="19"/>
  <c r="AV3" i="19"/>
  <c r="AV7" i="19" s="1"/>
  <c r="AV10" i="19" s="1"/>
  <c r="AV13" i="19" s="1"/>
  <c r="V8" i="14"/>
  <c r="AG24" i="14"/>
  <c r="AE24" i="14"/>
  <c r="AL24" i="14"/>
  <c r="Z40" i="14"/>
  <c r="AE40" i="14" s="1"/>
  <c r="AH5" i="18"/>
  <c r="AR3" i="18"/>
  <c r="AR7" i="18" s="1"/>
  <c r="AR10" i="18" s="1"/>
  <c r="AR13" i="18" s="1"/>
  <c r="AC27" i="14"/>
  <c r="AH27" i="14"/>
  <c r="AH40" i="14" s="1"/>
  <c r="AB40" i="14"/>
  <c r="S28" i="13"/>
  <c r="T28" i="13"/>
  <c r="R28" i="13"/>
  <c r="R41" i="13" s="1"/>
  <c r="Q28" i="13"/>
  <c r="Q41" i="13" s="1"/>
  <c r="AG56" i="14"/>
  <c r="AM56" i="14" s="1"/>
  <c r="AF58" i="14"/>
  <c r="W56" i="14"/>
  <c r="V58" i="14"/>
  <c r="AM25" i="14"/>
  <c r="AM24" i="14"/>
  <c r="AI24" i="14"/>
  <c r="AL25" i="14"/>
  <c r="AO23" i="14"/>
  <c r="V6" i="14"/>
  <c r="W6" i="14"/>
  <c r="U8" i="14"/>
  <c r="W8" i="14" s="1"/>
  <c r="AC24" i="14"/>
  <c r="V7" i="14"/>
  <c r="W7" i="14"/>
  <c r="P41" i="13"/>
  <c r="T41" i="20" l="1"/>
  <c r="AJ28" i="21"/>
  <c r="AL28" i="21" s="1"/>
  <c r="AG41" i="21"/>
  <c r="AH41" i="21" s="1"/>
  <c r="V41" i="20"/>
  <c r="AA67" i="14"/>
  <c r="Z69" i="14"/>
  <c r="AA57" i="14"/>
  <c r="AB57" i="14" s="1"/>
  <c r="AC57" i="14" s="1"/>
  <c r="X57" i="14"/>
  <c r="X65" i="14"/>
  <c r="X66" i="14"/>
  <c r="AO25" i="14"/>
  <c r="AF67" i="14"/>
  <c r="W58" i="14"/>
  <c r="AN25" i="14"/>
  <c r="V67" i="14"/>
  <c r="AN24" i="14"/>
  <c r="AH56" i="14"/>
  <c r="AG58" i="14"/>
  <c r="AG40" i="14"/>
  <c r="AC40" i="14"/>
  <c r="AI27" i="14"/>
  <c r="AL27" i="14"/>
  <c r="AM27" i="14"/>
  <c r="AF68" i="14" s="1"/>
  <c r="S41" i="13"/>
  <c r="T41" i="13"/>
  <c r="AI40" i="14"/>
  <c r="AA56" i="14"/>
  <c r="X56" i="14"/>
  <c r="AO24" i="14"/>
  <c r="AM6" i="14"/>
  <c r="AJ41" i="21" l="1"/>
  <c r="AL41" i="21" s="1"/>
  <c r="AK28" i="21"/>
  <c r="AI41" i="21"/>
  <c r="AK41" i="21" s="1"/>
  <c r="AH58" i="14"/>
  <c r="AM58" i="14"/>
  <c r="X58" i="14"/>
  <c r="W67" i="14"/>
  <c r="AN27" i="14"/>
  <c r="V68" i="14"/>
  <c r="W68" i="14" s="1"/>
  <c r="AB56" i="14"/>
  <c r="AA58" i="14"/>
  <c r="AO6" i="14"/>
  <c r="AN6" i="14"/>
  <c r="AL40" i="14"/>
  <c r="AN40" i="14" s="1"/>
  <c r="AO27" i="14"/>
  <c r="AM7" i="14"/>
  <c r="AM40" i="14"/>
  <c r="AO40" i="14" s="1"/>
  <c r="X68" i="14" l="1"/>
  <c r="X67" i="14"/>
  <c r="W69" i="14"/>
  <c r="V69" i="14"/>
  <c r="AO7" i="14"/>
  <c r="AN7" i="14"/>
  <c r="AN8" i="14"/>
  <c r="AM8" i="14"/>
  <c r="AO8" i="14" s="1"/>
  <c r="AC56" i="14"/>
  <c r="AB58" i="14"/>
  <c r="AC58" i="14" l="1"/>
  <c r="X69" i="14"/>
  <c r="AA69" i="14"/>
  <c r="AG64" i="14"/>
  <c r="AM64" i="14" s="1"/>
  <c r="AB65" i="14"/>
  <c r="AC65" i="14" s="1"/>
  <c r="AB64" i="14"/>
  <c r="AC64" i="14" s="1"/>
  <c r="AB67" i="14"/>
  <c r="AC67" i="14" s="1"/>
  <c r="AG66" i="14"/>
  <c r="AG65" i="14"/>
  <c r="AG68" i="14"/>
  <c r="AB68" i="14"/>
  <c r="AC68" i="14" s="1"/>
  <c r="AB66" i="14"/>
  <c r="AC66" i="14" s="1"/>
  <c r="AG67" i="14"/>
  <c r="AH67" i="14" l="1"/>
  <c r="AM67" i="14"/>
  <c r="AH65" i="14"/>
  <c r="AM65" i="14"/>
  <c r="AH68" i="14"/>
  <c r="AM68" i="14"/>
  <c r="AH66" i="14"/>
  <c r="AM66" i="14"/>
  <c r="AH64" i="14"/>
  <c r="AG69" i="14"/>
  <c r="AM69" i="14" s="1"/>
  <c r="AF69" i="14"/>
  <c r="AB69" i="14"/>
  <c r="AC69" i="14" l="1"/>
  <c r="AH69" i="14"/>
</calcChain>
</file>

<file path=xl/sharedStrings.xml><?xml version="1.0" encoding="utf-8"?>
<sst xmlns="http://schemas.openxmlformats.org/spreadsheetml/2006/main" count="3885" uniqueCount="665">
  <si>
    <t>NW Natural</t>
  </si>
  <si>
    <t>Rates &amp; Regulatory Affairs</t>
  </si>
  <si>
    <t>Schedule</t>
  </si>
  <si>
    <t>Block</t>
  </si>
  <si>
    <t>Block 1</t>
  </si>
  <si>
    <t>Block 2</t>
  </si>
  <si>
    <t>Block 3</t>
  </si>
  <si>
    <t>Block 4</t>
  </si>
  <si>
    <t>Block 5</t>
  </si>
  <si>
    <t>Block 6</t>
  </si>
  <si>
    <t>3 CFS</t>
  </si>
  <si>
    <t>3 IFS</t>
  </si>
  <si>
    <t>2R</t>
  </si>
  <si>
    <t>C</t>
  </si>
  <si>
    <t>Temporary Increments</t>
  </si>
  <si>
    <t>Billing</t>
  </si>
  <si>
    <t>Rates</t>
  </si>
  <si>
    <t>REMOVE</t>
  </si>
  <si>
    <t>Current</t>
  </si>
  <si>
    <t>WACOG</t>
  </si>
  <si>
    <t>ADD</t>
  </si>
  <si>
    <t>Proposed</t>
  </si>
  <si>
    <t>Multiplier</t>
  </si>
  <si>
    <t>Increment</t>
  </si>
  <si>
    <t>Revenue Sensitive Multiplier:</t>
  </si>
  <si>
    <t>Amount to Amortize:</t>
  </si>
  <si>
    <t>Commercial</t>
  </si>
  <si>
    <t>MARGIN</t>
  </si>
  <si>
    <t>Rate</t>
  </si>
  <si>
    <t>Proposed Amount:</t>
  </si>
  <si>
    <t>Temporary</t>
  </si>
  <si>
    <t>Margin</t>
  </si>
  <si>
    <t>Total</t>
  </si>
  <si>
    <t>Items</t>
  </si>
  <si>
    <t>Column A</t>
  </si>
  <si>
    <t>A</t>
  </si>
  <si>
    <t>B</t>
  </si>
  <si>
    <t>D</t>
  </si>
  <si>
    <t>E</t>
  </si>
  <si>
    <t>F</t>
  </si>
  <si>
    <t>G</t>
  </si>
  <si>
    <t>H</t>
  </si>
  <si>
    <t>I</t>
  </si>
  <si>
    <t>L</t>
  </si>
  <si>
    <t>42 CFS Block 1</t>
  </si>
  <si>
    <t>42 CFS Block 2</t>
  </si>
  <si>
    <t>42 CFS Block 3</t>
  </si>
  <si>
    <t>42 CFS Block 4</t>
  </si>
  <si>
    <t>42 CFS Block 5</t>
  </si>
  <si>
    <t>42 CFS Block 6</t>
  </si>
  <si>
    <t>42 IFS Block 1</t>
  </si>
  <si>
    <t>42 IFS Block 2</t>
  </si>
  <si>
    <t>42 IFS Block 3</t>
  </si>
  <si>
    <t>42 IFS Block 4</t>
  </si>
  <si>
    <t>42 IFS Block 5</t>
  </si>
  <si>
    <t>42 IFS Block 6</t>
  </si>
  <si>
    <t>43 FT</t>
  </si>
  <si>
    <t>NCS field</t>
  </si>
  <si>
    <t>Sources:</t>
  </si>
  <si>
    <t>Direct Inputs</t>
  </si>
  <si>
    <t>Equal % of margin</t>
  </si>
  <si>
    <t>Totals</t>
  </si>
  <si>
    <t>Rates in detail</t>
  </si>
  <si>
    <t>Rates in summary</t>
  </si>
  <si>
    <t>Calculation of Proposed Rates - SUMMARY</t>
  </si>
  <si>
    <t>Calculation of Proposed Rates - DETAIL</t>
  </si>
  <si>
    <t>Therms in</t>
  </si>
  <si>
    <t>Therms</t>
  </si>
  <si>
    <t>Average use</t>
  </si>
  <si>
    <t>Minimum</t>
  </si>
  <si>
    <t>Monthly</t>
  </si>
  <si>
    <t>Charge</t>
  </si>
  <si>
    <t>Average Bill</t>
  </si>
  <si>
    <t>% Bill Change</t>
  </si>
  <si>
    <t>all additional</t>
  </si>
  <si>
    <t>Customers</t>
  </si>
  <si>
    <t>Average Use</t>
  </si>
  <si>
    <t>per Tariff</t>
  </si>
  <si>
    <t>TOTAL</t>
  </si>
  <si>
    <t>Sources for line 2 above:</t>
  </si>
  <si>
    <t>Inputs page</t>
  </si>
  <si>
    <t>Normal</t>
  </si>
  <si>
    <t>Tariff</t>
  </si>
  <si>
    <t>Customer</t>
  </si>
  <si>
    <t>Note: Allocation to rate schedules or blocks with zero volumes is calculated on an overall margin percentage change basis.</t>
  </si>
  <si>
    <t>Sales</t>
  </si>
  <si>
    <t>Volumetric</t>
  </si>
  <si>
    <t>Allocation to RS</t>
  </si>
  <si>
    <t>Year Ended</t>
  </si>
  <si>
    <t>R</t>
  </si>
  <si>
    <t>Base Rate</t>
  </si>
  <si>
    <t>GRAND TOTAL</t>
  </si>
  <si>
    <t>S</t>
  </si>
  <si>
    <t>T</t>
  </si>
  <si>
    <t>U</t>
  </si>
  <si>
    <t>Tariff Schedules:</t>
  </si>
  <si>
    <t>Schedule #</t>
  </si>
  <si>
    <t>Test</t>
  </si>
  <si>
    <t>Change</t>
  </si>
  <si>
    <t>MDDV</t>
  </si>
  <si>
    <t>Variable Rate</t>
  </si>
  <si>
    <t>Fixed Monthly Charge</t>
  </si>
  <si>
    <t>MDDV Margin</t>
  </si>
  <si>
    <t xml:space="preserve">  Total Rev. Requirement</t>
  </si>
  <si>
    <t xml:space="preserve">   Less:</t>
  </si>
  <si>
    <t>Base Rates</t>
  </si>
  <si>
    <t>(Less Temps)</t>
  </si>
  <si>
    <t>REVENUE REQUIREMENT PROOF</t>
  </si>
  <si>
    <t>Distribution Capacity</t>
  </si>
  <si>
    <t>Storage</t>
  </si>
  <si>
    <t>Annual</t>
  </si>
  <si>
    <t>Volumes (therms)</t>
  </si>
  <si>
    <t>Use Per Customer</t>
  </si>
  <si>
    <t>MDDV (therms)</t>
  </si>
  <si>
    <t>VOLUMETRIC</t>
  </si>
  <si>
    <t>FIXED CHARGE</t>
  </si>
  <si>
    <t>MARGIN AT CURRENT RATES</t>
  </si>
  <si>
    <t>MARGIN AT SETTLEMENT RATES</t>
  </si>
  <si>
    <t>CURRENT</t>
  </si>
  <si>
    <t>PROPOSED Volumetric Rates</t>
  </si>
  <si>
    <t>Test Year</t>
  </si>
  <si>
    <t>PROPOSED Fixed Charges and Demand Rates</t>
  </si>
  <si>
    <t>Derivation of Rev Req Under Proposed Rates</t>
  </si>
  <si>
    <t>MARGIN RATES</t>
  </si>
  <si>
    <t>VOLUMES AND CUSTOMERS</t>
  </si>
  <si>
    <t>Fixed Charges and Demand Rates</t>
  </si>
  <si>
    <t>EXISTING</t>
  </si>
  <si>
    <t>CHANGE</t>
  </si>
  <si>
    <t>PERCENTAGE</t>
  </si>
  <si>
    <t>J</t>
  </si>
  <si>
    <t>K</t>
  </si>
  <si>
    <t>M</t>
  </si>
  <si>
    <t>N</t>
  </si>
  <si>
    <t>O</t>
  </si>
  <si>
    <t>P</t>
  </si>
  <si>
    <t>Q</t>
  </si>
  <si>
    <t>SCHEDULE</t>
  </si>
  <si>
    <t>Transportation</t>
  </si>
  <si>
    <t>Base</t>
  </si>
  <si>
    <t>Pipeline</t>
  </si>
  <si>
    <t>Capacity</t>
  </si>
  <si>
    <t>CUSTOMER CLASS</t>
  </si>
  <si>
    <t xml:space="preserve">Residential </t>
  </si>
  <si>
    <t xml:space="preserve">Commercial </t>
  </si>
  <si>
    <t xml:space="preserve">Industrial </t>
  </si>
  <si>
    <t>Industrial</t>
  </si>
  <si>
    <t>SERVICE TYPE</t>
  </si>
  <si>
    <t xml:space="preserve">Sales </t>
  </si>
  <si>
    <t>Firm</t>
  </si>
  <si>
    <t>Interruptible</t>
  </si>
  <si>
    <t>Line No.</t>
  </si>
  <si>
    <t>RATE SCHEDULE</t>
  </si>
  <si>
    <t>Rate Schedule % of Current Margin</t>
  </si>
  <si>
    <t>% Increase to Current Revenue</t>
  </si>
  <si>
    <t>% Increase to Current Margin</t>
  </si>
  <si>
    <t>Current Volumetric Margin</t>
  </si>
  <si>
    <t>% Increase to Volumetric Margin</t>
  </si>
  <si>
    <t>CHECK</t>
  </si>
  <si>
    <t>Rate Schedule</t>
  </si>
  <si>
    <t>Proposed Increase:
Base Rates</t>
  </si>
  <si>
    <t>Current
Monthly Base Charge</t>
  </si>
  <si>
    <t>Proposed Monthly Base Charge</t>
  </si>
  <si>
    <t>Test 
Year
Volumes</t>
  </si>
  <si>
    <t>Test 
Year
Customers</t>
  </si>
  <si>
    <t>Block 
Volumes</t>
  </si>
  <si>
    <t>4a</t>
  </si>
  <si>
    <t>4b</t>
  </si>
  <si>
    <t>4c</t>
  </si>
  <si>
    <t>DELTA*</t>
  </si>
  <si>
    <t>*Delta due to rate rounding to five decimal places.</t>
  </si>
  <si>
    <t>STEP 1:</t>
  </si>
  <si>
    <t>STEP 2:</t>
  </si>
  <si>
    <r>
      <rPr>
        <b/>
        <sz val="10"/>
        <rFont val="Calibri"/>
        <family val="2"/>
        <scheme val="minor"/>
      </rPr>
      <t>Step 1</t>
    </r>
    <r>
      <rPr>
        <sz val="10"/>
        <rFont val="Calibri"/>
        <family val="2"/>
        <scheme val="minor"/>
      </rPr>
      <t>: Rate Impacts - Equal Percent of Margin</t>
    </r>
  </si>
  <si>
    <t xml:space="preserve">Line
No. </t>
  </si>
  <si>
    <t>Volumes</t>
  </si>
  <si>
    <t>D = B+C</t>
  </si>
  <si>
    <t>E = A * D</t>
  </si>
  <si>
    <t>H = (F*G*12)+E</t>
  </si>
  <si>
    <t>Revenue Requirement</t>
  </si>
  <si>
    <t>Rev Req</t>
  </si>
  <si>
    <t>Temporary Increment</t>
  </si>
  <si>
    <t>TOTALS</t>
  </si>
  <si>
    <t>to all sales</t>
  </si>
  <si>
    <t>[1] For convenience of presentation, demand charges are not shown for those schedules where customers may choose demand charges at a volumetric rate or based on MDDV.</t>
  </si>
  <si>
    <t>[1]</t>
  </si>
  <si>
    <t>Temp Chng</t>
  </si>
  <si>
    <t>V</t>
  </si>
  <si>
    <t>INCREMENT:</t>
  </si>
  <si>
    <t xml:space="preserve">Proposed </t>
  </si>
  <si>
    <t>COMBINED</t>
  </si>
  <si>
    <t>Temp Rate</t>
  </si>
  <si>
    <t>TEMPORARY RATE ADJUSTMENT</t>
  </si>
  <si>
    <t>Normalized</t>
  </si>
  <si>
    <t>4d</t>
  </si>
  <si>
    <t>Allocated on an EQUAL CENT PER THERM Basis</t>
  </si>
  <si>
    <t>Allocated on an EQUAL PERCENTAGE OF MARGIN Basis</t>
  </si>
  <si>
    <t>TOTAL INCREMENT:</t>
  </si>
  <si>
    <t>(1)</t>
  </si>
  <si>
    <t>(2)</t>
  </si>
  <si>
    <t>Combined Effects</t>
  </si>
  <si>
    <t>Margin 
Increase 
(%)</t>
  </si>
  <si>
    <t xml:space="preserve"> Margin 
Increase
($)</t>
  </si>
  <si>
    <t>Margin Revenue 
at 
Proposed Rates</t>
  </si>
  <si>
    <t>Total Revenue
 at 
Proposed Rates</t>
  </si>
  <si>
    <t>Margin Revenue Increase
 (%)</t>
  </si>
  <si>
    <t>Total 
Revenue Increase 
(%)</t>
  </si>
  <si>
    <t>Average Bill Increase 
(%)</t>
  </si>
  <si>
    <t>Margin Revenue 
at 
Present Rates</t>
  </si>
  <si>
    <t>Total Revenue 
at 
Present Rates</t>
  </si>
  <si>
    <t>BILLING</t>
  </si>
  <si>
    <t>Revenues</t>
  </si>
  <si>
    <t>Revenue at Current Rates (Less: Temporaries)</t>
  </si>
  <si>
    <t>Allocated on an EQUAL PERCENTAGE OF TOTAL REVENUE Basis</t>
  </si>
  <si>
    <t>Revenue Requirement Effects</t>
  </si>
  <si>
    <t>Proposed Base and Total Billing Rates by Rate Schedule and Block - Combined Effects</t>
  </si>
  <si>
    <t>D = A+C</t>
  </si>
  <si>
    <t>E = B+C</t>
  </si>
  <si>
    <t>Revenue Requirement Adj</t>
  </si>
  <si>
    <t>Unadjusted</t>
  </si>
  <si>
    <t>Total Margin</t>
  </si>
  <si>
    <t>Adjusted</t>
  </si>
  <si>
    <t>Volumetric Margin</t>
  </si>
  <si>
    <t>Temporary Adjustment</t>
  </si>
  <si>
    <t>Pipeline Capacity Rate (Demand)</t>
  </si>
  <si>
    <t>Commodity Rate (WACOG)</t>
  </si>
  <si>
    <t>GRC TEMPS</t>
  </si>
  <si>
    <t>GRC BASE</t>
  </si>
  <si>
    <t>X</t>
  </si>
  <si>
    <t>Base Rate Adj</t>
  </si>
  <si>
    <t>Purchased Gas Adj. (PGA)</t>
  </si>
  <si>
    <t>Revenue
Change
($)</t>
  </si>
  <si>
    <t>Revenue
Change
(%)</t>
  </si>
  <si>
    <t>W</t>
  </si>
  <si>
    <t>Y</t>
  </si>
  <si>
    <t>Z</t>
  </si>
  <si>
    <t>AA</t>
  </si>
  <si>
    <t>PGA</t>
  </si>
  <si>
    <t>Proposed Change</t>
  </si>
  <si>
    <t>Proposed Decrease:
Temporary Rate</t>
  </si>
  <si>
    <r>
      <t xml:space="preserve">Calculation of Effect on Customer Average Bill by Rate Schedule </t>
    </r>
    <r>
      <rPr>
        <b/>
        <vertAlign val="superscript"/>
        <sz val="11"/>
        <rFont val="Calibri"/>
        <family val="2"/>
        <scheme val="minor"/>
      </rPr>
      <t>[1]</t>
    </r>
  </si>
  <si>
    <t>Billing /Tariff</t>
  </si>
  <si>
    <t>Billing/Tariff</t>
  </si>
  <si>
    <t>Total Propose PGA Rate</t>
  </si>
  <si>
    <t>2020-21</t>
  </si>
  <si>
    <t>REVENUE REQUIREMENT</t>
  </si>
  <si>
    <t>FINAL</t>
  </si>
  <si>
    <t>Proposed Decrease:
Base Rate</t>
  </si>
  <si>
    <t>PGA Volumes</t>
  </si>
  <si>
    <t>VOLUMES</t>
  </si>
  <si>
    <t>4e</t>
  </si>
  <si>
    <t>Less: Post-Attestation Revenue Requirement Change</t>
  </si>
  <si>
    <t>REMOVE:</t>
  </si>
  <si>
    <t>8a</t>
  </si>
  <si>
    <t>Attestation Adjustment</t>
  </si>
  <si>
    <t>AB</t>
  </si>
  <si>
    <t>AD</t>
  </si>
  <si>
    <t>AE</t>
  </si>
  <si>
    <t>Current Tarriff Rate</t>
  </si>
  <si>
    <t>Current Tarriff</t>
  </si>
  <si>
    <t>L = H…K</t>
  </si>
  <si>
    <t>AG</t>
  </si>
  <si>
    <t>AL</t>
  </si>
  <si>
    <t>AM</t>
  </si>
  <si>
    <t>AP</t>
  </si>
  <si>
    <t>Residential</t>
  </si>
  <si>
    <t>Overall</t>
  </si>
  <si>
    <t>Revenue ($000)/Yr. Increase</t>
  </si>
  <si>
    <t>Total Revenue Requirement</t>
  </si>
  <si>
    <t>Average Month Bill Change $</t>
  </si>
  <si>
    <t xml:space="preserve">Rate </t>
  </si>
  <si>
    <t>Average Month Bill Change %</t>
  </si>
  <si>
    <t>COMBINED [1] [2]</t>
  </si>
  <si>
    <t>UG XXXXXX</t>
  </si>
  <si>
    <t>Test Year Ending September 30, 2020</t>
  </si>
  <si>
    <t>Sep. 30, 2020</t>
  </si>
  <si>
    <t>Washington Volumes (therms)</t>
  </si>
  <si>
    <t>Washington Jurisdictional Rate Case</t>
  </si>
  <si>
    <t>Test Year Twelve Months Ended September 30, 2020</t>
  </si>
  <si>
    <t>UG XXXXXX + PGA</t>
  </si>
  <si>
    <t>WA GRC</t>
  </si>
  <si>
    <t>WA</t>
  </si>
  <si>
    <t>1R</t>
  </si>
  <si>
    <t>1C</t>
  </si>
  <si>
    <t>n/a</t>
  </si>
  <si>
    <t>Class</t>
  </si>
  <si>
    <t>41C Firm Sales</t>
  </si>
  <si>
    <t>42C Firm Sales</t>
  </si>
  <si>
    <t>41C Interr Sales</t>
  </si>
  <si>
    <t>42C Interr Sales</t>
  </si>
  <si>
    <t>41 CFS Block 1</t>
  </si>
  <si>
    <t>41 CFS Block 2</t>
  </si>
  <si>
    <t>41 CIS Block 1</t>
  </si>
  <si>
    <t>41 CIS Block 2</t>
  </si>
  <si>
    <t>41I Firm Sales</t>
  </si>
  <si>
    <t>41 IFS Block 2</t>
  </si>
  <si>
    <t>41 IFS Block 1</t>
  </si>
  <si>
    <t>41I Firm Transpt</t>
  </si>
  <si>
    <t>42C Firm Transpt</t>
  </si>
  <si>
    <t>42I Firm Transpt</t>
  </si>
  <si>
    <t>41I Interr Sales</t>
  </si>
  <si>
    <t>42I Interr Sales</t>
  </si>
  <si>
    <t>41 IIS Block 1</t>
  </si>
  <si>
    <t>41 IIS Block 2</t>
  </si>
  <si>
    <t>41 IFT Block 1</t>
  </si>
  <si>
    <t>41 IFT Block 2</t>
  </si>
  <si>
    <t>42I Firm Sales</t>
  </si>
  <si>
    <t>41C Firm Transpt</t>
  </si>
  <si>
    <t>41 CFT Block 1</t>
  </si>
  <si>
    <t>41 CFT Block 2</t>
  </si>
  <si>
    <t>42 CFT Block 1</t>
  </si>
  <si>
    <t>42 CFT Block 2</t>
  </si>
  <si>
    <t>42 CFT Block 3</t>
  </si>
  <si>
    <t>42 CFT Block 4</t>
  </si>
  <si>
    <t>42 CFT Block 5</t>
  </si>
  <si>
    <t>42 CFT Block 6</t>
  </si>
  <si>
    <t>42 IFT Block 1</t>
  </si>
  <si>
    <t>42 IFT Block 2</t>
  </si>
  <si>
    <t>42 IFT Block 3</t>
  </si>
  <si>
    <t>42 IFT Block 4</t>
  </si>
  <si>
    <t>42 IFT Block 5</t>
  </si>
  <si>
    <t>42 IFT Block 6</t>
  </si>
  <si>
    <t>42 IIS Block 1</t>
  </si>
  <si>
    <t>42 IIS Block 3</t>
  </si>
  <si>
    <t>42 IIS Block 4</t>
  </si>
  <si>
    <t>42 IIS Block 5</t>
  </si>
  <si>
    <t>42 IIS Block 6</t>
  </si>
  <si>
    <t>42 IIS Block 2</t>
  </si>
  <si>
    <t>42 CIS Block 1</t>
  </si>
  <si>
    <t>42 CIS Block 2</t>
  </si>
  <si>
    <t>42 CIS Block 3</t>
  </si>
  <si>
    <t>42 CIS Block 4</t>
  </si>
  <si>
    <t>42 CIS Block 5</t>
  </si>
  <si>
    <t>42 CIS Block 6</t>
  </si>
  <si>
    <t>42C Inter Transpt</t>
  </si>
  <si>
    <t>42 CIT Block 1</t>
  </si>
  <si>
    <t>42 CIT Block 3</t>
  </si>
  <si>
    <t>42 CIT Block 4</t>
  </si>
  <si>
    <t>42 CIT Block 5</t>
  </si>
  <si>
    <t>42 CIT Block 6</t>
  </si>
  <si>
    <t>42 CIT Block 2</t>
  </si>
  <si>
    <t>42I Inter Transpt</t>
  </si>
  <si>
    <t>42 IIT Block 1</t>
  </si>
  <si>
    <t>42 IIT Block 2</t>
  </si>
  <si>
    <t>42 IIT Block 3</t>
  </si>
  <si>
    <t>42 IIT Block 4</t>
  </si>
  <si>
    <t>42 IIT Block 5</t>
  </si>
  <si>
    <t>42 IIT Block 6</t>
  </si>
  <si>
    <t>43 Firm Transpt</t>
  </si>
  <si>
    <t>43 IT</t>
  </si>
  <si>
    <t>43 Interr Transpt</t>
  </si>
  <si>
    <t>F = (B/E)/12</t>
  </si>
  <si>
    <t>D = (A/H)/12</t>
  </si>
  <si>
    <t>41CFS</t>
  </si>
  <si>
    <t>41IFS</t>
  </si>
  <si>
    <t>Washington Total</t>
  </si>
  <si>
    <t>41CIS</t>
  </si>
  <si>
    <t>41IIS</t>
  </si>
  <si>
    <t>41CTF</t>
  </si>
  <si>
    <t>41ITF</t>
  </si>
  <si>
    <t>42CFS</t>
  </si>
  <si>
    <t>42IFS</t>
  </si>
  <si>
    <t>42CFT</t>
  </si>
  <si>
    <t>42IFT</t>
  </si>
  <si>
    <t>42CIS</t>
  </si>
  <si>
    <t>42IIS</t>
  </si>
  <si>
    <t>Sale</t>
  </si>
  <si>
    <t>42CIT</t>
  </si>
  <si>
    <t>42IIT</t>
  </si>
  <si>
    <t>Special Contract</t>
  </si>
  <si>
    <t>CURRENT PGA RATES</t>
  </si>
  <si>
    <t>Adj</t>
  </si>
  <si>
    <t>Rate Spread: UG XXXXXX Updated Proposal - ATTESTATION</t>
  </si>
  <si>
    <t>Washington</t>
  </si>
  <si>
    <t>[1] Rate Schedule 41 and 42 customers may choose demand charges at a volumetric rate or based on MDDV.  For convenience of presentation, demand charges are not included in the calculations for those schedules.</t>
  </si>
  <si>
    <t>Count</t>
  </si>
  <si>
    <t>Open for Use</t>
  </si>
  <si>
    <t>Distrib Capacity</t>
  </si>
  <si>
    <t>¢ per Therm</t>
  </si>
  <si>
    <t>% of Margin</t>
  </si>
  <si>
    <t>% of Revenue</t>
  </si>
  <si>
    <t>Placeholder</t>
  </si>
  <si>
    <t>Temp</t>
  </si>
  <si>
    <t>OTHER</t>
  </si>
  <si>
    <t>S=O…R</t>
  </si>
  <si>
    <t>N=I…M</t>
  </si>
  <si>
    <t xml:space="preserve">CHANGE </t>
  </si>
  <si>
    <t>E = A…D</t>
  </si>
  <si>
    <t>G= E+F</t>
  </si>
  <si>
    <t>Open</t>
  </si>
  <si>
    <t>for</t>
  </si>
  <si>
    <t>Use</t>
  </si>
  <si>
    <t>Special</t>
  </si>
  <si>
    <t>[1] Due to optionality, demand charges are not included in the calculations for Rate Schedule 41 &amp; 42.</t>
  </si>
  <si>
    <t>[2] Average Monthly Bill Change are calculated based on UG XXXXXX volumes and customer counts.</t>
  </si>
  <si>
    <t>11-1-20 Current 
Rates:
Base Rate</t>
  </si>
  <si>
    <t>11-1-20 Current 
Rates:
Pipeline Capacity</t>
  </si>
  <si>
    <t>11-1-20 Current 
Rates:
Commodity</t>
  </si>
  <si>
    <t>11-1-20 Current 
Rates:
Temporary Adj</t>
  </si>
  <si>
    <t>11-1-20 Current Billing Rates</t>
  </si>
  <si>
    <t xml:space="preserve">UG XXXXXX Proposed Base Rate </t>
  </si>
  <si>
    <t>2021-22 PGA</t>
  </si>
  <si>
    <t>Historical EE</t>
  </si>
  <si>
    <t>Contract</t>
  </si>
  <si>
    <t xml:space="preserve">Margin Revenue at Current Rates </t>
  </si>
  <si>
    <t>to all residential &amp; commercial sales</t>
  </si>
  <si>
    <t>EDIT Amortization Credit</t>
  </si>
  <si>
    <t>to all classes and schedules</t>
  </si>
  <si>
    <t>Block 24 (Truck Lot) Sale</t>
  </si>
  <si>
    <t>&lt; n/a &gt;</t>
  </si>
  <si>
    <t xml:space="preserve">Allocation </t>
  </si>
  <si>
    <t>to RS</t>
  </si>
  <si>
    <t>EDIT Amort Cr</t>
  </si>
  <si>
    <t>Truck Lot Sale</t>
  </si>
  <si>
    <t>COMBINED BASE RATE</t>
  </si>
  <si>
    <t>COMBINED TEMPORARY RATE</t>
  </si>
  <si>
    <t>EDIT Amortization Cr</t>
  </si>
  <si>
    <t>Historical EE (Hardcoded from PGA)</t>
  </si>
  <si>
    <t>YEAR 2</t>
  </si>
  <si>
    <t>Astoria Sale</t>
  </si>
  <si>
    <t>Year 2</t>
  </si>
  <si>
    <t>Year 1</t>
  </si>
  <si>
    <t>2021-2022 PGA</t>
  </si>
  <si>
    <t>YEAR 1</t>
  </si>
  <si>
    <t>2021-2022</t>
  </si>
  <si>
    <t>2022-2023</t>
  </si>
  <si>
    <t>2022-2023 PGA</t>
  </si>
  <si>
    <t>Margin
Decrease
($)</t>
  </si>
  <si>
    <t>Margin
Decrease 
(%)</t>
  </si>
  <si>
    <t xml:space="preserve"> Margin 
Decrease
($)</t>
  </si>
  <si>
    <t>Margin 
Decrease 
(%)</t>
  </si>
  <si>
    <t>UG XXXXX</t>
  </si>
  <si>
    <t>Margin 
Increase
($)</t>
  </si>
  <si>
    <t>Rates Effective November 1, 2021</t>
  </si>
  <si>
    <t>Proposed Decrease:
Base Rates</t>
  </si>
  <si>
    <t>UG XXXXXX + 2021-2022 PGA</t>
  </si>
  <si>
    <t xml:space="preserve">UG XXXXXX Proposed Base  + Temp Rate </t>
  </si>
  <si>
    <t>2022-23 PGA</t>
  </si>
  <si>
    <t>UG XXXXXX + 2022-2023 PGA</t>
  </si>
  <si>
    <t>AC</t>
  </si>
  <si>
    <t>AJ</t>
  </si>
  <si>
    <t>AN</t>
  </si>
  <si>
    <t>AR</t>
  </si>
  <si>
    <t>AS</t>
  </si>
  <si>
    <t>AT</t>
  </si>
  <si>
    <t>UG XXXXXX Proposed Tariff Base + Temp Rate</t>
  </si>
  <si>
    <t>K = G…J</t>
  </si>
  <si>
    <t>I=F+(D * L)</t>
  </si>
  <si>
    <t xml:space="preserve">REVENUE REQUIREMENT </t>
  </si>
  <si>
    <t>to all customers</t>
  </si>
  <si>
    <t>01R</t>
  </si>
  <si>
    <t>01C</t>
  </si>
  <si>
    <t>02R</t>
  </si>
  <si>
    <t>03C</t>
  </si>
  <si>
    <t>03I</t>
  </si>
  <si>
    <t>Revenue Requirement to Spread Based on Proposal</t>
  </si>
  <si>
    <t>* to be spread to all schedules on an equal percent of margin basis</t>
  </si>
  <si>
    <t>*Note: Margin used for spread excludes special contract revenues.</t>
  </si>
  <si>
    <t>Note: Proposal places entire increment on volumetric rates.</t>
  </si>
  <si>
    <t>RATE SPREAD PROPOSAL - YEAR 2</t>
  </si>
  <si>
    <t>5a</t>
  </si>
  <si>
    <t>5b</t>
  </si>
  <si>
    <t>5c</t>
  </si>
  <si>
    <t>5d</t>
  </si>
  <si>
    <t>Post Year 1 Margin:</t>
  </si>
  <si>
    <r>
      <rPr>
        <b/>
        <sz val="10"/>
        <rFont val="Calibri"/>
        <family val="2"/>
        <scheme val="minor"/>
      </rPr>
      <t>Step 2</t>
    </r>
    <r>
      <rPr>
        <sz val="10"/>
        <rFont val="Calibri"/>
        <family val="2"/>
        <scheme val="minor"/>
      </rPr>
      <t>: Rate Impacts - Equal Percent of Margin</t>
    </r>
  </si>
  <si>
    <t>Equal % of Margin Adjustment</t>
  </si>
  <si>
    <t>--&gt; Margin allocation to schedules with no customers.</t>
  </si>
  <si>
    <t>Less: Plant EDIT Amortization Credit</t>
  </si>
  <si>
    <t>* to be spread to all schedules on an equal percent of margin, through a temporary rate</t>
  </si>
  <si>
    <t>SPREAD PLANT EDIT AMORTIZATION CREDIT AMOUNT ON AN EQUAL PERCENT OF MARGIN BASIS TO ALL CUSTOMERS</t>
  </si>
  <si>
    <t>27R</t>
  </si>
  <si>
    <t>% Increase to Year 1 Revenue</t>
  </si>
  <si>
    <t>% Increase to Year 1 Margin</t>
  </si>
  <si>
    <t>% Increase to Year 1 Volumetric Margin</t>
  </si>
  <si>
    <t>(excl. special)</t>
  </si>
  <si>
    <t>ADJUSTMENT</t>
  </si>
  <si>
    <t>(Less Plant EDIT Credit)</t>
  </si>
  <si>
    <t>(Less: Plant EDIT Credit)</t>
  </si>
  <si>
    <t>(Includes Plant EDIT Credit)</t>
  </si>
  <si>
    <t>Plant EDIT Amortization Credit</t>
  </si>
  <si>
    <r>
      <t xml:space="preserve">Revenue Requirement to Spread - </t>
    </r>
    <r>
      <rPr>
        <b/>
        <sz val="10"/>
        <color rgb="FFFF0000"/>
        <rFont val="Calibri"/>
        <family val="2"/>
        <scheme val="minor"/>
      </rPr>
      <t>YEAR 1</t>
    </r>
  </si>
  <si>
    <r>
      <t xml:space="preserve">Revenue Requirement to Spread - </t>
    </r>
    <r>
      <rPr>
        <b/>
        <sz val="10"/>
        <color rgb="FFFF0000"/>
        <rFont val="Calibri"/>
        <family val="2"/>
        <scheme val="minor"/>
      </rPr>
      <t>YEAR 2</t>
    </r>
  </si>
  <si>
    <t>Astoria Property Sale</t>
  </si>
  <si>
    <t>Astoria Prop Sale</t>
  </si>
  <si>
    <t>Historic EE</t>
  </si>
  <si>
    <t>Year 1 Temp Adjustments</t>
  </si>
  <si>
    <t>Year 2 Temp Adjustments</t>
  </si>
  <si>
    <t>Plant EDIT Credit</t>
  </si>
  <si>
    <t>(3)</t>
  </si>
  <si>
    <t>F = B+C+D</t>
  </si>
  <si>
    <t>P = M…O</t>
  </si>
  <si>
    <t>T = Q…S</t>
  </si>
  <si>
    <t>Z = U…Y</t>
  </si>
  <si>
    <t>AF = AA…AE</t>
  </si>
  <si>
    <t>AH</t>
  </si>
  <si>
    <t>AI=AG+AH</t>
  </si>
  <si>
    <t>AK</t>
  </si>
  <si>
    <t>AO = AJ…AN</t>
  </si>
  <si>
    <t>AQ</t>
  </si>
  <si>
    <t>AU = AP…AT</t>
  </si>
  <si>
    <t>(4)</t>
  </si>
  <si>
    <t>I=C+E+G</t>
  </si>
  <si>
    <t>M= A+I+K</t>
  </si>
  <si>
    <t>N=B+I+K</t>
  </si>
  <si>
    <t>SPREAD PROPOSED REVENUE REQUIREMENT INCREMENT ON AN EQUAL PERCENT OF MARGIN BASIS TO ALL SCHEDULES, LESS PLANT EDIT AMORTIZATION CREDIT</t>
  </si>
  <si>
    <t>Margin
Increase
($)</t>
  </si>
  <si>
    <t>Revenue
Decrease
($)</t>
  </si>
  <si>
    <t>Revenue
Decrease 
(%)</t>
  </si>
  <si>
    <t>Revenue 
Decrease
($)</t>
  </si>
  <si>
    <t>Open for use</t>
  </si>
  <si>
    <t>Customers {1]</t>
  </si>
  <si>
    <t>Annual Avg</t>
  </si>
  <si>
    <t>[1]  Customer count is the annual average for trialing twelve month ending February 2020 for the following rate schedules: 3 IFS, 41 IFS, 42 IFS,  41 CIS, 41 IIS, 42 CIS, 41 CFT, 41 IFT, 42 CFT, and 42 CIT, except for 42 IIS and 42 IIT</t>
  </si>
  <si>
    <t>E = A+C+D</t>
  </si>
  <si>
    <t>Revenue
Increase
($)</t>
  </si>
  <si>
    <t>K=C+E</t>
  </si>
  <si>
    <t>M=C+E+G+I</t>
  </si>
  <si>
    <t>Q= A+K+O</t>
  </si>
  <si>
    <t>P=B+M+R</t>
  </si>
  <si>
    <t>Rev % Increase</t>
  </si>
  <si>
    <t>Avg Bill Increase</t>
  </si>
  <si>
    <t>Customer Counts</t>
  </si>
  <si>
    <t>Rates Effective November 1, 2022</t>
  </si>
  <si>
    <t>Incremental</t>
  </si>
  <si>
    <t>MARGIN AT PROPOSED RATES</t>
  </si>
  <si>
    <t>NET REVENUE CHANGE AT PROPOSED RATES PROOF</t>
  </si>
  <si>
    <t>Total Proposed PGA + Year  1 GRC  Rate</t>
  </si>
  <si>
    <t>Total Proposed PGA Rate</t>
  </si>
  <si>
    <t>Total Proposed PGA + Year  2 GRC  Rate</t>
  </si>
  <si>
    <t>SPREAD PROPOSED REVENUE REQUIREMENT INCREMENT ON AN EQUAL PERCENT OF MARGIN BASIS TO ALL SCHEDULES</t>
  </si>
  <si>
    <t>Opern for Use</t>
  </si>
  <si>
    <t>EDIT Amort Credit</t>
  </si>
  <si>
    <t xml:space="preserve">Historical EE </t>
  </si>
  <si>
    <t>Block 24 (Truck Lot) Sale Credit</t>
  </si>
  <si>
    <t>Astoria Property Sale Credit</t>
  </si>
  <si>
    <t>Base Rate (Incl. in Rev. Req.)</t>
  </si>
  <si>
    <t>Average Monthly</t>
  </si>
  <si>
    <t>Bill Change ($)</t>
  </si>
  <si>
    <t>Revenue
Increase
(%)</t>
  </si>
  <si>
    <t xml:space="preserve">Average Monthly </t>
  </si>
  <si>
    <t>Industrial Firm Sales</t>
  </si>
  <si>
    <t>Interruptible Sales</t>
  </si>
  <si>
    <t xml:space="preserve">   Overall</t>
  </si>
  <si>
    <t>Current Margin</t>
  </si>
  <si>
    <t>Proposed Margin</t>
  </si>
  <si>
    <t>Change ($)</t>
  </si>
  <si>
    <t>Change (%)</t>
  </si>
  <si>
    <t>Transportation [1]</t>
  </si>
  <si>
    <t>[1] Excluding Special Contract</t>
  </si>
  <si>
    <t>Current Revenue</t>
  </si>
  <si>
    <t>Proposed Revenue</t>
  </si>
  <si>
    <t>Base Tariff Revenue</t>
  </si>
  <si>
    <t>Billed Revenue</t>
  </si>
  <si>
    <t>Billed Revenue After Rate Mitigation</t>
  </si>
  <si>
    <t xml:space="preserve">       Exclude Special Contract</t>
  </si>
  <si>
    <t/>
  </si>
  <si>
    <t>Current Avg Bill</t>
  </si>
  <si>
    <t>UG-20XXXX</t>
  </si>
  <si>
    <t>Proposed Avg Bill</t>
  </si>
  <si>
    <t xml:space="preserve">Weighted </t>
  </si>
  <si>
    <t>Avg Bill</t>
  </si>
  <si>
    <t xml:space="preserve"> and credit of Block 24 property net gain on sale.</t>
  </si>
  <si>
    <t>Proposed Incremental Revenue Requirement Allocation by Rate Schedule - Revenue Requirement Effects</t>
  </si>
  <si>
    <t>Year One of Multi-Year Plan</t>
  </si>
  <si>
    <t>Year Two of Multi-Year Plan</t>
  </si>
  <si>
    <t>YEAR ONE</t>
  </si>
  <si>
    <t>YEAR TWO</t>
  </si>
  <si>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</si>
  <si>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t>
    </r>
  </si>
  <si>
    <r>
      <rPr>
        <sz val="10"/>
        <color theme="0"/>
        <rFont val="Calibri"/>
        <family val="2"/>
        <scheme val="minor"/>
      </rPr>
      <t xml:space="preserve">NOTE:       </t>
    </r>
    <r>
      <rPr>
        <sz val="10"/>
        <rFont val="Calibri"/>
        <family val="2"/>
        <scheme val="minor"/>
      </rPr>
      <t>Therefore, there may be a small discrepancy with the indicated revenue requirement presented in Exh. KTW-1T.</t>
    </r>
  </si>
  <si>
    <r>
      <rPr>
        <sz val="10"/>
        <color theme="0"/>
        <rFont val="Calibri"/>
        <family val="2"/>
        <scheme val="minor"/>
      </rPr>
      <t xml:space="preserve">NOTE:       </t>
    </r>
    <r>
      <rPr>
        <sz val="10"/>
        <rFont val="Calibri"/>
        <family val="2"/>
        <scheme val="minor"/>
      </rPr>
      <t>for these schedules are overstated.</t>
    </r>
  </si>
  <si>
    <r>
      <t xml:space="preserve">NOTE </t>
    </r>
    <r>
      <rPr>
        <b/>
        <sz val="10"/>
        <rFont val="Calibri"/>
        <family val="2"/>
        <scheme val="minor"/>
      </rPr>
      <t>(2):</t>
    </r>
    <r>
      <rPr>
        <sz val="10"/>
        <rFont val="Calibri"/>
        <family val="2"/>
        <scheme val="minor"/>
      </rPr>
      <t xml:space="preserve"> The proposed margin revenue increase is based on volumetric billing rates rounded to the fifth decimal as necessitated by the Company's tariff.</t>
    </r>
  </si>
  <si>
    <r>
      <t>NOTE</t>
    </r>
    <r>
      <rPr>
        <b/>
        <sz val="10"/>
        <rFont val="Calibri"/>
        <family val="2"/>
        <scheme val="minor"/>
      </rPr>
      <t xml:space="preserve"> (3):</t>
    </r>
    <r>
      <rPr>
        <sz val="10"/>
        <rFont val="Calibri"/>
        <family val="2"/>
        <scheme val="minor"/>
      </rPr>
      <t xml:space="preserve"> The average customer bill percentage impact figure calculation excludes pipeline capacity charges for RS 41 and RS 42 rate classes, and thus</t>
    </r>
  </si>
  <si>
    <r>
      <rPr>
        <sz val="10"/>
        <color theme="0"/>
        <rFont val="Calibri"/>
        <family val="2"/>
        <scheme val="minor"/>
      </rPr>
      <t xml:space="preserve">NOTE:       </t>
    </r>
    <r>
      <rPr>
        <sz val="10"/>
        <rFont val="Calibri"/>
        <family val="2"/>
        <scheme val="minor"/>
      </rPr>
      <t>the bill rate impacts for these schedules are overstated.</t>
    </r>
  </si>
  <si>
    <t>Includes Rate Mitigation Proposal</t>
  </si>
  <si>
    <t>Incremental Year One Effects</t>
  </si>
  <si>
    <t>Incremental Year Two Effects</t>
  </si>
  <si>
    <t>Block 24 Sale</t>
  </si>
  <si>
    <r>
      <t xml:space="preserve">NOTE </t>
    </r>
    <r>
      <rPr>
        <b/>
        <sz val="10"/>
        <rFont val="Calibri"/>
        <family val="2"/>
        <scheme val="minor"/>
      </rPr>
      <t>(2):</t>
    </r>
    <r>
      <rPr>
        <sz val="10"/>
        <rFont val="Calibri"/>
        <family val="2"/>
        <scheme val="minor"/>
      </rPr>
      <t xml:space="preserve"> Plant excess deferred income taxes (EDIT) amortization credit spread to all rate schedules on equal percent of margin basis.  See Exh. RJW-1T.</t>
    </r>
  </si>
  <si>
    <r>
      <t xml:space="preserve">NOTE </t>
    </r>
    <r>
      <rPr>
        <b/>
        <sz val="10"/>
        <rFont val="Calibri"/>
        <family val="2"/>
        <scheme val="minor"/>
      </rPr>
      <t>(1):</t>
    </r>
    <r>
      <rPr>
        <sz val="10"/>
        <rFont val="Calibri"/>
        <family val="2"/>
        <scheme val="minor"/>
      </rPr>
      <t xml:space="preserve"> Revenue Requirement spread to all rate schedules on equal percent of margin basis.  See Exh. RJW-1T.</t>
    </r>
  </si>
  <si>
    <r>
      <t xml:space="preserve">NOTE </t>
    </r>
    <r>
      <rPr>
        <b/>
        <sz val="10"/>
        <rFont val="Calibri"/>
        <family val="2"/>
        <scheme val="minor"/>
      </rPr>
      <t>(3):</t>
    </r>
    <r>
      <rPr>
        <sz val="10"/>
        <rFont val="Calibri"/>
        <family val="2"/>
        <scheme val="minor"/>
      </rPr>
      <t xml:space="preserve"> Energy efficiency deferral spread to residential and commercial sales rate schedules on equal percent of margin basis.  See Exh. RJW-1T.</t>
    </r>
  </si>
  <si>
    <r>
      <t xml:space="preserve">NOTE </t>
    </r>
    <r>
      <rPr>
        <b/>
        <sz val="10"/>
        <rFont val="Calibri"/>
        <family val="2"/>
        <scheme val="minor"/>
      </rPr>
      <t>(4):</t>
    </r>
    <r>
      <rPr>
        <sz val="10"/>
        <rFont val="Calibri"/>
        <family val="2"/>
        <scheme val="minor"/>
      </rPr>
      <t xml:space="preserve"> Block 24 property net gain on sale spread to all rate schedules on equal percent of margin basis.  See Exh. RJW-1T.</t>
    </r>
  </si>
  <si>
    <t>(5)</t>
  </si>
  <si>
    <t>(6)</t>
  </si>
  <si>
    <r>
      <t xml:space="preserve">NOTE </t>
    </r>
    <r>
      <rPr>
        <b/>
        <sz val="10"/>
        <rFont val="Calibri"/>
        <family val="2"/>
        <scheme val="minor"/>
      </rPr>
      <t>(5):</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indicated revenue requirement presented in Exh. KTW-1T.</t>
    </r>
  </si>
  <si>
    <r>
      <t>NOTE</t>
    </r>
    <r>
      <rPr>
        <b/>
        <sz val="10"/>
        <rFont val="Calibri"/>
        <family val="2"/>
        <scheme val="minor"/>
      </rPr>
      <t xml:space="preserve"> (6):</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</si>
  <si>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(2):</t>
    </r>
    <r>
      <rPr>
        <sz val="10"/>
        <rFont val="Calibri"/>
        <family val="2"/>
        <scheme val="minor"/>
      </rPr>
      <t xml:space="preserve"> Astoria Resource Center property net gain on sale spread to all rate schedules on equal percent of margin basis.  See Exh. RJW-1T.</t>
    </r>
  </si>
  <si>
    <r>
      <t>NOTE</t>
    </r>
    <r>
      <rPr>
        <b/>
        <sz val="10"/>
        <rFont val="Calibri"/>
        <family val="2"/>
        <scheme val="minor"/>
      </rPr>
      <t xml:space="preserve"> (4):</t>
    </r>
    <r>
      <rPr>
        <sz val="10"/>
        <rFont val="Calibri"/>
        <family val="2"/>
        <scheme val="minor"/>
      </rPr>
      <t xml:space="preserve"> The average customer bill percentage impact figure calculation excludes pipeline capacity charges for RS 41 and RS 42 rate classes, and thus the bill rate impacts for these schedules are overstated.</t>
    </r>
  </si>
  <si>
    <r>
      <t xml:space="preserve">NOTE </t>
    </r>
    <r>
      <rPr>
        <b/>
        <sz val="10"/>
        <rFont val="Calibri"/>
        <family val="2"/>
        <scheme val="minor"/>
      </rPr>
      <t>(3):</t>
    </r>
    <r>
      <rPr>
        <sz val="10"/>
        <rFont val="Calibri"/>
        <family val="2"/>
        <scheme val="minor"/>
      </rPr>
      <t xml:space="preserve"> The proposed margin revenue increase is based on volumetric billing rates rounded to the fifth decimal as necessitated by the Company's tariff. Therefore, there may be a small discrepancy with the indicated revenue</t>
    </r>
  </si>
  <si>
    <r>
      <rPr>
        <sz val="10"/>
        <color theme="0"/>
        <rFont val="Calibri"/>
        <family val="2"/>
        <scheme val="minor"/>
      </rPr>
      <t xml:space="preserve">NOTE (3):  </t>
    </r>
    <r>
      <rPr>
        <sz val="10"/>
        <rFont val="Calibri"/>
        <family val="2"/>
        <scheme val="minor"/>
      </rPr>
      <t>requirement presented in Exh. KTW-1T.</t>
    </r>
  </si>
  <si>
    <t>Current 
Rates:
Base Rate</t>
  </si>
  <si>
    <t>Current 
Rates:
Pipeline Capacity</t>
  </si>
  <si>
    <t>Current 
Rates:
Commodity</t>
  </si>
  <si>
    <t>Current 
Billing 
Rates</t>
  </si>
  <si>
    <t>Current 
Rates:
Temporary 
Adjustment</t>
  </si>
  <si>
    <t>UG Proposed</t>
  </si>
  <si>
    <t>Current Tariff Rate</t>
  </si>
  <si>
    <t>O = L+M+N</t>
  </si>
  <si>
    <t>Year One 
Proposed Rates</t>
  </si>
  <si>
    <t>Proposed Base and Total Billing Rates by Rate Schedule and Block - Revenue Requirement Effects</t>
  </si>
  <si>
    <t>For Year One and Year Two of the Multi-Year Plan</t>
  </si>
  <si>
    <t>Year Two 
Proposed Rates</t>
  </si>
  <si>
    <t>Q=O+P</t>
  </si>
  <si>
    <t>Year Two</t>
  </si>
  <si>
    <t>Year One</t>
  </si>
  <si>
    <t>Proposed Base and Total Billing Rates by Rate Schedule and Block - Revenue Requirement Effects with Rate Mitigation Proposal</t>
  </si>
  <si>
    <t>Year One 
Proposed 
Base + Temp Rates</t>
  </si>
  <si>
    <t>Year One 
Proposed 
Base Rates</t>
  </si>
  <si>
    <t>S = O+Q+R</t>
  </si>
  <si>
    <t>Year Two
Proposed 
Base + Temp Rates</t>
  </si>
  <si>
    <t>V=S+T+U-(Q+R)</t>
  </si>
  <si>
    <t>M= K+L-C</t>
  </si>
  <si>
    <t>K=F+(E * H)</t>
  </si>
  <si>
    <t>J=F+(D * H)</t>
  </si>
  <si>
    <t>M=F+(D * I)</t>
  </si>
  <si>
    <t>AF</t>
  </si>
  <si>
    <t>AI</t>
  </si>
  <si>
    <r>
      <t xml:space="preserve">Impacts of Revenue Requirement items of $6.3M (Incl. Plant EDIT Amortization Credits), </t>
    </r>
    <r>
      <rPr>
        <i/>
        <u/>
        <sz val="10"/>
        <color rgb="FF0000FF"/>
        <rFont val="Calibri"/>
        <family val="2"/>
        <scheme val="minor"/>
      </rPr>
      <t>prior to</t>
    </r>
    <r>
      <rPr>
        <i/>
        <sz val="10"/>
        <color rgb="FF0000FF"/>
        <rFont val="Calibri"/>
        <family val="2"/>
        <scheme val="minor"/>
      </rPr>
      <t xml:space="preserve"> rate mitigation adjustments: Suspension of Historical Energy Efficiency Deferral</t>
    </r>
  </si>
  <si>
    <r>
      <t xml:space="preserve">Impacts of Revenue Requirement items of $3.2M, </t>
    </r>
    <r>
      <rPr>
        <i/>
        <u/>
        <sz val="10"/>
        <color rgb="FF0000FF"/>
        <rFont val="Calibri"/>
        <family val="2"/>
        <scheme val="minor"/>
      </rPr>
      <t>prior to</t>
    </r>
    <r>
      <rPr>
        <i/>
        <sz val="10"/>
        <color rgb="FF0000FF"/>
        <rFont val="Calibri"/>
        <family val="2"/>
        <scheme val="minor"/>
      </rPr>
      <t xml:space="preserve"> rate mitigation adjustment: Credit of Astoria Resource Center property net gain on sale.</t>
    </r>
  </si>
  <si>
    <r>
      <t xml:space="preserve">Impacts of Revenue Requirement items of $6.3M (Incl. Plant EDIT Amortization Credits), </t>
    </r>
    <r>
      <rPr>
        <i/>
        <u/>
        <sz val="10"/>
        <color rgb="FF0000FF"/>
        <rFont val="Calibri"/>
        <family val="2"/>
        <scheme val="minor"/>
      </rPr>
      <t>including</t>
    </r>
    <r>
      <rPr>
        <i/>
        <sz val="10"/>
        <color rgb="FF0000FF"/>
        <rFont val="Calibri"/>
        <family val="2"/>
        <scheme val="minor"/>
      </rPr>
      <t xml:space="preserve"> rate mitigation adjustments: Suspension of Historical Energy Efficiency Deferral</t>
    </r>
  </si>
  <si>
    <r>
      <t xml:space="preserve">Impacts of Revenue Requirement items of $3.2M, </t>
    </r>
    <r>
      <rPr>
        <i/>
        <u/>
        <sz val="10"/>
        <color rgb="FF0000FF"/>
        <rFont val="Calibri"/>
        <family val="2"/>
        <scheme val="minor"/>
      </rPr>
      <t>including</t>
    </r>
    <r>
      <rPr>
        <i/>
        <sz val="10"/>
        <color rgb="FF0000FF"/>
        <rFont val="Calibri"/>
        <family val="2"/>
        <scheme val="minor"/>
      </rPr>
      <t xml:space="preserve"> to rate mitigation adjustment: Credit of Astoria Resource Center property net gain on sale.</t>
    </r>
  </si>
  <si>
    <t>Prior to Rate Mitigation Proposal</t>
  </si>
  <si>
    <t>Year One: October 1, 2020 through October 31, 2021</t>
  </si>
  <si>
    <t>Year One: November 1, 2021 through October 31, 2022</t>
  </si>
  <si>
    <t>Reduced by 1 to reflect dual bill for 1 customers per Billing Dept.</t>
  </si>
  <si>
    <t>Reduced by 3 to reflect dual bill for 3 customers per Billing Dept.</t>
  </si>
  <si>
    <t>Source: Margin Model*</t>
  </si>
  <si>
    <t>*Margin Model:</t>
  </si>
  <si>
    <t>20XXXX-NWN-Exh-KTW-4-Walker-WP1-12-18-2020</t>
  </si>
  <si>
    <t>Incremental Revenue Requirement</t>
  </si>
  <si>
    <t>* held for future use</t>
  </si>
  <si>
    <t>Exh. RJW-1T</t>
  </si>
  <si>
    <t>Exh. KTW-1T</t>
  </si>
  <si>
    <t>Reference</t>
  </si>
  <si>
    <t>RATE SPREAD PROPOSAL - YEAR One</t>
  </si>
  <si>
    <t>Rate Spread Proposal - Testimony References: Exh. RJW-1T:</t>
  </si>
  <si>
    <t>Rate Spread: UG-20XXXX Proposed Rate Spread</t>
  </si>
  <si>
    <r>
      <t>Proposed UG-20</t>
    </r>
    <r>
      <rPr>
        <sz val="10"/>
        <color rgb="FFFF0000"/>
        <rFont val="Calibri"/>
        <family val="2"/>
        <scheme val="minor"/>
      </rPr>
      <t>XXXX</t>
    </r>
    <r>
      <rPr>
        <sz val="10"/>
        <rFont val="Calibri"/>
        <family val="2"/>
        <scheme val="minor"/>
      </rPr>
      <t xml:space="preserve"> Margin</t>
    </r>
  </si>
  <si>
    <r>
      <t>Proposed UG-20</t>
    </r>
    <r>
      <rPr>
        <sz val="10"/>
        <color rgb="FFFF0000"/>
        <rFont val="Calibri"/>
        <family val="2"/>
        <scheme val="minor"/>
      </rPr>
      <t>XXXX</t>
    </r>
    <r>
      <rPr>
        <sz val="10"/>
        <rFont val="Calibri"/>
        <family val="2"/>
        <scheme val="minor"/>
      </rPr>
      <t xml:space="preserve"> Revenue</t>
    </r>
  </si>
  <si>
    <t xml:space="preserve">Rate Spread: UG-20XXXX YEAR ONE FINAL </t>
  </si>
  <si>
    <r>
      <t>Proposed UG-20</t>
    </r>
    <r>
      <rPr>
        <sz val="10"/>
        <color rgb="FFFF0000"/>
        <rFont val="Calibri"/>
        <family val="2"/>
        <scheme val="minor"/>
      </rPr>
      <t>XXXX</t>
    </r>
    <r>
      <rPr>
        <sz val="10"/>
        <rFont val="Calibri"/>
        <family val="2"/>
        <scheme val="minor"/>
      </rPr>
      <t xml:space="preserve"> Year 2 Margin</t>
    </r>
  </si>
  <si>
    <t xml:space="preserve">Rate Spread: UG-20XXXX YEAR TWO FINAL </t>
  </si>
  <si>
    <t>Derivation of Rate Migitation Items Under Proposed Rates</t>
  </si>
  <si>
    <t>Derivation of All Combined Items Under Proposed Rates - YEAR TWO</t>
  </si>
  <si>
    <t>Derivation of All Combined Items Under Proposed Rates - YEAR ONE</t>
  </si>
  <si>
    <t>UG-20XXXX + PGA</t>
  </si>
  <si>
    <t>Washington Jurisdiction Rate Case</t>
  </si>
  <si>
    <t>Test Year Based on Twelve Months Ended September 30, 2020</t>
  </si>
  <si>
    <t>Workpaper: Rate Spread Proposal, Proposed Rates</t>
  </si>
  <si>
    <t>"20XXXX-NWN-Exh-RJW-3-Wyman-WP1-12-18-2020"</t>
  </si>
  <si>
    <r>
      <rPr>
        <b/>
        <u/>
        <sz val="10"/>
        <rFont val="Tahoma"/>
        <family val="2"/>
      </rPr>
      <t>NOTE</t>
    </r>
    <r>
      <rPr>
        <b/>
        <sz val="10"/>
        <rFont val="Tahoma"/>
        <family val="2"/>
      </rPr>
      <t>:</t>
    </r>
  </si>
  <si>
    <t>Tabs are color-coded by data source and function:</t>
  </si>
  <si>
    <t>This file builds the revenue requirement presented in Exh. KTW-1T</t>
  </si>
  <si>
    <t>into a proposed rate spread and proposed billing rates</t>
  </si>
  <si>
    <t>by rate schedule and rate block.</t>
  </si>
  <si>
    <t>and the rate spread proposal (including rate mitigation) presented in Exh. RJW-1T</t>
  </si>
  <si>
    <t>---&gt;&gt;&gt; Spread of temporary increments to rate schedules and rate blocks</t>
  </si>
  <si>
    <t>---&gt;&gt;&gt; Revenue Requirement rate spread based on proposal presented in Exh. RJW-1T</t>
  </si>
  <si>
    <t>---&gt;&gt;&gt; Proof: Builds / confirms revenues based on proposed rates</t>
  </si>
  <si>
    <t>---&gt;&gt;&gt; Rate summaries and average bill impact calculations</t>
  </si>
  <si>
    <t>---&gt;&gt;&gt; Tables that produce Exh. RJW-3 and Exh. RJW-4</t>
  </si>
  <si>
    <t>---&gt;&gt;&gt; Rate Tables: By Multi-Year Rate Plan year; pre- and post-rate mitigation</t>
  </si>
  <si>
    <t>This file contains inputs from the following workpaper(s)*:</t>
  </si>
  <si>
    <t>20XXXX-NWN-Exh-KTW-3-Walker-WP1-12-18-2020.xlsx</t>
  </si>
  <si>
    <t>Rate Spread Proposal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</si>
</sst>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5" formatCode="&quot;$&quot;#,##0_);\(&quot;$&quot;#,##0\)"/>
    <numFmt numFmtId="7" formatCode="&quot;$&quot;#,##0.00_);\(&quot;$&quot;#,##0.00\)"/>
    <numFmt numFmtId="44" formatCode="_(&quot;$&quot;* #,##0.00_);_(&quot;$&quot;* \(#,##0.00\);_(&quot;$&quot;* &quot;-&quot;??_);_(@_)"/>
    <numFmt numFmtId="43" formatCode="_(* #,##0.00_);_(* \(#,##0.00\);_(* &quot;-&quot;??_);_(@_)"/>
    <numFmt numFmtId="164" formatCode="0.00_);\(0.00\)"/>
    <numFmt numFmtId="165" formatCode="_(* #,##0.0_);_(* \(#,##0.0\);_(* &quot;-&quot;??_);_(@_)"/>
    <numFmt numFmtId="166" formatCode="0.0%"/>
    <numFmt numFmtId="167" formatCode="_(* #,##0_);_(* \(#,##0\);_(* &quot;-&quot;??_);_(@_)"/>
    <numFmt numFmtId="168" formatCode="&quot;$&quot;#,##0.00000_);\(&quot;$&quot;#,##0.00000\)"/>
    <numFmt numFmtId="169" formatCode="0.000%"/>
    <numFmt numFmtId="170" formatCode="#,##0.0_);\(#,##0.0\)"/>
    <numFmt numFmtId="171" formatCode="#,##0.00000_);\(#,##0.00000\)"/>
    <numFmt numFmtId="172" formatCode="&quot;$&quot;#,##0.00000"/>
    <numFmt numFmtId="173" formatCode="&quot;$&quot;#,##0.00"/>
    <numFmt numFmtId="174" formatCode="#,##0.0"/>
    <numFmt numFmtId="175" formatCode="_-* #,##0.00\ _D_M_-;\-* #,##0.00\ _D_M_-;_-* &quot;-&quot;??\ _D_M_-;_-@_-"/>
    <numFmt numFmtId="176" formatCode="&quot;$&quot;#,##0"/>
    <numFmt numFmtId="177" formatCode="[$-409]mmmm\ d\,\ yyyy;@"/>
    <numFmt numFmtId="178" formatCode="_-* #,##0.00\ &quot;DM&quot;_-;\-* #,##0.00\ &quot;DM&quot;_-;_-* &quot;-&quot;??\ &quot;DM&quot;_-;_-@_-"/>
    <numFmt numFmtId="179" formatCode="#.00"/>
    <numFmt numFmtId="180" formatCode="#,##0_);\-#,##0_);\-_)"/>
    <numFmt numFmtId="181" formatCode="#,##0.00_);\-#,##0.00_);\-_)"/>
    <numFmt numFmtId="182" formatCode="#,##0.0_);\-#,##0.0_);\-_)"/>
    <numFmt numFmtId="183" formatCode="&quot;$&quot;#,##0.000000"/>
    <numFmt numFmtId="184" formatCode="_(&quot;$&quot;* #,##0_);_(&quot;$&quot;* \(#,##0\);_(&quot;$&quot;* &quot;-&quot;??_);_(@_)"/>
    <numFmt numFmtId="185" formatCode="[$-409]mmm\-yy;@"/>
    <numFmt numFmtId="186" formatCode="&quot;$&quot;#,##0.000_);\(&quot;$&quot;#,##0.000\)"/>
    <numFmt numFmtId="187" formatCode="yyyyddmmm"/>
    <numFmt numFmtId="188" formatCode="mm/dd/yy"/>
    <numFmt numFmtId="189" formatCode="#,##0.00&quot; $&quot;;\-#,##0.00&quot; $&quot;"/>
    <numFmt numFmtId="190" formatCode="yyyymmmmdd"/>
    <numFmt numFmtId="191" formatCode="&quot;$&quot;#,##0&quot;/kW&quot;;\(&quot;$&quot;#,##0\)&quot;/kW&quot;"/>
    <numFmt numFmtId="192" formatCode="&quot;$&quot;#,##0&quot;/kWh&quot;;\(&quot;$&quot;#,##0\)&quot;/kWh&quot;"/>
    <numFmt numFmtId="193" formatCode="&quot;$&quot;#,##0&quot;/kW-yr&quot;;\(&quot;$&quot;#,##0\)&quot;/kW-yr&quot;"/>
    <numFmt numFmtId="194" formatCode="&quot;$&quot;#,##0&quot;/MWh&quot;;\(&quot;$&quot;#,##0\)&quot;/MWh&quot;"/>
    <numFmt numFmtId="195" formatCode="&quot;$&quot;#,##0_)&quot;M&quot;;\(&quot;$&quot;#,##0\)&quot;M&quot;"/>
    <numFmt numFmtId="196" formatCode="#,##0.00_)&quot;/dth&quot;;\(#,##0.00\)&quot;/dth&quot;"/>
    <numFmt numFmtId="197" formatCode="&quot;[&quot;0&quot;]&quot;"/>
    <numFmt numFmtId="198" formatCode="0.00&quot;¢/kWh&quot;"/>
    <numFmt numFmtId="199" formatCode="#,##0_)_%;\(#,##0\)_%;"/>
    <numFmt numFmtId="200" formatCode="_._.* #,##0.0_)_%;_._.* \(#,##0.0\)_%"/>
    <numFmt numFmtId="201" formatCode="#,##0.0_)_%;\(#,##0.0\)_%;\ \ .0_)_%"/>
    <numFmt numFmtId="202" formatCode="_._.* #,##0.00_)_%;_._.* \(#,##0.00\)_%"/>
    <numFmt numFmtId="203" formatCode="#,##0.00_)_%;\(#,##0.00\)_%;\ \ .00_)_%"/>
    <numFmt numFmtId="204" formatCode="_._.* #,##0.000_)_%;_._.* \(#,##0.000\)_%"/>
    <numFmt numFmtId="205" formatCode="#,##0.000_)_%;\(#,##0.000\)_%;\ \ .000_)_%"/>
    <numFmt numFmtId="206" formatCode="_(* #,##0.00_);_(* \(#,##0.00\);_(* \-??_);_(@_)"/>
    <numFmt numFmtId="207" formatCode="_._.* \(#,##0\)_%;_._.* #,##0_)_%;_._.* 0_)_%;_._.@_)_%"/>
    <numFmt numFmtId="208" formatCode="_._.&quot;$&quot;* \(#,##0\)_%;_._.&quot;$&quot;* #,##0_)_%;_._.&quot;$&quot;* 0_)_%;_._.@_)_%"/>
    <numFmt numFmtId="209" formatCode="* \(#,##0\);* #,##0_);&quot;-&quot;??_);@"/>
    <numFmt numFmtId="210" formatCode="&quot;$&quot;* #,##0_)_%;&quot;$&quot;* \(#,##0\)_%;&quot;$&quot;* &quot;-&quot;??_)_%;@_)_%"/>
    <numFmt numFmtId="211" formatCode="&quot;$&quot;\ #,##0.000_);[Red]\(&quot;$&quot;\ #,##0.000\)"/>
    <numFmt numFmtId="212" formatCode="_(&quot;$&quot;* #,##0.000_);_(&quot;$&quot;* \(#,##0.000\);_(&quot;$&quot;* &quot;-&quot;???_);_(@_)"/>
    <numFmt numFmtId="213" formatCode="&quot;$&quot;#,##0.0000"/>
    <numFmt numFmtId="214" formatCode="_._.&quot;$&quot;* #,##0.0_)_%;_._.&quot;$&quot;* \(#,##0.0\)_%"/>
    <numFmt numFmtId="215" formatCode="&quot;$&quot;* #,##0.0_)_%;&quot;$&quot;* \(#,##0.0\)_%;&quot;$&quot;* \ .0_)_%"/>
    <numFmt numFmtId="216" formatCode="_._.&quot;$&quot;* #,##0.00_)_%;_._.&quot;$&quot;* \(#,##0.00\)_%"/>
    <numFmt numFmtId="217" formatCode="&quot;$&quot;* #,##0.00_)_%;&quot;$&quot;* \(#,##0.00\)_%;&quot;$&quot;* \ .00_)_%"/>
    <numFmt numFmtId="218" formatCode="_._.&quot;$&quot;* #,##0.000_)_%;_._.&quot;$&quot;* \(#,##0.000\)_%"/>
    <numFmt numFmtId="219" formatCode="&quot;$&quot;* #,##0.000_)_%;&quot;$&quot;* \(#,##0.000\)_%;&quot;$&quot;* \ .000_)_%"/>
    <numFmt numFmtId="220" formatCode="_(\$* #,##0.00_);_(\$* \(#,##0.00\);_(\$* \-??_);_(@_)"/>
    <numFmt numFmtId="221" formatCode="mmmm\ d\,\ yyyy"/>
    <numFmt numFmtId="222" formatCode="* #,##0_);* \(#,##0\);&quot;-&quot;??_);@"/>
    <numFmt numFmtId="223" formatCode="#,##0&quot; dth/day&quot;"/>
    <numFmt numFmtId="224" formatCode="#,##0;\(#,##0\)"/>
    <numFmt numFmtId="225" formatCode="#,##0.00;\(#,##0.00\)"/>
    <numFmt numFmtId="226" formatCode="&quot;$&quot;#,##0;\(&quot;$&quot;#,##0\)"/>
    <numFmt numFmtId="227" formatCode="&quot;$&quot;#,##0.00;\(&quot;$&quot;#,##0.00\)"/>
    <numFmt numFmtId="228" formatCode="###0.0%;\(###0.0%\)"/>
    <numFmt numFmtId="229" formatCode="&quot;M2 (&quot;0.00%&quot;)&quot;"/>
    <numFmt numFmtId="230" formatCode="&quot;M3 (&quot;0.00%&quot;)&quot;"/>
    <numFmt numFmtId="231" formatCode="0_)%;\(0\)%"/>
    <numFmt numFmtId="232" formatCode="_._._(* 0_)%;_._.* \(0\)%"/>
    <numFmt numFmtId="233" formatCode="_(0_)%;\(0\)%"/>
    <numFmt numFmtId="234" formatCode="0%_);\(0%\)"/>
    <numFmt numFmtId="235" formatCode="_(0.0_)%;\(0.0\)%"/>
    <numFmt numFmtId="236" formatCode="_._._(* 0.0_)%;_._.* \(0.0\)%"/>
    <numFmt numFmtId="237" formatCode="_(0.00_)%;\(0.00\)%"/>
    <numFmt numFmtId="238" formatCode="_._._(* 0.00_)%;_._.* \(0.00\)%"/>
    <numFmt numFmtId="239" formatCode="_(0.000_)%;\(0.000\)%"/>
    <numFmt numFmtId="240" formatCode="_._._(* 0.000_)%;_._.* \(0.000\)%"/>
    <numFmt numFmtId="241" formatCode="_(&quot;$&quot;* #,##0.00000_);_(&quot;$&quot;* \(#,##0.00000\);_(&quot;$&quot;* &quot;-&quot;??_);_(@_)"/>
    <numFmt numFmtId="242" formatCode="#,##0.00000"/>
    <numFmt numFmtId="243" formatCode="_(&quot;$&quot;* #,##0_);_(&quot;$&quot;* \(#,##0\)\ ;_(&quot;$&quot;* &quot;-&quot;??_);_(@_)"/>
    <numFmt numFmtId="244" formatCode="_(&quot;$&quot;* #,##0.0_);_(&quot;$&quot;* \(#,##0.0\);_(&quot;$&quot;* &quot;-&quot;??_);_(@_)"/>
    <numFmt numFmtId="245" formatCode="_(&quot;$&quot;* #,##0.000_);_(&quot;$&quot;* \(#,##0.000\);_(&quot;$&quot;* &quot;-&quot;??_);_(@_)"/>
    <numFmt numFmtId="246" formatCode="0.0000%"/>
    <numFmt numFmtId="247" formatCode="&quot;$&quot;#,##0.0_);\(&quot;$&quot;#,##0.0\)"/>
    <numFmt numFmtId="248" formatCode="&quot;$&quot;#,##0.000000_);\(&quot;$&quot;#,##0.000000\)"/>
    <numFmt numFmtId="249" formatCode="0.000000"/>
    <numFmt numFmtId="250" formatCode="#,##0.0000_);\(#,##0.0000\)"/>
    <numFmt numFmtId="251" formatCode="_(* #,##0.00000_);_(* \(#,##0.00000\);_(* &quot;-&quot;??_);_(@_)"/>
  </numFmts>
  <fonts count="233" x14ac:knownFonts="1">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font>
    <font>
      <sz val="8"/>
      <name val="Times New Roman"/>
      <family val="1"/>
    </font>
    <font>
      <sz val="10"/>
      <name val="Arial"/>
      <family val="2"/>
    </font>
    <font>
      <b/>
      <sz val="9"/>
      <name val="Arial"/>
      <family val="2"/>
    </font>
    <font>
      <b/>
      <sz val="12"/>
      <name val="Arial"/>
      <family val="2"/>
    </font>
    <font>
      <sz val="8"/>
      <name val="Arial"/>
      <family val="2"/>
    </font>
    <font>
      <sz val="10"/>
      <name val="Tahoma"/>
      <family val="2"/>
    </font>
    <font>
      <sz val="8"/>
      <name val="Tahoma"/>
      <family val="2"/>
    </font>
    <font>
      <b/>
      <sz val="10"/>
      <name val="Tahoma"/>
      <family val="2"/>
    </font>
    <font>
      <sz val="9"/>
      <name val="Tahoma"/>
      <family val="2"/>
    </font>
    <font>
      <b/>
      <sz val="8"/>
      <name val="Tahoma"/>
      <family val="2"/>
    </font>
    <font>
      <sz val="11"/>
      <color indexed="8"/>
      <name val="Calibri"/>
      <family val="2"/>
    </font>
    <font>
      <sz val="11"/>
      <color indexed="9"/>
      <name val="Calibri"/>
      <family val="2"/>
    </font>
    <font>
      <b/>
      <sz val="9"/>
      <color indexed="18"/>
      <name val="Arial"/>
      <family val="2"/>
    </font>
    <font>
      <sz val="10"/>
      <name val="MS Sans Serif"/>
      <family val="2"/>
    </font>
    <font>
      <b/>
      <sz val="14"/>
      <color indexed="8"/>
      <name val="Arial"/>
      <family val="2"/>
    </font>
    <font>
      <b/>
      <sz val="11"/>
      <color indexed="8"/>
      <name val="Calibri"/>
      <family val="2"/>
    </font>
    <font>
      <sz val="1"/>
      <color indexed="8"/>
      <name val="Courier"/>
      <family val="3"/>
    </font>
    <font>
      <b/>
      <sz val="1"/>
      <color indexed="8"/>
      <name val="Courier"/>
      <family val="3"/>
    </font>
    <font>
      <b/>
      <sz val="8"/>
      <color indexed="18"/>
      <name val="Arial"/>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2"/>
      <color indexed="18"/>
      <name val="Arial"/>
      <family val="2"/>
    </font>
    <font>
      <sz val="9"/>
      <color indexed="29"/>
      <name val="Arial"/>
      <family val="2"/>
    </font>
    <font>
      <b/>
      <sz val="9"/>
      <color indexed="29"/>
      <name val="Arial"/>
      <family val="2"/>
    </font>
    <font>
      <sz val="10"/>
      <color rgb="FFFF0000"/>
      <name val="Tahoma"/>
      <family val="2"/>
    </font>
    <font>
      <b/>
      <sz val="10"/>
      <name val="Arial"/>
      <family val="2"/>
    </font>
    <font>
      <sz val="10"/>
      <name val="Calibri"/>
      <family val="2"/>
      <scheme val="minor"/>
    </font>
    <font>
      <b/>
      <sz val="10"/>
      <name val="Calibri"/>
      <family val="2"/>
      <scheme val="minor"/>
    </font>
    <font>
      <sz val="10"/>
      <color rgb="FF0000FF"/>
      <name val="Calibri"/>
      <family val="2"/>
      <scheme val="minor"/>
    </font>
    <font>
      <sz val="10"/>
      <color indexed="12"/>
      <name val="Calibri"/>
      <family val="2"/>
      <scheme val="minor"/>
    </font>
    <font>
      <sz val="9"/>
      <name val="Calibri"/>
      <family val="2"/>
      <scheme val="minor"/>
    </font>
    <font>
      <sz val="10"/>
      <color rgb="FFFF0000"/>
      <name val="Arial"/>
      <family val="2"/>
    </font>
    <font>
      <b/>
      <u/>
      <sz val="10"/>
      <color rgb="FF0000FF"/>
      <name val="Tahoma"/>
      <family val="2"/>
    </font>
    <font>
      <b/>
      <sz val="11"/>
      <color theme="1"/>
      <name val="Calibri"/>
      <family val="2"/>
      <scheme val="minor"/>
    </font>
    <font>
      <sz val="10"/>
      <color theme="1"/>
      <name val="Calibri"/>
      <family val="2"/>
      <scheme val="minor"/>
    </font>
    <font>
      <sz val="8"/>
      <color theme="1"/>
      <name val="Calibri"/>
      <family val="2"/>
      <scheme val="min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000000"/>
      <name val="Calibri"/>
      <family val="2"/>
      <scheme val="minor"/>
    </font>
    <font>
      <sz val="9"/>
      <color theme="1"/>
      <name val="Calibri"/>
      <family val="2"/>
      <scheme val="minor"/>
    </font>
    <font>
      <b/>
      <u/>
      <sz val="10"/>
      <name val="Calibri"/>
      <family val="2"/>
      <scheme val="minor"/>
    </font>
    <font>
      <b/>
      <sz val="10"/>
      <color rgb="FFFF0000"/>
      <name val="Calibri"/>
      <family val="2"/>
      <scheme val="minor"/>
    </font>
    <font>
      <sz val="10"/>
      <color indexed="12"/>
      <name val="Arial"/>
      <family val="2"/>
    </font>
    <font>
      <sz val="11"/>
      <color indexed="37"/>
      <name val="Calibri"/>
      <family val="2"/>
    </font>
    <font>
      <sz val="11"/>
      <color indexed="16"/>
      <name val="Calibri"/>
      <family val="2"/>
    </font>
    <font>
      <b/>
      <sz val="11"/>
      <color indexed="17"/>
      <name val="Calibri"/>
      <family val="2"/>
    </font>
    <font>
      <b/>
      <sz val="11"/>
      <color indexed="53"/>
      <name val="Calibri"/>
      <family val="2"/>
    </font>
    <font>
      <b/>
      <sz val="11"/>
      <color indexed="9"/>
      <name val="Calibri"/>
      <family val="2"/>
    </font>
    <font>
      <sz val="10"/>
      <name val="Helv"/>
    </font>
    <font>
      <sz val="10"/>
      <color theme="1"/>
      <name val="Arial"/>
      <family val="2"/>
    </font>
    <font>
      <sz val="10"/>
      <color theme="1"/>
      <name val="Tahoma"/>
      <family val="2"/>
    </font>
    <font>
      <i/>
      <sz val="11"/>
      <color indexed="23"/>
      <name val="Calibri"/>
      <family val="2"/>
    </font>
    <font>
      <sz val="11"/>
      <color indexed="17"/>
      <name val="Calibri"/>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2"/>
      <name val="Arial"/>
      <family val="2"/>
    </font>
    <font>
      <sz val="11"/>
      <color indexed="48"/>
      <name val="Calibri"/>
      <family val="2"/>
    </font>
    <font>
      <sz val="11"/>
      <color indexed="53"/>
      <name val="Calibri"/>
      <family val="2"/>
    </font>
    <font>
      <sz val="11"/>
      <color indexed="60"/>
      <name val="Calibri"/>
      <family val="2"/>
    </font>
    <font>
      <sz val="7"/>
      <name val="Small Fonts"/>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MS Sans Serif"/>
      <family val="2"/>
    </font>
    <font>
      <sz val="8"/>
      <color indexed="62"/>
      <name val="Arial"/>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6"/>
      <color indexed="8"/>
      <name val="Arial"/>
      <family val="2"/>
    </font>
    <font>
      <b/>
      <sz val="11"/>
      <color indexed="8"/>
      <name val="Arial"/>
      <family val="2"/>
    </font>
    <font>
      <sz val="11"/>
      <color indexed="8"/>
      <name val="Arial"/>
      <family val="2"/>
    </font>
    <font>
      <b/>
      <sz val="16"/>
      <name val="Arial"/>
      <family val="2"/>
    </font>
    <font>
      <sz val="8"/>
      <color indexed="12"/>
      <name val="Arial"/>
      <family val="2"/>
    </font>
    <font>
      <sz val="11"/>
      <color indexed="14"/>
      <name val="Calibri"/>
      <family val="2"/>
    </font>
    <font>
      <sz val="11"/>
      <color indexed="10"/>
      <name val="Calibri"/>
      <family val="2"/>
    </font>
    <font>
      <b/>
      <sz val="18"/>
      <color theme="3"/>
      <name val="Cambria"/>
      <family val="2"/>
      <scheme val="major"/>
    </font>
    <font>
      <sz val="11"/>
      <color rgb="FF9C6500"/>
      <name val="Calibri"/>
      <family val="2"/>
      <scheme val="minor"/>
    </font>
    <font>
      <sz val="9"/>
      <name val="Arial"/>
      <family val="2"/>
    </font>
    <font>
      <sz val="10"/>
      <color theme="0"/>
      <name val="Arial"/>
      <family val="2"/>
    </font>
    <font>
      <sz val="10"/>
      <color theme="0"/>
      <name val="Tahoma"/>
      <family val="2"/>
    </font>
    <font>
      <sz val="11"/>
      <color indexed="36"/>
      <name val="Calibri"/>
      <family val="2"/>
    </font>
    <font>
      <sz val="10"/>
      <color rgb="FF9C0006"/>
      <name val="Arial"/>
      <family val="2"/>
    </font>
    <font>
      <sz val="10"/>
      <color rgb="FF9C0006"/>
      <name val="Tahoma"/>
      <family val="2"/>
    </font>
    <font>
      <sz val="11"/>
      <color rgb="FF666666"/>
      <name val="Calibri"/>
      <family val="2"/>
      <scheme val="minor"/>
    </font>
    <font>
      <sz val="11"/>
      <color rgb="FFEAEAEA"/>
      <name val="Calibri"/>
      <family val="2"/>
      <scheme val="minor"/>
    </font>
    <font>
      <b/>
      <sz val="11"/>
      <color rgb="FF666666"/>
      <name val="Calibri"/>
      <family val="2"/>
      <scheme val="minor"/>
    </font>
    <font>
      <b/>
      <sz val="26"/>
      <color rgb="FF666666"/>
      <name val="Cambria"/>
      <family val="1"/>
      <scheme val="major"/>
    </font>
    <font>
      <sz val="14"/>
      <color rgb="FF666666"/>
      <name val="Cambria"/>
      <family val="1"/>
      <scheme val="major"/>
    </font>
    <font>
      <b/>
      <sz val="10"/>
      <color rgb="FFFA7D00"/>
      <name val="Arial"/>
      <family val="2"/>
    </font>
    <font>
      <b/>
      <sz val="10"/>
      <color rgb="FFFA7D00"/>
      <name val="Tahoma"/>
      <family val="2"/>
    </font>
    <font>
      <b/>
      <sz val="11"/>
      <name val="Arial"/>
      <family val="2"/>
    </font>
    <font>
      <b/>
      <sz val="10"/>
      <color theme="0"/>
      <name val="Arial"/>
      <family val="2"/>
    </font>
    <font>
      <b/>
      <sz val="10"/>
      <color theme="0"/>
      <name val="Tahoma"/>
      <family val="2"/>
    </font>
    <font>
      <sz val="11"/>
      <name val="Times New Roman"/>
      <family val="1"/>
    </font>
    <font>
      <u val="singleAccounting"/>
      <sz val="11"/>
      <name val="Times New Roman"/>
      <family val="1"/>
    </font>
    <font>
      <sz val="10"/>
      <color theme="1"/>
      <name val="Calibri"/>
      <family val="2"/>
    </font>
    <font>
      <b/>
      <i/>
      <sz val="10"/>
      <name val="Arial"/>
      <family val="2"/>
    </font>
    <font>
      <b/>
      <sz val="16"/>
      <name val="Times New Roman"/>
      <family val="1"/>
    </font>
    <font>
      <sz val="11"/>
      <color indexed="12"/>
      <name val="Times New Roman"/>
      <family val="1"/>
    </font>
    <font>
      <sz val="10"/>
      <name val="Arial Black"/>
      <family val="2"/>
    </font>
    <font>
      <sz val="11"/>
      <color indexed="8"/>
      <name val="Calibri"/>
      <family val="2"/>
      <charset val="1"/>
    </font>
    <font>
      <i/>
      <sz val="11"/>
      <color indexed="18"/>
      <name val="Calibri"/>
      <family val="2"/>
    </font>
    <font>
      <i/>
      <sz val="10"/>
      <color rgb="FF7F7F7F"/>
      <name val="Arial"/>
      <family val="2"/>
    </font>
    <font>
      <i/>
      <sz val="10"/>
      <color rgb="FF7F7F7F"/>
      <name val="Tahoma"/>
      <family val="2"/>
    </font>
    <font>
      <sz val="12"/>
      <color indexed="0"/>
      <name val="Arial"/>
      <family val="2"/>
    </font>
    <font>
      <sz val="11"/>
      <color indexed="21"/>
      <name val="Calibri"/>
      <family val="2"/>
    </font>
    <font>
      <sz val="10"/>
      <color rgb="FF006100"/>
      <name val="Arial"/>
      <family val="2"/>
    </font>
    <font>
      <sz val="10"/>
      <color rgb="FF006100"/>
      <name val="Tahoma"/>
      <family val="2"/>
    </font>
    <font>
      <b/>
      <sz val="15"/>
      <color indexed="62"/>
      <name val="Calibri"/>
      <family val="2"/>
      <scheme val="minor"/>
    </font>
    <font>
      <sz val="18"/>
      <name val="Arial"/>
      <family val="2"/>
    </font>
    <font>
      <b/>
      <sz val="15"/>
      <color theme="3"/>
      <name val="Arial"/>
      <family val="2"/>
    </font>
    <font>
      <b/>
      <sz val="15"/>
      <color indexed="56"/>
      <name val="Arial"/>
      <family val="2"/>
    </font>
    <font>
      <b/>
      <sz val="15"/>
      <color theme="3"/>
      <name val="Tahoma"/>
      <family val="2"/>
    </font>
    <font>
      <b/>
      <sz val="13"/>
      <color indexed="62"/>
      <name val="Calibri"/>
      <family val="2"/>
      <scheme val="minor"/>
    </font>
    <font>
      <b/>
      <sz val="13"/>
      <color indexed="56"/>
      <name val="Arial"/>
      <family val="2"/>
    </font>
    <font>
      <b/>
      <sz val="13"/>
      <color theme="3"/>
      <name val="Arial"/>
      <family val="2"/>
    </font>
    <font>
      <b/>
      <sz val="13"/>
      <color theme="3"/>
      <name val="Tahoma"/>
      <family val="2"/>
    </font>
    <font>
      <b/>
      <sz val="11"/>
      <color theme="3"/>
      <name val="Arial"/>
      <family val="2"/>
    </font>
    <font>
      <b/>
      <sz val="11"/>
      <color theme="3"/>
      <name val="Tahoma"/>
      <family val="2"/>
    </font>
    <font>
      <u/>
      <sz val="10"/>
      <color theme="10"/>
      <name val="Arial"/>
      <family val="2"/>
    </font>
    <font>
      <u/>
      <sz val="7.5"/>
      <color indexed="12"/>
      <name val="Courier"/>
      <family val="3"/>
    </font>
    <font>
      <sz val="10"/>
      <color rgb="FF3F3F76"/>
      <name val="Arial"/>
      <family val="2"/>
    </font>
    <font>
      <sz val="10"/>
      <color rgb="FF3F3F76"/>
      <name val="Tahoma"/>
      <family val="2"/>
    </font>
    <font>
      <sz val="10"/>
      <color rgb="FFFA7D00"/>
      <name val="Arial"/>
      <family val="2"/>
    </font>
    <font>
      <sz val="10"/>
      <color rgb="FFFA7D00"/>
      <name val="Tahoma"/>
      <family val="2"/>
    </font>
    <font>
      <sz val="10"/>
      <color rgb="FF9C6500"/>
      <name val="Arial"/>
      <family val="2"/>
    </font>
    <font>
      <sz val="10"/>
      <color rgb="FF9C6500"/>
      <name val="Tahoma"/>
      <family val="2"/>
    </font>
    <font>
      <sz val="12"/>
      <name val="Helv"/>
    </font>
    <font>
      <b/>
      <sz val="10"/>
      <color rgb="FF3F3F3F"/>
      <name val="Arial"/>
      <family val="2"/>
    </font>
    <font>
      <b/>
      <sz val="10"/>
      <color rgb="FF3F3F3F"/>
      <name val="Tahoma"/>
      <family val="2"/>
    </font>
    <font>
      <sz val="12"/>
      <color indexed="8"/>
      <name val="Arial"/>
      <family val="2"/>
    </font>
    <font>
      <b/>
      <i/>
      <sz val="16"/>
      <color indexed="8"/>
      <name val="Times New Roman"/>
      <family val="1"/>
    </font>
    <font>
      <b/>
      <sz val="12"/>
      <color indexed="0"/>
      <name val="Times New Roman"/>
      <family val="1"/>
    </font>
    <font>
      <b/>
      <sz val="14"/>
      <color indexed="0"/>
      <name val="Arial"/>
      <family val="2"/>
    </font>
    <font>
      <sz val="8"/>
      <color indexed="8"/>
      <name val="Times New Roman"/>
      <family val="1"/>
    </font>
    <font>
      <sz val="12"/>
      <color indexed="0"/>
      <name val="Times New Roman"/>
      <family val="1"/>
    </font>
    <font>
      <sz val="12"/>
      <color indexed="8"/>
      <name val="Times New Roman"/>
      <family val="1"/>
    </font>
    <font>
      <b/>
      <sz val="12"/>
      <color indexed="8"/>
      <name val="Times New Roman"/>
      <family val="1"/>
    </font>
    <font>
      <b/>
      <sz val="10"/>
      <color indexed="8"/>
      <name val="Times New Roman"/>
      <family val="1"/>
    </font>
    <font>
      <b/>
      <i/>
      <sz val="12"/>
      <color indexed="8"/>
      <name val="Times New Roman"/>
      <family val="1"/>
    </font>
    <font>
      <b/>
      <sz val="10"/>
      <color indexed="10"/>
      <name val="Arial"/>
      <family val="2"/>
    </font>
    <font>
      <b/>
      <sz val="18"/>
      <color indexed="56"/>
      <name val="Cambria"/>
      <family val="2"/>
    </font>
    <font>
      <b/>
      <sz val="10"/>
      <color theme="1"/>
      <name val="Arial"/>
      <family val="2"/>
    </font>
    <font>
      <b/>
      <sz val="10"/>
      <color theme="1"/>
      <name val="Tahoma"/>
      <family val="2"/>
    </font>
    <font>
      <sz val="9"/>
      <color rgb="FF0000FF"/>
      <name val="Calibri"/>
      <family val="2"/>
      <scheme val="minor"/>
    </font>
    <font>
      <i/>
      <sz val="10"/>
      <color rgb="FF0000FF"/>
      <name val="Times New Roman"/>
      <family val="1"/>
    </font>
    <font>
      <b/>
      <sz val="10"/>
      <color theme="1"/>
      <name val="Calibri"/>
      <family val="2"/>
      <scheme val="minor"/>
    </font>
    <font>
      <b/>
      <sz val="10"/>
      <name val="Times New Roman"/>
      <family val="1"/>
    </font>
    <font>
      <sz val="10"/>
      <color rgb="FFFF0000"/>
      <name val="Times New Roman"/>
      <family val="1"/>
    </font>
    <font>
      <sz val="10"/>
      <color rgb="FF7030A0"/>
      <name val="Calibri"/>
      <family val="2"/>
      <scheme val="minor"/>
    </font>
    <font>
      <sz val="10"/>
      <color rgb="FFFF0000"/>
      <name val="Calibri"/>
      <family val="2"/>
      <scheme val="minor"/>
    </font>
    <font>
      <sz val="11"/>
      <name val="Calibri"/>
      <family val="2"/>
      <scheme val="minor"/>
    </font>
    <font>
      <sz val="10"/>
      <color theme="3"/>
      <name val="Calibri"/>
      <family val="2"/>
      <scheme val="minor"/>
    </font>
    <font>
      <b/>
      <sz val="10"/>
      <color theme="3"/>
      <name val="Calibri"/>
      <family val="2"/>
      <scheme val="minor"/>
    </font>
    <font>
      <sz val="10"/>
      <color rgb="FFC00000"/>
      <name val="Calibri"/>
      <family val="2"/>
      <scheme val="minor"/>
    </font>
    <font>
      <b/>
      <sz val="9"/>
      <color rgb="FF0000FF"/>
      <name val="Calibri"/>
      <family val="2"/>
      <scheme val="minor"/>
    </font>
    <font>
      <b/>
      <sz val="9"/>
      <name val="Calibri"/>
      <family val="2"/>
      <scheme val="minor"/>
    </font>
    <font>
      <b/>
      <sz val="11"/>
      <name val="Calibri"/>
      <family val="2"/>
      <scheme val="minor"/>
    </font>
    <font>
      <u/>
      <sz val="10"/>
      <color rgb="FF0000FF"/>
      <name val="Calibri"/>
      <family val="2"/>
      <scheme val="minor"/>
    </font>
    <font>
      <b/>
      <sz val="10"/>
      <color rgb="FFFF3300"/>
      <name val="Calibri"/>
      <family val="2"/>
      <scheme val="minor"/>
    </font>
    <font>
      <b/>
      <sz val="10"/>
      <color rgb="FF0000FF"/>
      <name val="Calibri"/>
      <family val="2"/>
      <scheme val="minor"/>
    </font>
    <font>
      <i/>
      <sz val="10"/>
      <name val="Calibri"/>
      <family val="2"/>
      <scheme val="minor"/>
    </font>
    <font>
      <u/>
      <sz val="11"/>
      <color rgb="FF0000FF"/>
      <name val="Calibri"/>
      <family val="2"/>
      <scheme val="minor"/>
    </font>
    <font>
      <b/>
      <sz val="11"/>
      <color rgb="FFFF3300"/>
      <name val="Calibri"/>
      <family val="2"/>
      <scheme val="minor"/>
    </font>
    <font>
      <u/>
      <sz val="11"/>
      <color rgb="FFC00000"/>
      <name val="Calibri"/>
      <family val="2"/>
      <scheme val="minor"/>
    </font>
    <font>
      <sz val="11"/>
      <color rgb="FFC00000"/>
      <name val="Calibri"/>
      <family val="2"/>
      <scheme val="minor"/>
    </font>
    <font>
      <b/>
      <sz val="11"/>
      <color rgb="FF0000FF"/>
      <name val="Calibri"/>
      <family val="2"/>
      <scheme val="minor"/>
    </font>
    <font>
      <sz val="11"/>
      <color rgb="FF0000FF"/>
      <name val="Calibri"/>
      <family val="2"/>
      <scheme val="minor"/>
    </font>
    <font>
      <b/>
      <sz val="11"/>
      <color rgb="FFC00000"/>
      <name val="Calibri"/>
      <family val="2"/>
      <scheme val="minor"/>
    </font>
    <font>
      <sz val="11"/>
      <color indexed="12"/>
      <name val="Calibri"/>
      <family val="2"/>
      <scheme val="minor"/>
    </font>
    <font>
      <i/>
      <sz val="11"/>
      <name val="Calibri"/>
      <family val="2"/>
      <scheme val="minor"/>
    </font>
    <font>
      <u val="singleAccounting"/>
      <sz val="10"/>
      <name val="Calibri"/>
      <family val="2"/>
      <scheme val="minor"/>
    </font>
    <font>
      <u/>
      <sz val="10"/>
      <name val="Calibri"/>
      <family val="2"/>
      <scheme val="minor"/>
    </font>
    <font>
      <b/>
      <sz val="10"/>
      <color indexed="12"/>
      <name val="Calibri"/>
      <family val="2"/>
      <scheme val="minor"/>
    </font>
    <font>
      <b/>
      <vertAlign val="superscript"/>
      <sz val="11"/>
      <name val="Calibri"/>
      <family val="2"/>
      <scheme val="minor"/>
    </font>
    <font>
      <b/>
      <i/>
      <sz val="10"/>
      <name val="Calibri"/>
      <family val="2"/>
      <scheme val="minor"/>
    </font>
    <font>
      <b/>
      <sz val="10"/>
      <color indexed="48"/>
      <name val="Calibri"/>
      <family val="2"/>
      <scheme val="minor"/>
    </font>
    <font>
      <sz val="10"/>
      <color theme="9" tint="-0.249977111117893"/>
      <name val="Calibri"/>
      <family val="2"/>
      <scheme val="minor"/>
    </font>
    <font>
      <i/>
      <sz val="10"/>
      <color rgb="FFC00000"/>
      <name val="Calibri"/>
      <family val="2"/>
      <scheme val="minor"/>
    </font>
    <font>
      <i/>
      <sz val="10"/>
      <color rgb="FF0000FF"/>
      <name val="Calibri"/>
      <family val="2"/>
      <scheme val="minor"/>
    </font>
    <font>
      <sz val="10"/>
      <color rgb="FF002060"/>
      <name val="Times New Roman"/>
      <family val="1"/>
    </font>
    <font>
      <sz val="10"/>
      <color rgb="FF002060"/>
      <name val="Calibri"/>
      <family val="2"/>
      <scheme val="minor"/>
    </font>
    <font>
      <b/>
      <sz val="10"/>
      <color rgb="FF002060"/>
      <name val="Calibri"/>
      <family val="2"/>
      <scheme val="minor"/>
    </font>
    <font>
      <b/>
      <sz val="9"/>
      <color rgb="FF002060"/>
      <name val="Calibri"/>
      <family val="2"/>
      <scheme val="minor"/>
    </font>
    <font>
      <sz val="12"/>
      <name val="Calibri"/>
      <family val="2"/>
      <scheme val="minor"/>
    </font>
    <font>
      <sz val="11"/>
      <color rgb="FF002060"/>
      <name val="Calibri"/>
      <family val="2"/>
      <scheme val="minor"/>
    </font>
    <font>
      <b/>
      <sz val="10"/>
      <color rgb="FFC00000"/>
      <name val="Calibri"/>
      <family val="2"/>
      <scheme val="minor"/>
    </font>
    <font>
      <sz val="9"/>
      <color rgb="FFFF0000"/>
      <name val="Calibri"/>
      <family val="2"/>
      <scheme val="minor"/>
    </font>
    <font>
      <i/>
      <sz val="9"/>
      <name val="Calibri"/>
      <family val="2"/>
      <scheme val="minor"/>
    </font>
    <font>
      <i/>
      <sz val="8"/>
      <name val="Calibri"/>
      <family val="2"/>
      <scheme val="minor"/>
    </font>
    <font>
      <i/>
      <sz val="9"/>
      <color rgb="FF0000FF"/>
      <name val="Calibri"/>
      <family val="2"/>
      <scheme val="minor"/>
    </font>
    <font>
      <b/>
      <u/>
      <sz val="10"/>
      <color rgb="FF0000FF"/>
      <name val="Calibri"/>
      <family val="2"/>
      <scheme val="minor"/>
    </font>
    <font>
      <b/>
      <sz val="9"/>
      <color rgb="FFC00000"/>
      <name val="Calibri"/>
      <family val="2"/>
      <scheme val="minor"/>
    </font>
    <font>
      <sz val="10"/>
      <color theme="0"/>
      <name val="Calibri"/>
      <family val="2"/>
      <scheme val="minor"/>
    </font>
    <font>
      <sz val="8"/>
      <name val="Calibri"/>
      <family val="2"/>
      <scheme val="minor"/>
    </font>
    <font>
      <i/>
      <sz val="10"/>
      <name val="Tahoma"/>
      <family val="2"/>
    </font>
    <font>
      <i/>
      <u/>
      <sz val="10"/>
      <color rgb="FF0000FF"/>
      <name val="Calibri"/>
      <family val="2"/>
      <scheme val="minor"/>
    </font>
    <font>
      <b/>
      <u/>
      <sz val="10"/>
      <name val="Tahoma"/>
      <family val="2"/>
    </font>
  </fonts>
  <fills count="165">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44"/>
        <bgColor indexed="64"/>
      </patternFill>
    </fill>
    <fill>
      <patternFill patternType="solid">
        <fgColor indexed="35"/>
        <bgColor indexed="35"/>
      </patternFill>
    </fill>
    <fill>
      <patternFill patternType="solid">
        <fgColor indexed="9"/>
        <bgColor indexed="9"/>
      </patternFill>
    </fill>
    <fill>
      <patternFill patternType="lightUp">
        <fgColor indexed="9"/>
        <bgColor indexed="24"/>
      </patternFill>
    </fill>
    <fill>
      <patternFill patternType="lightUp">
        <fgColor indexed="9"/>
        <bgColor indexed="12"/>
      </patternFill>
    </fill>
    <fill>
      <patternFill patternType="solid">
        <fgColor indexed="42"/>
        <bgColor indexed="42"/>
      </patternFill>
    </fill>
    <fill>
      <patternFill patternType="solid">
        <fgColor indexed="26"/>
        <bgColor indexed="64"/>
      </patternFill>
    </fill>
    <fill>
      <patternFill patternType="solid">
        <fgColor indexed="60"/>
      </patternFill>
    </fill>
    <fill>
      <patternFill patternType="solid">
        <fgColor indexed="9"/>
        <bgColor indexed="64"/>
      </patternFill>
    </fill>
    <fill>
      <patternFill patternType="mediumGray">
        <fgColor indexed="22"/>
      </patternFill>
    </fill>
    <fill>
      <patternFill patternType="solid">
        <fgColor indexed="12"/>
      </patternFill>
    </fill>
    <fill>
      <patternFill patternType="solid">
        <fgColor indexed="22"/>
      </patternFill>
    </fill>
    <fill>
      <patternFill patternType="solid">
        <fgColor indexed="23"/>
      </patternFill>
    </fill>
    <fill>
      <patternFill patternType="solid">
        <fgColor indexed="20"/>
      </patternFill>
    </fill>
    <fill>
      <patternFill patternType="gray125">
        <fgColor indexed="13"/>
      </patternFill>
    </fill>
    <fill>
      <patternFill patternType="solid">
        <fgColor indexed="41"/>
        <bgColor indexed="64"/>
      </patternFill>
    </fill>
    <fill>
      <patternFill patternType="solid">
        <fgColor indexed="40"/>
        <bgColor indexed="64"/>
      </patternFill>
    </fill>
    <fill>
      <patternFill patternType="solid">
        <fgColor indexed="50"/>
        <bgColor indexed="64"/>
      </patternFill>
    </fill>
    <fill>
      <patternFill patternType="solid">
        <fgColor indexed="35"/>
      </patternFill>
    </fill>
    <fill>
      <patternFill patternType="solid">
        <fgColor indexed="35"/>
        <bgColor indexed="64"/>
      </patternFill>
    </fill>
    <fill>
      <patternFill patternType="solid">
        <fgColor indexed="57"/>
        <bgColor indexed="64"/>
      </patternFill>
    </fill>
    <fill>
      <patternFill patternType="solid">
        <fgColor indexed="24"/>
      </patternFill>
    </fill>
    <fill>
      <patternFill patternType="solid">
        <fgColor indexed="24"/>
        <bgColor indexed="64"/>
      </patternFill>
    </fill>
    <fill>
      <patternFill patternType="solid">
        <fgColor indexed="54"/>
        <bgColor indexed="64"/>
      </patternFill>
    </fill>
    <fill>
      <patternFill patternType="solid">
        <fgColor indexed="47"/>
        <bgColor indexed="64"/>
      </patternFill>
    </fill>
    <fill>
      <patternFill patternType="solid">
        <fgColor indexed="58"/>
      </patternFill>
    </fill>
    <fill>
      <patternFill patternType="solid">
        <fgColor indexed="58"/>
        <bgColor indexed="64"/>
      </patternFill>
    </fill>
    <fill>
      <patternFill patternType="solid">
        <fgColor indexed="51"/>
        <bgColor indexed="64"/>
      </patternFill>
    </fill>
    <fill>
      <patternFill patternType="solid">
        <fgColor indexed="61"/>
        <bgColor indexed="64"/>
      </patternFill>
    </fill>
    <fill>
      <patternFill patternType="solid">
        <fgColor indexed="48"/>
        <bgColor indexed="64"/>
      </patternFill>
    </fill>
    <fill>
      <patternFill patternType="solid">
        <fgColor indexed="31"/>
        <bgColor indexed="64"/>
      </patternFill>
    </fill>
    <fill>
      <patternFill patternType="solid">
        <fgColor indexed="45"/>
        <bgColor indexed="64"/>
      </patternFill>
    </fill>
    <fill>
      <patternFill patternType="solid">
        <fgColor indexed="14"/>
      </patternFill>
    </fill>
    <fill>
      <patternFill patternType="solid">
        <fgColor indexed="60"/>
        <bgColor indexed="64"/>
      </patternFill>
    </fill>
    <fill>
      <patternFill patternType="solid">
        <fgColor indexed="11"/>
        <bgColor indexed="64"/>
      </patternFill>
    </fill>
    <fill>
      <patternFill patternType="solid">
        <fgColor indexed="55"/>
        <bgColor indexed="64"/>
      </patternFill>
    </fill>
    <fill>
      <patternFill patternType="solid">
        <fgColor indexed="18"/>
      </patternFill>
    </fill>
    <fill>
      <patternFill patternType="solid">
        <fgColor indexed="18"/>
        <bgColor indexed="64"/>
      </patternFill>
    </fill>
    <fill>
      <patternFill patternType="solid">
        <fgColor indexed="53"/>
        <bgColor indexed="64"/>
      </patternFill>
    </fill>
    <fill>
      <patternFill patternType="solid">
        <fgColor indexed="33"/>
      </patternFill>
    </fill>
    <fill>
      <patternFill patternType="solid">
        <fgColor theme="0"/>
        <bgColor indexed="64"/>
      </patternFill>
    </fill>
    <fill>
      <patternFill patternType="solid">
        <fgColor rgb="FF475B86"/>
        <bgColor indexed="64"/>
      </patternFill>
    </fill>
    <fill>
      <patternFill patternType="solid">
        <fgColor rgb="FFC8A45F"/>
        <bgColor indexed="64"/>
      </patternFill>
    </fill>
    <fill>
      <patternFill patternType="solid">
        <fgColor theme="0" tint="-4.9989318521683403E-2"/>
        <bgColor theme="0"/>
      </patternFill>
    </fill>
    <fill>
      <patternFill patternType="solid">
        <fgColor rgb="FF9F4C7C"/>
        <bgColor indexed="64"/>
      </patternFill>
    </fill>
    <fill>
      <patternFill patternType="solid">
        <fgColor rgb="FFFFFFCC"/>
        <bgColor theme="0" tint="-0.24994659260841701"/>
      </patternFill>
    </fill>
    <fill>
      <patternFill patternType="solid">
        <fgColor indexed="13"/>
        <bgColor indexed="64"/>
      </patternFill>
    </fill>
    <fill>
      <patternFill patternType="solid">
        <fgColor indexed="27"/>
        <bgColor indexed="64"/>
      </patternFill>
    </fill>
    <fill>
      <patternFill patternType="solid">
        <fgColor indexed="49"/>
        <bgColor indexed="64"/>
      </patternFill>
    </fill>
    <fill>
      <patternFill patternType="solid">
        <fgColor indexed="12"/>
        <bgColor indexed="64"/>
      </patternFill>
    </fill>
    <fill>
      <patternFill patternType="solid">
        <fgColor indexed="10"/>
        <bgColor indexed="64"/>
      </patternFill>
    </fill>
    <fill>
      <patternFill patternType="solid">
        <fgColor indexed="52"/>
        <bgColor indexed="64"/>
      </patternFill>
    </fill>
    <fill>
      <patternFill patternType="solid">
        <fgColor indexed="23"/>
        <bgColor indexed="64"/>
      </patternFill>
    </fill>
    <fill>
      <patternFill patternType="solid">
        <fgColor indexed="15"/>
        <bgColor indexed="64"/>
      </patternFill>
    </fill>
    <fill>
      <patternFill patternType="solid">
        <fgColor indexed="20"/>
        <bgColor indexed="64"/>
      </patternFill>
    </fill>
    <fill>
      <patternFill patternType="gray0625">
        <fgColor indexed="13"/>
      </patternFill>
    </fill>
    <fill>
      <patternFill patternType="gray125">
        <fgColor indexed="8"/>
      </patternFill>
    </fill>
    <fill>
      <patternFill patternType="solid">
        <fgColor rgb="FFFFFF66"/>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CCFFCC"/>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2"/>
        <bgColor indexed="64"/>
      </patternFill>
    </fill>
    <fill>
      <patternFill patternType="solid">
        <fgColor rgb="FFE9CDE3"/>
        <bgColor indexed="64"/>
      </patternFill>
    </fill>
    <fill>
      <patternFill patternType="solid">
        <fgColor theme="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FFCCCC"/>
        <bgColor indexed="64"/>
      </patternFill>
    </fill>
    <fill>
      <patternFill patternType="solid">
        <fgColor theme="7" tint="0.79998168889431442"/>
        <bgColor indexed="64"/>
      </patternFill>
    </fill>
  </fills>
  <borders count="127">
    <border>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style="medium">
        <color indexed="64"/>
      </bottom>
      <diagonal/>
    </border>
    <border>
      <left style="medium">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8"/>
      </left>
      <right/>
      <top/>
      <bottom style="thin">
        <color indexed="28"/>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
      <left style="thin">
        <color indexed="64"/>
      </left>
      <right/>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double">
        <color indexed="64"/>
      </left>
      <right/>
      <top/>
      <bottom style="hair">
        <color indexed="64"/>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thick">
        <color indexed="22"/>
      </bottom>
      <diagonal/>
    </border>
    <border>
      <left/>
      <right/>
      <top/>
      <bottom style="medium">
        <color indexed="58"/>
      </bottom>
      <diagonal/>
    </border>
    <border>
      <left/>
      <right/>
      <top/>
      <bottom style="medium">
        <color indexed="24"/>
      </bottom>
      <diagonal/>
    </border>
    <border>
      <left style="double">
        <color indexed="64"/>
      </left>
      <right style="double">
        <color indexed="64"/>
      </right>
      <top style="double">
        <color indexed="64"/>
      </top>
      <bottom style="double">
        <color indexed="64"/>
      </bottom>
      <diagonal/>
    </border>
    <border>
      <left/>
      <right/>
      <top/>
      <bottom style="double">
        <color indexed="17"/>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ck">
        <color indexed="24"/>
      </left>
      <right style="thick">
        <color indexed="24"/>
      </right>
      <top style="thick">
        <color indexed="24"/>
      </top>
      <bottom style="thick">
        <color indexed="24"/>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666666"/>
      </left>
      <right style="thin">
        <color rgb="FF666666"/>
      </right>
      <top style="thin">
        <color rgb="FF666666"/>
      </top>
      <bottom style="thin">
        <color rgb="FF666666"/>
      </bottom>
      <diagonal/>
    </border>
    <border>
      <left/>
      <right/>
      <top/>
      <bottom style="thick">
        <color indexed="62"/>
      </bottom>
      <diagonal/>
    </border>
    <border>
      <left style="thin">
        <color indexed="40"/>
      </left>
      <right style="thin">
        <color indexed="40"/>
      </right>
      <top style="thin">
        <color indexed="40"/>
      </top>
      <bottom style="thin">
        <color indexed="40"/>
      </bottom>
      <diagonal/>
    </border>
    <border>
      <left/>
      <right/>
      <top style="double">
        <color indexed="24"/>
      </top>
      <bottom/>
      <diagonal/>
    </border>
    <border>
      <left style="medium">
        <color indexed="64"/>
      </left>
      <right style="medium">
        <color indexed="64"/>
      </right>
      <top style="medium">
        <color indexed="64"/>
      </top>
      <bottom style="medium">
        <color indexed="64"/>
      </bottom>
      <diagonal/>
    </border>
    <border>
      <left style="thick">
        <color indexed="64"/>
      </left>
      <right style="thick">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bottom style="thin">
        <color indexed="64"/>
      </bottom>
      <diagonal/>
    </border>
    <border>
      <left style="thick">
        <color indexed="64"/>
      </left>
      <right style="thick">
        <color indexed="64"/>
      </right>
      <top style="thin">
        <color indexed="64"/>
      </top>
      <bottom style="thin">
        <color indexed="64"/>
      </bottom>
      <diagonal/>
    </border>
    <border>
      <left/>
      <right style="thick">
        <color indexed="64"/>
      </right>
      <top style="medium">
        <color indexed="64"/>
      </top>
      <bottom/>
      <diagonal/>
    </border>
    <border>
      <left style="medium">
        <color indexed="64"/>
      </left>
      <right style="medium">
        <color indexed="64"/>
      </right>
      <top/>
      <bottom style="double">
        <color indexed="64"/>
      </bottom>
      <diagonal/>
    </border>
    <border>
      <left/>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bottom style="medium">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right style="thick">
        <color indexed="64"/>
      </right>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indexed="64"/>
      </right>
      <top/>
      <bottom style="double">
        <color indexed="64"/>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ck">
        <color indexed="64"/>
      </left>
      <right/>
      <top/>
      <bottom/>
      <diagonal/>
    </border>
    <border>
      <left style="thick">
        <color indexed="64"/>
      </left>
      <right/>
      <top/>
      <bottom style="medium">
        <color indexed="64"/>
      </bottom>
      <diagonal/>
    </border>
    <border>
      <left style="medium">
        <color indexed="64"/>
      </left>
      <right style="dashed">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dashed">
        <color indexed="64"/>
      </right>
      <top style="medium">
        <color indexed="64"/>
      </top>
      <bottom style="thin">
        <color indexed="64"/>
      </bottom>
      <diagonal/>
    </border>
    <border>
      <left style="medium">
        <color indexed="64"/>
      </left>
      <right style="dashed">
        <color indexed="64"/>
      </right>
      <top style="thin">
        <color indexed="64"/>
      </top>
      <bottom/>
      <diagonal/>
    </border>
    <border>
      <left style="medium">
        <color indexed="64"/>
      </left>
      <right style="dashed">
        <color indexed="64"/>
      </right>
      <top style="thin">
        <color indexed="64"/>
      </top>
      <bottom style="medium">
        <color indexed="64"/>
      </bottom>
      <diagonal/>
    </border>
    <border>
      <left style="medium">
        <color indexed="64"/>
      </left>
      <right style="dashed">
        <color indexed="64"/>
      </right>
      <top/>
      <bottom style="thin">
        <color indexed="64"/>
      </bottom>
      <diagonal/>
    </border>
  </borders>
  <cellStyleXfs count="56368">
    <xf numFmtId="0" fontId="0" fillId="0" borderId="0"/>
    <xf numFmtId="43" fontId="9" fillId="0" borderId="0" applyFont="0" applyFill="0" applyBorder="0" applyAlignment="0" applyProtection="0"/>
    <xf numFmtId="44" fontId="9" fillId="0" borderId="0" applyFont="0" applyFill="0" applyBorder="0" applyAlignment="0" applyProtection="0"/>
    <xf numFmtId="0" fontId="9" fillId="0" borderId="0"/>
    <xf numFmtId="9" fontId="9" fillId="0" borderId="0" applyFont="0" applyFill="0" applyBorder="0" applyAlignment="0" applyProtection="0"/>
    <xf numFmtId="0" fontId="11" fillId="0" borderId="0"/>
    <xf numFmtId="175" fontId="11" fillId="0" borderId="0" applyFont="0" applyFill="0" applyBorder="0" applyAlignment="0" applyProtection="0"/>
    <xf numFmtId="9" fontId="11" fillId="0" borderId="0" applyFont="0" applyFill="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1"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1" fillId="12"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1" fillId="12"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1" fillId="5"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1" fillId="14" borderId="0" applyNumberFormat="0" applyBorder="0" applyAlignment="0" applyProtection="0"/>
    <xf numFmtId="1" fontId="22" fillId="0" borderId="24">
      <alignment vertical="top"/>
    </xf>
    <xf numFmtId="43" fontId="2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alignment vertical="top"/>
    </xf>
    <xf numFmtId="177" fontId="11" fillId="0" borderId="0" applyFont="0" applyFill="0" applyBorder="0" applyAlignment="0" applyProtection="0">
      <alignment vertical="top"/>
    </xf>
    <xf numFmtId="174" fontId="24" fillId="0" borderId="0"/>
    <xf numFmtId="5" fontId="11" fillId="0" borderId="0">
      <alignment vertical="top"/>
    </xf>
    <xf numFmtId="44" fontId="23" fillId="0" borderId="0" applyFont="0" applyFill="0" applyBorder="0" applyAlignment="0" applyProtection="0"/>
    <xf numFmtId="44" fontId="11" fillId="0" borderId="0" applyFont="0" applyFill="0" applyBorder="0" applyAlignment="0" applyProtection="0"/>
    <xf numFmtId="178" fontId="11" fillId="0" borderId="0" applyFont="0" applyFill="0" applyBorder="0" applyAlignment="0" applyProtection="0"/>
    <xf numFmtId="5" fontId="11" fillId="0" borderId="0" applyFont="0" applyFill="0" applyBorder="0" applyAlignment="0" applyProtection="0">
      <alignment vertical="top"/>
    </xf>
    <xf numFmtId="177" fontId="11" fillId="0" borderId="0">
      <alignment vertical="top"/>
    </xf>
    <xf numFmtId="15" fontId="11" fillId="0" borderId="0" applyFont="0" applyFill="0" applyBorder="0" applyAlignment="0" applyProtection="0">
      <alignment vertical="top"/>
    </xf>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179" fontId="26" fillId="0" borderId="0">
      <protection locked="0"/>
    </xf>
    <xf numFmtId="174" fontId="14" fillId="0" borderId="0"/>
    <xf numFmtId="0" fontId="27" fillId="0" borderId="0">
      <protection locked="0"/>
    </xf>
    <xf numFmtId="0" fontId="27" fillId="0" borderId="0">
      <protection locked="0"/>
    </xf>
    <xf numFmtId="180" fontId="14" fillId="0" borderId="0"/>
    <xf numFmtId="181" fontId="14" fillId="0" borderId="0"/>
    <xf numFmtId="0" fontId="23" fillId="0" borderId="0"/>
    <xf numFmtId="10" fontId="11" fillId="0" borderId="0" applyFont="0" applyFill="0" applyBorder="0" applyAlignment="0" applyProtection="0">
      <alignment vertical="top"/>
    </xf>
    <xf numFmtId="182" fontId="28" fillId="0" borderId="0"/>
    <xf numFmtId="4" fontId="29" fillId="18" borderId="45" applyNumberFormat="0" applyProtection="0">
      <alignment vertical="center"/>
    </xf>
    <xf numFmtId="4" fontId="30" fillId="18" borderId="45" applyNumberFormat="0" applyProtection="0">
      <alignment vertical="center"/>
    </xf>
    <xf numFmtId="4" fontId="29" fillId="18" borderId="45" applyNumberFormat="0" applyProtection="0">
      <alignment horizontal="left" vertical="center" indent="1"/>
    </xf>
    <xf numFmtId="0" fontId="29" fillId="18" borderId="45" applyNumberFormat="0" applyProtection="0">
      <alignment horizontal="left" vertical="top" indent="1"/>
    </xf>
    <xf numFmtId="4" fontId="29" fillId="19" borderId="0" applyNumberFormat="0" applyProtection="0">
      <alignment horizontal="left" vertical="center" indent="1"/>
    </xf>
    <xf numFmtId="4" fontId="31" fillId="20" borderId="45" applyNumberFormat="0" applyProtection="0">
      <alignment horizontal="right" vertical="center"/>
    </xf>
    <xf numFmtId="4" fontId="31" fillId="21" borderId="45" applyNumberFormat="0" applyProtection="0">
      <alignment horizontal="right" vertical="center"/>
    </xf>
    <xf numFmtId="4" fontId="31" fillId="22" borderId="45" applyNumberFormat="0" applyProtection="0">
      <alignment horizontal="right" vertical="center"/>
    </xf>
    <xf numFmtId="4" fontId="31" fillId="23" borderId="45" applyNumberFormat="0" applyProtection="0">
      <alignment horizontal="right" vertical="center"/>
    </xf>
    <xf numFmtId="4" fontId="31" fillId="24" borderId="45" applyNumberFormat="0" applyProtection="0">
      <alignment horizontal="right" vertical="center"/>
    </xf>
    <xf numFmtId="4" fontId="31" fillId="25" borderId="45" applyNumberFormat="0" applyProtection="0">
      <alignment horizontal="right" vertical="center"/>
    </xf>
    <xf numFmtId="4" fontId="31" fillId="26" borderId="45" applyNumberFormat="0" applyProtection="0">
      <alignment horizontal="right" vertical="center"/>
    </xf>
    <xf numFmtId="4" fontId="31" fillId="27" borderId="45" applyNumberFormat="0" applyProtection="0">
      <alignment horizontal="right" vertical="center"/>
    </xf>
    <xf numFmtId="4" fontId="31" fillId="28" borderId="45" applyNumberFormat="0" applyProtection="0">
      <alignment horizontal="right" vertical="center"/>
    </xf>
    <xf numFmtId="4" fontId="29" fillId="29" borderId="46" applyNumberFormat="0" applyProtection="0">
      <alignment horizontal="left" vertical="center" indent="1"/>
    </xf>
    <xf numFmtId="4" fontId="31" fillId="30" borderId="0" applyNumberFormat="0" applyProtection="0">
      <alignment horizontal="left" vertical="center" indent="1"/>
    </xf>
    <xf numFmtId="4" fontId="32" fillId="31" borderId="0" applyNumberFormat="0" applyProtection="0">
      <alignment horizontal="left" vertical="center" indent="1"/>
    </xf>
    <xf numFmtId="4" fontId="31" fillId="19" borderId="45" applyNumberFormat="0" applyProtection="0">
      <alignment horizontal="right" vertical="center"/>
    </xf>
    <xf numFmtId="4" fontId="31" fillId="30" borderId="0" applyNumberFormat="0" applyProtection="0">
      <alignment horizontal="left" vertical="center" indent="1"/>
    </xf>
    <xf numFmtId="4" fontId="31" fillId="19" borderId="0" applyNumberFormat="0" applyProtection="0">
      <alignment horizontal="left" vertical="center" indent="1"/>
    </xf>
    <xf numFmtId="0" fontId="11" fillId="31" borderId="45" applyNumberFormat="0" applyProtection="0">
      <alignment horizontal="left" vertical="center" indent="1"/>
    </xf>
    <xf numFmtId="0" fontId="11" fillId="31" borderId="45" applyNumberFormat="0" applyProtection="0">
      <alignment horizontal="left" vertical="top" indent="1"/>
    </xf>
    <xf numFmtId="0" fontId="11" fillId="19" borderId="45" applyNumberFormat="0" applyProtection="0">
      <alignment horizontal="left" vertical="center" indent="1"/>
    </xf>
    <xf numFmtId="0" fontId="11" fillId="19" borderId="45" applyNumberFormat="0" applyProtection="0">
      <alignment horizontal="left" vertical="top" indent="1"/>
    </xf>
    <xf numFmtId="0" fontId="11" fillId="32" borderId="45" applyNumberFormat="0" applyProtection="0">
      <alignment horizontal="left" vertical="center" indent="1"/>
    </xf>
    <xf numFmtId="0" fontId="11" fillId="32" borderId="45" applyNumberFormat="0" applyProtection="0">
      <alignment horizontal="left" vertical="top" indent="1"/>
    </xf>
    <xf numFmtId="0" fontId="11" fillId="30" borderId="45" applyNumberFormat="0" applyProtection="0">
      <alignment horizontal="left" vertical="center" indent="1"/>
    </xf>
    <xf numFmtId="0" fontId="11" fillId="30" borderId="45" applyNumberFormat="0" applyProtection="0">
      <alignment horizontal="left" vertical="top" indent="1"/>
    </xf>
    <xf numFmtId="177" fontId="11" fillId="33" borderId="38" applyNumberFormat="0">
      <protection locked="0"/>
    </xf>
    <xf numFmtId="4" fontId="31" fillId="34" borderId="45" applyNumberFormat="0" applyProtection="0">
      <alignment vertical="center"/>
    </xf>
    <xf numFmtId="4" fontId="33" fillId="34" borderId="45" applyNumberFormat="0" applyProtection="0">
      <alignment vertical="center"/>
    </xf>
    <xf numFmtId="4" fontId="31" fillId="34" borderId="45" applyNumberFormat="0" applyProtection="0">
      <alignment horizontal="left" vertical="center" indent="1"/>
    </xf>
    <xf numFmtId="0" fontId="31" fillId="34" borderId="45" applyNumberFormat="0" applyProtection="0">
      <alignment horizontal="left" vertical="top" indent="1"/>
    </xf>
    <xf numFmtId="4" fontId="31" fillId="30" borderId="45" applyNumberFormat="0" applyProtection="0">
      <alignment horizontal="right" vertical="center"/>
    </xf>
    <xf numFmtId="4" fontId="33" fillId="30" borderId="45" applyNumberFormat="0" applyProtection="0">
      <alignment horizontal="right" vertical="center"/>
    </xf>
    <xf numFmtId="4" fontId="31" fillId="19" borderId="45" applyNumberFormat="0" applyProtection="0">
      <alignment horizontal="left" vertical="center" indent="1"/>
    </xf>
    <xf numFmtId="0" fontId="31" fillId="19" borderId="45" applyNumberFormat="0" applyProtection="0">
      <alignment horizontal="left" vertical="top" indent="1"/>
    </xf>
    <xf numFmtId="4" fontId="34" fillId="35" borderId="0" applyNumberFormat="0" applyProtection="0">
      <alignment horizontal="left" vertical="center" indent="1"/>
    </xf>
    <xf numFmtId="4" fontId="35" fillId="30" borderId="45" applyNumberFormat="0" applyProtection="0">
      <alignment horizontal="right" vertical="center"/>
    </xf>
    <xf numFmtId="0" fontId="36" fillId="0" borderId="0" applyNumberFormat="0" applyFill="0" applyBorder="0" applyAlignment="0" applyProtection="0"/>
    <xf numFmtId="182" fontId="37" fillId="0" borderId="0"/>
    <xf numFmtId="174" fontId="13" fillId="0" borderId="0"/>
    <xf numFmtId="182" fontId="38" fillId="36" borderId="0" applyFont="0" applyBorder="0" applyAlignment="0">
      <alignment vertical="top" wrapText="1"/>
    </xf>
    <xf numFmtId="182" fontId="39" fillId="36" borderId="47" applyBorder="0">
      <alignment horizontal="right" vertical="top" wrapText="1"/>
    </xf>
    <xf numFmtId="182" fontId="22" fillId="0" borderId="34" applyAlignment="0">
      <alignment horizontal="right"/>
    </xf>
    <xf numFmtId="180" fontId="22" fillId="0" borderId="34" applyAlignment="0"/>
    <xf numFmtId="181" fontId="22" fillId="0" borderId="34" applyAlignment="0"/>
    <xf numFmtId="0" fontId="12" fillId="0" borderId="34" applyFont="0" applyFill="0" applyBorder="0" applyAlignment="0" applyProtection="0"/>
    <xf numFmtId="0" fontId="8" fillId="0" borderId="0"/>
    <xf numFmtId="0" fontId="11" fillId="0" borderId="0"/>
    <xf numFmtId="185" fontId="9" fillId="0" borderId="0"/>
    <xf numFmtId="0" fontId="52" fillId="0" borderId="0" applyNumberFormat="0" applyFill="0" applyBorder="0" applyAlignment="0" applyProtection="0"/>
    <xf numFmtId="0" fontId="53" fillId="0" borderId="57" applyNumberFormat="0" applyFill="0" applyAlignment="0" applyProtection="0"/>
    <xf numFmtId="0" fontId="54" fillId="0" borderId="58" applyNumberFormat="0" applyFill="0" applyAlignment="0" applyProtection="0"/>
    <xf numFmtId="0" fontId="55" fillId="0" borderId="59" applyNumberFormat="0" applyFill="0" applyAlignment="0" applyProtection="0"/>
    <xf numFmtId="0" fontId="55" fillId="0" borderId="0" applyNumberFormat="0" applyFill="0" applyBorder="0" applyAlignment="0" applyProtection="0"/>
    <xf numFmtId="0" fontId="56" fillId="40" borderId="0" applyNumberFormat="0" applyBorder="0" applyAlignment="0" applyProtection="0"/>
    <xf numFmtId="0" fontId="57" fillId="41" borderId="0" applyNumberFormat="0" applyBorder="0" applyAlignment="0" applyProtection="0"/>
    <xf numFmtId="0" fontId="58" fillId="42" borderId="0" applyNumberFormat="0" applyBorder="0" applyAlignment="0" applyProtection="0"/>
    <xf numFmtId="0" fontId="59" fillId="43" borderId="60" applyNumberFormat="0" applyAlignment="0" applyProtection="0"/>
    <xf numFmtId="0" fontId="60" fillId="44" borderId="61" applyNumberFormat="0" applyAlignment="0" applyProtection="0"/>
    <xf numFmtId="0" fontId="61" fillId="44" borderId="60" applyNumberFormat="0" applyAlignment="0" applyProtection="0"/>
    <xf numFmtId="0" fontId="62" fillId="0" borderId="62" applyNumberFormat="0" applyFill="0" applyAlignment="0" applyProtection="0"/>
    <xf numFmtId="0" fontId="63" fillId="45" borderId="63" applyNumberFormat="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49" fillId="0" borderId="65" applyNumberFormat="0" applyFill="0" applyAlignment="0" applyProtection="0"/>
    <xf numFmtId="0" fontId="66" fillId="47" borderId="0" applyNumberFormat="0" applyBorder="0" applyAlignment="0" applyProtection="0"/>
    <xf numFmtId="0" fontId="6" fillId="48"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6" fillId="51" borderId="0" applyNumberFormat="0" applyBorder="0" applyAlignment="0" applyProtection="0"/>
    <xf numFmtId="0" fontId="6" fillId="52"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6" fillId="55" borderId="0" applyNumberFormat="0" applyBorder="0" applyAlignment="0" applyProtection="0"/>
    <xf numFmtId="0" fontId="6" fillId="56" borderId="0" applyNumberFormat="0" applyBorder="0" applyAlignment="0" applyProtection="0"/>
    <xf numFmtId="0" fontId="6" fillId="57" borderId="0" applyNumberFormat="0" applyBorder="0" applyAlignment="0" applyProtection="0"/>
    <xf numFmtId="0" fontId="6" fillId="58" borderId="0" applyNumberFormat="0" applyBorder="0" applyAlignment="0" applyProtection="0"/>
    <xf numFmtId="0" fontId="66" fillId="59"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2" borderId="0" applyNumberFormat="0" applyBorder="0" applyAlignment="0" applyProtection="0"/>
    <xf numFmtId="0" fontId="66" fillId="63"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6" fillId="67"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70" borderId="0" applyNumberFormat="0" applyBorder="0" applyAlignment="0" applyProtection="0"/>
    <xf numFmtId="0" fontId="6" fillId="0" borderId="0"/>
    <xf numFmtId="43" fontId="6" fillId="0" borderId="0" applyFont="0" applyFill="0" applyBorder="0" applyAlignment="0" applyProtection="0"/>
    <xf numFmtId="0" fontId="6" fillId="46" borderId="64" applyNumberFormat="0" applyFont="0" applyAlignment="0" applyProtection="0"/>
    <xf numFmtId="9" fontId="6" fillId="0" borderId="0" applyFont="0" applyFill="0" applyBorder="0" applyAlignment="0" applyProtection="0"/>
    <xf numFmtId="0" fontId="23" fillId="0" borderId="0"/>
    <xf numFmtId="0" fontId="23" fillId="0" borderId="0"/>
    <xf numFmtId="0" fontId="67" fillId="0" borderId="0"/>
    <xf numFmtId="43" fontId="67" fillId="0" borderId="0" applyFont="0" applyFill="0" applyBorder="0" applyAlignment="0" applyProtection="0"/>
    <xf numFmtId="9" fontId="67" fillId="0" borderId="0" applyFont="0" applyFill="0" applyBorder="0" applyAlignment="0" applyProtection="0"/>
    <xf numFmtId="0" fontId="9" fillId="0" borderId="0"/>
    <xf numFmtId="43" fontId="11"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4" fillId="0" borderId="0"/>
    <xf numFmtId="43" fontId="4" fillId="0" borderId="0" applyFont="0" applyFill="0" applyBorder="0" applyAlignment="0" applyProtection="0"/>
    <xf numFmtId="43" fontId="15" fillId="0" borderId="0" applyFont="0" applyFill="0" applyBorder="0" applyAlignment="0" applyProtection="0"/>
    <xf numFmtId="9" fontId="15" fillId="0" borderId="0" applyFont="0" applyFill="0" applyBorder="0" applyAlignment="0" applyProtection="0"/>
    <xf numFmtId="0" fontId="11" fillId="0" borderId="0"/>
    <xf numFmtId="0" fontId="20" fillId="71"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2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7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7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7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75"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28"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73"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32"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23"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1" fillId="76" borderId="0" applyNumberFormat="0" applyBorder="0" applyAlignment="0" applyProtection="0"/>
    <xf numFmtId="0" fontId="21" fillId="21" borderId="0" applyNumberFormat="0" applyBorder="0" applyAlignment="0" applyProtection="0"/>
    <xf numFmtId="0" fontId="21" fillId="28" borderId="0" applyNumberFormat="0" applyBorder="0" applyAlignment="0" applyProtection="0"/>
    <xf numFmtId="0" fontId="21" fillId="77" borderId="0" applyNumberFormat="0" applyBorder="0" applyAlignment="0" applyProtection="0"/>
    <xf numFmtId="0" fontId="21" fillId="78" borderId="0" applyNumberFormat="0" applyBorder="0" applyAlignment="0" applyProtection="0"/>
    <xf numFmtId="0" fontId="21" fillId="2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4"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79"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21" fillId="81"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8"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21" fillId="8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10"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4"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11"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6"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1" fillId="87"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11"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8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9"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1" fillId="88"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4"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9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1" fillId="8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1"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3"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0" fontId="21" fillId="92" borderId="0" applyNumberFormat="0" applyBorder="0" applyAlignment="0" applyProtection="0"/>
    <xf numFmtId="187" fontId="11" fillId="94" borderId="68">
      <alignment horizontal="center" vertical="center"/>
    </xf>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3" fillId="8"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5" fillId="96" borderId="70" applyNumberFormat="0" applyAlignment="0" applyProtection="0"/>
    <xf numFmtId="0" fontId="75" fillId="96" borderId="70" applyNumberFormat="0" applyAlignment="0" applyProtection="0"/>
    <xf numFmtId="0" fontId="75" fillId="96" borderId="70"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4" fillId="95" borderId="69"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9" borderId="71" applyNumberFormat="0" applyAlignment="0" applyProtection="0"/>
    <xf numFmtId="0" fontId="76" fillId="9" borderId="71" applyNumberFormat="0" applyAlignment="0" applyProtection="0"/>
    <xf numFmtId="0" fontId="76" fillId="9"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76" fillId="88" borderId="71" applyNumberFormat="0" applyAlignment="0" applyProtection="0"/>
    <xf numFmtId="0" fontId="11" fillId="0" borderId="0">
      <alignment vertical="top"/>
    </xf>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 fontId="11" fillId="0" borderId="0" applyFill="0" applyBorder="0" applyProtection="0">
      <alignment horizontal="right" vertical="top"/>
    </xf>
    <xf numFmtId="4" fontId="4" fillId="0" borderId="0" applyFill="0" applyBorder="0" applyProtection="0">
      <alignment horizontal="right" vertical="top"/>
    </xf>
    <xf numFmtId="0" fontId="77" fillId="0" borderId="0"/>
    <xf numFmtId="0" fontId="77" fillId="0" borderId="0"/>
    <xf numFmtId="37" fontId="78" fillId="0" borderId="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0" fontId="77" fillId="0" borderId="0"/>
    <xf numFmtId="0" fontId="11" fillId="0" borderId="0" applyFont="0" applyFill="0" applyBorder="0" applyAlignment="0" applyProtection="0">
      <alignment vertical="top"/>
    </xf>
    <xf numFmtId="0" fontId="77" fillId="0" borderId="0"/>
    <xf numFmtId="0" fontId="77" fillId="0" borderId="0"/>
    <xf numFmtId="5" fontId="4" fillId="0" borderId="0">
      <alignment vertical="top"/>
    </xf>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7" fontId="4" fillId="0" borderId="0" applyFont="0" applyFill="0" applyBorder="0" applyAlignment="0" applyProtection="0">
      <alignment vertical="top"/>
    </xf>
    <xf numFmtId="178"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37" fontId="78" fillId="0" borderId="0" applyFill="0" applyBorder="0" applyAlignment="0" applyProtection="0">
      <alignment vertical="top"/>
    </xf>
    <xf numFmtId="0" fontId="11" fillId="0" borderId="0">
      <alignment vertical="top"/>
    </xf>
    <xf numFmtId="15" fontId="11" fillId="0" borderId="0" applyFont="0" applyFill="0" applyBorder="0" applyAlignment="0" applyProtection="0">
      <alignment vertical="top"/>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26" fillId="0" borderId="0">
      <protection locked="0"/>
    </xf>
    <xf numFmtId="0" fontId="26" fillId="0" borderId="0">
      <protection locked="0"/>
    </xf>
    <xf numFmtId="0" fontId="26" fillId="0" borderId="0">
      <protection locked="0"/>
    </xf>
    <xf numFmtId="0" fontId="26" fillId="0" borderId="0">
      <protection locked="0"/>
    </xf>
    <xf numFmtId="0"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4" fillId="0" borderId="0" applyFont="0" applyFill="0" applyBorder="0" applyAlignment="0" applyProtection="0">
      <alignment vertical="top"/>
    </xf>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7"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25" fillId="98" borderId="0" applyNumberFormat="0" applyBorder="0" applyAlignment="0" applyProtection="0"/>
    <xf numFmtId="0" fontId="80" fillId="0" borderId="0" applyNumberFormat="0" applyFill="0" applyBorder="0" applyAlignment="0" applyProtection="0"/>
    <xf numFmtId="2" fontId="11" fillId="0" borderId="0" applyFont="0" applyFill="0" applyBorder="0" applyAlignment="0" applyProtection="0">
      <alignment vertical="top"/>
    </xf>
    <xf numFmtId="0" fontId="77" fillId="0" borderId="0"/>
    <xf numFmtId="174" fontId="14" fillId="0" borderId="0"/>
    <xf numFmtId="174" fontId="14" fillId="0" borderId="0"/>
    <xf numFmtId="174" fontId="14" fillId="0" borderId="0"/>
    <xf numFmtId="174" fontId="14" fillId="0" borderId="0"/>
    <xf numFmtId="174" fontId="14" fillId="0" borderId="0"/>
    <xf numFmtId="174" fontId="14" fillId="0" borderId="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81" fillId="99"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0" fontId="20" fillId="85" borderId="0" applyNumberFormat="0" applyBorder="0" applyAlignment="0" applyProtection="0"/>
    <xf numFmtId="38" fontId="14" fillId="2" borderId="0" applyNumberFormat="0" applyBorder="0" applyAlignment="0" applyProtection="0"/>
    <xf numFmtId="0" fontId="82" fillId="0" borderId="0" applyNumberFormat="0" applyFill="0" applyBorder="0" applyAlignment="0" applyProtection="0"/>
    <xf numFmtId="0" fontId="13" fillId="0" borderId="29" applyNumberFormat="0" applyAlignment="0" applyProtection="0">
      <alignment horizontal="left" vertical="center"/>
    </xf>
    <xf numFmtId="0" fontId="13" fillId="0" borderId="27">
      <alignment horizontal="left" vertical="center"/>
    </xf>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53" fillId="0" borderId="57"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4" fillId="0" borderId="73"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6"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9" fontId="11" fillId="0" borderId="0">
      <protection locked="0"/>
    </xf>
    <xf numFmtId="189" fontId="11" fillId="0" borderId="0">
      <protection locked="0"/>
    </xf>
    <xf numFmtId="0" fontId="11" fillId="0" borderId="0">
      <alignment horizontal="right" vertical="top"/>
    </xf>
    <xf numFmtId="0" fontId="86" fillId="0" borderId="0">
      <alignment vertical="top"/>
    </xf>
    <xf numFmtId="0" fontId="71" fillId="0" borderId="77" applyNumberFormat="0" applyFill="0" applyAlignment="0" applyProtection="0"/>
    <xf numFmtId="10" fontId="14" fillId="100" borderId="38" applyNumberFormat="0" applyBorder="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70"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7" fillId="14" borderId="69" applyNumberFormat="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8" fillId="0" borderId="79"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9"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37" fontId="90" fillId="0" borderId="0"/>
    <xf numFmtId="190" fontId="11" fillId="0" borderId="0"/>
    <xf numFmtId="180" fontId="14" fillId="0" borderId="0"/>
    <xf numFmtId="180" fontId="14" fillId="0" borderId="0"/>
    <xf numFmtId="180" fontId="14" fillId="0" borderId="0"/>
    <xf numFmtId="180" fontId="14" fillId="0" borderId="0"/>
    <xf numFmtId="180" fontId="14" fillId="0" borderId="0"/>
    <xf numFmtId="180" fontId="14" fillId="0" borderId="0"/>
    <xf numFmtId="181" fontId="14" fillId="0" borderId="0"/>
    <xf numFmtId="181" fontId="14" fillId="0" borderId="0"/>
    <xf numFmtId="181" fontId="14" fillId="0" borderId="0"/>
    <xf numFmtId="181" fontId="14" fillId="0" borderId="0"/>
    <xf numFmtId="181" fontId="14" fillId="0" borderId="0"/>
    <xf numFmtId="181" fontId="14" fillId="0" borderId="0"/>
    <xf numFmtId="0" fontId="11" fillId="0" borderId="0"/>
    <xf numFmtId="0" fontId="14" fillId="101" borderId="0"/>
    <xf numFmtId="0" fontId="14" fillId="101" borderId="0"/>
    <xf numFmtId="0" fontId="14" fillId="101"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4" fillId="101" borderId="0"/>
    <xf numFmtId="0" fontId="14" fillId="101" borderId="0"/>
    <xf numFmtId="0" fontId="23" fillId="0" borderId="0"/>
    <xf numFmtId="0" fontId="15" fillId="0" borderId="0"/>
    <xf numFmtId="0" fontId="14" fillId="101" borderId="0"/>
    <xf numFmtId="0" fontId="14" fillId="101" borderId="0"/>
    <xf numFmtId="0" fontId="14" fillId="101" borderId="0"/>
    <xf numFmtId="0" fontId="14" fillId="101" borderId="0"/>
    <xf numFmtId="0" fontId="14" fillId="101" borderId="0"/>
    <xf numFmtId="0" fontId="15" fillId="0" borderId="0"/>
    <xf numFmtId="0" fontId="11" fillId="0" borderId="0"/>
    <xf numFmtId="0" fontId="79" fillId="0" borderId="0"/>
    <xf numFmtId="0" fontId="20" fillId="0" borderId="0"/>
    <xf numFmtId="0" fontId="11" fillId="0" borderId="0"/>
    <xf numFmtId="0" fontId="11" fillId="0" borderId="0"/>
    <xf numFmtId="0" fontId="11" fillId="0" borderId="0"/>
    <xf numFmtId="0" fontId="11" fillId="0" borderId="0"/>
    <xf numFmtId="0" fontId="11" fillId="0" borderId="0"/>
    <xf numFmtId="0" fontId="23" fillId="0" borderId="0"/>
    <xf numFmtId="0" fontId="79" fillId="0" borderId="0"/>
    <xf numFmtId="0" fontId="11" fillId="0" borderId="0">
      <alignment vertical="top"/>
    </xf>
    <xf numFmtId="0" fontId="4" fillId="0" borderId="0">
      <alignment vertical="top"/>
    </xf>
    <xf numFmtId="0" fontId="4" fillId="0" borderId="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1" fillId="13" borderId="80"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3" fontId="86" fillId="0" borderId="81">
      <alignment vertical="top"/>
    </xf>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6"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0" fontId="91" fillId="95" borderId="82" applyNumberFormat="0" applyAlignment="0" applyProtection="0"/>
    <xf numFmtId="40" fontId="92" fillId="102" borderId="0">
      <alignment horizontal="right"/>
    </xf>
    <xf numFmtId="0" fontId="93" fillId="102" borderId="0">
      <alignment horizontal="right"/>
    </xf>
    <xf numFmtId="0" fontId="94" fillId="102" borderId="8"/>
    <xf numFmtId="0" fontId="94" fillId="0" borderId="0" applyBorder="0">
      <alignment horizontal="centerContinuous"/>
    </xf>
    <xf numFmtId="0" fontId="95" fillId="0" borderId="0" applyBorder="0">
      <alignment horizontal="centerContinuous"/>
    </xf>
    <xf numFmtId="0" fontId="77" fillId="0" borderId="0"/>
    <xf numFmtId="10"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9" fillId="0" borderId="0" applyFont="0" applyFill="0" applyBorder="0" applyAlignment="0" applyProtection="0"/>
    <xf numFmtId="0" fontId="11" fillId="0" borderId="0" applyNumberFormat="0" applyFont="0" applyFill="0" applyBorder="0" applyAlignment="0" applyProtection="0"/>
    <xf numFmtId="9" fontId="4" fillId="0" borderId="0" applyFill="0" applyBorder="0" applyAlignment="0" applyProtection="0">
      <alignment vertical="top"/>
    </xf>
    <xf numFmtId="10" fontId="4" fillId="0" borderId="0" applyFont="0" applyFill="0" applyBorder="0" applyAlignment="0" applyProtection="0">
      <alignment vertical="top"/>
    </xf>
    <xf numFmtId="0" fontId="11" fillId="0" borderId="0" applyFont="0" applyFill="0" applyBorder="0" applyAlignment="0" applyProtection="0">
      <alignment vertical="top"/>
    </xf>
    <xf numFmtId="0" fontId="23" fillId="0" borderId="0" applyNumberFormat="0" applyFont="0" applyFill="0" applyBorder="0" applyAlignment="0" applyProtection="0">
      <alignment horizontal="left"/>
    </xf>
    <xf numFmtId="15" fontId="23" fillId="0" borderId="0" applyFont="0" applyFill="0" applyBorder="0" applyAlignment="0" applyProtection="0"/>
    <xf numFmtId="4" fontId="23" fillId="0" borderId="0" applyFont="0" applyFill="0" applyBorder="0" applyAlignment="0" applyProtection="0"/>
    <xf numFmtId="0" fontId="96" fillId="0" borderId="12">
      <alignment horizontal="center"/>
    </xf>
    <xf numFmtId="3" fontId="23" fillId="0" borderId="0" applyFont="0" applyFill="0" applyBorder="0" applyAlignment="0" applyProtection="0"/>
    <xf numFmtId="0" fontId="23" fillId="103" borderId="0" applyNumberFormat="0" applyFont="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97" fillId="3" borderId="69"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0"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31" borderId="45" applyNumberFormat="0" applyProtection="0">
      <alignment horizontal="left" vertical="top"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19" borderId="45" applyNumberFormat="0" applyProtection="0">
      <alignment horizontal="left" vertical="top"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2" borderId="45" applyNumberFormat="0" applyProtection="0">
      <alignment horizontal="left" vertical="top"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4" fillId="30" borderId="45" applyNumberFormat="0" applyProtection="0">
      <alignment horizontal="left" vertical="top" indent="1"/>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1" fillId="33" borderId="38"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14" fillId="33" borderId="84" applyNumberFormat="0">
      <protection locked="0"/>
    </xf>
    <xf numFmtId="0" fontId="99" fillId="31" borderId="85" applyBorder="0"/>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100" fillId="34" borderId="45"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97" fillId="100" borderId="38" applyNumberFormat="0" applyProtection="0">
      <alignment vertical="center"/>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4" fontId="100" fillId="105" borderId="45" applyNumberFormat="0" applyProtection="0">
      <alignment horizontal="left" vertical="center"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0"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97" fillId="102" borderId="69"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0" fontId="100" fillId="19" borderId="45" applyNumberFormat="0" applyProtection="0">
      <alignment horizontal="left" vertical="top"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4" fontId="101" fillId="35" borderId="83" applyNumberFormat="0" applyProtection="0">
      <alignment horizontal="left" vertical="center" indent="1"/>
    </xf>
    <xf numFmtId="0" fontId="14" fillId="107" borderId="38"/>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35" fillId="30" borderId="45"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4" fontId="102" fillId="33" borderId="69" applyNumberFormat="0" applyProtection="0">
      <alignment horizontal="right" vertical="center"/>
    </xf>
    <xf numFmtId="0" fontId="31" fillId="0" borderId="0" applyNumberFormat="0" applyBorder="0" applyAlignment="0"/>
    <xf numFmtId="0" fontId="103" fillId="0" borderId="0" applyNumberFormat="0" applyBorder="0" applyAlignment="0"/>
    <xf numFmtId="0" fontId="24" fillId="0" borderId="0" applyNumberFormat="0" applyBorder="0" applyAlignment="0"/>
    <xf numFmtId="0" fontId="104" fillId="0" borderId="0" applyNumberFormat="0" applyBorder="0" applyAlignment="0"/>
    <xf numFmtId="0" fontId="31" fillId="0" borderId="0" applyNumberFormat="0" applyBorder="0" applyAlignment="0"/>
    <xf numFmtId="0" fontId="105" fillId="0" borderId="0" applyNumberFormat="0" applyBorder="0" applyAlignment="0"/>
    <xf numFmtId="174" fontId="106" fillId="0" borderId="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49" fillId="0" borderId="65" applyNumberFormat="0" applyFill="0" applyAlignment="0" applyProtection="0"/>
    <xf numFmtId="37" fontId="14" fillId="3" borderId="0" applyNumberFormat="0" applyBorder="0" applyAlignment="0" applyProtection="0"/>
    <xf numFmtId="37" fontId="14" fillId="0" borderId="0"/>
    <xf numFmtId="3" fontId="107" fillId="0" borderId="77"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9"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38" fontId="23" fillId="108" borderId="0"/>
    <xf numFmtId="44" fontId="4" fillId="0" borderId="0" applyFont="0" applyFill="0" applyBorder="0" applyAlignment="0" applyProtection="0"/>
    <xf numFmtId="43" fontId="20" fillId="0" borderId="0" applyFont="0" applyFill="0" applyBorder="0" applyAlignment="0" applyProtection="0"/>
    <xf numFmtId="9" fontId="4" fillId="0" borderId="0" applyFont="0" applyFill="0" applyBorder="0" applyAlignment="0" applyProtection="0"/>
    <xf numFmtId="185" fontId="9" fillId="0" borderId="0"/>
    <xf numFmtId="9" fontId="9" fillId="0" borderId="0" applyFont="0" applyFill="0" applyBorder="0" applyAlignment="0" applyProtection="0"/>
    <xf numFmtId="43" fontId="9" fillId="0" borderId="0" applyFont="0" applyFill="0" applyBorder="0" applyAlignment="0" applyProtection="0"/>
    <xf numFmtId="185" fontId="9" fillId="0" borderId="0"/>
    <xf numFmtId="191" fontId="11" fillId="0" borderId="0">
      <alignment horizontal="right" wrapText="1"/>
    </xf>
    <xf numFmtId="192" fontId="11" fillId="0" borderId="0">
      <alignment horizontal="right" wrapText="1"/>
    </xf>
    <xf numFmtId="193" fontId="11" fillId="0" borderId="0">
      <alignment horizontal="right" wrapText="1"/>
    </xf>
    <xf numFmtId="194" fontId="11" fillId="0" borderId="0">
      <alignment horizontal="right" wrapText="1"/>
    </xf>
    <xf numFmtId="195" fontId="11" fillId="0" borderId="0">
      <alignment horizontal="right" wrapText="1"/>
    </xf>
    <xf numFmtId="196" fontId="41" fillId="0" borderId="0" applyFont="0" applyFill="0" applyBorder="0" applyAlignment="0" applyProtection="0"/>
    <xf numFmtId="197" fontId="112" fillId="0" borderId="0">
      <alignment horizontal="center"/>
    </xf>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185" fontId="78"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1" borderId="0" applyNumberFormat="0" applyBorder="0" applyAlignment="0" applyProtection="0"/>
    <xf numFmtId="185" fontId="20" fillId="71"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20" fillId="10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79"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48" borderId="0" applyNumberFormat="0" applyBorder="0" applyAlignment="0" applyProtection="0"/>
    <xf numFmtId="185"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185" fontId="78"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0" borderId="0" applyNumberFormat="0" applyBorder="0" applyAlignment="0" applyProtection="0"/>
    <xf numFmtId="185" fontId="20" fillId="20"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20" fillId="110"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79"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52" borderId="0" applyNumberFormat="0" applyBorder="0" applyAlignment="0" applyProtection="0"/>
    <xf numFmtId="185"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52"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185" fontId="7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20" fillId="111" borderId="0" applyNumberFormat="0" applyBorder="0" applyAlignment="0" applyProtection="0"/>
    <xf numFmtId="185" fontId="20" fillId="111" borderId="0" applyNumberFormat="0" applyBorder="0" applyAlignment="0" applyProtection="0"/>
    <xf numFmtId="0" fontId="20" fillId="72" borderId="0" applyNumberFormat="0" applyBorder="0" applyAlignment="0" applyProtection="0"/>
    <xf numFmtId="185" fontId="20" fillId="72"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20" fillId="11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78"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79"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56" borderId="0" applyNumberFormat="0" applyBorder="0" applyAlignment="0" applyProtection="0"/>
    <xf numFmtId="185"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185" fontId="4" fillId="27" borderId="0" applyNumberFormat="0" applyBorder="0" applyAlignment="0" applyProtection="0"/>
    <xf numFmtId="185"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185" fontId="78"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20" fillId="113" borderId="0" applyNumberFormat="0" applyBorder="0" applyAlignment="0" applyProtection="0"/>
    <xf numFmtId="185" fontId="20" fillId="113"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20" fillId="113"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78"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79"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60" borderId="0" applyNumberFormat="0" applyBorder="0" applyAlignment="0" applyProtection="0"/>
    <xf numFmtId="185"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185" fontId="4" fillId="112" borderId="0" applyNumberFormat="0" applyBorder="0" applyAlignment="0" applyProtection="0"/>
    <xf numFmtId="185" fontId="4" fillId="112" borderId="0" applyNumberFormat="0" applyBorder="0" applyAlignment="0" applyProtection="0"/>
    <xf numFmtId="0" fontId="4" fillId="112" borderId="0" applyNumberFormat="0" applyBorder="0" applyAlignment="0" applyProtection="0"/>
    <xf numFmtId="0" fontId="4" fillId="112"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185" fontId="78"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20" fillId="109" borderId="0" applyNumberFormat="0" applyBorder="0" applyAlignment="0" applyProtection="0"/>
    <xf numFmtId="185" fontId="20" fillId="109" borderId="0" applyNumberFormat="0" applyBorder="0" applyAlignment="0" applyProtection="0"/>
    <xf numFmtId="0" fontId="20" fillId="74" borderId="0" applyNumberFormat="0" applyBorder="0" applyAlignment="0" applyProtection="0"/>
    <xf numFmtId="185" fontId="20" fillId="7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20" fillId="109"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78"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79"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64" borderId="0" applyNumberFormat="0" applyBorder="0" applyAlignment="0" applyProtection="0"/>
    <xf numFmtId="185"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6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185" fontId="4" fillId="30" borderId="0" applyNumberFormat="0" applyBorder="0" applyAlignment="0" applyProtection="0"/>
    <xf numFmtId="185"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20" fillId="38" borderId="0" applyNumberFormat="0" applyBorder="0" applyAlignment="0" applyProtection="0"/>
    <xf numFmtId="185" fontId="20" fillId="38" borderId="0" applyNumberFormat="0" applyBorder="0" applyAlignment="0" applyProtection="0"/>
    <xf numFmtId="0" fontId="20" fillId="75" borderId="0" applyNumberFormat="0" applyBorder="0" applyAlignment="0" applyProtection="0"/>
    <xf numFmtId="185" fontId="20" fillId="75"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20" fillId="3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9"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185" fontId="4" fillId="68" borderId="0" applyNumberFormat="0" applyBorder="0" applyAlignment="0" applyProtection="0"/>
    <xf numFmtId="185"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78" fillId="68" borderId="0" applyNumberFormat="0" applyBorder="0" applyAlignment="0" applyProtection="0"/>
    <xf numFmtId="185" fontId="78"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68"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185" fontId="78"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20" fillId="2" borderId="0" applyNumberFormat="0" applyBorder="0" applyAlignment="0" applyProtection="0"/>
    <xf numFmtId="185" fontId="20" fillId="2"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20" fillId="2"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78"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79"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49" borderId="0" applyNumberFormat="0" applyBorder="0" applyAlignment="0" applyProtection="0"/>
    <xf numFmtId="185"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185" fontId="4" fillId="105" borderId="0" applyNumberFormat="0" applyBorder="0" applyAlignment="0" applyProtection="0"/>
    <xf numFmtId="185" fontId="4" fillId="105" borderId="0" applyNumberFormat="0" applyBorder="0" applyAlignment="0" applyProtection="0"/>
    <xf numFmtId="0" fontId="4" fillId="105" borderId="0" applyNumberFormat="0" applyBorder="0" applyAlignment="0" applyProtection="0"/>
    <xf numFmtId="0" fontId="4" fillId="10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185" fontId="78"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20" fillId="110" borderId="0" applyNumberFormat="0" applyBorder="0" applyAlignment="0" applyProtection="0"/>
    <xf numFmtId="185" fontId="20" fillId="110" borderId="0" applyNumberFormat="0" applyBorder="0" applyAlignment="0" applyProtection="0"/>
    <xf numFmtId="0" fontId="20" fillId="21" borderId="0" applyNumberFormat="0" applyBorder="0" applyAlignment="0" applyProtection="0"/>
    <xf numFmtId="185" fontId="20" fillId="21"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20" fillId="110"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78"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79"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53" borderId="0" applyNumberFormat="0" applyBorder="0" applyAlignment="0" applyProtection="0"/>
    <xf numFmtId="185"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185" fontId="4" fillId="19" borderId="0" applyNumberFormat="0" applyBorder="0" applyAlignment="0" applyProtection="0"/>
    <xf numFmtId="185"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185" fontId="78"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20" fillId="114" borderId="0" applyNumberFormat="0" applyBorder="0" applyAlignment="0" applyProtection="0"/>
    <xf numFmtId="185" fontId="20" fillId="114" borderId="0" applyNumberFormat="0" applyBorder="0" applyAlignment="0" applyProtection="0"/>
    <xf numFmtId="0" fontId="20" fillId="28" borderId="0" applyNumberFormat="0" applyBorder="0" applyAlignment="0" applyProtection="0"/>
    <xf numFmtId="185" fontId="20" fillId="28"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20" fillId="114"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78"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79"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57" borderId="0" applyNumberFormat="0" applyBorder="0" applyAlignment="0" applyProtection="0"/>
    <xf numFmtId="185"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57"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185" fontId="4" fillId="26" borderId="0" applyNumberFormat="0" applyBorder="0" applyAlignment="0" applyProtection="0"/>
    <xf numFmtId="185"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185" fontId="78"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20" fillId="116" borderId="0" applyNumberFormat="0" applyBorder="0" applyAlignment="0" applyProtection="0"/>
    <xf numFmtId="185" fontId="20" fillId="116" borderId="0" applyNumberFormat="0" applyBorder="0" applyAlignment="0" applyProtection="0"/>
    <xf numFmtId="0" fontId="20" fillId="73" borderId="0" applyNumberFormat="0" applyBorder="0" applyAlignment="0" applyProtection="0"/>
    <xf numFmtId="185" fontId="20" fillId="73"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20" fillId="116"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78"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79"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61" borderId="0" applyNumberFormat="0" applyBorder="0" applyAlignment="0" applyProtection="0"/>
    <xf numFmtId="185"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61"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185" fontId="4" fillId="115" borderId="0" applyNumberFormat="0" applyBorder="0" applyAlignment="0" applyProtection="0"/>
    <xf numFmtId="185" fontId="4" fillId="115" borderId="0" applyNumberFormat="0" applyBorder="0" applyAlignment="0" applyProtection="0"/>
    <xf numFmtId="0" fontId="4" fillId="115" borderId="0" applyNumberFormat="0" applyBorder="0" applyAlignment="0" applyProtection="0"/>
    <xf numFmtId="0" fontId="4" fillId="11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185" fontId="78"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20" fillId="117" borderId="0" applyNumberFormat="0" applyBorder="0" applyAlignment="0" applyProtection="0"/>
    <xf numFmtId="185" fontId="20" fillId="117" borderId="0" applyNumberFormat="0" applyBorder="0" applyAlignment="0" applyProtection="0"/>
    <xf numFmtId="0" fontId="20" fillId="32" borderId="0" applyNumberFormat="0" applyBorder="0" applyAlignment="0" applyProtection="0"/>
    <xf numFmtId="185" fontId="20" fillId="32"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20" fillId="117"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78"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79"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65" borderId="0" applyNumberFormat="0" applyBorder="0" applyAlignment="0" applyProtection="0"/>
    <xf numFmtId="185"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6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185" fontId="4" fillId="31" borderId="0" applyNumberFormat="0" applyBorder="0" applyAlignment="0" applyProtection="0"/>
    <xf numFmtId="185"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185" fontId="78"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20" fillId="118" borderId="0" applyNumberFormat="0" applyBorder="0" applyAlignment="0" applyProtection="0"/>
    <xf numFmtId="185" fontId="20" fillId="118" borderId="0" applyNumberFormat="0" applyBorder="0" applyAlignment="0" applyProtection="0"/>
    <xf numFmtId="0" fontId="20" fillId="23" borderId="0" applyNumberFormat="0" applyBorder="0" applyAlignment="0" applyProtection="0"/>
    <xf numFmtId="185" fontId="20" fillId="23"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20" fillId="118"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78"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79"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69" borderId="0" applyNumberFormat="0" applyBorder="0" applyAlignment="0" applyProtection="0"/>
    <xf numFmtId="185"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69"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185" fontId="4" fillId="75" borderId="0" applyNumberFormat="0" applyBorder="0" applyAlignment="0" applyProtection="0"/>
    <xf numFmtId="185" fontId="4" fillId="75" borderId="0" applyNumberFormat="0" applyBorder="0" applyAlignment="0" applyProtection="0"/>
    <xf numFmtId="0" fontId="4" fillId="75" borderId="0" applyNumberFormat="0" applyBorder="0" applyAlignment="0" applyProtection="0"/>
    <xf numFmtId="0" fontId="4" fillId="75"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6" borderId="0" applyNumberFormat="0" applyBorder="0" applyAlignment="0" applyProtection="0"/>
    <xf numFmtId="185" fontId="21" fillId="76" borderId="0" applyNumberFormat="0" applyBorder="0" applyAlignment="0" applyProtection="0"/>
    <xf numFmtId="0" fontId="66" fillId="50"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5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4" fillId="5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113" fillId="50"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66" fillId="119" borderId="0" applyNumberFormat="0" applyBorder="0" applyAlignment="0" applyProtection="0"/>
    <xf numFmtId="0" fontId="66" fillId="50" borderId="0" applyNumberFormat="0" applyBorder="0" applyAlignment="0" applyProtection="0"/>
    <xf numFmtId="185" fontId="66" fillId="50" borderId="0" applyNumberFormat="0" applyBorder="0" applyAlignment="0" applyProtection="0"/>
    <xf numFmtId="185" fontId="113" fillId="50"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110" borderId="0" applyNumberFormat="0" applyBorder="0" applyAlignment="0" applyProtection="0"/>
    <xf numFmtId="185" fontId="21" fillId="110" borderId="0" applyNumberFormat="0" applyBorder="0" applyAlignment="0" applyProtection="0"/>
    <xf numFmtId="0" fontId="21" fillId="21" borderId="0" applyNumberFormat="0" applyBorder="0" applyAlignment="0" applyProtection="0"/>
    <xf numFmtId="185" fontId="21" fillId="21" borderId="0" applyNumberFormat="0" applyBorder="0" applyAlignment="0" applyProtection="0"/>
    <xf numFmtId="0" fontId="66" fillId="54" borderId="0" applyNumberFormat="0" applyBorder="0" applyAlignment="0" applyProtection="0"/>
    <xf numFmtId="185" fontId="21" fillId="110" borderId="0" applyNumberFormat="0" applyBorder="0" applyAlignment="0" applyProtection="0"/>
    <xf numFmtId="0" fontId="66" fillId="19" borderId="0" applyNumberFormat="0" applyBorder="0" applyAlignment="0" applyProtection="0"/>
    <xf numFmtId="0" fontId="113" fillId="54"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4" fillId="54"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113" fillId="54" borderId="0" applyNumberFormat="0" applyBorder="0" applyAlignment="0" applyProtection="0"/>
    <xf numFmtId="0"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19"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66" fillId="19" borderId="0" applyNumberFormat="0" applyBorder="0" applyAlignment="0" applyProtection="0"/>
    <xf numFmtId="0" fontId="66" fillId="54" borderId="0" applyNumberFormat="0" applyBorder="0" applyAlignment="0" applyProtection="0"/>
    <xf numFmtId="185" fontId="66" fillId="54" borderId="0" applyNumberFormat="0" applyBorder="0" applyAlignment="0" applyProtection="0"/>
    <xf numFmtId="185" fontId="113" fillId="54"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28" borderId="0" applyNumberFormat="0" applyBorder="0" applyAlignment="0" applyProtection="0"/>
    <xf numFmtId="185" fontId="21" fillId="28" borderId="0" applyNumberFormat="0" applyBorder="0" applyAlignment="0" applyProtection="0"/>
    <xf numFmtId="0" fontId="66" fillId="58" borderId="0" applyNumberFormat="0" applyBorder="0" applyAlignment="0" applyProtection="0"/>
    <xf numFmtId="185" fontId="21" fillId="114" borderId="0" applyNumberFormat="0" applyBorder="0" applyAlignment="0" applyProtection="0"/>
    <xf numFmtId="0" fontId="66" fillId="26" borderId="0" applyNumberFormat="0" applyBorder="0" applyAlignment="0" applyProtection="0"/>
    <xf numFmtId="0" fontId="113" fillId="58"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4" fillId="58"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113" fillId="58"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26"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66" fillId="26" borderId="0" applyNumberFormat="0" applyBorder="0" applyAlignment="0" applyProtection="0"/>
    <xf numFmtId="0" fontId="66" fillId="58" borderId="0" applyNumberFormat="0" applyBorder="0" applyAlignment="0" applyProtection="0"/>
    <xf numFmtId="185" fontId="66" fillId="58" borderId="0" applyNumberFormat="0" applyBorder="0" applyAlignment="0" applyProtection="0"/>
    <xf numFmtId="185" fontId="113" fillId="58"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116" borderId="0" applyNumberFormat="0" applyBorder="0" applyAlignment="0" applyProtection="0"/>
    <xf numFmtId="185" fontId="21" fillId="116" borderId="0" applyNumberFormat="0" applyBorder="0" applyAlignment="0" applyProtection="0"/>
    <xf numFmtId="0" fontId="21" fillId="77" borderId="0" applyNumberFormat="0" applyBorder="0" applyAlignment="0" applyProtection="0"/>
    <xf numFmtId="185" fontId="21" fillId="77" borderId="0" applyNumberFormat="0" applyBorder="0" applyAlignment="0" applyProtection="0"/>
    <xf numFmtId="0" fontId="66" fillId="62" borderId="0" applyNumberFormat="0" applyBorder="0" applyAlignment="0" applyProtection="0"/>
    <xf numFmtId="185" fontId="21" fillId="116" borderId="0" applyNumberFormat="0" applyBorder="0" applyAlignment="0" applyProtection="0"/>
    <xf numFmtId="0" fontId="66" fillId="115" borderId="0" applyNumberFormat="0" applyBorder="0" applyAlignment="0" applyProtection="0"/>
    <xf numFmtId="0" fontId="113" fillId="62"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4" fillId="62"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113" fillId="62"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115"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66" fillId="115" borderId="0" applyNumberFormat="0" applyBorder="0" applyAlignment="0" applyProtection="0"/>
    <xf numFmtId="0" fontId="66" fillId="62" borderId="0" applyNumberFormat="0" applyBorder="0" applyAlignment="0" applyProtection="0"/>
    <xf numFmtId="185" fontId="66" fillId="62" borderId="0" applyNumberFormat="0" applyBorder="0" applyAlignment="0" applyProtection="0"/>
    <xf numFmtId="185" fontId="113" fillId="62"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78" borderId="0" applyNumberFormat="0" applyBorder="0" applyAlignment="0" applyProtection="0"/>
    <xf numFmtId="185" fontId="21" fillId="78" borderId="0" applyNumberFormat="0" applyBorder="0" applyAlignment="0" applyProtection="0"/>
    <xf numFmtId="0" fontId="66" fillId="66" borderId="0" applyNumberFormat="0" applyBorder="0" applyAlignment="0" applyProtection="0"/>
    <xf numFmtId="185" fontId="21" fillId="120" borderId="0" applyNumberFormat="0" applyBorder="0" applyAlignment="0" applyProtection="0"/>
    <xf numFmtId="0" fontId="66" fillId="119" borderId="0" applyNumberFormat="0" applyBorder="0" applyAlignment="0" applyProtection="0"/>
    <xf numFmtId="0" fontId="113" fillId="66"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4" fillId="66"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113" fillId="66"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66" fillId="119" borderId="0" applyNumberFormat="0" applyBorder="0" applyAlignment="0" applyProtection="0"/>
    <xf numFmtId="0" fontId="66" fillId="66" borderId="0" applyNumberFormat="0" applyBorder="0" applyAlignment="0" applyProtection="0"/>
    <xf numFmtId="185" fontId="66" fillId="66" borderId="0" applyNumberFormat="0" applyBorder="0" applyAlignment="0" applyProtection="0"/>
    <xf numFmtId="185" fontId="113" fillId="66"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121" borderId="0" applyNumberFormat="0" applyBorder="0" applyAlignment="0" applyProtection="0"/>
    <xf numFmtId="185" fontId="21" fillId="121" borderId="0" applyNumberFormat="0" applyBorder="0" applyAlignment="0" applyProtection="0"/>
    <xf numFmtId="0" fontId="21" fillId="24" borderId="0" applyNumberFormat="0" applyBorder="0" applyAlignment="0" applyProtection="0"/>
    <xf numFmtId="185" fontId="21" fillId="24" borderId="0" applyNumberFormat="0" applyBorder="0" applyAlignment="0" applyProtection="0"/>
    <xf numFmtId="0" fontId="66" fillId="70" borderId="0" applyNumberFormat="0" applyBorder="0" applyAlignment="0" applyProtection="0"/>
    <xf numFmtId="185" fontId="21" fillId="121" borderId="0" applyNumberFormat="0" applyBorder="0" applyAlignment="0" applyProtection="0"/>
    <xf numFmtId="0" fontId="66" fillId="23" borderId="0" applyNumberFormat="0" applyBorder="0" applyAlignment="0" applyProtection="0"/>
    <xf numFmtId="0" fontId="113" fillId="70"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4" fillId="70"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113" fillId="70" borderId="0" applyNumberFormat="0" applyBorder="0" applyAlignment="0" applyProtection="0"/>
    <xf numFmtId="0"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23"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66" fillId="23" borderId="0" applyNumberFormat="0" applyBorder="0" applyAlignment="0" applyProtection="0"/>
    <xf numFmtId="0" fontId="66" fillId="70" borderId="0" applyNumberFormat="0" applyBorder="0" applyAlignment="0" applyProtection="0"/>
    <xf numFmtId="185" fontId="66" fillId="70" borderId="0" applyNumberFormat="0" applyBorder="0" applyAlignment="0" applyProtection="0"/>
    <xf numFmtId="185" fontId="113" fillId="70"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79" borderId="0" applyNumberFormat="0" applyBorder="0" applyAlignment="0" applyProtection="0"/>
    <xf numFmtId="185" fontId="20" fillId="79" borderId="0" applyNumberFormat="0" applyBorder="0" applyAlignment="0" applyProtection="0"/>
    <xf numFmtId="185" fontId="20" fillId="122"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0" fontId="20" fillId="4"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79"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0" fontId="20" fillId="5"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0" fontId="21" fillId="6" borderId="0" applyNumberFormat="0" applyBorder="0" applyAlignment="0" applyProtection="0"/>
    <xf numFmtId="185"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6"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113"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185" fontId="21" fillId="81"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0" fontId="114"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21" fillId="81" borderId="0" applyNumberFormat="0" applyBorder="0" applyAlignment="0" applyProtection="0"/>
    <xf numFmtId="185" fontId="21" fillId="81"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21" fillId="123" borderId="0" applyNumberFormat="0" applyBorder="0" applyAlignment="0" applyProtection="0"/>
    <xf numFmtId="185" fontId="21" fillId="123" borderId="0" applyNumberFormat="0" applyBorder="0" applyAlignment="0" applyProtection="0"/>
    <xf numFmtId="0" fontId="113" fillId="47" borderId="0" applyNumberFormat="0" applyBorder="0" applyAlignment="0" applyProtection="0"/>
    <xf numFmtId="185" fontId="21" fillId="123"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66" fillId="47" borderId="0" applyNumberFormat="0" applyBorder="0" applyAlignment="0" applyProtection="0"/>
    <xf numFmtId="185" fontId="66" fillId="47" borderId="0" applyNumberFormat="0" applyBorder="0" applyAlignment="0" applyProtection="0"/>
    <xf numFmtId="0" fontId="113" fillId="47" borderId="0" applyNumberFormat="0" applyBorder="0" applyAlignment="0" applyProtection="0"/>
    <xf numFmtId="185" fontId="66" fillId="4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7" borderId="0" applyNumberFormat="0" applyBorder="0" applyAlignment="0" applyProtection="0"/>
    <xf numFmtId="0" fontId="20" fillId="7" borderId="0" applyNumberFormat="0" applyBorder="0" applyAlignment="0" applyProtection="0"/>
    <xf numFmtId="0" fontId="20" fillId="7" borderId="0" applyNumberFormat="0" applyBorder="0" applyAlignment="0" applyProtection="0"/>
    <xf numFmtId="185" fontId="20" fillId="7" borderId="0" applyNumberFormat="0" applyBorder="0" applyAlignment="0" applyProtection="0"/>
    <xf numFmtId="185"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7"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0"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0" fontId="20" fillId="8"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8" borderId="0" applyNumberFormat="0" applyBorder="0" applyAlignment="0" applyProtection="0"/>
    <xf numFmtId="185" fontId="21" fillId="8" borderId="0" applyNumberFormat="0" applyBorder="0" applyAlignment="0" applyProtection="0"/>
    <xf numFmtId="185" fontId="21" fillId="125"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0" fontId="21" fillId="9"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21" fillId="8"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185" fontId="66" fillId="51" borderId="0" applyNumberFormat="0" applyBorder="0" applyAlignment="0" applyProtection="0"/>
    <xf numFmtId="185" fontId="113" fillId="51"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185" fontId="21" fillId="83"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0" fontId="114" fillId="51"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21" fillId="83" borderId="0" applyNumberFormat="0" applyBorder="0" applyAlignment="0" applyProtection="0"/>
    <xf numFmtId="185" fontId="21" fillId="83"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66" fillId="51"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113" fillId="51" borderId="0" applyNumberFormat="0" applyBorder="0" applyAlignment="0" applyProtection="0"/>
    <xf numFmtId="185" fontId="66" fillId="12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21" fillId="36" borderId="0" applyNumberFormat="0" applyBorder="0" applyAlignment="0" applyProtection="0"/>
    <xf numFmtId="185" fontId="21" fillId="36" borderId="0" applyNumberFormat="0" applyBorder="0" applyAlignment="0" applyProtection="0"/>
    <xf numFmtId="0" fontId="113" fillId="51" borderId="0" applyNumberFormat="0" applyBorder="0" applyAlignment="0" applyProtection="0"/>
    <xf numFmtId="185" fontId="21" fillId="3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126" borderId="0" applyNumberFormat="0" applyBorder="0" applyAlignment="0" applyProtection="0"/>
    <xf numFmtId="185" fontId="66" fillId="126"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66" fillId="51" borderId="0" applyNumberFormat="0" applyBorder="0" applyAlignment="0" applyProtection="0"/>
    <xf numFmtId="185" fontId="66" fillId="51" borderId="0" applyNumberFormat="0" applyBorder="0" applyAlignment="0" applyProtection="0"/>
    <xf numFmtId="0" fontId="113" fillId="51"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84" borderId="0" applyNumberFormat="0" applyBorder="0" applyAlignment="0" applyProtection="0"/>
    <xf numFmtId="185" fontId="20" fillId="84" borderId="0" applyNumberFormat="0" applyBorder="0" applyAlignment="0" applyProtection="0"/>
    <xf numFmtId="185" fontId="20" fillId="127"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0" fontId="20" fillId="10"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4"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20" fillId="11"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86" borderId="0" applyNumberFormat="0" applyBorder="0" applyAlignment="0" applyProtection="0"/>
    <xf numFmtId="185" fontId="21" fillId="86" borderId="0" applyNumberFormat="0" applyBorder="0" applyAlignment="0" applyProtection="0"/>
    <xf numFmtId="185" fontId="21" fillId="111"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21" fillId="12"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185" fontId="21" fillId="86"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0" fontId="21" fillId="9" borderId="0" applyNumberFormat="0" applyBorder="0" applyAlignment="0" applyProtection="0"/>
    <xf numFmtId="185" fontId="21" fillId="9" borderId="0" applyNumberFormat="0" applyBorder="0" applyAlignment="0" applyProtection="0"/>
    <xf numFmtId="185" fontId="66" fillId="55"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87"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185" fontId="21" fillId="9" borderId="0" applyNumberFormat="0" applyBorder="0" applyAlignment="0" applyProtection="0"/>
    <xf numFmtId="0" fontId="113" fillId="55" borderId="0" applyNumberFormat="0" applyBorder="0" applyAlignment="0" applyProtection="0"/>
    <xf numFmtId="185"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0" fontId="114" fillId="55"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21" fillId="87"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66" fillId="55"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114" borderId="0" applyNumberFormat="0" applyBorder="0" applyAlignment="0" applyProtection="0"/>
    <xf numFmtId="185" fontId="21" fillId="114"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21" fillId="114"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66" fillId="55" borderId="0" applyNumberFormat="0" applyBorder="0" applyAlignment="0" applyProtection="0"/>
    <xf numFmtId="185" fontId="66" fillId="55" borderId="0" applyNumberFormat="0" applyBorder="0" applyAlignment="0" applyProtection="0"/>
    <xf numFmtId="0" fontId="21" fillId="87" borderId="0" applyNumberFormat="0" applyBorder="0" applyAlignment="0" applyProtection="0"/>
    <xf numFmtId="185" fontId="21" fillId="87" borderId="0" applyNumberFormat="0" applyBorder="0" applyAlignment="0" applyProtection="0"/>
    <xf numFmtId="185" fontId="66" fillId="55"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82" borderId="0" applyNumberFormat="0" applyBorder="0" applyAlignment="0" applyProtection="0"/>
    <xf numFmtId="185" fontId="20" fillId="82" borderId="0" applyNumberFormat="0" applyBorder="0" applyAlignment="0" applyProtection="0"/>
    <xf numFmtId="185" fontId="20" fillId="124"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185" fontId="20" fillId="11" borderId="0" applyNumberFormat="0" applyBorder="0" applyAlignment="0" applyProtection="0"/>
    <xf numFmtId="185"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0" fontId="20" fillId="11"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8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9" borderId="0" applyNumberFormat="0" applyBorder="0" applyAlignment="0" applyProtection="0"/>
    <xf numFmtId="185" fontId="20" fillId="9" borderId="0" applyNumberFormat="0" applyBorder="0" applyAlignment="0" applyProtection="0"/>
    <xf numFmtId="185" fontId="20" fillId="12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12"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185" fontId="20" fillId="12" borderId="0" applyNumberFormat="0" applyBorder="0" applyAlignment="0" applyProtection="0"/>
    <xf numFmtId="185"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0" fontId="20" fillId="12"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0" fillId="9"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1" borderId="0" applyNumberFormat="0" applyBorder="0" applyAlignment="0" applyProtection="0"/>
    <xf numFmtId="185" fontId="21" fillId="11" borderId="0" applyNumberFormat="0" applyBorder="0" applyAlignment="0" applyProtection="0"/>
    <xf numFmtId="185" fontId="21" fillId="110"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0" fontId="21" fillId="12" borderId="0" applyNumberFormat="0" applyBorder="0" applyAlignment="0" applyProtection="0"/>
    <xf numFmtId="185"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0" fontId="21" fillId="12"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21" fillId="1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59"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185" fontId="66" fillId="130" borderId="0" applyNumberFormat="0" applyBorder="0" applyAlignment="0" applyProtection="0"/>
    <xf numFmtId="0" fontId="21" fillId="89" borderId="0" applyNumberFormat="0" applyBorder="0" applyAlignment="0" applyProtection="0"/>
    <xf numFmtId="185" fontId="21" fillId="89" borderId="0" applyNumberFormat="0" applyBorder="0" applyAlignment="0" applyProtection="0"/>
    <xf numFmtId="0" fontId="66" fillId="59" borderId="0" applyNumberFormat="0" applyBorder="0" applyAlignment="0" applyProtection="0"/>
    <xf numFmtId="185" fontId="66" fillId="130"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8"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185" fontId="21" fillId="89" borderId="0" applyNumberFormat="0" applyBorder="0" applyAlignment="0" applyProtection="0"/>
    <xf numFmtId="0" fontId="113" fillId="59" borderId="0" applyNumberFormat="0" applyBorder="0" applyAlignment="0" applyProtection="0"/>
    <xf numFmtId="185"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0" fontId="114" fillId="59"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21" fillId="88"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0" fontId="66"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113" fillId="59" borderId="0" applyNumberFormat="0" applyBorder="0" applyAlignment="0" applyProtection="0"/>
    <xf numFmtId="0" fontId="66" fillId="59"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131" borderId="0" applyNumberFormat="0" applyBorder="0" applyAlignment="0" applyProtection="0"/>
    <xf numFmtId="185" fontId="21" fillId="131"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1" fillId="131"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130" borderId="0" applyNumberFormat="0" applyBorder="0" applyAlignment="0" applyProtection="0"/>
    <xf numFmtId="185" fontId="66" fillId="130"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66" fillId="59" borderId="0" applyNumberFormat="0" applyBorder="0" applyAlignment="0" applyProtection="0"/>
    <xf numFmtId="185" fontId="66" fillId="59" borderId="0" applyNumberFormat="0" applyBorder="0" applyAlignment="0" applyProtection="0"/>
    <xf numFmtId="0" fontId="21" fillId="88" borderId="0" applyNumberFormat="0" applyBorder="0" applyAlignment="0" applyProtection="0"/>
    <xf numFmtId="185" fontId="21" fillId="88"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10" borderId="0" applyNumberFormat="0" applyBorder="0" applyAlignment="0" applyProtection="0"/>
    <xf numFmtId="185" fontId="20" fillId="10" borderId="0" applyNumberFormat="0" applyBorder="0" applyAlignment="0" applyProtection="0"/>
    <xf numFmtId="185" fontId="20" fillId="109"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4" borderId="0" applyNumberFormat="0" applyBorder="0" applyAlignment="0" applyProtection="0"/>
    <xf numFmtId="0" fontId="20" fillId="4" borderId="0" applyNumberFormat="0" applyBorder="0" applyAlignment="0" applyProtection="0"/>
    <xf numFmtId="0" fontId="20" fillId="4" borderId="0" applyNumberFormat="0" applyBorder="0" applyAlignment="0" applyProtection="0"/>
    <xf numFmtId="185" fontId="20" fillId="4" borderId="0" applyNumberFormat="0" applyBorder="0" applyAlignment="0" applyProtection="0"/>
    <xf numFmtId="185"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0" fontId="20" fillId="4"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10"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117"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0"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0"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0" fontId="21" fillId="5" borderId="0" applyNumberFormat="0" applyBorder="0" applyAlignment="0" applyProtection="0"/>
    <xf numFmtId="185"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21" fillId="5"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63"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185" fontId="66" fillId="119" borderId="0" applyNumberFormat="0" applyBorder="0" applyAlignment="0" applyProtection="0"/>
    <xf numFmtId="0" fontId="21" fillId="90" borderId="0" applyNumberFormat="0" applyBorder="0" applyAlignment="0" applyProtection="0"/>
    <xf numFmtId="185" fontId="21" fillId="90" borderId="0" applyNumberFormat="0" applyBorder="0" applyAlignment="0" applyProtection="0"/>
    <xf numFmtId="0" fontId="66" fillId="63" borderId="0" applyNumberFormat="0" applyBorder="0" applyAlignment="0" applyProtection="0"/>
    <xf numFmtId="185" fontId="66" fillId="119"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8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185" fontId="21" fillId="90" borderId="0" applyNumberFormat="0" applyBorder="0" applyAlignment="0" applyProtection="0"/>
    <xf numFmtId="0" fontId="113" fillId="63" borderId="0" applyNumberFormat="0" applyBorder="0" applyAlignment="0" applyProtection="0"/>
    <xf numFmtId="185"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0" fontId="114" fillId="63"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21" fillId="80"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0" fontId="66"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113" fillId="63" borderId="0" applyNumberFormat="0" applyBorder="0" applyAlignment="0" applyProtection="0"/>
    <xf numFmtId="0" fontId="66" fillId="63"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120" borderId="0" applyNumberFormat="0" applyBorder="0" applyAlignment="0" applyProtection="0"/>
    <xf numFmtId="185" fontId="21" fillId="120"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1" fillId="120"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119" borderId="0" applyNumberFormat="0" applyBorder="0" applyAlignment="0" applyProtection="0"/>
    <xf numFmtId="185" fontId="66" fillId="119"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66" fillId="63" borderId="0" applyNumberFormat="0" applyBorder="0" applyAlignment="0" applyProtection="0"/>
    <xf numFmtId="185" fontId="66" fillId="63" borderId="0" applyNumberFormat="0" applyBorder="0" applyAlignment="0" applyProtection="0"/>
    <xf numFmtId="0" fontId="21" fillId="80" borderId="0" applyNumberFormat="0" applyBorder="0" applyAlignment="0" applyProtection="0"/>
    <xf numFmtId="185" fontId="21" fillId="8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00"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0"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3"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14" borderId="0" applyNumberFormat="0" applyBorder="0" applyAlignment="0" applyProtection="0"/>
    <xf numFmtId="185" fontId="20" fillId="14" borderId="0" applyNumberFormat="0" applyBorder="0" applyAlignment="0" applyProtection="0"/>
    <xf numFmtId="185" fontId="20" fillId="11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8" borderId="0" applyNumberFormat="0" applyBorder="0" applyAlignment="0" applyProtection="0"/>
    <xf numFmtId="0" fontId="20" fillId="8" borderId="0" applyNumberFormat="0" applyBorder="0" applyAlignment="0" applyProtection="0"/>
    <xf numFmtId="0" fontId="20" fillId="8" borderId="0" applyNumberFormat="0" applyBorder="0" applyAlignment="0" applyProtection="0"/>
    <xf numFmtId="185" fontId="20" fillId="8" borderId="0" applyNumberFormat="0" applyBorder="0" applyAlignment="0" applyProtection="0"/>
    <xf numFmtId="185"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0" fontId="20" fillId="8"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0"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91" borderId="0" applyNumberFormat="0" applyBorder="0" applyAlignment="0" applyProtection="0"/>
    <xf numFmtId="185" fontId="21" fillId="91" borderId="0" applyNumberFormat="0" applyBorder="0" applyAlignment="0" applyProtection="0"/>
    <xf numFmtId="185" fontId="21" fillId="12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0" fontId="21" fillId="14" borderId="0" applyNumberFormat="0" applyBorder="0" applyAlignment="0" applyProtection="0"/>
    <xf numFmtId="185"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21" fillId="14"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185" fontId="21" fillId="91"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0" fontId="21" fillId="93" borderId="0" applyNumberFormat="0" applyBorder="0" applyAlignment="0" applyProtection="0"/>
    <xf numFmtId="185" fontId="21" fillId="93" borderId="0" applyNumberFormat="0" applyBorder="0" applyAlignment="0" applyProtection="0"/>
    <xf numFmtId="185" fontId="66" fillId="67"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2"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185" fontId="21" fillId="93" borderId="0" applyNumberFormat="0" applyBorder="0" applyAlignment="0" applyProtection="0"/>
    <xf numFmtId="0" fontId="113" fillId="67" borderId="0" applyNumberFormat="0" applyBorder="0" applyAlignment="0" applyProtection="0"/>
    <xf numFmtId="185"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0" fontId="114" fillId="67"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21" fillId="92"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113" fillId="67" borderId="0" applyNumberFormat="0" applyBorder="0" applyAlignment="0" applyProtection="0"/>
    <xf numFmtId="0" fontId="66" fillId="67"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132" borderId="0" applyNumberFormat="0" applyBorder="0" applyAlignment="0" applyProtection="0"/>
    <xf numFmtId="185" fontId="21" fillId="132"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21" fillId="132"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66" fillId="67" borderId="0" applyNumberFormat="0" applyBorder="0" applyAlignment="0" applyProtection="0"/>
    <xf numFmtId="185" fontId="66" fillId="67" borderId="0" applyNumberFormat="0" applyBorder="0" applyAlignment="0" applyProtection="0"/>
    <xf numFmtId="0" fontId="21" fillId="92" borderId="0" applyNumberFormat="0" applyBorder="0" applyAlignment="0" applyProtection="0"/>
    <xf numFmtId="185" fontId="21" fillId="92" borderId="0" applyNumberFormat="0" applyBorder="0" applyAlignment="0" applyProtection="0"/>
    <xf numFmtId="185" fontId="66" fillId="67" borderId="0" applyNumberFormat="0" applyBorder="0" applyAlignment="0" applyProtection="0"/>
    <xf numFmtId="0" fontId="71" fillId="0" borderId="0" applyNumberFormat="0" applyFill="0" applyBorder="0" applyAlignment="0">
      <protection locked="0"/>
    </xf>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57" fillId="41"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185" fontId="115" fillId="133" borderId="0" applyNumberFormat="0" applyBorder="0" applyAlignment="0" applyProtection="0"/>
    <xf numFmtId="0" fontId="73" fillId="8" borderId="0" applyNumberFormat="0" applyBorder="0" applyAlignment="0" applyProtection="0"/>
    <xf numFmtId="185" fontId="73" fillId="8" borderId="0" applyNumberFormat="0" applyBorder="0" applyAlignment="0" applyProtection="0"/>
    <xf numFmtId="0" fontId="57" fillId="41" borderId="0" applyNumberFormat="0" applyBorder="0" applyAlignment="0" applyProtection="0"/>
    <xf numFmtId="185" fontId="115" fillId="13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2" fillId="13"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185" fontId="73" fillId="8" borderId="0" applyNumberFormat="0" applyBorder="0" applyAlignment="0" applyProtection="0"/>
    <xf numFmtId="0" fontId="116" fillId="41" borderId="0" applyNumberFormat="0" applyBorder="0" applyAlignment="0" applyProtection="0"/>
    <xf numFmtId="185" fontId="116" fillId="41" borderId="0" applyNumberFormat="0" applyBorder="0" applyAlignment="0" applyProtection="0"/>
    <xf numFmtId="0" fontId="116" fillId="41" borderId="0" applyNumberFormat="0" applyBorder="0" applyAlignment="0" applyProtection="0"/>
    <xf numFmtId="0" fontId="116" fillId="41" borderId="0" applyNumberFormat="0" applyBorder="0" applyAlignment="0" applyProtection="0"/>
    <xf numFmtId="0" fontId="57" fillId="41" borderId="0" applyNumberFormat="0" applyBorder="0" applyAlignment="0" applyProtection="0"/>
    <xf numFmtId="0" fontId="73" fillId="8" borderId="0" applyNumberFormat="0" applyBorder="0" applyAlignment="0" applyProtection="0"/>
    <xf numFmtId="0" fontId="116" fillId="41"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7" fillId="41"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115" fillId="133"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00" borderId="0" applyNumberFormat="0" applyBorder="0" applyAlignment="0" applyProtection="0"/>
    <xf numFmtId="185" fontId="72" fillId="100"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185" fontId="72" fillId="100"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115" fillId="133" borderId="0" applyNumberFormat="0" applyBorder="0" applyAlignment="0" applyProtection="0"/>
    <xf numFmtId="185" fontId="115" fillId="133"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57" fillId="41" borderId="0" applyNumberFormat="0" applyBorder="0" applyAlignment="0" applyProtection="0"/>
    <xf numFmtId="185" fontId="57" fillId="41" borderId="0" applyNumberFormat="0" applyBorder="0" applyAlignment="0" applyProtection="0"/>
    <xf numFmtId="0" fontId="72" fillId="13" borderId="0" applyNumberFormat="0" applyBorder="0" applyAlignment="0" applyProtection="0"/>
    <xf numFmtId="185" fontId="72" fillId="13" borderId="0" applyNumberFormat="0" applyBorder="0" applyAlignment="0" applyProtection="0"/>
    <xf numFmtId="0" fontId="118" fillId="134" borderId="0" applyNumberFormat="0" applyFont="0" applyFill="0" applyBorder="0" applyProtection="0">
      <alignment horizontal="center"/>
    </xf>
    <xf numFmtId="0" fontId="118" fillId="134" borderId="0" applyNumberFormat="0" applyFont="0" applyFill="0" applyBorder="0" applyProtection="0">
      <alignment horizontal="left"/>
    </xf>
    <xf numFmtId="0" fontId="118" fillId="134" borderId="0" applyNumberFormat="0" applyFont="0" applyFill="0" applyBorder="0" applyProtection="0">
      <alignment horizontal="right"/>
    </xf>
    <xf numFmtId="0" fontId="119" fillId="135" borderId="87" applyNumberFormat="0" applyAlignment="0" applyProtection="0">
      <alignment horizontal="center"/>
      <protection locked="0"/>
    </xf>
    <xf numFmtId="0" fontId="119" fillId="136" borderId="87" applyNumberFormat="0" applyAlignment="0" applyProtection="0">
      <alignment horizontal="center"/>
      <protection locked="0"/>
    </xf>
    <xf numFmtId="0" fontId="118" fillId="57" borderId="87" applyNumberFormat="0" applyAlignment="0" applyProtection="0">
      <alignment horizontal="center"/>
      <protection locked="0"/>
    </xf>
    <xf numFmtId="0" fontId="118" fillId="137" borderId="87" applyNumberFormat="0" applyAlignment="0" applyProtection="0">
      <alignment horizontal="center"/>
    </xf>
    <xf numFmtId="0" fontId="119" fillId="138" borderId="87" applyNumberFormat="0" applyAlignment="0" applyProtection="0">
      <alignment horizontal="center"/>
      <protection locked="0"/>
    </xf>
    <xf numFmtId="0" fontId="118" fillId="139" borderId="87" applyNumberFormat="0" applyAlignment="0" applyProtection="0">
      <alignment horizontal="center"/>
      <protection locked="0"/>
    </xf>
    <xf numFmtId="0" fontId="118" fillId="134" borderId="87" applyNumberFormat="0" applyAlignment="0" applyProtection="0"/>
    <xf numFmtId="0" fontId="120" fillId="134" borderId="0" applyNumberFormat="0" applyFill="0" applyBorder="0" applyAlignment="0" applyProtection="0"/>
    <xf numFmtId="0" fontId="121" fillId="134" borderId="0" applyFill="0" applyProtection="0"/>
    <xf numFmtId="0" fontId="122" fillId="134" borderId="0" applyFill="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61" fillId="44" borderId="60"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0" fontId="75" fillId="96" borderId="70" applyNumberFormat="0" applyAlignment="0" applyProtection="0"/>
    <xf numFmtId="185" fontId="75" fillId="96" borderId="70" applyNumberFormat="0" applyAlignment="0" applyProtection="0"/>
    <xf numFmtId="0" fontId="61"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5" fillId="96" borderId="70" applyNumberFormat="0" applyAlignment="0" applyProtection="0"/>
    <xf numFmtId="185" fontId="75" fillId="96" borderId="70"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4" fillId="95" borderId="69" applyNumberFormat="0" applyAlignment="0" applyProtection="0"/>
    <xf numFmtId="185" fontId="75" fillId="96" borderId="70" applyNumberFormat="0" applyAlignment="0" applyProtection="0"/>
    <xf numFmtId="185" fontId="75" fillId="96" borderId="70" applyNumberFormat="0" applyAlignment="0" applyProtection="0"/>
    <xf numFmtId="185" fontId="75" fillId="96" borderId="70" applyNumberFormat="0" applyAlignment="0" applyProtection="0"/>
    <xf numFmtId="0" fontId="123" fillId="44" borderId="60" applyNumberFormat="0" applyAlignment="0" applyProtection="0"/>
    <xf numFmtId="185" fontId="123" fillId="44" borderId="60" applyNumberFormat="0" applyAlignment="0" applyProtection="0"/>
    <xf numFmtId="0" fontId="123" fillId="44" borderId="60" applyNumberFormat="0" applyAlignment="0" applyProtection="0"/>
    <xf numFmtId="0" fontId="123" fillId="44" borderId="60" applyNumberFormat="0" applyAlignment="0" applyProtection="0"/>
    <xf numFmtId="0" fontId="61" fillId="44" borderId="60" applyNumberFormat="0" applyAlignment="0" applyProtection="0"/>
    <xf numFmtId="0" fontId="75" fillId="96" borderId="70" applyNumberFormat="0" applyAlignment="0" applyProtection="0"/>
    <xf numFmtId="0" fontId="123"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4" fillId="44" borderId="60"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2" borderId="69" applyNumberFormat="0" applyAlignment="0" applyProtection="0"/>
    <xf numFmtId="0"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113" borderId="69" applyNumberFormat="0" applyAlignment="0" applyProtection="0"/>
    <xf numFmtId="185" fontId="74" fillId="113" borderId="69" applyNumberFormat="0" applyAlignment="0" applyProtection="0"/>
    <xf numFmtId="0" fontId="74" fillId="95" borderId="69" applyNumberFormat="0" applyAlignment="0" applyProtection="0"/>
    <xf numFmtId="185" fontId="74" fillId="95" borderId="69" applyNumberFormat="0" applyAlignment="0" applyProtection="0"/>
    <xf numFmtId="185" fontId="74" fillId="113"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74" fillId="112" borderId="69" applyNumberFormat="0" applyAlignment="0" applyProtection="0"/>
    <xf numFmtId="185" fontId="74" fillId="112" borderId="69"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61" fillId="44" borderId="60" applyNumberFormat="0" applyAlignment="0" applyProtection="0"/>
    <xf numFmtId="185" fontId="61" fillId="44" borderId="60" applyNumberFormat="0" applyAlignment="0" applyProtection="0"/>
    <xf numFmtId="0" fontId="74" fillId="95" borderId="69" applyNumberFormat="0" applyAlignment="0" applyProtection="0"/>
    <xf numFmtId="185" fontId="74" fillId="95" borderId="69" applyNumberFormat="0" applyAlignment="0" applyProtection="0"/>
    <xf numFmtId="0" fontId="125" fillId="0" borderId="0" applyFill="0" applyBorder="0" applyProtection="0">
      <alignment horizontal="center"/>
      <protection locked="0"/>
    </xf>
    <xf numFmtId="198" fontId="11" fillId="0" borderId="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45"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0" fontId="63" fillId="19" borderId="63" applyNumberFormat="0" applyAlignment="0" applyProtection="0"/>
    <xf numFmtId="185" fontId="63" fillId="19" borderId="63" applyNumberFormat="0" applyAlignment="0" applyProtection="0"/>
    <xf numFmtId="185" fontId="76" fillId="88" borderId="71"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185" fontId="63" fillId="19" borderId="63" applyNumberFormat="0" applyAlignment="0" applyProtection="0"/>
    <xf numFmtId="0" fontId="76" fillId="9" borderId="71" applyNumberFormat="0" applyAlignment="0" applyProtection="0"/>
    <xf numFmtId="185" fontId="76" fillId="9" borderId="71" applyNumberFormat="0" applyAlignment="0" applyProtection="0"/>
    <xf numFmtId="0" fontId="63" fillId="45" borderId="63" applyNumberFormat="0" applyAlignment="0" applyProtection="0"/>
    <xf numFmtId="185" fontId="63" fillId="19" borderId="63"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88" borderId="71" applyNumberFormat="0" applyAlignment="0" applyProtection="0"/>
    <xf numFmtId="185" fontId="76" fillId="9" borderId="71" applyNumberFormat="0" applyAlignment="0" applyProtection="0"/>
    <xf numFmtId="185" fontId="76" fillId="9" borderId="71" applyNumberFormat="0" applyAlignment="0" applyProtection="0"/>
    <xf numFmtId="185" fontId="76" fillId="9" borderId="71" applyNumberFormat="0" applyAlignment="0" applyProtection="0"/>
    <xf numFmtId="0" fontId="126" fillId="45" borderId="63" applyNumberFormat="0" applyAlignment="0" applyProtection="0"/>
    <xf numFmtId="185" fontId="126" fillId="45" borderId="63" applyNumberFormat="0" applyAlignment="0" applyProtection="0"/>
    <xf numFmtId="0" fontId="126" fillId="45" borderId="63" applyNumberFormat="0" applyAlignment="0" applyProtection="0"/>
    <xf numFmtId="0" fontId="126" fillId="45" borderId="63" applyNumberFormat="0" applyAlignment="0" applyProtection="0"/>
    <xf numFmtId="0" fontId="63" fillId="45" borderId="63" applyNumberFormat="0" applyAlignment="0" applyProtection="0"/>
    <xf numFmtId="0" fontId="76" fillId="9" borderId="71" applyNumberFormat="0" applyAlignment="0" applyProtection="0"/>
    <xf numFmtId="0" fontId="126" fillId="45"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0" fontId="127" fillId="45"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76" fillId="88" borderId="71" applyNumberFormat="0" applyAlignment="0" applyProtection="0"/>
    <xf numFmtId="185" fontId="76" fillId="88" borderId="71" applyNumberFormat="0" applyAlignment="0" applyProtection="0"/>
    <xf numFmtId="185" fontId="63" fillId="19" borderId="63" applyNumberFormat="0" applyAlignment="0" applyProtection="0"/>
    <xf numFmtId="0" fontId="76" fillId="131" borderId="71" applyNumberFormat="0" applyAlignment="0" applyProtection="0"/>
    <xf numFmtId="185" fontId="76" fillId="131" borderId="71" applyNumberFormat="0" applyAlignment="0" applyProtection="0"/>
    <xf numFmtId="0" fontId="76" fillId="131" borderId="71" applyNumberFormat="0" applyAlignment="0" applyProtection="0"/>
    <xf numFmtId="185" fontId="76" fillId="131" borderId="71" applyNumberFormat="0" applyAlignment="0" applyProtection="0"/>
    <xf numFmtId="0" fontId="76" fillId="88" borderId="71" applyNumberFormat="0" applyAlignment="0" applyProtection="0"/>
    <xf numFmtId="185" fontId="76" fillId="88" borderId="71" applyNumberFormat="0" applyAlignment="0" applyProtection="0"/>
    <xf numFmtId="185" fontId="76" fillId="131" borderId="71"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19" borderId="63" applyNumberFormat="0" applyAlignment="0" applyProtection="0"/>
    <xf numFmtId="185" fontId="63" fillId="19"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63" fillId="45" borderId="63" applyNumberFormat="0" applyAlignment="0" applyProtection="0"/>
    <xf numFmtId="185" fontId="63" fillId="45" borderId="63" applyNumberFormat="0" applyAlignment="0" applyProtection="0"/>
    <xf numFmtId="0" fontId="76" fillId="88" borderId="71" applyNumberFormat="0" applyAlignment="0" applyProtection="0"/>
    <xf numFmtId="185" fontId="76" fillId="88" borderId="71" applyNumberFormat="0" applyAlignment="0" applyProtection="0"/>
    <xf numFmtId="0" fontId="99" fillId="0" borderId="2">
      <alignment horizontal="center"/>
    </xf>
    <xf numFmtId="199" fontId="11" fillId="0" borderId="0" applyFont="0" applyFill="0" applyBorder="0" applyAlignment="0" applyProtection="0"/>
    <xf numFmtId="200" fontId="128" fillId="0" borderId="0" applyFont="0" applyFill="0" applyBorder="0" applyAlignment="0" applyProtection="0"/>
    <xf numFmtId="201" fontId="112" fillId="0" borderId="0" applyFont="0" applyFill="0" applyBorder="0" applyAlignment="0" applyProtection="0"/>
    <xf numFmtId="202" fontId="129" fillId="0" borderId="0" applyFont="0" applyFill="0" applyBorder="0" applyAlignment="0" applyProtection="0"/>
    <xf numFmtId="203" fontId="112" fillId="0" borderId="0" applyFont="0" applyFill="0" applyBorder="0" applyAlignment="0" applyProtection="0"/>
    <xf numFmtId="204" fontId="129" fillId="0" borderId="0" applyFont="0" applyFill="0" applyBorder="0" applyAlignment="0" applyProtection="0"/>
    <xf numFmtId="205" fontId="112" fillId="0" borderId="0" applyFont="0" applyFill="0" applyBorder="0" applyAlignment="0" applyProtection="0"/>
    <xf numFmtId="43" fontId="13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2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0"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43" fontId="128"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17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8" fontId="11"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8" fontId="11" fillId="0" borderId="0" applyFont="0" applyFill="0" applyBorder="0" applyAlignment="0" applyProtection="0"/>
    <xf numFmtId="43" fontId="11" fillId="0" borderId="0" applyFont="0" applyFill="0" applyBorder="0" applyAlignment="0" applyProtection="0"/>
    <xf numFmtId="43" fontId="23"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175" fontId="11" fillId="0" borderId="0" applyFont="0" applyFill="0" applyBorder="0" applyAlignment="0" applyProtection="0"/>
    <xf numFmtId="175" fontId="11" fillId="0" borderId="0" applyFont="0" applyFill="0" applyBorder="0" applyAlignment="0" applyProtection="0"/>
    <xf numFmtId="43" fontId="3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9"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3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206" fontId="11" fillId="0" borderId="0" applyFill="0" applyBorder="0" applyAlignment="0" applyProtection="0"/>
    <xf numFmtId="43" fontId="23" fillId="0" borderId="0" applyFont="0" applyFill="0" applyBorder="0" applyAlignment="0" applyProtection="0"/>
    <xf numFmtId="43" fontId="78"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8"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 fontId="79"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79"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11" fillId="0" borderId="0" applyFont="0" applyFill="0" applyBorder="0" applyAlignment="0" applyProtection="0">
      <alignment vertical="top"/>
    </xf>
    <xf numFmtId="3" fontId="86" fillId="0" borderId="0" applyFill="0" applyBorder="0" applyAlignment="0" applyProtection="0"/>
    <xf numFmtId="0" fontId="11" fillId="0" borderId="0" applyFont="0" applyFill="0" applyBorder="0" applyAlignment="0" applyProtection="0">
      <alignment vertical="top"/>
    </xf>
    <xf numFmtId="177" fontId="11" fillId="0" borderId="0" applyFont="0" applyFill="0" applyBorder="0" applyAlignment="0" applyProtection="0">
      <alignment vertical="top"/>
    </xf>
    <xf numFmtId="0" fontId="132" fillId="0" borderId="0" applyNumberFormat="0" applyFill="0" applyBorder="0" applyAlignment="0" applyProtection="0"/>
    <xf numFmtId="207" fontId="133" fillId="0" borderId="0" applyFill="0" applyBorder="0" applyProtection="0"/>
    <xf numFmtId="208" fontId="128" fillId="0" borderId="0" applyFont="0" applyFill="0" applyBorder="0" applyAlignment="0" applyProtection="0"/>
    <xf numFmtId="209" fontId="9" fillId="0" borderId="0" applyFill="0" applyBorder="0" applyProtection="0"/>
    <xf numFmtId="209" fontId="9" fillId="0" borderId="9" applyFill="0" applyProtection="0"/>
    <xf numFmtId="209" fontId="9" fillId="0" borderId="66" applyFill="0" applyProtection="0"/>
    <xf numFmtId="210" fontId="11" fillId="0" borderId="0" applyFont="0" applyFill="0" applyBorder="0" applyAlignment="0" applyProtection="0"/>
    <xf numFmtId="211" fontId="71" fillId="0" borderId="0" applyFont="0" applyFill="0" applyBorder="0" applyAlignment="0" applyProtection="0">
      <alignment horizontal="left"/>
    </xf>
    <xf numFmtId="212" fontId="11" fillId="0" borderId="0" applyFont="0" applyFill="0" applyBorder="0" applyAlignment="0" applyProtection="0"/>
    <xf numFmtId="213" fontId="134" fillId="140" borderId="38" applyFont="0" applyFill="0" applyBorder="0" applyAlignment="0" applyProtection="0"/>
    <xf numFmtId="214" fontId="129" fillId="0" borderId="0" applyFont="0" applyFill="0" applyBorder="0" applyAlignment="0" applyProtection="0"/>
    <xf numFmtId="215" fontId="112" fillId="0" borderId="0" applyFont="0" applyFill="0" applyBorder="0" applyAlignment="0" applyProtection="0"/>
    <xf numFmtId="216" fontId="129" fillId="0" borderId="0" applyFont="0" applyFill="0" applyBorder="0" applyAlignment="0" applyProtection="0"/>
    <xf numFmtId="217" fontId="112" fillId="0" borderId="0" applyFont="0" applyFill="0" applyBorder="0" applyAlignment="0" applyProtection="0"/>
    <xf numFmtId="218" fontId="129" fillId="0" borderId="0" applyFont="0" applyFill="0" applyBorder="0" applyAlignment="0" applyProtection="0"/>
    <xf numFmtId="219" fontId="112"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7" fontId="79" fillId="0" borderId="0" applyFont="0" applyFill="0" applyBorder="0" applyAlignment="0" applyProtection="0">
      <alignment vertical="top"/>
    </xf>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178" fontId="11"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78"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20" fontId="11" fillId="0" borderId="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31" fillId="0" borderId="0" applyFont="0" applyFill="0" applyBorder="0" applyAlignment="0" applyProtection="0"/>
    <xf numFmtId="44" fontId="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1" fillId="0" borderId="0" applyFont="0" applyFill="0" applyBorder="0" applyAlignment="0" applyProtection="0"/>
    <xf numFmtId="44" fontId="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79"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5" fontId="11" fillId="0" borderId="0" applyFont="0" applyFill="0" applyBorder="0" applyAlignment="0" applyProtection="0">
      <alignment vertical="top"/>
    </xf>
    <xf numFmtId="0" fontId="11" fillId="0" borderId="0">
      <alignment vertical="top"/>
    </xf>
    <xf numFmtId="177" fontId="11" fillId="0" borderId="0">
      <alignment vertical="top"/>
    </xf>
    <xf numFmtId="0" fontId="11" fillId="94" borderId="0" applyNumberFormat="0" applyAlignment="0">
      <alignment horizontal="right"/>
    </xf>
    <xf numFmtId="0" fontId="11" fillId="118" borderId="0" applyNumberFormat="0" applyAlignment="0"/>
    <xf numFmtId="0"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26" fillId="0" borderId="0">
      <protection locked="0"/>
    </xf>
    <xf numFmtId="185" fontId="11" fillId="0" borderId="0" applyFont="0" applyFill="0" applyBorder="0" applyAlignment="0" applyProtection="0">
      <alignment vertical="top"/>
    </xf>
    <xf numFmtId="18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85" fontId="26" fillId="0" borderId="0">
      <protection locked="0"/>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15" fontId="11" fillId="0" borderId="0" applyFont="0" applyFill="0" applyBorder="0" applyAlignment="0" applyProtection="0">
      <alignment vertical="top"/>
    </xf>
    <xf numFmtId="0" fontId="11" fillId="0" borderId="0" applyFont="0" applyFill="0" applyBorder="0" applyAlignment="0" applyProtection="0">
      <alignment vertical="top"/>
    </xf>
    <xf numFmtId="221" fontId="86" fillId="0" borderId="0" applyFill="0" applyBorder="0" applyAlignment="0" applyProtection="0"/>
    <xf numFmtId="0" fontId="11" fillId="0" borderId="0" applyFont="0" applyFill="0" applyBorder="0" applyAlignment="0" applyProtection="0">
      <alignment vertical="top"/>
    </xf>
    <xf numFmtId="222" fontId="9" fillId="0" borderId="0" applyFill="0" applyBorder="0" applyProtection="0"/>
    <xf numFmtId="222" fontId="9" fillId="0" borderId="9" applyFill="0" applyProtection="0"/>
    <xf numFmtId="222" fontId="9" fillId="0" borderId="66" applyFill="0" applyProtection="0"/>
    <xf numFmtId="223" fontId="11" fillId="0" borderId="0" applyFont="0" applyFill="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0" fontId="25" fillId="15" borderId="0" applyNumberFormat="0" applyBorder="0" applyAlignment="0" applyProtection="0"/>
    <xf numFmtId="185"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0" fontId="25" fillId="15"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7"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0" fontId="25" fillId="16" borderId="0" applyNumberFormat="0" applyBorder="0" applyAlignment="0" applyProtection="0"/>
    <xf numFmtId="185"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0" fontId="25" fillId="16"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98"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0" fontId="25" fillId="17" borderId="0" applyNumberFormat="0" applyBorder="0" applyAlignment="0" applyProtection="0"/>
    <xf numFmtId="185" fontId="25" fillId="17" borderId="0" applyNumberFormat="0" applyBorder="0" applyAlignment="0" applyProtection="0"/>
    <xf numFmtId="0" fontId="25" fillId="17" borderId="0" applyNumberFormat="0" applyBorder="0" applyAlignment="0" applyProtection="0"/>
    <xf numFmtId="0" fontId="135" fillId="0" borderId="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80" fillId="0" borderId="0" applyNumberFormat="0" applyFill="0" applyBorder="0" applyAlignment="0" applyProtection="0"/>
    <xf numFmtId="185" fontId="80" fillId="0" borderId="0" applyNumberFormat="0" applyFill="0" applyBorder="0" applyAlignment="0" applyProtection="0"/>
    <xf numFmtId="0"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0" fontId="137"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8"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137"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0" fontId="65" fillId="0" borderId="0" applyNumberFormat="0" applyFill="0" applyBorder="0" applyAlignment="0" applyProtection="0"/>
    <xf numFmtId="185" fontId="65"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0" fontId="136" fillId="0" borderId="0" applyNumberFormat="0" applyFill="0" applyBorder="0" applyAlignment="0" applyProtection="0"/>
    <xf numFmtId="185" fontId="136" fillId="0" borderId="0" applyNumberFormat="0" applyFill="0" applyBorder="0" applyAlignment="0" applyProtection="0"/>
    <xf numFmtId="2" fontId="11" fillId="0" borderId="0" applyFont="0" applyFill="0" applyBorder="0" applyAlignment="0" applyProtection="0"/>
    <xf numFmtId="2" fontId="86" fillId="0" borderId="0" applyFill="0" applyBorder="0" applyAlignment="0" applyProtection="0"/>
    <xf numFmtId="179" fontId="26" fillId="0" borderId="0">
      <protection locked="0"/>
    </xf>
    <xf numFmtId="179" fontId="26" fillId="0" borderId="0">
      <protection locked="0"/>
    </xf>
    <xf numFmtId="179" fontId="26" fillId="0" borderId="0">
      <protection locked="0"/>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 fontId="11" fillId="0" borderId="0" applyFont="0" applyFill="0" applyBorder="0" applyAlignment="0" applyProtection="0">
      <alignment vertical="top"/>
    </xf>
    <xf numFmtId="224" fontId="139" fillId="0" borderId="0"/>
    <xf numFmtId="224"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4" fontId="139" fillId="0" borderId="0"/>
    <xf numFmtId="224" fontId="139" fillId="0" borderId="0"/>
    <xf numFmtId="224" fontId="139" fillId="0" borderId="0"/>
    <xf numFmtId="225" fontId="139" fillId="0" borderId="0"/>
    <xf numFmtId="224"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5" fontId="139" fillId="0" borderId="0"/>
    <xf numFmtId="224" fontId="139" fillId="0" borderId="0"/>
    <xf numFmtId="224" fontId="139" fillId="0" borderId="0"/>
    <xf numFmtId="225" fontId="139" fillId="0" borderId="0"/>
    <xf numFmtId="225" fontId="139" fillId="0" borderId="0"/>
    <xf numFmtId="225" fontId="139" fillId="0" borderId="0"/>
    <xf numFmtId="224" fontId="139" fillId="0" borderId="0"/>
    <xf numFmtId="224" fontId="139" fillId="0" borderId="0"/>
    <xf numFmtId="226"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7" fontId="139" fillId="0" borderId="0"/>
    <xf numFmtId="226" fontId="139" fillId="0" borderId="0"/>
    <xf numFmtId="227" fontId="139" fillId="0" borderId="0"/>
    <xf numFmtId="227" fontId="139" fillId="0" borderId="0"/>
    <xf numFmtId="227" fontId="139" fillId="0" borderId="0"/>
    <xf numFmtId="227"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228" fontId="139" fillId="0" borderId="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56" fillId="40"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0" fontId="81" fillId="99" borderId="0" applyNumberFormat="0" applyBorder="0" applyAlignment="0" applyProtection="0"/>
    <xf numFmtId="185" fontId="81" fillId="99" borderId="0" applyNumberFormat="0" applyBorder="0" applyAlignment="0" applyProtection="0"/>
    <xf numFmtId="0" fontId="56" fillId="40"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20" fillId="85"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185" fontId="81" fillId="99" borderId="0" applyNumberFormat="0" applyBorder="0" applyAlignment="0" applyProtection="0"/>
    <xf numFmtId="0" fontId="141" fillId="40" borderId="0" applyNumberFormat="0" applyBorder="0" applyAlignment="0" applyProtection="0"/>
    <xf numFmtId="185"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56" fillId="40" borderId="0" applyNumberFormat="0" applyBorder="0" applyAlignment="0" applyProtection="0"/>
    <xf numFmtId="0" fontId="81" fillId="99" borderId="0" applyNumberFormat="0" applyBorder="0" applyAlignment="0" applyProtection="0"/>
    <xf numFmtId="0" fontId="141" fillId="40"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0" fontId="142" fillId="40"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140" fillId="27"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128" borderId="0" applyNumberFormat="0" applyBorder="0" applyAlignment="0" applyProtection="0"/>
    <xf numFmtId="185" fontId="20" fillId="128"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85" fontId="20" fillId="128"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140" fillId="27" borderId="0" applyNumberFormat="0" applyBorder="0" applyAlignment="0" applyProtection="0"/>
    <xf numFmtId="185" fontId="140" fillId="27"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56" fillId="40" borderId="0" applyNumberFormat="0" applyBorder="0" applyAlignment="0" applyProtection="0"/>
    <xf numFmtId="185" fontId="56" fillId="40" borderId="0" applyNumberFormat="0" applyBorder="0" applyAlignment="0" applyProtection="0"/>
    <xf numFmtId="0" fontId="20" fillId="85" borderId="0" applyNumberFormat="0" applyBorder="0" applyAlignment="0" applyProtection="0"/>
    <xf numFmtId="185" fontId="20" fillId="85" borderId="0" applyNumberFormat="0" applyBorder="0" applyAlignment="0" applyProtection="0"/>
    <xf numFmtId="14" fontId="41" fillId="141" borderId="12">
      <alignment horizontal="center" vertical="center" wrapText="1"/>
    </xf>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144" fillId="0" borderId="0" applyNumberFormat="0" applyFill="0" applyBorder="0" applyAlignment="0" applyProtection="0">
      <alignment vertical="top"/>
    </xf>
    <xf numFmtId="185" fontId="145" fillId="0" borderId="57" applyNumberFormat="0" applyFill="0" applyAlignment="0" applyProtection="0"/>
    <xf numFmtId="0" fontId="144" fillId="0" borderId="0" applyNumberFormat="0" applyFill="0" applyBorder="0" applyAlignment="0" applyProtection="0">
      <alignment vertical="top"/>
    </xf>
    <xf numFmtId="185" fontId="144" fillId="0" borderId="0" applyNumberFormat="0" applyFill="0" applyBorder="0" applyAlignment="0" applyProtection="0">
      <alignment vertical="top"/>
    </xf>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6" fillId="0" borderId="88" applyNumberFormat="0" applyFill="0" applyAlignment="0" applyProtection="0"/>
    <xf numFmtId="0" fontId="146" fillId="0" borderId="88"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83" fillId="0" borderId="72" applyNumberFormat="0" applyFill="0" applyAlignment="0" applyProtection="0"/>
    <xf numFmtId="0" fontId="53" fillId="0" borderId="57" applyNumberFormat="0" applyFill="0" applyAlignment="0" applyProtection="0"/>
    <xf numFmtId="0" fontId="83" fillId="0" borderId="72" applyNumberFormat="0" applyFill="0" applyAlignment="0" applyProtection="0"/>
    <xf numFmtId="0" fontId="145"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0" fontId="147"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83" fillId="0" borderId="72" applyNumberFormat="0" applyFill="0" applyAlignment="0" applyProtection="0"/>
    <xf numFmtId="185" fontId="83" fillId="0" borderId="72"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4" fillId="0" borderId="0" applyNumberFormat="0" applyFill="0" applyBorder="0" applyAlignment="0" applyProtection="0">
      <alignment vertical="top"/>
    </xf>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143" fillId="0" borderId="57" applyNumberFormat="0" applyFill="0" applyAlignment="0" applyProtection="0"/>
    <xf numFmtId="185" fontId="14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0" fontId="53" fillId="0" borderId="57" applyNumberFormat="0" applyFill="0" applyAlignment="0" applyProtection="0"/>
    <xf numFmtId="185" fontId="53" fillId="0" borderId="57" applyNumberFormat="0" applyFill="0" applyAlignment="0" applyProtection="0"/>
    <xf numFmtId="185" fontId="143" fillId="0" borderId="57"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54"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9" fillId="0" borderId="74" applyNumberFormat="0" applyFill="0" applyAlignment="0" applyProtection="0"/>
    <xf numFmtId="0" fontId="149" fillId="0" borderId="74"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185" fontId="84" fillId="0" borderId="74" applyNumberFormat="0" applyFill="0" applyAlignment="0" applyProtection="0"/>
    <xf numFmtId="185" fontId="148" fillId="0" borderId="58" applyNumberFormat="0" applyFill="0" applyAlignment="0" applyProtection="0"/>
    <xf numFmtId="0" fontId="84" fillId="0" borderId="74" applyNumberFormat="0" applyFill="0" applyAlignment="0" applyProtection="0"/>
    <xf numFmtId="0" fontId="84" fillId="0" borderId="74" applyNumberFormat="0" applyFill="0" applyAlignment="0" applyProtection="0"/>
    <xf numFmtId="0" fontId="150" fillId="0" borderId="58"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0" fontId="84" fillId="0" borderId="73" applyNumberFormat="0" applyFill="0" applyAlignment="0" applyProtection="0"/>
    <xf numFmtId="0" fontId="150" fillId="0" borderId="58" applyNumberFormat="0" applyFill="0" applyAlignment="0" applyProtection="0"/>
    <xf numFmtId="185" fontId="148" fillId="0" borderId="58"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3"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185" fontId="84" fillId="0" borderId="74" applyNumberFormat="0" applyFill="0" applyAlignment="0" applyProtection="0"/>
    <xf numFmtId="0" fontId="54" fillId="0" borderId="58" applyNumberFormat="0" applyFill="0" applyAlignment="0" applyProtection="0"/>
    <xf numFmtId="185" fontId="150" fillId="0" borderId="58" applyNumberFormat="0" applyFill="0" applyAlignment="0" applyProtection="0"/>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6" fillId="0" borderId="0" applyNumberFormat="0" applyFill="0" applyBorder="0" applyAlignment="0" applyProtection="0">
      <alignment vertical="top"/>
    </xf>
    <xf numFmtId="0" fontId="84" fillId="0" borderId="74" applyNumberFormat="0" applyFill="0" applyAlignment="0" applyProtection="0"/>
    <xf numFmtId="0"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151" fillId="0" borderId="58" applyNumberFormat="0" applyFill="0" applyAlignment="0" applyProtection="0"/>
    <xf numFmtId="185" fontId="148" fillId="0" borderId="58" applyNumberFormat="0" applyFill="0" applyAlignment="0" applyProtection="0"/>
    <xf numFmtId="185" fontId="86" fillId="0" borderId="0" applyNumberFormat="0" applyFill="0" applyBorder="0" applyAlignment="0" applyProtection="0">
      <alignment vertical="top"/>
    </xf>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148" fillId="0" borderId="58" applyNumberFormat="0" applyFill="0" applyAlignment="0" applyProtection="0"/>
    <xf numFmtId="185" fontId="148"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54" fillId="0" borderId="58" applyNumberFormat="0" applyFill="0" applyAlignment="0" applyProtection="0"/>
    <xf numFmtId="185" fontId="54" fillId="0" borderId="58" applyNumberFormat="0" applyFill="0" applyAlignment="0" applyProtection="0"/>
    <xf numFmtId="0" fontId="84" fillId="0" borderId="73" applyNumberFormat="0" applyFill="0" applyAlignment="0" applyProtection="0"/>
    <xf numFmtId="185" fontId="84" fillId="0" borderId="73"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0"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6" applyNumberFormat="0" applyFill="0" applyAlignment="0" applyProtection="0"/>
    <xf numFmtId="185" fontId="85" fillId="0" borderId="76"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185" fontId="85" fillId="0" borderId="76" applyNumberFormat="0" applyFill="0" applyAlignment="0" applyProtection="0"/>
    <xf numFmtId="0" fontId="152" fillId="0" borderId="59" applyNumberFormat="0" applyFill="0" applyAlignment="0" applyProtection="0"/>
    <xf numFmtId="185" fontId="152" fillId="0" borderId="59" applyNumberFormat="0" applyFill="0" applyAlignment="0" applyProtection="0"/>
    <xf numFmtId="0" fontId="152" fillId="0" borderId="59" applyNumberFormat="0" applyFill="0" applyAlignment="0" applyProtection="0"/>
    <xf numFmtId="0" fontId="152" fillId="0" borderId="59" applyNumberFormat="0" applyFill="0" applyAlignment="0" applyProtection="0"/>
    <xf numFmtId="0" fontId="55" fillId="0" borderId="59" applyNumberFormat="0" applyFill="0" applyAlignment="0" applyProtection="0"/>
    <xf numFmtId="0" fontId="85" fillId="0" borderId="76" applyNumberFormat="0" applyFill="0" applyAlignment="0" applyProtection="0"/>
    <xf numFmtId="0" fontId="152" fillId="0" borderId="59" applyNumberFormat="0" applyFill="0" applyAlignment="0" applyProtection="0"/>
    <xf numFmtId="0" fontId="153"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85" fillId="0" borderId="75" applyNumberFormat="0" applyFill="0" applyAlignment="0" applyProtection="0"/>
    <xf numFmtId="185" fontId="85" fillId="0" borderId="75"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0" fontId="55" fillId="0" borderId="59" applyNumberFormat="0" applyFill="0" applyAlignment="0" applyProtection="0"/>
    <xf numFmtId="185" fontId="55" fillId="0" borderId="59" applyNumberFormat="0" applyFill="0" applyAlignment="0" applyProtection="0"/>
    <xf numFmtId="185" fontId="85" fillId="0" borderId="75"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152"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3"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152"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85" fillId="0" borderId="0" applyNumberFormat="0" applyFill="0" applyBorder="0" applyAlignment="0" applyProtection="0"/>
    <xf numFmtId="185" fontId="8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0" fontId="55" fillId="0" borderId="0" applyNumberFormat="0" applyFill="0" applyBorder="0" applyAlignment="0" applyProtection="0"/>
    <xf numFmtId="185" fontId="55" fillId="0" borderId="0" applyNumberFormat="0" applyFill="0" applyBorder="0" applyAlignment="0" applyProtection="0"/>
    <xf numFmtId="185" fontId="85" fillId="0" borderId="0" applyNumberFormat="0" applyFill="0" applyBorder="0" applyAlignment="0" applyProtection="0"/>
    <xf numFmtId="0" fontId="125" fillId="0" borderId="0" applyFill="0" applyAlignment="0" applyProtection="0">
      <protection locked="0"/>
    </xf>
    <xf numFmtId="0" fontId="125" fillId="0" borderId="14" applyFill="0" applyAlignment="0" applyProtection="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27" fillId="0" borderId="0">
      <protection locked="0"/>
    </xf>
    <xf numFmtId="0" fontId="27" fillId="0" borderId="0">
      <protection locked="0"/>
    </xf>
    <xf numFmtId="185" fontId="154" fillId="0" borderId="0" applyNumberFormat="0" applyFill="0" applyBorder="0" applyAlignment="0" applyProtection="0"/>
    <xf numFmtId="0" fontId="155" fillId="0" borderId="0" applyNumberFormat="0" applyFill="0" applyBorder="0" applyAlignment="0" applyProtection="0">
      <alignment vertical="top"/>
      <protection locked="0"/>
    </xf>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0" fontId="59" fillId="43" borderId="69" applyNumberFormat="0" applyAlignment="0" applyProtection="0"/>
    <xf numFmtId="185" fontId="59" fillId="43" borderId="69" applyNumberFormat="0" applyAlignment="0" applyProtection="0"/>
    <xf numFmtId="185" fontId="87" fillId="14"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70" applyNumberFormat="0" applyAlignment="0" applyProtection="0"/>
    <xf numFmtId="0" fontId="59" fillId="43" borderId="60" applyNumberFormat="0" applyAlignment="0" applyProtection="0"/>
    <xf numFmtId="185" fontId="59" fillId="43" borderId="69" applyNumberFormat="0" applyAlignment="0" applyProtection="0"/>
    <xf numFmtId="0" fontId="87" fillId="14" borderId="70"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69" applyNumberFormat="0" applyAlignment="0" applyProtection="0"/>
    <xf numFmtId="185" fontId="87" fillId="14" borderId="70" applyNumberFormat="0" applyAlignment="0" applyProtection="0"/>
    <xf numFmtId="185" fontId="87" fillId="14" borderId="70" applyNumberFormat="0" applyAlignment="0" applyProtection="0"/>
    <xf numFmtId="185" fontId="87" fillId="14" borderId="70" applyNumberFormat="0" applyAlignment="0" applyProtection="0"/>
    <xf numFmtId="0" fontId="156" fillId="43" borderId="60" applyNumberFormat="0" applyAlignment="0" applyProtection="0"/>
    <xf numFmtId="185" fontId="156" fillId="43" borderId="60" applyNumberFormat="0" applyAlignment="0" applyProtection="0"/>
    <xf numFmtId="0" fontId="156" fillId="43" borderId="60" applyNumberFormat="0" applyAlignment="0" applyProtection="0"/>
    <xf numFmtId="0" fontId="156" fillId="43" borderId="60" applyNumberFormat="0" applyAlignment="0" applyProtection="0"/>
    <xf numFmtId="0" fontId="59" fillId="43" borderId="60" applyNumberFormat="0" applyAlignment="0" applyProtection="0"/>
    <xf numFmtId="0" fontId="87" fillId="14" borderId="70" applyNumberFormat="0" applyAlignment="0" applyProtection="0"/>
    <xf numFmtId="0" fontId="156" fillId="43" borderId="60"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0" fontId="157" fillId="43" borderId="60"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87" fillId="14" borderId="69" applyNumberFormat="0" applyAlignment="0" applyProtection="0"/>
    <xf numFmtId="185" fontId="87" fillId="14" borderId="69" applyNumberFormat="0" applyAlignment="0" applyProtection="0"/>
    <xf numFmtId="185" fontId="59" fillId="43"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18" borderId="69" applyNumberFormat="0" applyAlignment="0" applyProtection="0"/>
    <xf numFmtId="185" fontId="87" fillId="118" borderId="69" applyNumberFormat="0" applyAlignment="0" applyProtection="0"/>
    <xf numFmtId="0" fontId="87" fillId="14" borderId="69" applyNumberFormat="0" applyAlignment="0" applyProtection="0"/>
    <xf numFmtId="185" fontId="87" fillId="14" borderId="69" applyNumberFormat="0" applyAlignment="0" applyProtection="0"/>
    <xf numFmtId="185" fontId="87" fillId="118"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9" applyNumberFormat="0" applyAlignment="0" applyProtection="0"/>
    <xf numFmtId="185" fontId="59" fillId="43" borderId="69"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59" fillId="43" borderId="60" applyNumberFormat="0" applyAlignment="0" applyProtection="0"/>
    <xf numFmtId="185" fontId="59" fillId="43" borderId="60" applyNumberFormat="0" applyAlignment="0" applyProtection="0"/>
    <xf numFmtId="0" fontId="87" fillId="14" borderId="69" applyNumberFormat="0" applyAlignment="0" applyProtection="0"/>
    <xf numFmtId="185" fontId="87" fillId="14" borderId="69" applyNumberFormat="0" applyAlignment="0" applyProtection="0"/>
    <xf numFmtId="37" fontId="11" fillId="0" borderId="0" applyFont="0" applyFill="0" applyBorder="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0"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8" fillId="0" borderId="79" applyNumberFormat="0" applyFill="0" applyAlignment="0" applyProtection="0"/>
    <xf numFmtId="185" fontId="88" fillId="0" borderId="79"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185" fontId="88" fillId="0" borderId="79" applyNumberFormat="0" applyFill="0" applyAlignment="0" applyProtection="0"/>
    <xf numFmtId="0" fontId="158" fillId="0" borderId="62" applyNumberFormat="0" applyFill="0" applyAlignment="0" applyProtection="0"/>
    <xf numFmtId="185" fontId="158" fillId="0" borderId="62" applyNumberFormat="0" applyFill="0" applyAlignment="0" applyProtection="0"/>
    <xf numFmtId="0" fontId="158" fillId="0" borderId="62" applyNumberFormat="0" applyFill="0" applyAlignment="0" applyProtection="0"/>
    <xf numFmtId="0" fontId="158" fillId="0" borderId="62" applyNumberFormat="0" applyFill="0" applyAlignment="0" applyProtection="0"/>
    <xf numFmtId="0" fontId="62" fillId="0" borderId="62" applyNumberFormat="0" applyFill="0" applyAlignment="0" applyProtection="0"/>
    <xf numFmtId="0" fontId="88" fillId="0" borderId="79" applyNumberFormat="0" applyFill="0" applyAlignment="0" applyProtection="0"/>
    <xf numFmtId="0" fontId="158" fillId="0" borderId="62" applyNumberFormat="0" applyFill="0" applyAlignment="0" applyProtection="0"/>
    <xf numFmtId="0" fontId="159"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81" fillId="0" borderId="78" applyNumberFormat="0" applyFill="0" applyAlignment="0" applyProtection="0"/>
    <xf numFmtId="185" fontId="81" fillId="0" borderId="78"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0" fontId="62" fillId="0" borderId="62" applyNumberFormat="0" applyFill="0" applyAlignment="0" applyProtection="0"/>
    <xf numFmtId="185" fontId="62" fillId="0" borderId="62" applyNumberFormat="0" applyFill="0" applyAlignment="0" applyProtection="0"/>
    <xf numFmtId="185" fontId="81" fillId="0" borderId="78" applyNumberFormat="0" applyFill="0" applyAlignment="0" applyProtection="0"/>
    <xf numFmtId="229" fontId="11" fillId="0" borderId="0" applyFont="0" applyFill="0" applyBorder="0" applyAlignment="0" applyProtection="0"/>
    <xf numFmtId="230" fontId="11" fillId="0" borderId="14" applyFont="0" applyFill="0" applyBorder="0" applyAlignment="0" applyProtection="0">
      <alignment horizontal="centerContinuous"/>
    </xf>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111" fillId="42"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0" fontId="11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89" fillId="14" borderId="0" applyNumberFormat="0" applyBorder="0" applyAlignment="0" applyProtection="0"/>
    <xf numFmtId="185" fontId="89"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1"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185" fontId="89" fillId="14" borderId="0" applyNumberFormat="0" applyBorder="0" applyAlignment="0" applyProtection="0"/>
    <xf numFmtId="0" fontId="160" fillId="42" borderId="0" applyNumberFormat="0" applyBorder="0" applyAlignment="0" applyProtection="0"/>
    <xf numFmtId="185" fontId="160" fillId="42" borderId="0" applyNumberFormat="0" applyBorder="0" applyAlignment="0" applyProtection="0"/>
    <xf numFmtId="0" fontId="160" fillId="42" borderId="0" applyNumberFormat="0" applyBorder="0" applyAlignment="0" applyProtection="0"/>
    <xf numFmtId="0" fontId="160" fillId="42" borderId="0" applyNumberFormat="0" applyBorder="0" applyAlignment="0" applyProtection="0"/>
    <xf numFmtId="0" fontId="111" fillId="42" borderId="0" applyNumberFormat="0" applyBorder="0" applyAlignment="0" applyProtection="0"/>
    <xf numFmtId="0" fontId="89" fillId="14" borderId="0" applyNumberFormat="0" applyBorder="0" applyAlignment="0" applyProtection="0"/>
    <xf numFmtId="0" fontId="160"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161" fillId="42"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18" borderId="0" applyNumberFormat="0" applyBorder="0" applyAlignment="0" applyProtection="0"/>
    <xf numFmtId="185" fontId="81" fillId="118"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185" fontId="81" fillId="118"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72" fillId="23" borderId="0" applyNumberFormat="0" applyBorder="0" applyAlignment="0" applyProtection="0"/>
    <xf numFmtId="185" fontId="72" fillId="23"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111" fillId="42" borderId="0" applyNumberFormat="0" applyBorder="0" applyAlignment="0" applyProtection="0"/>
    <xf numFmtId="185" fontId="111" fillId="42" borderId="0" applyNumberFormat="0" applyBorder="0" applyAlignment="0" applyProtection="0"/>
    <xf numFmtId="0" fontId="81" fillId="14" borderId="0" applyNumberFormat="0" applyBorder="0" applyAlignment="0" applyProtection="0"/>
    <xf numFmtId="185" fontId="81" fillId="14"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4" fillId="0" borderId="0"/>
    <xf numFmtId="185" fontId="4" fillId="0" borderId="0"/>
    <xf numFmtId="185" fontId="4" fillId="0" borderId="0"/>
    <xf numFmtId="0" fontId="11" fillId="0" borderId="0"/>
    <xf numFmtId="185" fontId="11" fillId="0" borderId="0"/>
    <xf numFmtId="0" fontId="11" fillId="0" borderId="0"/>
    <xf numFmtId="185" fontId="11" fillId="0" borderId="0"/>
    <xf numFmtId="185" fontId="11" fillId="0" borderId="0"/>
    <xf numFmtId="185" fontId="11" fillId="0" borderId="0"/>
    <xf numFmtId="0" fontId="11" fillId="0" borderId="0"/>
    <xf numFmtId="185" fontId="4" fillId="0" borderId="0"/>
    <xf numFmtId="0" fontId="11" fillId="0" borderId="0"/>
    <xf numFmtId="185" fontId="11" fillId="0" borderId="0"/>
    <xf numFmtId="0" fontId="11" fillId="0" borderId="0"/>
    <xf numFmtId="185" fontId="4" fillId="0" borderId="0"/>
    <xf numFmtId="0" fontId="11" fillId="0" borderId="0"/>
    <xf numFmtId="0" fontId="23" fillId="0" borderId="0"/>
    <xf numFmtId="0" fontId="23" fillId="0" borderId="0"/>
    <xf numFmtId="0" fontId="23" fillId="0" borderId="0"/>
    <xf numFmtId="0" fontId="11" fillId="0" borderId="0"/>
    <xf numFmtId="0"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185" fontId="9" fillId="0"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14" fillId="101"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1" fillId="0" borderId="0"/>
    <xf numFmtId="0" fontId="11" fillId="0" borderId="0"/>
    <xf numFmtId="185" fontId="11" fillId="0" borderId="0"/>
    <xf numFmtId="185" fontId="11"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11" fillId="0" borderId="0"/>
    <xf numFmtId="0" fontId="11" fillId="0" borderId="0"/>
    <xf numFmtId="0" fontId="14" fillId="101" borderId="0"/>
    <xf numFmtId="0" fontId="11" fillId="0" borderId="0"/>
    <xf numFmtId="185"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14" fillId="101" borderId="0"/>
    <xf numFmtId="185" fontId="14" fillId="101" borderId="0"/>
    <xf numFmtId="185" fontId="11" fillId="0" borderId="0"/>
    <xf numFmtId="185" fontId="11" fillId="0" borderId="0"/>
    <xf numFmtId="0" fontId="14" fillId="101" borderId="0"/>
    <xf numFmtId="185" fontId="14" fillId="101" borderId="0"/>
    <xf numFmtId="0" fontId="14" fillId="101" borderId="0"/>
    <xf numFmtId="0" fontId="4" fillId="0" borderId="0"/>
    <xf numFmtId="185" fontId="11" fillId="0" borderId="0"/>
    <xf numFmtId="0" fontId="4" fillId="0" borderId="0"/>
    <xf numFmtId="0" fontId="11" fillId="0" borderId="0"/>
    <xf numFmtId="0" fontId="11" fillId="0" borderId="0"/>
    <xf numFmtId="0" fontId="9" fillId="0" borderId="0"/>
    <xf numFmtId="185" fontId="11" fillId="0" borderId="0"/>
    <xf numFmtId="185" fontId="23"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8" fillId="0" borderId="0"/>
    <xf numFmtId="0" fontId="78" fillId="0" borderId="0"/>
    <xf numFmtId="185" fontId="11" fillId="0" borderId="0"/>
    <xf numFmtId="185" fontId="11" fillId="0" borderId="0"/>
    <xf numFmtId="0" fontId="23"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185" fontId="11" fillId="0" borderId="0"/>
    <xf numFmtId="0" fontId="7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1" fillId="0" borderId="0">
      <alignment vertical="top"/>
    </xf>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185" fontId="14" fillId="101" borderId="0"/>
    <xf numFmtId="185" fontId="11" fillId="0" borderId="0"/>
    <xf numFmtId="185" fontId="11" fillId="0" borderId="0"/>
    <xf numFmtId="185" fontId="14" fillId="101" borderId="0"/>
    <xf numFmtId="0" fontId="14" fillId="101" borderId="0"/>
    <xf numFmtId="0" fontId="4" fillId="0" borderId="0"/>
    <xf numFmtId="0" fontId="4" fillId="0" borderId="0"/>
    <xf numFmtId="0" fontId="4" fillId="0" borderId="0"/>
    <xf numFmtId="185" fontId="78" fillId="0" borderId="0"/>
    <xf numFmtId="185"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185" fontId="14" fillId="101" borderId="0"/>
    <xf numFmtId="0" fontId="14" fillId="101" borderId="0"/>
    <xf numFmtId="0" fontId="11" fillId="0" borderId="0"/>
    <xf numFmtId="0" fontId="14" fillId="101" borderId="0"/>
    <xf numFmtId="185" fontId="14" fillId="101"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11"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130"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11" fillId="0" borderId="0"/>
    <xf numFmtId="185" fontId="14" fillId="101" borderId="0"/>
    <xf numFmtId="0" fontId="14" fillId="101" borderId="0"/>
    <xf numFmtId="0" fontId="4" fillId="0"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185" fontId="9" fillId="0" borderId="0"/>
    <xf numFmtId="0" fontId="14" fillId="101" borderId="0"/>
    <xf numFmtId="185" fontId="14" fillId="101" borderId="0"/>
    <xf numFmtId="0" fontId="11" fillId="0" borderId="0"/>
    <xf numFmtId="185" fontId="14" fillId="101" borderId="0"/>
    <xf numFmtId="0" fontId="14" fillId="101" borderId="0"/>
    <xf numFmtId="185" fontId="9"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37" fontId="162" fillId="0" borderId="0"/>
    <xf numFmtId="0" fontId="9" fillId="0" borderId="0"/>
    <xf numFmtId="0" fontId="31" fillId="0" borderId="0">
      <alignment vertical="top"/>
    </xf>
    <xf numFmtId="185" fontId="23" fillId="0" borderId="0"/>
    <xf numFmtId="0" fontId="23" fillId="0" borderId="0"/>
    <xf numFmtId="0" fontId="11" fillId="0" borderId="0"/>
    <xf numFmtId="185" fontId="11" fillId="0" borderId="0"/>
    <xf numFmtId="185" fontId="11"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185" fontId="4" fillId="0" borderId="0"/>
    <xf numFmtId="0" fontId="23" fillId="0" borderId="0"/>
    <xf numFmtId="0" fontId="4" fillId="0" borderId="0"/>
    <xf numFmtId="0" fontId="11" fillId="0" borderId="0"/>
    <xf numFmtId="185" fontId="11" fillId="0" borderId="0"/>
    <xf numFmtId="185"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185" fontId="14" fillId="101" borderId="0"/>
    <xf numFmtId="185" fontId="11" fillId="0" borderId="0"/>
    <xf numFmtId="0" fontId="4" fillId="0" borderId="0"/>
    <xf numFmtId="0" fontId="4" fillId="0" borderId="0"/>
    <xf numFmtId="185" fontId="78" fillId="0" borderId="0"/>
    <xf numFmtId="0" fontId="20" fillId="0" borderId="0"/>
    <xf numFmtId="0" fontId="4" fillId="0" borderId="0"/>
    <xf numFmtId="185" fontId="14" fillId="101" borderId="0"/>
    <xf numFmtId="185" fontId="23" fillId="0" borderId="0"/>
    <xf numFmtId="0" fontId="11" fillId="0" borderId="0"/>
    <xf numFmtId="185" fontId="14" fillId="101" borderId="0"/>
    <xf numFmtId="0" fontId="4" fillId="0" borderId="0"/>
    <xf numFmtId="0" fontId="4" fillId="0" borderId="0"/>
    <xf numFmtId="0" fontId="4" fillId="0" borderId="0"/>
    <xf numFmtId="0" fontId="130" fillId="0" borderId="0"/>
    <xf numFmtId="185" fontId="23" fillId="0" borderId="0"/>
    <xf numFmtId="0" fontId="11" fillId="0" borderId="0"/>
    <xf numFmtId="0" fontId="9" fillId="0" borderId="0"/>
    <xf numFmtId="0" fontId="11" fillId="0" borderId="0"/>
    <xf numFmtId="0" fontId="14" fillId="101" borderId="0"/>
    <xf numFmtId="0" fontId="11" fillId="0" borderId="0"/>
    <xf numFmtId="185" fontId="14" fillId="101" borderId="0"/>
    <xf numFmtId="0" fontId="4" fillId="0" borderId="0"/>
    <xf numFmtId="0" fontId="4" fillId="0" borderId="0"/>
    <xf numFmtId="0" fontId="4" fillId="0" borderId="0"/>
    <xf numFmtId="0" fontId="4" fillId="0" borderId="0"/>
    <xf numFmtId="0" fontId="11" fillId="0" borderId="0"/>
    <xf numFmtId="0" fontId="14" fillId="101"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4" fillId="101" borderId="0"/>
    <xf numFmtId="0" fontId="14" fillId="101" borderId="0"/>
    <xf numFmtId="185" fontId="14" fillId="101" borderId="0"/>
    <xf numFmtId="0" fontId="4" fillId="0" borderId="0"/>
    <xf numFmtId="0" fontId="14" fillId="101" borderId="0"/>
    <xf numFmtId="0" fontId="11" fillId="0" borderId="0"/>
    <xf numFmtId="0" fontId="4" fillId="0" borderId="0"/>
    <xf numFmtId="0" fontId="4" fillId="0" borderId="0"/>
    <xf numFmtId="185" fontId="14" fillId="101"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0" fontId="11" fillId="0" borderId="0"/>
    <xf numFmtId="185" fontId="11" fillId="0" borderId="0"/>
    <xf numFmtId="0" fontId="4" fillId="0" borderId="0"/>
    <xf numFmtId="0" fontId="4" fillId="0" borderId="0"/>
    <xf numFmtId="185" fontId="11" fillId="0" borderId="0"/>
    <xf numFmtId="0" fontId="4"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4" fillId="101" borderId="0"/>
    <xf numFmtId="0" fontId="11" fillId="0" borderId="0"/>
    <xf numFmtId="0" fontId="14" fillId="101" borderId="0"/>
    <xf numFmtId="0" fontId="11" fillId="0" borderId="0"/>
    <xf numFmtId="185" fontId="14" fillId="101" borderId="0"/>
    <xf numFmtId="0" fontId="11" fillId="0" borderId="0"/>
    <xf numFmtId="185" fontId="14" fillId="101"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77" fontId="9" fillId="0" borderId="0"/>
    <xf numFmtId="177" fontId="9" fillId="0" borderId="0"/>
    <xf numFmtId="0" fontId="11" fillId="0" borderId="0"/>
    <xf numFmtId="0" fontId="79"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78" fillId="0" borderId="0"/>
    <xf numFmtId="185" fontId="14" fillId="101" borderId="0"/>
    <xf numFmtId="0" fontId="14" fillId="101" borderId="0"/>
    <xf numFmtId="0" fontId="11" fillId="0" borderId="0"/>
    <xf numFmtId="0" fontId="14" fillId="101" borderId="0"/>
    <xf numFmtId="0" fontId="11" fillId="0" borderId="0"/>
    <xf numFmtId="185" fontId="14" fillId="101" borderId="0"/>
    <xf numFmtId="0" fontId="11" fillId="0" borderId="0"/>
    <xf numFmtId="0" fontId="11" fillId="0" borderId="0"/>
    <xf numFmtId="185" fontId="11" fillId="0" borderId="0"/>
    <xf numFmtId="185"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5" fillId="0" borderId="0"/>
    <xf numFmtId="0" fontId="15" fillId="0" borderId="0"/>
    <xf numFmtId="0" fontId="11" fillId="0" borderId="0"/>
    <xf numFmtId="185" fontId="15" fillId="0" borderId="0"/>
    <xf numFmtId="0" fontId="11"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8" fillId="134"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15" fillId="0" borderId="0"/>
    <xf numFmtId="185" fontId="15" fillId="0" borderId="0"/>
    <xf numFmtId="0" fontId="11" fillId="0" borderId="0"/>
    <xf numFmtId="185" fontId="15" fillId="0" borderId="0"/>
    <xf numFmtId="0" fontId="11" fillId="0" borderId="0"/>
    <xf numFmtId="185" fontId="14" fillId="101" borderId="0"/>
    <xf numFmtId="0" fontId="11" fillId="0" borderId="0"/>
    <xf numFmtId="0" fontId="11" fillId="0" borderId="0"/>
    <xf numFmtId="0" fontId="11" fillId="0" borderId="0"/>
    <xf numFmtId="185" fontId="11" fillId="0" borderId="0"/>
    <xf numFmtId="185" fontId="11" fillId="0" borderId="0"/>
    <xf numFmtId="0" fontId="23" fillId="0" borderId="0"/>
    <xf numFmtId="185" fontId="11" fillId="0" borderId="0"/>
    <xf numFmtId="185" fontId="11" fillId="0" borderId="0"/>
    <xf numFmtId="0" fontId="11" fillId="0" borderId="0"/>
    <xf numFmtId="185" fontId="11"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0" fontId="23"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11" fillId="0" borderId="0"/>
    <xf numFmtId="0" fontId="4" fillId="0" borderId="0"/>
    <xf numFmtId="0" fontId="11" fillId="0" borderId="0"/>
    <xf numFmtId="0" fontId="11" fillId="0" borderId="0"/>
    <xf numFmtId="0" fontId="11" fillId="0" borderId="0"/>
    <xf numFmtId="0" fontId="11" fillId="0" borderId="0"/>
    <xf numFmtId="0" fontId="4" fillId="0" borderId="0"/>
    <xf numFmtId="0" fontId="11" fillId="0" borderId="0"/>
    <xf numFmtId="0" fontId="79" fillId="0" borderId="0"/>
    <xf numFmtId="0" fontId="11" fillId="0" borderId="0"/>
    <xf numFmtId="0" fontId="4" fillId="0" borderId="0"/>
    <xf numFmtId="0" fontId="4" fillId="0" borderId="0"/>
    <xf numFmtId="0" fontId="4" fillId="0" borderId="0"/>
    <xf numFmtId="0" fontId="4" fillId="0" borderId="0"/>
    <xf numFmtId="185" fontId="14" fillId="101" borderId="0"/>
    <xf numFmtId="0" fontId="9" fillId="0" borderId="0"/>
    <xf numFmtId="0" fontId="9"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4" fillId="101" borderId="0"/>
    <xf numFmtId="185" fontId="14" fillId="101" borderId="0"/>
    <xf numFmtId="0" fontId="11" fillId="0" borderId="0"/>
    <xf numFmtId="185" fontId="11" fillId="0" borderId="0"/>
    <xf numFmtId="0" fontId="79"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0" fontId="79"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79" fillId="0" borderId="0"/>
    <xf numFmtId="185" fontId="11" fillId="0" borderId="0"/>
    <xf numFmtId="185" fontId="11" fillId="0" borderId="0"/>
    <xf numFmtId="185" fontId="11" fillId="0" borderId="0"/>
    <xf numFmtId="185"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4" fillId="0" borderId="0"/>
    <xf numFmtId="185" fontId="4" fillId="0" borderId="0"/>
    <xf numFmtId="0" fontId="11" fillId="0" borderId="0"/>
    <xf numFmtId="0" fontId="11" fillId="0" borderId="0"/>
    <xf numFmtId="185" fontId="11" fillId="0" borderId="0"/>
    <xf numFmtId="185" fontId="11" fillId="0" borderId="0"/>
    <xf numFmtId="0" fontId="78" fillId="0" borderId="0"/>
    <xf numFmtId="185" fontId="11" fillId="0" borderId="0"/>
    <xf numFmtId="0" fontId="79" fillId="0" borderId="0">
      <alignment vertical="top"/>
    </xf>
    <xf numFmtId="185" fontId="11" fillId="0" borderId="0"/>
    <xf numFmtId="185" fontId="11" fillId="0" borderId="0"/>
    <xf numFmtId="0" fontId="11" fillId="0" borderId="0"/>
    <xf numFmtId="0" fontId="11" fillId="0" borderId="0"/>
    <xf numFmtId="185" fontId="11" fillId="0" borderId="0"/>
    <xf numFmtId="185" fontId="11" fillId="0" borderId="0"/>
    <xf numFmtId="0" fontId="78" fillId="0" borderId="0"/>
    <xf numFmtId="185" fontId="11" fillId="0" borderId="0"/>
    <xf numFmtId="185" fontId="11" fillId="0" borderId="0"/>
    <xf numFmtId="185" fontId="11" fillId="0" borderId="0"/>
    <xf numFmtId="185" fontId="11" fillId="0" borderId="0"/>
    <xf numFmtId="0" fontId="79" fillId="0" borderId="0">
      <alignment vertical="top"/>
    </xf>
    <xf numFmtId="185" fontId="78"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185" fontId="11" fillId="0" borderId="0"/>
    <xf numFmtId="185" fontId="11" fillId="0" borderId="0"/>
    <xf numFmtId="185" fontId="11" fillId="0" borderId="0"/>
    <xf numFmtId="185" fontId="11" fillId="0" borderId="0"/>
    <xf numFmtId="0" fontId="11" fillId="0" borderId="0"/>
    <xf numFmtId="0" fontId="79" fillId="0" borderId="0">
      <alignment vertical="top"/>
    </xf>
    <xf numFmtId="185" fontId="78"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11" fillId="0" borderId="0"/>
    <xf numFmtId="0" fontId="11"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0" fontId="4" fillId="0" borderId="0"/>
    <xf numFmtId="0" fontId="4" fillId="0" borderId="0"/>
    <xf numFmtId="0" fontId="4" fillId="0" borderId="0"/>
    <xf numFmtId="0" fontId="4" fillId="0" borderId="0"/>
    <xf numFmtId="0" fontId="11"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14" fillId="101" borderId="0"/>
    <xf numFmtId="0" fontId="14" fillId="101" borderId="0"/>
    <xf numFmtId="185" fontId="14" fillId="101" borderId="0"/>
    <xf numFmtId="185" fontId="14" fillId="101"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7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185" fontId="78"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9" fillId="0" borderId="0">
      <alignment vertical="top"/>
    </xf>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5" fontId="11" fillId="0" borderId="0"/>
    <xf numFmtId="0" fontId="4" fillId="0" borderId="0"/>
    <xf numFmtId="185"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185"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11" fillId="0" borderId="0"/>
    <xf numFmtId="0" fontId="78" fillId="0" borderId="0"/>
    <xf numFmtId="185" fontId="11" fillId="0" borderId="0"/>
    <xf numFmtId="0" fontId="79" fillId="0" borderId="0">
      <alignment vertical="top"/>
    </xf>
    <xf numFmtId="0" fontId="11" fillId="0" borderId="0"/>
    <xf numFmtId="0" fontId="11" fillId="0" borderId="0"/>
    <xf numFmtId="0" fontId="4" fillId="0" borderId="0"/>
    <xf numFmtId="185" fontId="11" fillId="0" borderId="0"/>
    <xf numFmtId="0" fontId="11" fillId="0" borderId="0"/>
    <xf numFmtId="0" fontId="11" fillId="0" borderId="0"/>
    <xf numFmtId="0" fontId="4" fillId="0" borderId="0"/>
    <xf numFmtId="0" fontId="11" fillId="0" borderId="0"/>
    <xf numFmtId="185" fontId="11" fillId="0" borderId="0"/>
    <xf numFmtId="0" fontId="11" fillId="0" borderId="0"/>
    <xf numFmtId="0" fontId="11" fillId="0" borderId="0"/>
    <xf numFmtId="185" fontId="11" fillId="0" borderId="0"/>
    <xf numFmtId="185" fontId="11" fillId="0" borderId="0"/>
    <xf numFmtId="185" fontId="11" fillId="0" borderId="0"/>
    <xf numFmtId="185"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11" fillId="0" borderId="0"/>
    <xf numFmtId="185" fontId="11" fillId="0" borderId="0"/>
    <xf numFmtId="0" fontId="11" fillId="0" borderId="0"/>
    <xf numFmtId="0" fontId="4" fillId="0" borderId="0"/>
    <xf numFmtId="0" fontId="4" fillId="0" borderId="0"/>
    <xf numFmtId="0" fontId="11" fillId="0" borderId="0"/>
    <xf numFmtId="185" fontId="11" fillId="0" borderId="0"/>
    <xf numFmtId="0" fontId="11" fillId="0" borderId="0"/>
    <xf numFmtId="185" fontId="11" fillId="0" borderId="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00" borderId="69" applyNumberFormat="0" applyFont="0" applyAlignment="0" applyProtection="0"/>
    <xf numFmtId="185" fontId="14" fillId="100"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00"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11" fillId="13" borderId="80"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78"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20" fillId="46" borderId="64" applyNumberFormat="0" applyFont="0" applyAlignment="0" applyProtection="0"/>
    <xf numFmtId="185" fontId="20"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185" fontId="14" fillId="13" borderId="69"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1" fillId="13" borderId="80" applyNumberFormat="0" applyFont="0" applyAlignment="0" applyProtection="0"/>
    <xf numFmtId="185" fontId="11" fillId="13" borderId="80" applyNumberFormat="0" applyFont="0" applyAlignment="0" applyProtection="0"/>
    <xf numFmtId="185" fontId="11" fillId="13" borderId="80"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4" fillId="46" borderId="64" applyNumberFormat="0" applyFont="0" applyAlignment="0" applyProtection="0"/>
    <xf numFmtId="185"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20" fillId="46" borderId="64" applyNumberFormat="0" applyFont="0" applyAlignment="0" applyProtection="0"/>
    <xf numFmtId="185" fontId="78"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78"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79"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20" fillId="46" borderId="89" applyNumberFormat="0" applyFont="0" applyAlignment="0" applyProtection="0"/>
    <xf numFmtId="185" fontId="20" fillId="46" borderId="8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4" fillId="46" borderId="64"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0" fontId="14" fillId="13" borderId="69" applyNumberFormat="0" applyFont="0" applyAlignment="0" applyProtection="0"/>
    <xf numFmtId="185" fontId="14" fillId="13" borderId="69" applyNumberFormat="0" applyFon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44"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0" fontId="60" fillId="112" borderId="61" applyNumberFormat="0" applyAlignment="0" applyProtection="0"/>
    <xf numFmtId="185" fontId="60" fillId="112" borderId="61" applyNumberFormat="0" applyAlignment="0" applyProtection="0"/>
    <xf numFmtId="185" fontId="91" fillId="95" borderId="82"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185" fontId="60" fillId="112" borderId="61" applyNumberFormat="0" applyAlignment="0" applyProtection="0"/>
    <xf numFmtId="0" fontId="91" fillId="96" borderId="82" applyNumberFormat="0" applyAlignment="0" applyProtection="0"/>
    <xf numFmtId="185" fontId="91" fillId="96" borderId="82" applyNumberFormat="0" applyAlignment="0" applyProtection="0"/>
    <xf numFmtId="0" fontId="60" fillId="44" borderId="61" applyNumberFormat="0" applyAlignment="0" applyProtection="0"/>
    <xf numFmtId="185" fontId="60" fillId="112" borderId="61"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5" borderId="82" applyNumberFormat="0" applyAlignment="0" applyProtection="0"/>
    <xf numFmtId="185" fontId="91" fillId="96" borderId="82" applyNumberFormat="0" applyAlignment="0" applyProtection="0"/>
    <xf numFmtId="185" fontId="91" fillId="96" borderId="82" applyNumberFormat="0" applyAlignment="0" applyProtection="0"/>
    <xf numFmtId="185" fontId="91" fillId="96" borderId="82" applyNumberFormat="0" applyAlignment="0" applyProtection="0"/>
    <xf numFmtId="0" fontId="163" fillId="44" borderId="61" applyNumberFormat="0" applyAlignment="0" applyProtection="0"/>
    <xf numFmtId="185" fontId="163" fillId="44" borderId="61" applyNumberFormat="0" applyAlignment="0" applyProtection="0"/>
    <xf numFmtId="0" fontId="163" fillId="44" borderId="61" applyNumberFormat="0" applyAlignment="0" applyProtection="0"/>
    <xf numFmtId="0" fontId="163" fillId="44" borderId="61" applyNumberFormat="0" applyAlignment="0" applyProtection="0"/>
    <xf numFmtId="0" fontId="60" fillId="44" borderId="61" applyNumberFormat="0" applyAlignment="0" applyProtection="0"/>
    <xf numFmtId="0" fontId="91" fillId="96" borderId="82" applyNumberFormat="0" applyAlignment="0" applyProtection="0"/>
    <xf numFmtId="0" fontId="163"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0" fontId="164" fillId="44"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91" fillId="95" borderId="82" applyNumberFormat="0" applyAlignment="0" applyProtection="0"/>
    <xf numFmtId="185" fontId="91" fillId="95" borderId="82" applyNumberFormat="0" applyAlignment="0" applyProtection="0"/>
    <xf numFmtId="185" fontId="60" fillId="112" borderId="61" applyNumberFormat="0" applyAlignment="0" applyProtection="0"/>
    <xf numFmtId="0" fontId="91" fillId="113" borderId="82" applyNumberFormat="0" applyAlignment="0" applyProtection="0"/>
    <xf numFmtId="185" fontId="91" fillId="113" borderId="82" applyNumberFormat="0" applyAlignment="0" applyProtection="0"/>
    <xf numFmtId="0" fontId="91" fillId="113" borderId="82" applyNumberFormat="0" applyAlignment="0" applyProtection="0"/>
    <xf numFmtId="185" fontId="91" fillId="113" borderId="82" applyNumberFormat="0" applyAlignment="0" applyProtection="0"/>
    <xf numFmtId="0" fontId="91" fillId="95" borderId="82" applyNumberFormat="0" applyAlignment="0" applyProtection="0"/>
    <xf numFmtId="185" fontId="91" fillId="95" borderId="82" applyNumberFormat="0" applyAlignment="0" applyProtection="0"/>
    <xf numFmtId="185" fontId="91" fillId="113" borderId="82"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112" borderId="61" applyNumberFormat="0" applyAlignment="0" applyProtection="0"/>
    <xf numFmtId="185" fontId="60" fillId="112"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60" fillId="44" borderId="61" applyNumberFormat="0" applyAlignment="0" applyProtection="0"/>
    <xf numFmtId="185" fontId="60" fillId="44" borderId="61" applyNumberFormat="0" applyAlignment="0" applyProtection="0"/>
    <xf numFmtId="0" fontId="91" fillId="95" borderId="82" applyNumberFormat="0" applyAlignment="0" applyProtection="0"/>
    <xf numFmtId="185" fontId="91" fillId="95" borderId="82" applyNumberFormat="0" applyAlignment="0" applyProtection="0"/>
    <xf numFmtId="231" fontId="125" fillId="0" borderId="0" applyFont="0" applyFill="0" applyBorder="0" applyAlignment="0" applyProtection="0"/>
    <xf numFmtId="232" fontId="128" fillId="0" borderId="0" applyFont="0" applyFill="0" applyBorder="0" applyAlignment="0" applyProtection="0"/>
    <xf numFmtId="233" fontId="129" fillId="0" borderId="0" applyFont="0" applyFill="0" applyBorder="0" applyAlignment="0" applyProtection="0"/>
    <xf numFmtId="234" fontId="11" fillId="0" borderId="0" applyFont="0" applyFill="0" applyBorder="0" applyAlignment="0" applyProtection="0"/>
    <xf numFmtId="169" fontId="11" fillId="0" borderId="0" applyFont="0" applyFill="0" applyBorder="0" applyAlignment="0" applyProtection="0"/>
    <xf numFmtId="235" fontId="129" fillId="0" borderId="0" applyFont="0" applyFill="0" applyBorder="0" applyAlignment="0" applyProtection="0"/>
    <xf numFmtId="236" fontId="128" fillId="0" borderId="0" applyFont="0" applyFill="0" applyBorder="0" applyAlignment="0" applyProtection="0"/>
    <xf numFmtId="237" fontId="129" fillId="0" borderId="0" applyFont="0" applyFill="0" applyBorder="0" applyAlignment="0" applyProtection="0"/>
    <xf numFmtId="238" fontId="128" fillId="0" borderId="0" applyFont="0" applyFill="0" applyBorder="0" applyAlignment="0" applyProtection="0"/>
    <xf numFmtId="239" fontId="129" fillId="0" borderId="0" applyFont="0" applyFill="0" applyBorder="0" applyAlignment="0" applyProtection="0"/>
    <xf numFmtId="240"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3"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5"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10" fontId="79" fillId="0" borderId="0" applyFont="0" applyFill="0" applyBorder="0" applyAlignment="0" applyProtection="0">
      <alignment vertical="top"/>
    </xf>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7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78"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29" fillId="18" borderId="45"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3"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14" fillId="18" borderId="69" applyNumberFormat="0" applyProtection="0">
      <alignment vertical="center"/>
    </xf>
    <xf numFmtId="4" fontId="30" fillId="18" borderId="45" applyNumberFormat="0" applyProtection="0">
      <alignment vertical="center"/>
    </xf>
    <xf numFmtId="4" fontId="30" fillId="18" borderId="45" applyNumberFormat="0" applyProtection="0">
      <alignment vertical="center"/>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29" fillId="18" borderId="45"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4" fontId="14" fillId="3" borderId="69" applyNumberFormat="0" applyProtection="0">
      <alignment horizontal="left" vertical="center"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98" fillId="18" borderId="45" applyNumberFormat="0" applyProtection="0">
      <alignment horizontal="left" vertical="top" indent="1"/>
    </xf>
    <xf numFmtId="185" fontId="98" fillId="18" borderId="45" applyNumberFormat="0" applyProtection="0">
      <alignment horizontal="left" vertical="top" indent="1"/>
    </xf>
    <xf numFmtId="185" fontId="98" fillId="3"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0" fontId="29" fillId="18" borderId="45" applyNumberFormat="0" applyProtection="0">
      <alignment horizontal="left" vertical="top" indent="1"/>
    </xf>
    <xf numFmtId="185"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0" fontId="29"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185" fontId="98" fillId="18" borderId="45" applyNumberFormat="0" applyProtection="0">
      <alignment horizontal="left" vertical="top"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29" fillId="19" borderId="0"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31" fillId="20" borderId="45"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25"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20"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31" fillId="21" borderId="45"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43"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104" borderId="69"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31" fillId="22" borderId="45"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144"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2" borderId="83"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31" fillId="23" borderId="45"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121"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3"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31" fillId="24" borderId="45"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145"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4"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31" fillId="25" borderId="45"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132"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5"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31" fillId="26" borderId="45"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114"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6"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31" fillId="27" borderId="45"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111"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7"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31" fillId="28" borderId="45"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1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8" borderId="69" applyNumberFormat="0" applyProtection="0">
      <alignment horizontal="right" vertical="center"/>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29" fillId="29" borderId="46"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4" fillId="29"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1" fillId="30"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117"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32" fillId="31" borderId="0"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1" fillId="31" borderId="83" applyNumberFormat="0" applyProtection="0">
      <alignment horizontal="left" vertical="center" indent="1"/>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31" fillId="19" borderId="45"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10"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19" borderId="69" applyNumberFormat="0" applyProtection="0">
      <alignment horizontal="right" vertical="center"/>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31" fillId="30" borderId="0"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09"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3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31" fillId="19" borderId="0"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10"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4" fontId="14" fillId="19" borderId="83"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185"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0" fontId="14" fillId="105" borderId="69" applyNumberFormat="0" applyProtection="0">
      <alignment horizontal="left" vertical="center" indent="1"/>
    </xf>
    <xf numFmtId="0" fontId="11" fillId="31" borderId="45"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2" borderId="69" applyNumberFormat="0" applyProtection="0">
      <alignment horizontal="left" vertical="center" indent="1"/>
    </xf>
    <xf numFmtId="185" fontId="14" fillId="2"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105" borderId="69" applyNumberFormat="0" applyProtection="0">
      <alignment horizontal="left" vertical="center" indent="1"/>
    </xf>
    <xf numFmtId="0" fontId="14" fillId="105" borderId="69" applyNumberFormat="0" applyProtection="0">
      <alignment horizontal="left" vertical="center"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117"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1" fillId="31" borderId="45" applyNumberFormat="0" applyProtection="0">
      <alignment horizontal="left" vertical="top" indent="1"/>
    </xf>
    <xf numFmtId="0" fontId="11" fillId="31" borderId="45" applyNumberFormat="0" applyProtection="0">
      <alignment horizontal="left" vertical="top" indent="1"/>
    </xf>
    <xf numFmtId="185" fontId="11"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1"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31" borderId="45" applyNumberFormat="0" applyProtection="0">
      <alignment horizontal="left" vertical="top" indent="1"/>
    </xf>
    <xf numFmtId="0" fontId="14" fillId="31" borderId="45" applyNumberFormat="0" applyProtection="0">
      <alignment horizontal="left" vertical="top"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185"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0" fontId="14" fillId="106" borderId="69" applyNumberFormat="0" applyProtection="0">
      <alignment horizontal="left" vertical="center" indent="1"/>
    </xf>
    <xf numFmtId="0" fontId="11" fillId="19" borderId="45"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46" borderId="69" applyNumberFormat="0" applyProtection="0">
      <alignment horizontal="left" vertical="center" indent="1"/>
    </xf>
    <xf numFmtId="185" fontId="14" fillId="14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06" borderId="69" applyNumberFormat="0" applyProtection="0">
      <alignment horizontal="left" vertical="center" indent="1"/>
    </xf>
    <xf numFmtId="0" fontId="14" fillId="106" borderId="69" applyNumberFormat="0" applyProtection="0">
      <alignment horizontal="left" vertical="center"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10"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1" fillId="19" borderId="45" applyNumberFormat="0" applyProtection="0">
      <alignment horizontal="left" vertical="top" indent="1"/>
    </xf>
    <xf numFmtId="0" fontId="11" fillId="19" borderId="45" applyNumberFormat="0" applyProtection="0">
      <alignment horizontal="left" vertical="top" indent="1"/>
    </xf>
    <xf numFmtId="185" fontId="11"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1"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19" borderId="45" applyNumberFormat="0" applyProtection="0">
      <alignment horizontal="left" vertical="top" indent="1"/>
    </xf>
    <xf numFmtId="0" fontId="14" fillId="19" borderId="45" applyNumberFormat="0" applyProtection="0">
      <alignment horizontal="left" vertical="top"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185"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0" fontId="14" fillId="32" borderId="69" applyNumberFormat="0" applyProtection="0">
      <alignment horizontal="left" vertical="center" indent="1"/>
    </xf>
    <xf numFmtId="0" fontId="11" fillId="32" borderId="45"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94" borderId="69" applyNumberFormat="0" applyProtection="0">
      <alignment horizontal="left" vertical="center" indent="1"/>
    </xf>
    <xf numFmtId="185" fontId="14" fillId="94"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69" applyNumberFormat="0" applyProtection="0">
      <alignment horizontal="left" vertical="center" indent="1"/>
    </xf>
    <xf numFmtId="0" fontId="14" fillId="32" borderId="69" applyNumberFormat="0" applyProtection="0">
      <alignment horizontal="left" vertical="center"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94"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1" fillId="32" borderId="45" applyNumberFormat="0" applyProtection="0">
      <alignment horizontal="left" vertical="top" indent="1"/>
    </xf>
    <xf numFmtId="0" fontId="11" fillId="32" borderId="45" applyNumberFormat="0" applyProtection="0">
      <alignment horizontal="left" vertical="top" indent="1"/>
    </xf>
    <xf numFmtId="185" fontId="11"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1"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2" borderId="45" applyNumberFormat="0" applyProtection="0">
      <alignment horizontal="left" vertical="top" indent="1"/>
    </xf>
    <xf numFmtId="0" fontId="14" fillId="32" borderId="45" applyNumberFormat="0" applyProtection="0">
      <alignment horizontal="left" vertical="top"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185"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0" fontId="14" fillId="30" borderId="69" applyNumberFormat="0" applyProtection="0">
      <alignment horizontal="left" vertical="center" indent="1"/>
    </xf>
    <xf numFmtId="0" fontId="11" fillId="30" borderId="45"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109" borderId="69" applyNumberFormat="0" applyProtection="0">
      <alignment horizontal="left" vertical="center" indent="1"/>
    </xf>
    <xf numFmtId="185" fontId="14" fillId="109"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69" applyNumberFormat="0" applyProtection="0">
      <alignment horizontal="left" vertical="center" indent="1"/>
    </xf>
    <xf numFmtId="0" fontId="14" fillId="30" borderId="69" applyNumberFormat="0" applyProtection="0">
      <alignment horizontal="left" vertical="center"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109"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1" fillId="30" borderId="45" applyNumberFormat="0" applyProtection="0">
      <alignment horizontal="left" vertical="top" indent="1"/>
    </xf>
    <xf numFmtId="0" fontId="11" fillId="30" borderId="45" applyNumberFormat="0" applyProtection="0">
      <alignment horizontal="left" vertical="top" indent="1"/>
    </xf>
    <xf numFmtId="185" fontId="11"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1"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0" borderId="45" applyNumberFormat="0" applyProtection="0">
      <alignment horizontal="left" vertical="top" indent="1"/>
    </xf>
    <xf numFmtId="0" fontId="14" fillId="30" borderId="45" applyNumberFormat="0" applyProtection="0">
      <alignment horizontal="left" vertical="top" indent="1"/>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102"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185" fontId="14" fillId="33" borderId="84" applyNumberFormat="0">
      <protection locked="0"/>
    </xf>
    <xf numFmtId="0" fontId="11" fillId="33" borderId="38" applyNumberFormat="0">
      <protection locked="0"/>
    </xf>
    <xf numFmtId="0" fontId="11" fillId="33" borderId="38" applyNumberFormat="0">
      <protection locked="0"/>
    </xf>
    <xf numFmtId="185" fontId="11" fillId="33" borderId="38" applyNumberFormat="0">
      <protection locked="0"/>
    </xf>
    <xf numFmtId="185" fontId="11" fillId="33" borderId="38" applyNumberFormat="0">
      <protection locked="0"/>
    </xf>
    <xf numFmtId="185" fontId="11" fillId="33" borderId="38"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1" fillId="33" borderId="38"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185" fontId="14" fillId="33" borderId="84" applyNumberFormat="0">
      <protection locked="0"/>
    </xf>
    <xf numFmtId="0" fontId="14" fillId="33" borderId="84" applyNumberFormat="0">
      <protection locked="0"/>
    </xf>
    <xf numFmtId="0" fontId="99" fillId="117" borderId="85" applyBorder="0"/>
    <xf numFmtId="0" fontId="99" fillId="31" borderId="85" applyBorder="0"/>
    <xf numFmtId="185" fontId="99" fillId="31" borderId="85" applyBorder="0"/>
    <xf numFmtId="185" fontId="99" fillId="117" borderId="85" applyBorder="0"/>
    <xf numFmtId="185" fontId="99" fillId="31" borderId="85" applyBorder="0"/>
    <xf numFmtId="4" fontId="100" fillId="34" borderId="45" applyNumberFormat="0" applyProtection="0">
      <alignment vertical="center"/>
    </xf>
    <xf numFmtId="4" fontId="31" fillId="34" borderId="45" applyNumberFormat="0" applyProtection="0">
      <alignment vertical="center"/>
    </xf>
    <xf numFmtId="4" fontId="100" fillId="100" borderId="45" applyNumberFormat="0" applyProtection="0">
      <alignment vertical="center"/>
    </xf>
    <xf numFmtId="4" fontId="31" fillId="34" borderId="45" applyNumberFormat="0" applyProtection="0">
      <alignment vertical="center"/>
    </xf>
    <xf numFmtId="4" fontId="33" fillId="34" borderId="45" applyNumberFormat="0" applyProtection="0">
      <alignment vertical="center"/>
    </xf>
    <xf numFmtId="4" fontId="33" fillId="34" borderId="45" applyNumberFormat="0" applyProtection="0">
      <alignment vertical="center"/>
    </xf>
    <xf numFmtId="4" fontId="100" fillId="105" borderId="45" applyNumberFormat="0" applyProtection="0">
      <alignment horizontal="left" vertical="center" indent="1"/>
    </xf>
    <xf numFmtId="4" fontId="31" fillId="34" borderId="45" applyNumberFormat="0" applyProtection="0">
      <alignment horizontal="left" vertical="center" indent="1"/>
    </xf>
    <xf numFmtId="4" fontId="100" fillId="2" borderId="45" applyNumberFormat="0" applyProtection="0">
      <alignment horizontal="left" vertical="center" indent="1"/>
    </xf>
    <xf numFmtId="4" fontId="31" fillId="34" borderId="45" applyNumberFormat="0" applyProtection="0">
      <alignment horizontal="left" vertical="center"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100" fillId="34" borderId="45" applyNumberFormat="0" applyProtection="0">
      <alignment horizontal="left" vertical="top" indent="1"/>
    </xf>
    <xf numFmtId="185" fontId="100" fillId="34" borderId="45" applyNumberFormat="0" applyProtection="0">
      <alignment horizontal="left" vertical="top" indent="1"/>
    </xf>
    <xf numFmtId="185" fontId="100" fillId="100"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0" fontId="31" fillId="34" borderId="45" applyNumberFormat="0" applyProtection="0">
      <alignment horizontal="left" vertical="top" indent="1"/>
    </xf>
    <xf numFmtId="185"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0" fontId="31"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185" fontId="100" fillId="34" borderId="45" applyNumberFormat="0" applyProtection="0">
      <alignment horizontal="left" vertical="top" indent="1"/>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1" fillId="30" borderId="45" applyNumberFormat="0" applyProtection="0">
      <alignment horizontal="right" vertical="center"/>
    </xf>
    <xf numFmtId="4" fontId="31" fillId="30" borderId="45"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14" fillId="0" borderId="69" applyNumberFormat="0" applyProtection="0">
      <alignment horizontal="right" vertical="center"/>
    </xf>
    <xf numFmtId="4" fontId="33" fillId="30" borderId="45" applyNumberFormat="0" applyProtection="0">
      <alignment horizontal="right" vertical="center"/>
    </xf>
    <xf numFmtId="4" fontId="33" fillId="30" borderId="45" applyNumberFormat="0" applyProtection="0">
      <alignment horizontal="right" vertical="center"/>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31" fillId="19" borderId="45"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142"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4" fontId="14" fillId="78" borderId="69" applyNumberFormat="0" applyProtection="0">
      <alignment horizontal="left" vertical="center"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100" fillId="19" borderId="45" applyNumberFormat="0" applyProtection="0">
      <alignment horizontal="left" vertical="top" indent="1"/>
    </xf>
    <xf numFmtId="185" fontId="100" fillId="19" borderId="45" applyNumberFormat="0" applyProtection="0">
      <alignment horizontal="left" vertical="top" indent="1"/>
    </xf>
    <xf numFmtId="185" fontId="100" fillId="110"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0" fontId="31" fillId="19" borderId="45" applyNumberFormat="0" applyProtection="0">
      <alignment horizontal="left" vertical="top" indent="1"/>
    </xf>
    <xf numFmtId="185"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0" fontId="31"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185" fontId="100" fillId="19" borderId="45" applyNumberFormat="0" applyProtection="0">
      <alignment horizontal="left" vertical="top" indent="1"/>
    </xf>
    <xf numFmtId="4" fontId="101" fillId="35" borderId="83" applyNumberFormat="0" applyProtection="0">
      <alignment horizontal="left" vertical="center" indent="1"/>
    </xf>
    <xf numFmtId="4" fontId="34" fillId="35" borderId="0" applyNumberFormat="0" applyProtection="0">
      <alignment horizontal="left" vertical="center" indent="1"/>
    </xf>
    <xf numFmtId="4" fontId="101" fillId="147" borderId="83" applyNumberFormat="0" applyProtection="0">
      <alignment horizontal="left" vertical="center" indent="1"/>
    </xf>
    <xf numFmtId="4" fontId="34" fillId="35" borderId="0" applyNumberFormat="0" applyProtection="0">
      <alignment horizontal="left" vertical="center" indent="1"/>
    </xf>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0" fontId="14" fillId="148" borderId="38"/>
    <xf numFmtId="185" fontId="14" fillId="148" borderId="38"/>
    <xf numFmtId="185" fontId="14" fillId="148"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185" fontId="14" fillId="107" borderId="38"/>
    <xf numFmtId="0" fontId="14" fillId="107" borderId="38"/>
    <xf numFmtId="4" fontId="102" fillId="33" borderId="69" applyNumberFormat="0" applyProtection="0">
      <alignment horizontal="right" vertical="center"/>
    </xf>
    <xf numFmtId="4" fontId="35" fillId="30" borderId="45" applyNumberFormat="0" applyProtection="0">
      <alignment horizontal="right" vertical="center"/>
    </xf>
    <xf numFmtId="4" fontId="102" fillId="102" borderId="69" applyNumberFormat="0" applyProtection="0">
      <alignment horizontal="right" vertical="center"/>
    </xf>
    <xf numFmtId="4" fontId="35" fillId="30" borderId="45" applyNumberFormat="0" applyProtection="0">
      <alignment horizontal="right" vertical="center"/>
    </xf>
    <xf numFmtId="0" fontId="11" fillId="149" borderId="0" applyNumberFormat="0" applyFont="0" applyBorder="0" applyAlignment="0" applyProtection="0"/>
    <xf numFmtId="0" fontId="77" fillId="150" borderId="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1" fillId="0" borderId="0" applyNumberFormat="0" applyBorder="0" applyAlignment="0"/>
    <xf numFmtId="0" fontId="139" fillId="0" borderId="0"/>
    <xf numFmtId="0" fontId="139" fillId="0" borderId="0"/>
    <xf numFmtId="0" fontId="139" fillId="0" borderId="0"/>
    <xf numFmtId="0" fontId="31" fillId="0" borderId="0" applyNumberFormat="0" applyBorder="0" applyAlignment="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139" fillId="0" borderId="0"/>
    <xf numFmtId="0" fontId="31" fillId="0" borderId="0" applyNumberFormat="0" applyBorder="0" applyAlignment="0"/>
    <xf numFmtId="0" fontId="139" fillId="0" borderId="0"/>
    <xf numFmtId="0" fontId="139" fillId="0" borderId="0"/>
    <xf numFmtId="0" fontId="139" fillId="0" borderId="0"/>
    <xf numFmtId="0" fontId="139" fillId="0" borderId="0"/>
    <xf numFmtId="0" fontId="165" fillId="0" borderId="0" applyNumberFormat="0" applyBorder="0" applyAlignment="0"/>
    <xf numFmtId="0" fontId="166" fillId="0" borderId="0" applyNumberFormat="0" applyBorder="0" applyAlignment="0"/>
    <xf numFmtId="0" fontId="167" fillId="0" borderId="0"/>
    <xf numFmtId="0" fontId="167" fillId="0" borderId="0"/>
    <xf numFmtId="0" fontId="167" fillId="0" borderId="0"/>
    <xf numFmtId="0" fontId="166" fillId="0" borderId="0" applyNumberFormat="0" applyBorder="0" applyAlignment="0"/>
    <xf numFmtId="0" fontId="168"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7" fillId="0" borderId="0"/>
    <xf numFmtId="0" fontId="166" fillId="0" borderId="0" applyNumberFormat="0" applyBorder="0" applyAlignment="0"/>
    <xf numFmtId="0" fontId="167" fillId="0" borderId="0"/>
    <xf numFmtId="0" fontId="167" fillId="0" borderId="0"/>
    <xf numFmtId="0" fontId="167" fillId="0" borderId="0"/>
    <xf numFmtId="0" fontId="167" fillId="0" borderId="0"/>
    <xf numFmtId="0" fontId="169" fillId="0" borderId="0" applyNumberFormat="0" applyBorder="0" applyAlignment="0"/>
    <xf numFmtId="0" fontId="170" fillId="0" borderId="0"/>
    <xf numFmtId="0" fontId="170" fillId="0" borderId="0"/>
    <xf numFmtId="0" fontId="170" fillId="0" borderId="0"/>
    <xf numFmtId="0" fontId="169" fillId="0" borderId="0" applyNumberFormat="0" applyBorder="0" applyAlignment="0"/>
    <xf numFmtId="0" fontId="167"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70" fillId="0" borderId="0"/>
    <xf numFmtId="0" fontId="169" fillId="0" borderId="0" applyNumberFormat="0" applyBorder="0" applyAlignment="0"/>
    <xf numFmtId="0" fontId="170" fillId="0" borderId="0"/>
    <xf numFmtId="0" fontId="170" fillId="0" borderId="0"/>
    <xf numFmtId="0" fontId="170" fillId="0" borderId="0"/>
    <xf numFmtId="0" fontId="170" fillId="0" borderId="0"/>
    <xf numFmtId="0" fontId="171" fillId="0" borderId="0" applyNumberFormat="0" applyBorder="0" applyAlignment="0"/>
    <xf numFmtId="0" fontId="168" fillId="0" borderId="0"/>
    <xf numFmtId="0" fontId="168"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0" fillId="0" borderId="0"/>
    <xf numFmtId="0" fontId="172" fillId="105" borderId="0" applyNumberFormat="0" applyBorder="0" applyAlignment="0"/>
    <xf numFmtId="0" fontId="173"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2"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171" fillId="0" borderId="0" applyNumberFormat="0" applyBorder="0" applyAlignment="0"/>
    <xf numFmtId="0" fontId="32" fillId="0" borderId="0" applyNumberFormat="0" applyBorder="0" applyAlignment="0"/>
    <xf numFmtId="0" fontId="170" fillId="0" borderId="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72" fillId="105" borderId="0" applyNumberFormat="0" applyBorder="0" applyAlignment="0"/>
    <xf numFmtId="0" fontId="167" fillId="0" borderId="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74" fillId="0" borderId="0" applyNumberFormat="0" applyBorder="0" applyAlignment="0"/>
    <xf numFmtId="0" fontId="168" fillId="0" borderId="0"/>
    <xf numFmtId="0" fontId="175" fillId="0" borderId="0" applyFill="0" applyBorder="0" applyProtection="0">
      <alignment horizontal="left" vertical="top"/>
    </xf>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7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174" fontId="106" fillId="0" borderId="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0" fontId="110" fillId="0" borderId="0" applyNumberFormat="0" applyFill="0" applyBorder="0" applyAlignment="0" applyProtection="0"/>
    <xf numFmtId="185" fontId="110"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36" fillId="0" borderId="0" applyNumberFormat="0" applyFill="0" applyBorder="0" applyAlignment="0" applyProtection="0"/>
    <xf numFmtId="185" fontId="36" fillId="0" borderId="0" applyNumberFormat="0" applyFill="0" applyBorder="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177" fillId="0" borderId="65" applyNumberFormat="0" applyFill="0" applyAlignment="0" applyProtection="0"/>
    <xf numFmtId="185" fontId="11" fillId="0" borderId="90" applyNumberFormat="0" applyFont="0" applyFill="0" applyAlignment="0" applyProtection="0">
      <alignment vertical="top"/>
    </xf>
    <xf numFmtId="185" fontId="11" fillId="0" borderId="90" applyNumberFormat="0" applyFont="0" applyFill="0" applyAlignment="0" applyProtection="0">
      <alignment vertical="top"/>
    </xf>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0" fontId="25" fillId="0" borderId="86" applyNumberFormat="0" applyFill="0" applyAlignment="0" applyProtection="0"/>
    <xf numFmtId="0" fontId="177" fillId="0" borderId="65" applyNumberFormat="0" applyFill="0" applyAlignment="0" applyProtection="0"/>
    <xf numFmtId="185" fontId="25" fillId="0" borderId="86" applyNumberFormat="0" applyFill="0" applyAlignment="0" applyProtection="0"/>
    <xf numFmtId="0" fontId="49" fillId="0" borderId="65" applyNumberFormat="0" applyFill="0" applyAlignment="0" applyProtection="0"/>
    <xf numFmtId="0" fontId="177"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0" fontId="178"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25" fillId="0" borderId="86" applyNumberFormat="0" applyFill="0" applyAlignment="0" applyProtection="0"/>
    <xf numFmtId="185" fontId="25" fillId="0" borderId="86"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11" fillId="0" borderId="90" applyNumberFormat="0" applyFont="0" applyFill="0" applyAlignment="0" applyProtection="0">
      <alignment vertical="top"/>
    </xf>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0" fontId="49" fillId="0" borderId="65" applyNumberFormat="0" applyFill="0" applyAlignment="0" applyProtection="0"/>
    <xf numFmtId="185" fontId="49" fillId="0" borderId="65" applyNumberFormat="0" applyFill="0" applyAlignment="0" applyProtection="0"/>
    <xf numFmtId="185" fontId="49" fillId="0" borderId="65" applyNumberFormat="0" applyFill="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0"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9" fillId="0" borderId="0" applyNumberFormat="0" applyFill="0" applyBorder="0" applyAlignment="0" applyProtection="0"/>
    <xf numFmtId="185" fontId="109"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185" fontId="109" fillId="0" borderId="0" applyNumberFormat="0" applyFill="0" applyBorder="0" applyAlignment="0" applyProtection="0"/>
    <xf numFmtId="0" fontId="47" fillId="0" borderId="0" applyNumberFormat="0" applyFill="0" applyBorder="0" applyAlignment="0" applyProtection="0"/>
    <xf numFmtId="185"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64" fillId="0" borderId="0" applyNumberFormat="0" applyFill="0" applyBorder="0" applyAlignment="0" applyProtection="0"/>
    <xf numFmtId="0" fontId="109" fillId="0" borderId="0" applyNumberFormat="0" applyFill="0" applyBorder="0" applyAlignment="0" applyProtection="0"/>
    <xf numFmtId="0" fontId="47" fillId="0" borderId="0" applyNumberFormat="0" applyFill="0" applyBorder="0" applyAlignment="0" applyProtection="0"/>
    <xf numFmtId="0" fontId="40"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108" fillId="0" borderId="0" applyNumberFormat="0" applyFill="0" applyBorder="0" applyAlignment="0" applyProtection="0"/>
    <xf numFmtId="185" fontId="108"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0" fontId="64" fillId="0" borderId="0" applyNumberFormat="0" applyFill="0" applyBorder="0" applyAlignment="0" applyProtection="0"/>
    <xf numFmtId="185" fontId="64" fillId="0" borderId="0" applyNumberFormat="0" applyFill="0" applyBorder="0" applyAlignment="0" applyProtection="0"/>
    <xf numFmtId="185" fontId="108" fillId="0" borderId="0" applyNumberForma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185" fontId="12" fillId="0" borderId="34" applyFont="0" applyFill="0" applyBorder="0" applyAlignment="0" applyProtection="0"/>
    <xf numFmtId="0" fontId="12" fillId="0" borderId="34" applyFont="0" applyFill="0" applyBorder="0" applyAlignment="0" applyProtection="0"/>
    <xf numFmtId="0" fontId="11"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9" fillId="0" borderId="0"/>
  </cellStyleXfs>
  <cellXfs count="1693">
    <xf numFmtId="0" fontId="0" fillId="0" borderId="0" xfId="0"/>
    <xf numFmtId="0" fontId="11" fillId="0" borderId="0" xfId="5" applyFont="1" applyAlignment="1"/>
    <xf numFmtId="0" fontId="41" fillId="0" borderId="0" xfId="5" applyFont="1" applyAlignment="1">
      <alignment horizontal="centerContinuous"/>
    </xf>
    <xf numFmtId="0" fontId="42" fillId="0" borderId="0" xfId="5" applyFont="1" applyAlignment="1">
      <alignment horizontal="center"/>
    </xf>
    <xf numFmtId="0" fontId="43" fillId="0" borderId="0" xfId="0" applyFont="1" applyAlignment="1">
      <alignment horizontal="right"/>
    </xf>
    <xf numFmtId="0" fontId="42" fillId="0" borderId="0" xfId="0" applyFont="1" applyAlignment="1">
      <alignment horizontal="right"/>
    </xf>
    <xf numFmtId="0" fontId="42" fillId="0" borderId="53" xfId="5" applyFont="1" applyBorder="1" applyAlignment="1">
      <alignment horizontal="center"/>
    </xf>
    <xf numFmtId="0" fontId="43" fillId="0" borderId="53" xfId="0" applyFont="1" applyBorder="1" applyAlignment="1">
      <alignment horizontal="right"/>
    </xf>
    <xf numFmtId="0" fontId="42" fillId="0" borderId="0" xfId="5" applyFont="1"/>
    <xf numFmtId="0" fontId="42" fillId="0" borderId="0" xfId="5" applyFont="1" applyBorder="1" applyAlignment="1">
      <alignment horizontal="center"/>
    </xf>
    <xf numFmtId="0" fontId="42" fillId="0" borderId="0" xfId="5" applyFont="1" applyBorder="1"/>
    <xf numFmtId="184" fontId="42" fillId="0" borderId="0" xfId="4" applyNumberFormat="1" applyFont="1"/>
    <xf numFmtId="0" fontId="42" fillId="0" borderId="0" xfId="5" applyFont="1" applyAlignment="1">
      <alignment horizontal="center" vertical="center"/>
    </xf>
    <xf numFmtId="0" fontId="42" fillId="0" borderId="0" xfId="5" applyFont="1" applyFill="1" applyAlignment="1">
      <alignment vertical="center"/>
    </xf>
    <xf numFmtId="9" fontId="42" fillId="0" borderId="0" xfId="4" applyFont="1"/>
    <xf numFmtId="184" fontId="44" fillId="0" borderId="0" xfId="2" applyNumberFormat="1" applyFont="1" applyFill="1" applyBorder="1" applyAlignment="1">
      <alignment vertical="center"/>
    </xf>
    <xf numFmtId="0" fontId="42" fillId="0" borderId="0" xfId="5" applyFont="1" applyFill="1" applyBorder="1"/>
    <xf numFmtId="10" fontId="46" fillId="0" borderId="0" xfId="4" applyNumberFormat="1" applyFont="1"/>
    <xf numFmtId="0" fontId="43" fillId="38" borderId="26" xfId="5" applyFont="1" applyFill="1" applyBorder="1" applyAlignment="1">
      <alignment horizontal="left"/>
    </xf>
    <xf numFmtId="184" fontId="0" fillId="0" borderId="0" xfId="0" applyNumberFormat="1"/>
    <xf numFmtId="0" fontId="42" fillId="0" borderId="0" xfId="5" applyFont="1" applyFill="1" applyBorder="1" applyAlignment="1">
      <alignment horizontal="center"/>
    </xf>
    <xf numFmtId="184" fontId="46" fillId="0" borderId="0" xfId="2" applyNumberFormat="1" applyFont="1"/>
    <xf numFmtId="184" fontId="46" fillId="0" borderId="0" xfId="4" applyNumberFormat="1" applyFont="1"/>
    <xf numFmtId="184" fontId="46" fillId="0" borderId="0" xfId="2" applyNumberFormat="1" applyFont="1" applyFill="1"/>
    <xf numFmtId="0" fontId="11" fillId="0" borderId="0" xfId="5" applyFont="1" applyFill="1" applyAlignment="1"/>
    <xf numFmtId="184" fontId="43" fillId="39" borderId="14" xfId="2" applyNumberFormat="1" applyFont="1" applyFill="1" applyBorder="1"/>
    <xf numFmtId="184" fontId="43" fillId="39" borderId="11" xfId="2" applyNumberFormat="1" applyFont="1" applyFill="1" applyBorder="1"/>
    <xf numFmtId="37" fontId="48" fillId="0" borderId="0" xfId="0" applyNumberFormat="1" applyFont="1" applyBorder="1" applyAlignment="1"/>
    <xf numFmtId="0" fontId="0" fillId="0" borderId="0" xfId="0" applyFill="1"/>
    <xf numFmtId="0" fontId="42" fillId="0" borderId="0" xfId="5" applyFont="1" applyFill="1"/>
    <xf numFmtId="10" fontId="46" fillId="0" borderId="0" xfId="4" applyNumberFormat="1" applyFont="1" applyFill="1" applyBorder="1"/>
    <xf numFmtId="0" fontId="42" fillId="0" borderId="0" xfId="5" applyFont="1" applyFill="1" applyAlignment="1">
      <alignment horizontal="center"/>
    </xf>
    <xf numFmtId="0" fontId="43" fillId="0" borderId="0" xfId="0" applyFont="1" applyBorder="1" applyAlignment="1">
      <alignment horizontal="right"/>
    </xf>
    <xf numFmtId="0" fontId="43" fillId="0" borderId="0" xfId="0" applyFont="1" applyBorder="1" applyAlignment="1">
      <alignment horizontal="center"/>
    </xf>
    <xf numFmtId="0" fontId="7" fillId="0" borderId="0" xfId="0" quotePrefix="1" applyFont="1" applyBorder="1" applyAlignment="1">
      <alignment horizontal="center"/>
    </xf>
    <xf numFmtId="0" fontId="7" fillId="0" borderId="0" xfId="0" applyFont="1" applyBorder="1" applyAlignment="1">
      <alignment horizontal="center"/>
    </xf>
    <xf numFmtId="0" fontId="7" fillId="0" borderId="0" xfId="0" applyFont="1" applyFill="1" applyBorder="1" applyAlignment="1">
      <alignment horizontal="center"/>
    </xf>
    <xf numFmtId="0" fontId="5" fillId="0" borderId="0" xfId="0" applyFont="1" applyFill="1" applyBorder="1" applyAlignment="1">
      <alignment horizontal="center"/>
    </xf>
    <xf numFmtId="0" fontId="43" fillId="38" borderId="38" xfId="5" applyFont="1" applyFill="1" applyBorder="1" applyAlignment="1">
      <alignment horizontal="left"/>
    </xf>
    <xf numFmtId="184" fontId="43" fillId="0" borderId="0" xfId="2" applyNumberFormat="1" applyFont="1" applyFill="1" applyBorder="1"/>
    <xf numFmtId="184" fontId="43" fillId="0" borderId="38" xfId="2" applyNumberFormat="1" applyFont="1" applyFill="1" applyBorder="1"/>
    <xf numFmtId="184" fontId="43" fillId="0" borderId="14" xfId="2" applyNumberFormat="1" applyFont="1" applyFill="1" applyBorder="1"/>
    <xf numFmtId="0" fontId="18" fillId="0" borderId="38" xfId="0" applyFont="1" applyBorder="1" applyAlignment="1">
      <alignment horizontal="center" vertical="center"/>
    </xf>
    <xf numFmtId="0" fontId="70" fillId="0" borderId="0" xfId="5" applyFont="1" applyFill="1"/>
    <xf numFmtId="0" fontId="43" fillId="0" borderId="0" xfId="5" applyFont="1" applyFill="1" applyBorder="1" applyAlignment="1">
      <alignment horizontal="left"/>
    </xf>
    <xf numFmtId="0" fontId="43" fillId="0" borderId="0" xfId="5" applyFont="1" applyFill="1" applyBorder="1" applyAlignment="1">
      <alignment vertical="center" wrapText="1"/>
    </xf>
    <xf numFmtId="184" fontId="42" fillId="0" borderId="0" xfId="4" applyNumberFormat="1" applyFont="1" applyFill="1" applyBorder="1" applyAlignment="1">
      <alignment vertical="center"/>
    </xf>
    <xf numFmtId="167" fontId="42" fillId="0" borderId="0" xfId="1" applyNumberFormat="1" applyFont="1" applyFill="1" applyBorder="1"/>
    <xf numFmtId="9" fontId="42" fillId="0" borderId="0" xfId="4" applyFont="1" applyFill="1" applyBorder="1"/>
    <xf numFmtId="184" fontId="42" fillId="0" borderId="14" xfId="2" applyNumberFormat="1" applyFont="1" applyFill="1" applyBorder="1"/>
    <xf numFmtId="184" fontId="42" fillId="0" borderId="0" xfId="2" applyNumberFormat="1" applyFont="1" applyFill="1" applyBorder="1"/>
    <xf numFmtId="184" fontId="42" fillId="0" borderId="0" xfId="4" applyNumberFormat="1" applyFont="1" applyAlignment="1">
      <alignment horizontal="center"/>
    </xf>
    <xf numFmtId="0" fontId="0" fillId="134" borderId="0" xfId="0" applyFill="1"/>
    <xf numFmtId="0" fontId="0" fillId="134" borderId="7" xfId="0" applyFill="1" applyBorder="1"/>
    <xf numFmtId="0" fontId="0" fillId="134" borderId="0" xfId="0" applyFill="1" applyBorder="1"/>
    <xf numFmtId="0" fontId="42" fillId="134" borderId="0" xfId="0" applyFont="1" applyFill="1" applyBorder="1"/>
    <xf numFmtId="0" fontId="42" fillId="134" borderId="0" xfId="0" applyFont="1" applyFill="1"/>
    <xf numFmtId="0" fontId="43" fillId="134" borderId="0" xfId="0" applyFont="1" applyFill="1" applyBorder="1" applyAlignment="1">
      <alignment horizontal="right"/>
    </xf>
    <xf numFmtId="0" fontId="43" fillId="134" borderId="0" xfId="0" applyFont="1" applyFill="1" applyBorder="1" applyAlignment="1">
      <alignment horizontal="center"/>
    </xf>
    <xf numFmtId="0" fontId="43" fillId="134" borderId="0" xfId="0" applyFont="1" applyFill="1" applyAlignment="1">
      <alignment horizontal="center"/>
    </xf>
    <xf numFmtId="0" fontId="43" fillId="134" borderId="0" xfId="0" applyFont="1" applyFill="1"/>
    <xf numFmtId="0" fontId="42" fillId="134" borderId="0" xfId="0" applyFont="1" applyFill="1" applyAlignment="1">
      <alignment horizontal="center"/>
    </xf>
    <xf numFmtId="0" fontId="16" fillId="134" borderId="0" xfId="0" applyFont="1" applyFill="1"/>
    <xf numFmtId="0" fontId="11" fillId="134" borderId="0" xfId="5" applyFont="1" applyFill="1" applyAlignment="1"/>
    <xf numFmtId="0" fontId="180" fillId="134" borderId="0" xfId="0" applyFont="1" applyFill="1"/>
    <xf numFmtId="0" fontId="183" fillId="134" borderId="0" xfId="0" applyFont="1" applyFill="1"/>
    <xf numFmtId="0" fontId="50" fillId="134" borderId="9" xfId="0" applyFont="1" applyFill="1" applyBorder="1" applyAlignment="1">
      <alignment horizontal="center" vertical="center" wrapText="1"/>
    </xf>
    <xf numFmtId="0" fontId="50" fillId="134" borderId="40" xfId="0" applyFont="1" applyFill="1" applyBorder="1" applyAlignment="1">
      <alignment horizontal="center" vertical="center" wrapText="1"/>
    </xf>
    <xf numFmtId="0" fontId="50" fillId="134" borderId="7" xfId="0" applyFont="1" applyFill="1" applyBorder="1" applyAlignment="1">
      <alignment horizontal="center" vertical="center" wrapText="1"/>
    </xf>
    <xf numFmtId="0" fontId="50" fillId="134" borderId="0" xfId="0" applyFont="1" applyFill="1" applyBorder="1" applyAlignment="1">
      <alignment horizontal="center" vertical="center" wrapText="1"/>
    </xf>
    <xf numFmtId="0" fontId="50" fillId="134" borderId="1" xfId="0" applyFont="1" applyFill="1" applyBorder="1" applyAlignment="1">
      <alignment horizontal="center" vertical="center" wrapText="1"/>
    </xf>
    <xf numFmtId="0" fontId="42" fillId="134" borderId="5" xfId="5" applyFont="1" applyFill="1" applyBorder="1" applyAlignment="1">
      <alignment horizontal="center" vertical="center" wrapText="1"/>
    </xf>
    <xf numFmtId="0" fontId="50" fillId="134" borderId="14" xfId="0" applyFont="1" applyFill="1" applyBorder="1" applyAlignment="1">
      <alignment horizontal="center" vertical="center" wrapText="1"/>
    </xf>
    <xf numFmtId="0" fontId="50" fillId="134" borderId="48" xfId="0" applyFont="1" applyFill="1" applyBorder="1" applyAlignment="1">
      <alignment horizontal="center" vertical="center" wrapText="1"/>
    </xf>
    <xf numFmtId="0" fontId="50" fillId="134" borderId="22" xfId="0" applyFont="1" applyFill="1" applyBorder="1" applyAlignment="1">
      <alignment horizontal="center" vertical="center" wrapText="1"/>
    </xf>
    <xf numFmtId="0" fontId="42" fillId="134" borderId="54" xfId="5" applyFont="1" applyFill="1" applyBorder="1" applyAlignment="1">
      <alignment horizontal="center"/>
    </xf>
    <xf numFmtId="0" fontId="50" fillId="134" borderId="53" xfId="0" applyFont="1" applyFill="1" applyBorder="1" applyAlignment="1">
      <alignment horizontal="center" vertical="center" wrapText="1"/>
    </xf>
    <xf numFmtId="0" fontId="42" fillId="134" borderId="4" xfId="5" applyFont="1" applyFill="1" applyBorder="1" applyAlignment="1">
      <alignment horizontal="center"/>
    </xf>
    <xf numFmtId="0" fontId="51" fillId="134" borderId="0" xfId="0" applyFont="1" applyFill="1" applyBorder="1" applyAlignment="1">
      <alignment horizontal="center" vertical="center" wrapText="1"/>
    </xf>
    <xf numFmtId="0" fontId="42" fillId="134" borderId="0" xfId="0" quotePrefix="1" applyFont="1" applyFill="1" applyBorder="1" applyAlignment="1">
      <alignment horizontal="center"/>
    </xf>
    <xf numFmtId="184" fontId="50" fillId="134" borderId="0" xfId="2" applyNumberFormat="1" applyFont="1" applyFill="1" applyBorder="1"/>
    <xf numFmtId="184" fontId="50" fillId="134" borderId="0" xfId="0" applyNumberFormat="1" applyFont="1" applyFill="1" applyBorder="1"/>
    <xf numFmtId="184" fontId="50" fillId="134" borderId="40" xfId="0" applyNumberFormat="1" applyFont="1" applyFill="1" applyBorder="1"/>
    <xf numFmtId="10" fontId="50" fillId="134" borderId="7" xfId="4" applyNumberFormat="1" applyFont="1" applyFill="1" applyBorder="1" applyAlignment="1">
      <alignment horizontal="center"/>
    </xf>
    <xf numFmtId="10" fontId="50" fillId="134" borderId="0" xfId="4" applyNumberFormat="1" applyFont="1" applyFill="1" applyBorder="1" applyAlignment="1">
      <alignment horizontal="center"/>
    </xf>
    <xf numFmtId="10" fontId="50" fillId="134" borderId="1" xfId="4" applyNumberFormat="1" applyFont="1" applyFill="1" applyBorder="1" applyAlignment="1">
      <alignment horizontal="center"/>
    </xf>
    <xf numFmtId="0" fontId="42" fillId="134" borderId="0" xfId="0" applyFont="1" applyFill="1" applyBorder="1" applyAlignment="1">
      <alignment horizontal="center"/>
    </xf>
    <xf numFmtId="0" fontId="0" fillId="134" borderId="1" xfId="0" applyFill="1" applyBorder="1"/>
    <xf numFmtId="184" fontId="0" fillId="134" borderId="0" xfId="2" applyNumberFormat="1" applyFont="1" applyFill="1" applyBorder="1"/>
    <xf numFmtId="0" fontId="0" fillId="134" borderId="98" xfId="0" applyFill="1" applyBorder="1"/>
    <xf numFmtId="0" fontId="0" fillId="134" borderId="100" xfId="0" applyFill="1" applyBorder="1"/>
    <xf numFmtId="3" fontId="17" fillId="134" borderId="0" xfId="100" applyNumberFormat="1" applyFont="1" applyFill="1"/>
    <xf numFmtId="0" fontId="182" fillId="134" borderId="0" xfId="0" applyFont="1" applyFill="1"/>
    <xf numFmtId="0" fontId="181" fillId="134" borderId="22" xfId="0" quotePrefix="1" applyFont="1" applyFill="1" applyBorder="1" applyAlignment="1">
      <alignment horizontal="center" vertical="center" wrapText="1"/>
    </xf>
    <xf numFmtId="0" fontId="51" fillId="134" borderId="7" xfId="0" applyFont="1" applyFill="1" applyBorder="1" applyAlignment="1">
      <alignment horizontal="center" vertical="center" wrapText="1"/>
    </xf>
    <xf numFmtId="184" fontId="50" fillId="134" borderId="7" xfId="0" applyNumberFormat="1" applyFont="1" applyFill="1" applyBorder="1"/>
    <xf numFmtId="243" fontId="50" fillId="134" borderId="7" xfId="2" applyNumberFormat="1" applyFont="1" applyFill="1" applyBorder="1"/>
    <xf numFmtId="0" fontId="16" fillId="134" borderId="0" xfId="0" applyFont="1" applyFill="1" applyAlignment="1">
      <alignment vertical="center"/>
    </xf>
    <xf numFmtId="3" fontId="19" fillId="134" borderId="0" xfId="100" applyNumberFormat="1" applyFont="1" applyFill="1" applyAlignment="1">
      <alignment vertical="center"/>
    </xf>
    <xf numFmtId="3" fontId="19" fillId="134" borderId="0" xfId="100" applyNumberFormat="1" applyFont="1" applyFill="1"/>
    <xf numFmtId="184" fontId="16" fillId="134" borderId="0" xfId="0" applyNumberFormat="1" applyFont="1" applyFill="1"/>
    <xf numFmtId="168" fontId="0" fillId="134" borderId="0" xfId="0" applyNumberFormat="1" applyFill="1"/>
    <xf numFmtId="0" fontId="190" fillId="134" borderId="0" xfId="0" applyFont="1" applyFill="1" applyBorder="1" applyAlignment="1">
      <alignment horizontal="center"/>
    </xf>
    <xf numFmtId="0" fontId="50" fillId="134" borderId="0" xfId="0" applyFont="1" applyFill="1"/>
    <xf numFmtId="0" fontId="179" fillId="134" borderId="38" xfId="0" applyFont="1" applyFill="1" applyBorder="1" applyAlignment="1">
      <alignment horizontal="center"/>
    </xf>
    <xf numFmtId="0" fontId="42" fillId="134" borderId="2" xfId="5" applyFont="1" applyFill="1" applyBorder="1" applyAlignment="1">
      <alignment horizontal="center" vertical="center"/>
    </xf>
    <xf numFmtId="0" fontId="50" fillId="134" borderId="10" xfId="0" applyFont="1" applyFill="1" applyBorder="1" applyAlignment="1">
      <alignment horizontal="center" vertical="center" wrapText="1"/>
    </xf>
    <xf numFmtId="0" fontId="50" fillId="134" borderId="15" xfId="0" applyFont="1" applyFill="1" applyBorder="1" applyAlignment="1">
      <alignment horizontal="center" vertical="center" wrapText="1"/>
    </xf>
    <xf numFmtId="0" fontId="185" fillId="134" borderId="0" xfId="0" applyFont="1" applyFill="1" applyAlignment="1">
      <alignment horizontal="center"/>
    </xf>
    <xf numFmtId="0" fontId="181" fillId="134" borderId="53" xfId="0" applyFont="1" applyFill="1" applyBorder="1" applyAlignment="1">
      <alignment horizontal="center" vertical="center" wrapText="1"/>
    </xf>
    <xf numFmtId="0" fontId="50" fillId="134" borderId="3" xfId="0" applyFont="1" applyFill="1" applyBorder="1" applyAlignment="1">
      <alignment horizontal="center"/>
    </xf>
    <xf numFmtId="185" fontId="42" fillId="134" borderId="14" xfId="101" applyFont="1" applyFill="1" applyBorder="1" applyAlignment="1">
      <alignment horizontal="center"/>
    </xf>
    <xf numFmtId="37" fontId="42" fillId="134" borderId="14" xfId="101" applyNumberFormat="1" applyFont="1" applyFill="1" applyBorder="1" applyAlignment="1">
      <alignment horizontal="center"/>
    </xf>
    <xf numFmtId="167" fontId="42" fillId="134" borderId="14" xfId="143" applyNumberFormat="1" applyFont="1" applyFill="1" applyBorder="1" applyAlignment="1">
      <alignment horizontal="center"/>
    </xf>
    <xf numFmtId="168" fontId="42" fillId="134" borderId="16" xfId="143" applyNumberFormat="1" applyFont="1" applyFill="1" applyBorder="1" applyAlignment="1">
      <alignment horizontal="center"/>
    </xf>
    <xf numFmtId="37" fontId="42" fillId="134" borderId="0" xfId="101" applyNumberFormat="1" applyFont="1" applyFill="1" applyBorder="1" applyAlignment="1">
      <alignment horizontal="center"/>
    </xf>
    <xf numFmtId="167" fontId="42" fillId="134" borderId="0" xfId="143" applyNumberFormat="1" applyFont="1" applyFill="1" applyBorder="1" applyAlignment="1">
      <alignment horizontal="center"/>
    </xf>
    <xf numFmtId="168" fontId="42" fillId="134" borderId="3" xfId="143" applyNumberFormat="1" applyFont="1" applyFill="1" applyBorder="1" applyAlignment="1">
      <alignment horizontal="center"/>
    </xf>
    <xf numFmtId="168" fontId="42" fillId="134" borderId="26" xfId="143" applyNumberFormat="1" applyFont="1" applyFill="1" applyBorder="1" applyAlignment="1">
      <alignment horizontal="center"/>
    </xf>
    <xf numFmtId="168" fontId="42" fillId="134" borderId="38" xfId="143" applyNumberFormat="1" applyFont="1" applyFill="1" applyBorder="1" applyAlignment="1">
      <alignment horizontal="center"/>
    </xf>
    <xf numFmtId="0" fontId="50" fillId="152" borderId="10" xfId="0" applyFont="1" applyFill="1" applyBorder="1" applyAlignment="1">
      <alignment horizontal="center" vertical="center" wrapText="1"/>
    </xf>
    <xf numFmtId="0" fontId="50" fillId="152" borderId="9" xfId="0" applyFont="1" applyFill="1" applyBorder="1" applyAlignment="1">
      <alignment horizontal="center" vertical="center" wrapText="1"/>
    </xf>
    <xf numFmtId="168" fontId="42" fillId="134" borderId="0" xfId="0" applyNumberFormat="1" applyFont="1" applyFill="1" applyBorder="1"/>
    <xf numFmtId="168" fontId="42" fillId="134" borderId="14" xfId="0" applyNumberFormat="1" applyFont="1" applyFill="1" applyBorder="1"/>
    <xf numFmtId="0" fontId="43" fillId="134" borderId="14" xfId="0" applyFont="1" applyFill="1" applyBorder="1" applyAlignment="1">
      <alignment horizontal="center"/>
    </xf>
    <xf numFmtId="0" fontId="181" fillId="134" borderId="55" xfId="0" applyFont="1" applyFill="1" applyBorder="1" applyAlignment="1">
      <alignment horizontal="center" vertical="center" wrapText="1"/>
    </xf>
    <xf numFmtId="0" fontId="181" fillId="134" borderId="56" xfId="0" applyFont="1" applyFill="1" applyBorder="1" applyAlignment="1">
      <alignment horizontal="center" vertical="center" wrapText="1"/>
    </xf>
    <xf numFmtId="0" fontId="181" fillId="134" borderId="101" xfId="0" applyFont="1" applyFill="1" applyBorder="1" applyAlignment="1">
      <alignment horizontal="center" vertical="center" wrapText="1"/>
    </xf>
    <xf numFmtId="0" fontId="181" fillId="134" borderId="102" xfId="0" applyFont="1" applyFill="1" applyBorder="1" applyAlignment="1">
      <alignment horizontal="center" vertical="center" wrapText="1"/>
    </xf>
    <xf numFmtId="0" fontId="181" fillId="134" borderId="97" xfId="0" applyFont="1" applyFill="1" applyBorder="1" applyAlignment="1">
      <alignment horizontal="center" vertical="center" wrapText="1"/>
    </xf>
    <xf numFmtId="0" fontId="185" fillId="134" borderId="0" xfId="0" applyFont="1" applyFill="1"/>
    <xf numFmtId="168" fontId="185" fillId="134" borderId="0" xfId="0" applyNumberFormat="1" applyFont="1" applyFill="1"/>
    <xf numFmtId="0" fontId="186" fillId="134" borderId="0" xfId="0" applyFont="1" applyFill="1" applyBorder="1"/>
    <xf numFmtId="0" fontId="186" fillId="134" borderId="0" xfId="0" applyFont="1" applyFill="1" applyBorder="1" applyAlignment="1">
      <alignment horizontal="center"/>
    </xf>
    <xf numFmtId="0" fontId="192" fillId="134" borderId="0" xfId="0" applyFont="1" applyFill="1" applyBorder="1" applyAlignment="1">
      <alignment horizontal="right"/>
    </xf>
    <xf numFmtId="241" fontId="42" fillId="134" borderId="14" xfId="2" applyNumberFormat="1" applyFont="1" applyFill="1" applyBorder="1" applyAlignment="1">
      <alignment horizontal="center"/>
    </xf>
    <xf numFmtId="241" fontId="42" fillId="0" borderId="14" xfId="2" applyNumberFormat="1" applyFont="1" applyFill="1" applyBorder="1" applyAlignment="1">
      <alignment horizontal="center"/>
    </xf>
    <xf numFmtId="241" fontId="42" fillId="134" borderId="0" xfId="2" applyNumberFormat="1" applyFont="1" applyFill="1" applyBorder="1" applyAlignment="1">
      <alignment horizontal="center"/>
    </xf>
    <xf numFmtId="168" fontId="182" fillId="134" borderId="0" xfId="0" applyNumberFormat="1" applyFont="1" applyFill="1"/>
    <xf numFmtId="0" fontId="43" fillId="134" borderId="0" xfId="0" applyFont="1" applyFill="1" applyBorder="1"/>
    <xf numFmtId="171" fontId="42" fillId="134" borderId="0" xfId="0" applyNumberFormat="1" applyFont="1" applyFill="1"/>
    <xf numFmtId="0" fontId="42" fillId="134" borderId="17" xfId="0" applyFont="1" applyFill="1" applyBorder="1"/>
    <xf numFmtId="166" fontId="43" fillId="134" borderId="0" xfId="5" applyNumberFormat="1" applyFont="1" applyFill="1" applyBorder="1" applyAlignment="1">
      <alignment horizontal="center"/>
    </xf>
    <xf numFmtId="14" fontId="42" fillId="134" borderId="0" xfId="5" applyNumberFormat="1" applyFont="1" applyFill="1" applyBorder="1" applyAlignment="1">
      <alignment horizontal="center"/>
    </xf>
    <xf numFmtId="0" fontId="43" fillId="134" borderId="0" xfId="1" applyNumberFormat="1" applyFont="1" applyFill="1" applyAlignment="1">
      <alignment horizontal="center"/>
    </xf>
    <xf numFmtId="166" fontId="42" fillId="134" borderId="0" xfId="5" applyNumberFormat="1" applyFont="1" applyFill="1" applyBorder="1" applyAlignment="1">
      <alignment horizontal="center"/>
    </xf>
    <xf numFmtId="0" fontId="193" fillId="134" borderId="0" xfId="0" applyFont="1" applyFill="1" applyBorder="1" applyAlignment="1">
      <alignment horizontal="center"/>
    </xf>
    <xf numFmtId="0" fontId="42" fillId="134" borderId="0" xfId="0" applyFont="1" applyFill="1" applyAlignment="1"/>
    <xf numFmtId="0" fontId="43" fillId="134" borderId="7" xfId="0" applyFont="1" applyFill="1" applyBorder="1" applyAlignment="1">
      <alignment horizontal="center"/>
    </xf>
    <xf numFmtId="0" fontId="43" fillId="134" borderId="1" xfId="0" applyFont="1" applyFill="1" applyBorder="1" applyAlignment="1">
      <alignment horizontal="right"/>
    </xf>
    <xf numFmtId="0" fontId="43" fillId="134" borderId="0" xfId="0" applyFont="1" applyFill="1" applyAlignment="1">
      <alignment horizontal="right"/>
    </xf>
    <xf numFmtId="0" fontId="43" fillId="134" borderId="7" xfId="0" applyFont="1" applyFill="1" applyBorder="1" applyAlignment="1">
      <alignment horizontal="right"/>
    </xf>
    <xf numFmtId="0" fontId="43" fillId="134" borderId="48" xfId="0" applyFont="1" applyFill="1" applyBorder="1" applyAlignment="1">
      <alignment horizontal="center"/>
    </xf>
    <xf numFmtId="171" fontId="42" fillId="134" borderId="14" xfId="0" applyNumberFormat="1" applyFont="1" applyFill="1" applyBorder="1"/>
    <xf numFmtId="44" fontId="42" fillId="134" borderId="0" xfId="2" applyFont="1" applyFill="1" applyBorder="1"/>
    <xf numFmtId="7" fontId="42" fillId="134" borderId="7" xfId="2" applyNumberFormat="1" applyFont="1" applyFill="1" applyBorder="1"/>
    <xf numFmtId="7" fontId="42" fillId="134" borderId="0" xfId="2" applyNumberFormat="1" applyFont="1" applyFill="1" applyBorder="1"/>
    <xf numFmtId="171" fontId="42" fillId="134" borderId="0" xfId="0" applyNumberFormat="1" applyFont="1" applyFill="1" applyBorder="1"/>
    <xf numFmtId="171" fontId="42" fillId="134" borderId="1" xfId="0" applyNumberFormat="1" applyFont="1" applyFill="1" applyBorder="1"/>
    <xf numFmtId="171" fontId="42" fillId="134" borderId="27" xfId="0" applyNumberFormat="1" applyFont="1" applyFill="1" applyBorder="1"/>
    <xf numFmtId="171" fontId="44" fillId="134" borderId="0" xfId="0" applyNumberFormat="1" applyFont="1" applyFill="1" applyBorder="1"/>
    <xf numFmtId="0" fontId="42" fillId="134" borderId="14" xfId="0" applyFont="1" applyFill="1" applyBorder="1" applyAlignment="1">
      <alignment horizontal="center"/>
    </xf>
    <xf numFmtId="171" fontId="42" fillId="134" borderId="0" xfId="0" applyNumberFormat="1" applyFont="1" applyFill="1" applyBorder="1" applyAlignment="1"/>
    <xf numFmtId="171" fontId="42" fillId="134" borderId="14" xfId="0" applyNumberFormat="1" applyFont="1" applyFill="1" applyBorder="1" applyAlignment="1"/>
    <xf numFmtId="171" fontId="42" fillId="134" borderId="27" xfId="0" applyNumberFormat="1" applyFont="1" applyFill="1" applyBorder="1" applyAlignment="1"/>
    <xf numFmtId="171" fontId="42" fillId="134" borderId="12" xfId="0" applyNumberFormat="1" applyFont="1" applyFill="1" applyBorder="1" applyAlignment="1"/>
    <xf numFmtId="171" fontId="42" fillId="134" borderId="98" xfId="0" applyNumberFormat="1" applyFont="1" applyFill="1" applyBorder="1" applyAlignment="1"/>
    <xf numFmtId="171" fontId="44" fillId="134" borderId="12" xfId="0" applyNumberFormat="1" applyFont="1" applyFill="1" applyBorder="1" applyAlignment="1"/>
    <xf numFmtId="0" fontId="69" fillId="134" borderId="0" xfId="0" applyFont="1" applyFill="1"/>
    <xf numFmtId="37" fontId="43" fillId="134" borderId="0" xfId="0" applyNumberFormat="1" applyFont="1" applyFill="1" applyAlignment="1" applyProtection="1">
      <alignment horizontal="left"/>
    </xf>
    <xf numFmtId="37" fontId="196" fillId="134" borderId="0" xfId="0" applyNumberFormat="1" applyFont="1" applyFill="1" applyAlignment="1" applyProtection="1">
      <alignment horizontal="left"/>
    </xf>
    <xf numFmtId="168" fontId="42" fillId="134" borderId="0" xfId="0" applyNumberFormat="1" applyFont="1" applyFill="1"/>
    <xf numFmtId="0" fontId="43" fillId="134" borderId="12" xfId="0" applyFont="1" applyFill="1" applyBorder="1" applyAlignment="1">
      <alignment horizontal="center"/>
    </xf>
    <xf numFmtId="0" fontId="192" fillId="134" borderId="0" xfId="0" applyFont="1" applyFill="1" applyBorder="1"/>
    <xf numFmtId="0" fontId="186" fillId="134" borderId="0" xfId="0" applyFont="1" applyFill="1"/>
    <xf numFmtId="171" fontId="197" fillId="134" borderId="0" xfId="0" applyNumberFormat="1" applyFont="1" applyFill="1" applyBorder="1" applyAlignment="1">
      <alignment horizontal="center" vertical="center"/>
    </xf>
    <xf numFmtId="171" fontId="186" fillId="134" borderId="0" xfId="0" applyNumberFormat="1" applyFont="1" applyFill="1"/>
    <xf numFmtId="0" fontId="197" fillId="134" borderId="0" xfId="0" applyFont="1" applyFill="1" applyBorder="1" applyAlignment="1">
      <alignment horizontal="center" vertical="center"/>
    </xf>
    <xf numFmtId="0" fontId="186" fillId="134" borderId="0" xfId="0" applyFont="1" applyFill="1" applyAlignment="1">
      <alignment horizontal="center"/>
    </xf>
    <xf numFmtId="168" fontId="186" fillId="134" borderId="0" xfId="0" applyNumberFormat="1" applyFont="1" applyFill="1"/>
    <xf numFmtId="183" fontId="186" fillId="134" borderId="0" xfId="0" applyNumberFormat="1" applyFont="1" applyFill="1"/>
    <xf numFmtId="171" fontId="198" fillId="134" borderId="0" xfId="0" applyNumberFormat="1" applyFont="1" applyFill="1" applyAlignment="1">
      <alignment horizontal="center"/>
    </xf>
    <xf numFmtId="0" fontId="186" fillId="134" borderId="17" xfId="0" applyFont="1" applyFill="1" applyBorder="1"/>
    <xf numFmtId="0" fontId="186" fillId="152" borderId="92" xfId="0" applyFont="1" applyFill="1" applyBorder="1"/>
    <xf numFmtId="0" fontId="200" fillId="134" borderId="0" xfId="0" applyFont="1" applyFill="1" applyBorder="1" applyAlignment="1">
      <alignment horizontal="center"/>
    </xf>
    <xf numFmtId="166" fontId="192" fillId="134" borderId="0" xfId="5" applyNumberFormat="1" applyFont="1" applyFill="1" applyBorder="1" applyAlignment="1">
      <alignment horizontal="center"/>
    </xf>
    <xf numFmtId="0" fontId="192" fillId="134" borderId="7" xfId="0" applyFont="1" applyFill="1" applyBorder="1" applyAlignment="1">
      <alignment horizontal="center" vertical="center"/>
    </xf>
    <xf numFmtId="0" fontId="192" fillId="134" borderId="0" xfId="0" applyFont="1" applyFill="1" applyBorder="1" applyAlignment="1">
      <alignment horizontal="center" vertical="center"/>
    </xf>
    <xf numFmtId="14" fontId="201" fillId="152" borderId="92" xfId="0" applyNumberFormat="1" applyFont="1" applyFill="1" applyBorder="1" applyAlignment="1">
      <alignment horizontal="center" vertical="center"/>
    </xf>
    <xf numFmtId="166" fontId="192" fillId="134" borderId="0" xfId="5" applyNumberFormat="1" applyFont="1" applyFill="1" applyBorder="1" applyAlignment="1">
      <alignment horizontal="center" vertical="center"/>
    </xf>
    <xf numFmtId="14" fontId="192" fillId="134" borderId="7" xfId="0" applyNumberFormat="1" applyFont="1" applyFill="1" applyBorder="1" applyAlignment="1">
      <alignment horizontal="center" vertical="center"/>
    </xf>
    <xf numFmtId="14" fontId="192" fillId="134" borderId="0" xfId="0" applyNumberFormat="1" applyFont="1" applyFill="1" applyBorder="1" applyAlignment="1">
      <alignment horizontal="center" vertical="center"/>
    </xf>
    <xf numFmtId="14" fontId="192" fillId="134" borderId="1" xfId="0" applyNumberFormat="1" applyFont="1" applyFill="1" applyBorder="1" applyAlignment="1">
      <alignment horizontal="center" vertical="center"/>
    </xf>
    <xf numFmtId="0" fontId="186" fillId="134" borderId="0" xfId="0" applyFont="1" applyFill="1" applyBorder="1" applyAlignment="1">
      <alignment vertical="center"/>
    </xf>
    <xf numFmtId="14" fontId="186" fillId="134" borderId="0" xfId="5" applyNumberFormat="1" applyFont="1" applyFill="1" applyBorder="1" applyAlignment="1">
      <alignment horizontal="center"/>
    </xf>
    <xf numFmtId="0" fontId="192" fillId="134" borderId="0" xfId="1" applyNumberFormat="1" applyFont="1" applyFill="1" applyAlignment="1">
      <alignment horizontal="center"/>
    </xf>
    <xf numFmtId="0" fontId="192" fillId="152" borderId="92" xfId="0" applyFont="1" applyFill="1" applyBorder="1" applyAlignment="1">
      <alignment horizontal="center" vertical="center"/>
    </xf>
    <xf numFmtId="14" fontId="186" fillId="134" borderId="0" xfId="5" applyNumberFormat="1" applyFont="1" applyFill="1" applyBorder="1" applyAlignment="1">
      <alignment horizontal="center" vertical="center"/>
    </xf>
    <xf numFmtId="14" fontId="186" fillId="134" borderId="7" xfId="5" applyNumberFormat="1" applyFont="1" applyFill="1" applyBorder="1" applyAlignment="1">
      <alignment horizontal="center" vertical="center"/>
    </xf>
    <xf numFmtId="14" fontId="192" fillId="134" borderId="0" xfId="0" applyNumberFormat="1" applyFont="1" applyFill="1" applyAlignment="1">
      <alignment horizontal="center"/>
    </xf>
    <xf numFmtId="0" fontId="192" fillId="134" borderId="1" xfId="0" applyFont="1" applyFill="1" applyBorder="1" applyAlignment="1">
      <alignment horizontal="center" vertical="center"/>
    </xf>
    <xf numFmtId="166" fontId="186" fillId="134" borderId="0" xfId="5" applyNumberFormat="1" applyFont="1" applyFill="1" applyBorder="1" applyAlignment="1">
      <alignment horizontal="center"/>
    </xf>
    <xf numFmtId="0" fontId="192" fillId="134" borderId="0" xfId="0" applyFont="1" applyFill="1" applyAlignment="1">
      <alignment horizontal="center"/>
    </xf>
    <xf numFmtId="166" fontId="186" fillId="134" borderId="0" xfId="5" applyNumberFormat="1" applyFont="1" applyFill="1" applyBorder="1" applyAlignment="1">
      <alignment horizontal="center" vertical="center"/>
    </xf>
    <xf numFmtId="166" fontId="186" fillId="134" borderId="7" xfId="5" applyNumberFormat="1" applyFont="1" applyFill="1" applyBorder="1" applyAlignment="1">
      <alignment horizontal="center" vertical="center"/>
    </xf>
    <xf numFmtId="0" fontId="197" fillId="134" borderId="0" xfId="0" applyFont="1" applyFill="1" applyBorder="1" applyAlignment="1">
      <alignment horizontal="center"/>
    </xf>
    <xf numFmtId="0" fontId="186" fillId="134" borderId="0" xfId="0" applyFont="1" applyFill="1" applyAlignment="1"/>
    <xf numFmtId="0" fontId="192" fillId="134" borderId="12" xfId="0" applyFont="1" applyFill="1" applyBorder="1" applyAlignment="1">
      <alignment horizontal="center"/>
    </xf>
    <xf numFmtId="0" fontId="192" fillId="152" borderId="93" xfId="0" applyFont="1" applyFill="1" applyBorder="1" applyAlignment="1">
      <alignment horizontal="center" vertical="center"/>
    </xf>
    <xf numFmtId="0" fontId="192" fillId="134" borderId="7" xfId="0" applyFont="1" applyFill="1" applyBorder="1" applyAlignment="1">
      <alignment horizontal="center"/>
    </xf>
    <xf numFmtId="0" fontId="192" fillId="134" borderId="0" xfId="0" applyFont="1" applyFill="1" applyBorder="1" applyAlignment="1">
      <alignment horizontal="center"/>
    </xf>
    <xf numFmtId="0" fontId="192" fillId="134" borderId="1" xfId="0" applyFont="1" applyFill="1" applyBorder="1" applyAlignment="1">
      <alignment horizontal="right"/>
    </xf>
    <xf numFmtId="0" fontId="192" fillId="134" borderId="7" xfId="0" applyFont="1" applyFill="1" applyBorder="1" applyAlignment="1">
      <alignment horizontal="right"/>
    </xf>
    <xf numFmtId="0" fontId="203" fillId="134" borderId="0" xfId="0" applyFont="1" applyFill="1" applyBorder="1" applyAlignment="1">
      <alignment horizontal="center" vertical="center"/>
    </xf>
    <xf numFmtId="0" fontId="192" fillId="134" borderId="48" xfId="0" applyFont="1" applyFill="1" applyBorder="1" applyAlignment="1">
      <alignment horizontal="center"/>
    </xf>
    <xf numFmtId="0" fontId="192" fillId="134" borderId="14" xfId="0" applyFont="1" applyFill="1" applyBorder="1" applyAlignment="1">
      <alignment horizontal="center"/>
    </xf>
    <xf numFmtId="0" fontId="192" fillId="134" borderId="22" xfId="0" applyFont="1" applyFill="1" applyBorder="1" applyAlignment="1">
      <alignment horizontal="center"/>
    </xf>
    <xf numFmtId="0" fontId="192" fillId="152" borderId="94" xfId="0" applyFont="1" applyFill="1" applyBorder="1" applyAlignment="1">
      <alignment horizontal="center"/>
    </xf>
    <xf numFmtId="171" fontId="202" fillId="134" borderId="48" xfId="0" applyNumberFormat="1" applyFont="1" applyFill="1" applyBorder="1"/>
    <xf numFmtId="171" fontId="202" fillId="134" borderId="14" xfId="0" applyNumberFormat="1" applyFont="1" applyFill="1" applyBorder="1"/>
    <xf numFmtId="171" fontId="186" fillId="134" borderId="14" xfId="0" applyNumberFormat="1" applyFont="1" applyFill="1" applyBorder="1"/>
    <xf numFmtId="171" fontId="186" fillId="134" borderId="22" xfId="0" applyNumberFormat="1" applyFont="1" applyFill="1" applyBorder="1"/>
    <xf numFmtId="44" fontId="186" fillId="134" borderId="0" xfId="2" applyFont="1" applyFill="1" applyBorder="1"/>
    <xf numFmtId="171" fontId="186" fillId="134" borderId="48" xfId="0" applyNumberFormat="1" applyFont="1" applyFill="1" applyBorder="1"/>
    <xf numFmtId="7" fontId="186" fillId="134" borderId="7" xfId="2" applyNumberFormat="1" applyFont="1" applyFill="1" applyBorder="1"/>
    <xf numFmtId="7" fontId="186" fillId="134" borderId="0" xfId="2" applyNumberFormat="1" applyFont="1" applyFill="1" applyBorder="1"/>
    <xf numFmtId="171" fontId="186" fillId="134" borderId="0" xfId="0" applyNumberFormat="1" applyFont="1" applyFill="1" applyBorder="1"/>
    <xf numFmtId="171" fontId="186" fillId="134" borderId="1" xfId="0" applyNumberFormat="1" applyFont="1" applyFill="1" applyBorder="1"/>
    <xf numFmtId="171" fontId="202" fillId="134" borderId="0" xfId="0" applyNumberFormat="1" applyFont="1" applyFill="1" applyBorder="1"/>
    <xf numFmtId="171" fontId="202" fillId="134" borderId="7" xfId="0" applyNumberFormat="1" applyFont="1" applyFill="1" applyBorder="1"/>
    <xf numFmtId="171" fontId="186" fillId="134" borderId="7" xfId="0" applyNumberFormat="1" applyFont="1" applyFill="1" applyBorder="1"/>
    <xf numFmtId="171" fontId="204" fillId="134" borderId="0" xfId="0" applyNumberFormat="1" applyFont="1" applyFill="1" applyBorder="1"/>
    <xf numFmtId="171" fontId="202" fillId="134" borderId="7" xfId="0" applyNumberFormat="1" applyFont="1" applyFill="1" applyBorder="1" applyAlignment="1"/>
    <xf numFmtId="171" fontId="186" fillId="134" borderId="0" xfId="0" applyNumberFormat="1" applyFont="1" applyFill="1" applyBorder="1" applyAlignment="1"/>
    <xf numFmtId="171" fontId="202" fillId="134" borderId="0" xfId="0" applyNumberFormat="1" applyFont="1" applyFill="1" applyBorder="1" applyAlignment="1"/>
    <xf numFmtId="171" fontId="186" fillId="134" borderId="1" xfId="0" applyNumberFormat="1" applyFont="1" applyFill="1" applyBorder="1" applyAlignment="1"/>
    <xf numFmtId="171" fontId="186" fillId="134" borderId="7" xfId="0" applyNumberFormat="1" applyFont="1" applyFill="1" applyBorder="1" applyAlignment="1"/>
    <xf numFmtId="171" fontId="202" fillId="134" borderId="48" xfId="0" applyNumberFormat="1" applyFont="1" applyFill="1" applyBorder="1" applyAlignment="1"/>
    <xf numFmtId="171" fontId="186" fillId="134" borderId="14" xfId="0" applyNumberFormat="1" applyFont="1" applyFill="1" applyBorder="1" applyAlignment="1"/>
    <xf numFmtId="171" fontId="202" fillId="134" borderId="14" xfId="0" applyNumberFormat="1" applyFont="1" applyFill="1" applyBorder="1" applyAlignment="1"/>
    <xf numFmtId="171" fontId="186" fillId="134" borderId="22" xfId="0" applyNumberFormat="1" applyFont="1" applyFill="1" applyBorder="1" applyAlignment="1"/>
    <xf numFmtId="171" fontId="186" fillId="134" borderId="48" xfId="0" applyNumberFormat="1" applyFont="1" applyFill="1" applyBorder="1" applyAlignment="1"/>
    <xf numFmtId="171" fontId="202" fillId="134" borderId="44" xfId="0" applyNumberFormat="1" applyFont="1" applyFill="1" applyBorder="1" applyAlignment="1"/>
    <xf numFmtId="171" fontId="186" fillId="134" borderId="27" xfId="0" applyNumberFormat="1" applyFont="1" applyFill="1" applyBorder="1" applyAlignment="1"/>
    <xf numFmtId="171" fontId="202" fillId="134" borderId="27" xfId="0" applyNumberFormat="1" applyFont="1" applyFill="1" applyBorder="1" applyAlignment="1"/>
    <xf numFmtId="171" fontId="186" fillId="134" borderId="49" xfId="0" applyNumberFormat="1" applyFont="1" applyFill="1" applyBorder="1" applyAlignment="1"/>
    <xf numFmtId="171" fontId="186" fillId="134" borderId="44" xfId="0" applyNumberFormat="1" applyFont="1" applyFill="1" applyBorder="1" applyAlignment="1"/>
    <xf numFmtId="171" fontId="186" fillId="134" borderId="6" xfId="0" applyNumberFormat="1" applyFont="1" applyFill="1" applyBorder="1" applyAlignment="1"/>
    <xf numFmtId="171" fontId="186" fillId="134" borderId="98" xfId="0" applyNumberFormat="1" applyFont="1" applyFill="1" applyBorder="1" applyAlignment="1"/>
    <xf numFmtId="37" fontId="192" fillId="134" borderId="0" xfId="0" applyNumberFormat="1" applyFont="1" applyFill="1" applyAlignment="1" applyProtection="1">
      <alignment horizontal="left"/>
    </xf>
    <xf numFmtId="37" fontId="205" fillId="134" borderId="0" xfId="0" applyNumberFormat="1" applyFont="1" applyFill="1" applyAlignment="1" applyProtection="1">
      <alignment horizontal="left"/>
    </xf>
    <xf numFmtId="244" fontId="186" fillId="134" borderId="0" xfId="2" applyNumberFormat="1" applyFont="1" applyFill="1"/>
    <xf numFmtId="244" fontId="201" fillId="134" borderId="91" xfId="2" applyNumberFormat="1" applyFont="1" applyFill="1" applyBorder="1" applyAlignment="1">
      <alignment horizontal="center"/>
    </xf>
    <xf numFmtId="0" fontId="181" fillId="155" borderId="105" xfId="0" applyFont="1" applyFill="1" applyBorder="1" applyAlignment="1">
      <alignment horizontal="center" vertical="center" wrapText="1"/>
    </xf>
    <xf numFmtId="168" fontId="43" fillId="155" borderId="42" xfId="143" applyNumberFormat="1" applyFont="1" applyFill="1" applyBorder="1" applyAlignment="1">
      <alignment horizontal="center"/>
    </xf>
    <xf numFmtId="168" fontId="43" fillId="155" borderId="40" xfId="143" applyNumberFormat="1" applyFont="1" applyFill="1" applyBorder="1" applyAlignment="1">
      <alignment horizontal="center"/>
    </xf>
    <xf numFmtId="168" fontId="43" fillId="155" borderId="67" xfId="143" applyNumberFormat="1" applyFont="1" applyFill="1" applyBorder="1" applyAlignment="1">
      <alignment horizontal="center"/>
    </xf>
    <xf numFmtId="0" fontId="43" fillId="155" borderId="104" xfId="0" applyFont="1" applyFill="1" applyBorder="1" applyAlignment="1">
      <alignment horizontal="center"/>
    </xf>
    <xf numFmtId="0" fontId="191" fillId="156" borderId="104" xfId="0" applyFont="1" applyFill="1" applyBorder="1" applyAlignment="1">
      <alignment horizontal="center"/>
    </xf>
    <xf numFmtId="0" fontId="181" fillId="156" borderId="105" xfId="0" applyFont="1" applyFill="1" applyBorder="1" applyAlignment="1">
      <alignment horizontal="center" vertical="center" wrapText="1"/>
    </xf>
    <xf numFmtId="168" fontId="43" fillId="156" borderId="42" xfId="143" applyNumberFormat="1" applyFont="1" applyFill="1" applyBorder="1" applyAlignment="1">
      <alignment horizontal="center"/>
    </xf>
    <xf numFmtId="168" fontId="43" fillId="156" borderId="40" xfId="143" applyNumberFormat="1" applyFont="1" applyFill="1" applyBorder="1" applyAlignment="1">
      <alignment horizontal="center"/>
    </xf>
    <xf numFmtId="168" fontId="43" fillId="156" borderId="67" xfId="143" applyNumberFormat="1" applyFont="1" applyFill="1" applyBorder="1" applyAlignment="1">
      <alignment horizontal="center"/>
    </xf>
    <xf numFmtId="0" fontId="195" fillId="134" borderId="0" xfId="1" applyNumberFormat="1" applyFont="1" applyFill="1" applyAlignment="1">
      <alignment horizontal="center"/>
    </xf>
    <xf numFmtId="5" fontId="42" fillId="134" borderId="0" xfId="0" applyNumberFormat="1" applyFont="1" applyFill="1"/>
    <xf numFmtId="166" fontId="42" fillId="134" borderId="0" xfId="4" applyNumberFormat="1" applyFont="1" applyFill="1"/>
    <xf numFmtId="166" fontId="42" fillId="134" borderId="17" xfId="5" applyNumberFormat="1" applyFont="1" applyFill="1" applyBorder="1" applyAlignment="1">
      <alignment horizontal="center"/>
    </xf>
    <xf numFmtId="166" fontId="42" fillId="134" borderId="18" xfId="5" applyNumberFormat="1" applyFont="1" applyFill="1" applyBorder="1" applyAlignment="1">
      <alignment horizontal="center"/>
    </xf>
    <xf numFmtId="166" fontId="42" fillId="134" borderId="21" xfId="5" applyNumberFormat="1" applyFont="1" applyFill="1" applyBorder="1" applyAlignment="1">
      <alignment horizontal="center"/>
    </xf>
    <xf numFmtId="5" fontId="42" fillId="134" borderId="7" xfId="0" applyNumberFormat="1" applyFont="1" applyFill="1" applyBorder="1"/>
    <xf numFmtId="5" fontId="42" fillId="134" borderId="0" xfId="0" applyNumberFormat="1" applyFont="1" applyFill="1" applyBorder="1"/>
    <xf numFmtId="5" fontId="42" fillId="134" borderId="1" xfId="0" applyNumberFormat="1" applyFont="1" applyFill="1" applyBorder="1"/>
    <xf numFmtId="184" fontId="42" fillId="134" borderId="0" xfId="2" applyNumberFormat="1" applyFont="1" applyFill="1"/>
    <xf numFmtId="0" fontId="42" fillId="134" borderId="7" xfId="0" applyFont="1" applyFill="1" applyBorder="1"/>
    <xf numFmtId="166" fontId="42" fillId="134" borderId="1" xfId="5" applyNumberFormat="1" applyFont="1" applyFill="1" applyBorder="1" applyAlignment="1">
      <alignment horizontal="center"/>
    </xf>
    <xf numFmtId="0" fontId="42" fillId="134" borderId="6" xfId="0" applyFont="1" applyFill="1" applyBorder="1"/>
    <xf numFmtId="0" fontId="42" fillId="134" borderId="12" xfId="0" applyFont="1" applyFill="1" applyBorder="1"/>
    <xf numFmtId="5" fontId="42" fillId="134" borderId="13" xfId="0" applyNumberFormat="1" applyFont="1" applyFill="1" applyBorder="1"/>
    <xf numFmtId="0" fontId="42" fillId="134" borderId="0" xfId="5" applyFont="1" applyFill="1" applyBorder="1" applyAlignment="1">
      <alignment horizontal="center"/>
    </xf>
    <xf numFmtId="0" fontId="44" fillId="134" borderId="0" xfId="5" applyFont="1" applyFill="1" applyBorder="1" applyAlignment="1">
      <alignment horizontal="center" vertical="center"/>
    </xf>
    <xf numFmtId="176" fontId="42" fillId="134" borderId="0" xfId="0" applyNumberFormat="1" applyFont="1" applyFill="1"/>
    <xf numFmtId="184" fontId="42" fillId="134" borderId="9" xfId="2" applyNumberFormat="1" applyFont="1" applyFill="1" applyBorder="1"/>
    <xf numFmtId="0" fontId="42" fillId="134" borderId="18" xfId="0" applyFont="1" applyFill="1" applyBorder="1"/>
    <xf numFmtId="0" fontId="42" fillId="134" borderId="21" xfId="0" applyFont="1" applyFill="1" applyBorder="1"/>
    <xf numFmtId="0" fontId="42" fillId="134" borderId="7" xfId="5" applyFont="1" applyFill="1" applyBorder="1" applyAlignment="1">
      <alignment horizontal="center"/>
    </xf>
    <xf numFmtId="0" fontId="42" fillId="134" borderId="1" xfId="5" applyFont="1" applyFill="1" applyBorder="1" applyAlignment="1">
      <alignment horizontal="center"/>
    </xf>
    <xf numFmtId="0" fontId="42" fillId="134" borderId="6" xfId="5" applyFont="1" applyFill="1" applyBorder="1" applyAlignment="1">
      <alignment horizontal="center"/>
    </xf>
    <xf numFmtId="0" fontId="42" fillId="134" borderId="12" xfId="5" applyFont="1" applyFill="1" applyBorder="1" applyAlignment="1">
      <alignment horizontal="center"/>
    </xf>
    <xf numFmtId="0" fontId="42" fillId="134" borderId="13" xfId="5" applyFont="1" applyFill="1" applyBorder="1" applyAlignment="1">
      <alignment horizontal="center"/>
    </xf>
    <xf numFmtId="166" fontId="42" fillId="134" borderId="7" xfId="5" applyNumberFormat="1" applyFont="1" applyFill="1" applyBorder="1" applyAlignment="1">
      <alignment horizontal="center"/>
    </xf>
    <xf numFmtId="0" fontId="193" fillId="134" borderId="7" xfId="0" applyFont="1" applyFill="1" applyBorder="1" applyAlignment="1">
      <alignment horizontal="center"/>
    </xf>
    <xf numFmtId="0" fontId="193" fillId="134" borderId="1" xfId="0" applyFont="1" applyFill="1" applyBorder="1" applyAlignment="1">
      <alignment horizontal="center"/>
    </xf>
    <xf numFmtId="184" fontId="42" fillId="134" borderId="2" xfId="2" applyNumberFormat="1" applyFont="1" applyFill="1" applyBorder="1" applyAlignment="1">
      <alignment horizontal="center"/>
    </xf>
    <xf numFmtId="0" fontId="42" fillId="134" borderId="0" xfId="0" applyFont="1" applyFill="1" applyBorder="1" applyAlignment="1">
      <alignment horizontal="left"/>
    </xf>
    <xf numFmtId="0" fontId="43" fillId="134" borderId="98" xfId="0" applyFont="1" applyFill="1" applyBorder="1" applyAlignment="1">
      <alignment horizontal="center"/>
    </xf>
    <xf numFmtId="0" fontId="43" fillId="134" borderId="99" xfId="0" applyFont="1" applyFill="1" applyBorder="1" applyAlignment="1">
      <alignment horizontal="center"/>
    </xf>
    <xf numFmtId="0" fontId="43" fillId="134" borderId="100" xfId="0" applyFont="1" applyFill="1" applyBorder="1" applyAlignment="1">
      <alignment horizontal="center"/>
    </xf>
    <xf numFmtId="0" fontId="43" fillId="134" borderId="1" xfId="0" applyFont="1" applyFill="1" applyBorder="1" applyAlignment="1">
      <alignment horizontal="center"/>
    </xf>
    <xf numFmtId="37" fontId="42" fillId="134" borderId="7" xfId="0" applyNumberFormat="1" applyFont="1" applyFill="1" applyBorder="1"/>
    <xf numFmtId="37" fontId="42" fillId="134" borderId="0" xfId="0" applyNumberFormat="1" applyFont="1" applyFill="1" applyBorder="1"/>
    <xf numFmtId="170" fontId="42" fillId="134" borderId="0" xfId="0" applyNumberFormat="1" applyFont="1" applyFill="1" applyBorder="1"/>
    <xf numFmtId="170" fontId="42" fillId="134" borderId="1" xfId="0" applyNumberFormat="1" applyFont="1" applyFill="1" applyBorder="1"/>
    <xf numFmtId="176" fontId="42" fillId="134" borderId="51" xfId="0" applyNumberFormat="1" applyFont="1" applyFill="1" applyBorder="1"/>
    <xf numFmtId="176" fontId="42" fillId="134" borderId="24" xfId="0" applyNumberFormat="1" applyFont="1" applyFill="1" applyBorder="1"/>
    <xf numFmtId="176" fontId="42" fillId="134" borderId="52" xfId="0" applyNumberFormat="1" applyFont="1" applyFill="1" applyBorder="1"/>
    <xf numFmtId="176" fontId="42" fillId="134" borderId="0" xfId="2" applyNumberFormat="1" applyFont="1" applyFill="1" applyBorder="1"/>
    <xf numFmtId="176" fontId="42" fillId="134" borderId="48" xfId="0" applyNumberFormat="1" applyFont="1" applyFill="1" applyBorder="1"/>
    <xf numFmtId="176" fontId="42" fillId="134" borderId="14" xfId="0" applyNumberFormat="1" applyFont="1" applyFill="1" applyBorder="1"/>
    <xf numFmtId="176" fontId="42" fillId="134" borderId="22" xfId="0" applyNumberFormat="1" applyFont="1" applyFill="1" applyBorder="1"/>
    <xf numFmtId="176" fontId="42" fillId="134" borderId="0" xfId="0" applyNumberFormat="1" applyFont="1" applyFill="1" applyBorder="1"/>
    <xf numFmtId="5" fontId="42" fillId="134" borderId="0" xfId="2" applyNumberFormat="1" applyFont="1" applyFill="1" applyBorder="1"/>
    <xf numFmtId="37" fontId="44" fillId="134" borderId="0" xfId="0" applyNumberFormat="1" applyFont="1" applyFill="1" applyBorder="1"/>
    <xf numFmtId="171" fontId="42" fillId="134" borderId="9" xfId="0" applyNumberFormat="1" applyFont="1" applyFill="1" applyBorder="1"/>
    <xf numFmtId="176" fontId="42" fillId="134" borderId="7" xfId="0" applyNumberFormat="1" applyFont="1" applyFill="1" applyBorder="1"/>
    <xf numFmtId="176" fontId="42" fillId="134" borderId="1" xfId="0" applyNumberFormat="1" applyFont="1" applyFill="1" applyBorder="1"/>
    <xf numFmtId="176" fontId="43" fillId="134" borderId="48" xfId="0" applyNumberFormat="1" applyFont="1" applyFill="1" applyBorder="1"/>
    <xf numFmtId="176" fontId="43" fillId="134" borderId="14" xfId="0" applyNumberFormat="1" applyFont="1" applyFill="1" applyBorder="1"/>
    <xf numFmtId="176" fontId="43" fillId="134" borderId="22" xfId="0" applyNumberFormat="1" applyFont="1" applyFill="1" applyBorder="1"/>
    <xf numFmtId="186" fontId="42" fillId="134" borderId="0" xfId="2" applyNumberFormat="1" applyFont="1" applyFill="1" applyBorder="1"/>
    <xf numFmtId="166" fontId="42" fillId="134" borderId="0" xfId="4" applyNumberFormat="1" applyFont="1" applyFill="1" applyBorder="1"/>
    <xf numFmtId="176" fontId="42" fillId="134" borderId="0" xfId="0" applyNumberFormat="1" applyFont="1" applyFill="1" applyBorder="1" applyAlignment="1"/>
    <xf numFmtId="176" fontId="42" fillId="134" borderId="14" xfId="0" applyNumberFormat="1" applyFont="1" applyFill="1" applyBorder="1" applyAlignment="1"/>
    <xf numFmtId="176" fontId="42" fillId="134" borderId="48" xfId="0" applyNumberFormat="1" applyFont="1" applyFill="1" applyBorder="1" applyAlignment="1"/>
    <xf numFmtId="176" fontId="42" fillId="134" borderId="22" xfId="0" applyNumberFormat="1" applyFont="1" applyFill="1" applyBorder="1" applyAlignment="1"/>
    <xf numFmtId="176" fontId="42" fillId="134" borderId="6" xfId="0" applyNumberFormat="1" applyFont="1" applyFill="1" applyBorder="1" applyAlignment="1"/>
    <xf numFmtId="176" fontId="42" fillId="134" borderId="12" xfId="0" applyNumberFormat="1" applyFont="1" applyFill="1" applyBorder="1" applyAlignment="1"/>
    <xf numFmtId="176" fontId="42" fillId="134" borderId="13" xfId="0" applyNumberFormat="1" applyFont="1" applyFill="1" applyBorder="1" applyAlignment="1"/>
    <xf numFmtId="37" fontId="42" fillId="134" borderId="0" xfId="0" applyNumberFormat="1" applyFont="1" applyFill="1"/>
    <xf numFmtId="176" fontId="43" fillId="134" borderId="0" xfId="0" applyNumberFormat="1" applyFont="1" applyFill="1" applyBorder="1"/>
    <xf numFmtId="14" fontId="43" fillId="134" borderId="7" xfId="0" applyNumberFormat="1" applyFont="1" applyFill="1" applyBorder="1" applyAlignment="1">
      <alignment horizontal="center"/>
    </xf>
    <xf numFmtId="14" fontId="43" fillId="134" borderId="0" xfId="0" applyNumberFormat="1" applyFont="1" applyFill="1" applyBorder="1" applyAlignment="1">
      <alignment horizontal="center"/>
    </xf>
    <xf numFmtId="14" fontId="43" fillId="134" borderId="1" xfId="0" applyNumberFormat="1" applyFont="1" applyFill="1" applyBorder="1" applyAlignment="1">
      <alignment horizontal="center"/>
    </xf>
    <xf numFmtId="14" fontId="42" fillId="134" borderId="7" xfId="5" applyNumberFormat="1" applyFont="1" applyFill="1" applyBorder="1" applyAlignment="1">
      <alignment horizontal="center"/>
    </xf>
    <xf numFmtId="166" fontId="42" fillId="134" borderId="6" xfId="5" applyNumberFormat="1" applyFont="1" applyFill="1" applyBorder="1" applyAlignment="1">
      <alignment horizontal="center"/>
    </xf>
    <xf numFmtId="166" fontId="42" fillId="134" borderId="12" xfId="5" applyNumberFormat="1" applyFont="1" applyFill="1" applyBorder="1" applyAlignment="1">
      <alignment horizontal="center"/>
    </xf>
    <xf numFmtId="0" fontId="43" fillId="134" borderId="17" xfId="0" applyFont="1" applyFill="1" applyBorder="1" applyAlignment="1">
      <alignment horizontal="right"/>
    </xf>
    <xf numFmtId="0" fontId="43" fillId="134" borderId="18" xfId="0" applyFont="1" applyFill="1" applyBorder="1" applyAlignment="1">
      <alignment horizontal="right"/>
    </xf>
    <xf numFmtId="0" fontId="43" fillId="134" borderId="21" xfId="0" applyFont="1" applyFill="1" applyBorder="1" applyAlignment="1">
      <alignment horizontal="right"/>
    </xf>
    <xf numFmtId="10" fontId="42" fillId="134" borderId="0" xfId="4" applyNumberFormat="1" applyFont="1" applyFill="1" applyBorder="1"/>
    <xf numFmtId="166" fontId="43" fillId="134" borderId="0" xfId="4" applyNumberFormat="1" applyFont="1" applyFill="1" applyBorder="1" applyAlignment="1">
      <alignment horizontal="center"/>
    </xf>
    <xf numFmtId="166" fontId="42" fillId="134" borderId="0" xfId="4" applyNumberFormat="1" applyFont="1" applyFill="1" applyBorder="1" applyAlignment="1">
      <alignment horizontal="center"/>
    </xf>
    <xf numFmtId="0" fontId="50" fillId="151" borderId="38" xfId="0" applyFont="1" applyFill="1" applyBorder="1" applyAlignment="1">
      <alignment horizontal="center" vertical="center" wrapText="1"/>
    </xf>
    <xf numFmtId="0" fontId="181" fillId="151" borderId="38" xfId="0" applyFont="1" applyFill="1" applyBorder="1" applyAlignment="1">
      <alignment horizontal="center" vertical="center" wrapText="1"/>
    </xf>
    <xf numFmtId="168" fontId="42" fillId="151" borderId="16" xfId="143" applyNumberFormat="1" applyFont="1" applyFill="1" applyBorder="1" applyAlignment="1">
      <alignment horizontal="center"/>
    </xf>
    <xf numFmtId="168" fontId="42" fillId="151" borderId="3" xfId="143" applyNumberFormat="1" applyFont="1" applyFill="1" applyBorder="1" applyAlignment="1">
      <alignment horizontal="center"/>
    </xf>
    <xf numFmtId="168" fontId="42" fillId="151" borderId="38" xfId="143" applyNumberFormat="1" applyFont="1" applyFill="1" applyBorder="1" applyAlignment="1">
      <alignment horizontal="center"/>
    </xf>
    <xf numFmtId="0" fontId="50" fillId="154" borderId="38" xfId="0" applyFont="1" applyFill="1" applyBorder="1" applyAlignment="1">
      <alignment horizontal="center" vertical="center" wrapText="1"/>
    </xf>
    <xf numFmtId="0" fontId="181" fillId="154" borderId="38" xfId="0" applyFont="1" applyFill="1" applyBorder="1" applyAlignment="1">
      <alignment horizontal="center" vertical="center" wrapText="1"/>
    </xf>
    <xf numFmtId="168" fontId="42" fillId="154" borderId="16" xfId="143" applyNumberFormat="1" applyFont="1" applyFill="1" applyBorder="1" applyAlignment="1">
      <alignment horizontal="center"/>
    </xf>
    <xf numFmtId="168" fontId="42" fillId="154" borderId="3" xfId="143" applyNumberFormat="1" applyFont="1" applyFill="1" applyBorder="1" applyAlignment="1">
      <alignment horizontal="center"/>
    </xf>
    <xf numFmtId="168" fontId="42" fillId="154" borderId="38" xfId="143" applyNumberFormat="1" applyFont="1" applyFill="1" applyBorder="1" applyAlignment="1">
      <alignment horizontal="center"/>
    </xf>
    <xf numFmtId="39" fontId="42" fillId="134" borderId="0" xfId="0" applyNumberFormat="1" applyFont="1" applyFill="1"/>
    <xf numFmtId="7" fontId="42" fillId="134" borderId="0" xfId="0" applyNumberFormat="1" applyFont="1" applyFill="1"/>
    <xf numFmtId="14" fontId="42" fillId="134" borderId="0" xfId="0" applyNumberFormat="1" applyFont="1" applyFill="1" applyAlignment="1">
      <alignment horizontal="center"/>
    </xf>
    <xf numFmtId="14" fontId="44" fillId="134" borderId="0" xfId="0" applyNumberFormat="1" applyFont="1" applyFill="1" applyAlignment="1">
      <alignment horizontal="center"/>
    </xf>
    <xf numFmtId="14" fontId="44" fillId="134" borderId="7" xfId="0" applyNumberFormat="1" applyFont="1" applyFill="1" applyBorder="1" applyAlignment="1">
      <alignment horizontal="center"/>
    </xf>
    <xf numFmtId="14" fontId="42" fillId="134" borderId="0" xfId="0" applyNumberFormat="1" applyFont="1" applyFill="1" applyBorder="1" applyAlignment="1">
      <alignment horizontal="center"/>
    </xf>
    <xf numFmtId="14" fontId="42" fillId="134" borderId="40" xfId="0" applyNumberFormat="1" applyFont="1" applyFill="1" applyBorder="1" applyAlignment="1">
      <alignment horizontal="center"/>
    </xf>
    <xf numFmtId="0" fontId="42" fillId="134" borderId="12" xfId="0" applyFont="1" applyFill="1" applyBorder="1" applyAlignment="1">
      <alignment horizontal="center"/>
    </xf>
    <xf numFmtId="0" fontId="42" fillId="134" borderId="98" xfId="0" applyFont="1" applyFill="1" applyBorder="1" applyAlignment="1">
      <alignment horizontal="center"/>
    </xf>
    <xf numFmtId="0" fontId="43" fillId="134" borderId="41" xfId="0" applyFont="1" applyFill="1" applyBorder="1" applyAlignment="1">
      <alignment horizontal="center"/>
    </xf>
    <xf numFmtId="0" fontId="43" fillId="134" borderId="18" xfId="0" applyFont="1" applyFill="1" applyBorder="1" applyAlignment="1">
      <alignment horizontal="center"/>
    </xf>
    <xf numFmtId="0" fontId="43" fillId="134" borderId="39" xfId="0" applyFont="1" applyFill="1" applyBorder="1" applyAlignment="1">
      <alignment horizontal="right"/>
    </xf>
    <xf numFmtId="0" fontId="43" fillId="134" borderId="42" xfId="0" applyFont="1" applyFill="1" applyBorder="1" applyAlignment="1">
      <alignment horizontal="center"/>
    </xf>
    <xf numFmtId="37" fontId="42" fillId="134" borderId="14" xfId="0" applyNumberFormat="1" applyFont="1" applyFill="1" applyBorder="1"/>
    <xf numFmtId="171" fontId="42" fillId="134" borderId="14" xfId="0" applyNumberFormat="1" applyFont="1" applyFill="1" applyBorder="1" applyAlignment="1">
      <alignment horizontal="center"/>
    </xf>
    <xf numFmtId="170" fontId="42" fillId="134" borderId="14" xfId="0" applyNumberFormat="1" applyFont="1" applyFill="1" applyBorder="1"/>
    <xf numFmtId="7" fontId="42" fillId="134" borderId="14" xfId="0" applyNumberFormat="1" applyFont="1" applyFill="1" applyBorder="1"/>
    <xf numFmtId="168" fontId="42" fillId="134" borderId="48" xfId="0" applyNumberFormat="1" applyFont="1" applyFill="1" applyBorder="1"/>
    <xf numFmtId="166" fontId="42" fillId="134" borderId="42" xfId="4" applyNumberFormat="1" applyFont="1" applyFill="1" applyBorder="1"/>
    <xf numFmtId="166" fontId="42" fillId="134" borderId="0" xfId="0" applyNumberFormat="1" applyFont="1" applyFill="1" applyBorder="1"/>
    <xf numFmtId="37" fontId="42" fillId="134" borderId="0" xfId="0" applyNumberFormat="1" applyFont="1" applyFill="1" applyBorder="1" applyAlignment="1">
      <alignment horizontal="center"/>
    </xf>
    <xf numFmtId="7" fontId="42" fillId="134" borderId="0" xfId="0" applyNumberFormat="1" applyFont="1" applyFill="1" applyBorder="1"/>
    <xf numFmtId="168" fontId="42" fillId="134" borderId="7" xfId="0" applyNumberFormat="1" applyFont="1" applyFill="1" applyBorder="1"/>
    <xf numFmtId="166" fontId="42" fillId="134" borderId="40" xfId="4" applyNumberFormat="1" applyFont="1" applyFill="1" applyBorder="1"/>
    <xf numFmtId="37" fontId="43" fillId="134" borderId="14" xfId="0" applyNumberFormat="1" applyFont="1" applyFill="1" applyBorder="1"/>
    <xf numFmtId="37" fontId="43" fillId="134" borderId="14" xfId="0" applyNumberFormat="1" applyFont="1" applyFill="1" applyBorder="1" applyAlignment="1">
      <alignment horizontal="center"/>
    </xf>
    <xf numFmtId="170" fontId="43" fillId="134" borderId="14" xfId="0" applyNumberFormat="1" applyFont="1" applyFill="1" applyBorder="1"/>
    <xf numFmtId="168" fontId="43" fillId="134" borderId="14" xfId="0" applyNumberFormat="1" applyFont="1" applyFill="1" applyBorder="1"/>
    <xf numFmtId="7" fontId="43" fillId="134" borderId="14" xfId="0" applyNumberFormat="1" applyFont="1" applyFill="1" applyBorder="1"/>
    <xf numFmtId="7" fontId="43" fillId="134" borderId="48" xfId="0" applyNumberFormat="1" applyFont="1" applyFill="1" applyBorder="1"/>
    <xf numFmtId="168" fontId="43" fillId="134" borderId="48" xfId="0" applyNumberFormat="1" applyFont="1" applyFill="1" applyBorder="1"/>
    <xf numFmtId="166" fontId="43" fillId="134" borderId="42" xfId="4" applyNumberFormat="1" applyFont="1" applyFill="1" applyBorder="1"/>
    <xf numFmtId="170" fontId="43" fillId="134" borderId="0" xfId="0" applyNumberFormat="1" applyFont="1" applyFill="1" applyBorder="1"/>
    <xf numFmtId="37" fontId="42" fillId="134" borderId="0" xfId="0" applyNumberFormat="1" applyFont="1" applyFill="1" applyBorder="1" applyAlignment="1"/>
    <xf numFmtId="170" fontId="42" fillId="134" borderId="0" xfId="0" applyNumberFormat="1" applyFont="1" applyFill="1" applyBorder="1" applyAlignment="1"/>
    <xf numFmtId="168" fontId="42" fillId="134" borderId="0" xfId="0" applyNumberFormat="1" applyFont="1" applyFill="1" applyBorder="1" applyAlignment="1"/>
    <xf numFmtId="168" fontId="42" fillId="134" borderId="7" xfId="0" applyNumberFormat="1" applyFont="1" applyFill="1" applyBorder="1" applyAlignment="1"/>
    <xf numFmtId="168" fontId="43" fillId="134" borderId="7" xfId="0" applyNumberFormat="1" applyFont="1" applyFill="1" applyBorder="1"/>
    <xf numFmtId="37" fontId="42" fillId="134" borderId="27" xfId="0" applyNumberFormat="1" applyFont="1" applyFill="1" applyBorder="1" applyAlignment="1"/>
    <xf numFmtId="171" fontId="42" fillId="134" borderId="27" xfId="0" applyNumberFormat="1" applyFont="1" applyFill="1" applyBorder="1" applyAlignment="1">
      <alignment horizontal="center"/>
    </xf>
    <xf numFmtId="170" fontId="42" fillId="134" borderId="27" xfId="0" applyNumberFormat="1" applyFont="1" applyFill="1" applyBorder="1" applyAlignment="1"/>
    <xf numFmtId="168" fontId="42" fillId="134" borderId="27" xfId="0" applyNumberFormat="1" applyFont="1" applyFill="1" applyBorder="1" applyAlignment="1"/>
    <xf numFmtId="168" fontId="42" fillId="134" borderId="44" xfId="0" applyNumberFormat="1" applyFont="1" applyFill="1" applyBorder="1" applyAlignment="1"/>
    <xf numFmtId="166" fontId="42" fillId="134" borderId="43" xfId="4" applyNumberFormat="1" applyFont="1" applyFill="1" applyBorder="1"/>
    <xf numFmtId="168" fontId="42" fillId="134" borderId="44" xfId="0" applyNumberFormat="1" applyFont="1" applyFill="1" applyBorder="1"/>
    <xf numFmtId="168" fontId="42" fillId="134" borderId="48" xfId="0" applyNumberFormat="1" applyFont="1" applyFill="1" applyBorder="1" applyAlignment="1"/>
    <xf numFmtId="170" fontId="42" fillId="134" borderId="14" xfId="0" applyNumberFormat="1" applyFont="1" applyFill="1" applyBorder="1" applyAlignment="1"/>
    <xf numFmtId="39" fontId="42" fillId="134" borderId="99" xfId="0" applyNumberFormat="1" applyFont="1" applyFill="1" applyBorder="1"/>
    <xf numFmtId="39" fontId="42" fillId="134" borderId="98" xfId="0" applyNumberFormat="1" applyFont="1" applyFill="1" applyBorder="1"/>
    <xf numFmtId="171" fontId="42" fillId="134" borderId="99" xfId="0" applyNumberFormat="1" applyFont="1" applyFill="1" applyBorder="1" applyAlignment="1"/>
    <xf numFmtId="39" fontId="42" fillId="134" borderId="41" xfId="0" applyNumberFormat="1" applyFont="1" applyFill="1" applyBorder="1"/>
    <xf numFmtId="39" fontId="42" fillId="134" borderId="0" xfId="0" applyNumberFormat="1" applyFont="1" applyFill="1" applyBorder="1"/>
    <xf numFmtId="0" fontId="69" fillId="134" borderId="0" xfId="0" applyFont="1" applyFill="1" applyAlignment="1"/>
    <xf numFmtId="0" fontId="43" fillId="134" borderId="0" xfId="0" applyFont="1" applyFill="1" applyBorder="1" applyAlignment="1">
      <alignment horizontal="centerContinuous"/>
    </xf>
    <xf numFmtId="7" fontId="43" fillId="134" borderId="0" xfId="0" applyNumberFormat="1" applyFont="1" applyFill="1" applyBorder="1" applyAlignment="1">
      <alignment horizontal="center"/>
    </xf>
    <xf numFmtId="7" fontId="43" fillId="134" borderId="7" xfId="0" applyNumberFormat="1" applyFont="1" applyFill="1" applyBorder="1" applyAlignment="1">
      <alignment horizontal="center"/>
    </xf>
    <xf numFmtId="7" fontId="43" fillId="134" borderId="1" xfId="0" applyNumberFormat="1" applyFont="1" applyFill="1" applyBorder="1" applyAlignment="1">
      <alignment horizontal="center"/>
    </xf>
    <xf numFmtId="0" fontId="43" fillId="134" borderId="4" xfId="0" applyFont="1" applyFill="1" applyBorder="1" applyAlignment="1">
      <alignment horizontal="right"/>
    </xf>
    <xf numFmtId="0" fontId="43" fillId="134" borderId="14" xfId="0" applyFont="1" applyFill="1" applyBorder="1" applyAlignment="1">
      <alignment horizontal="right"/>
    </xf>
    <xf numFmtId="0" fontId="42" fillId="134" borderId="4" xfId="0" applyFont="1" applyFill="1" applyBorder="1"/>
    <xf numFmtId="0" fontId="42" fillId="134" borderId="8" xfId="0" applyFont="1" applyFill="1" applyBorder="1"/>
    <xf numFmtId="37" fontId="43" fillId="134" borderId="0" xfId="0" applyNumberFormat="1" applyFont="1" applyFill="1" applyBorder="1" applyAlignment="1" applyProtection="1">
      <alignment wrapText="1"/>
    </xf>
    <xf numFmtId="37" fontId="43" fillId="134" borderId="0" xfId="0" applyNumberFormat="1" applyFont="1" applyFill="1" applyAlignment="1" applyProtection="1">
      <alignment wrapText="1"/>
    </xf>
    <xf numFmtId="0" fontId="43" fillId="134" borderId="0" xfId="0" applyFont="1" applyFill="1" applyBorder="1" applyAlignment="1">
      <alignment wrapText="1"/>
    </xf>
    <xf numFmtId="0" fontId="192" fillId="134" borderId="0" xfId="0" applyFont="1" applyFill="1" applyBorder="1" applyAlignment="1">
      <alignment horizontal="left"/>
    </xf>
    <xf numFmtId="171" fontId="202" fillId="134" borderId="7" xfId="0" applyNumberFormat="1" applyFont="1" applyFill="1" applyBorder="1" applyAlignment="1">
      <alignment horizontal="center" vertical="center"/>
    </xf>
    <xf numFmtId="171" fontId="202" fillId="134" borderId="0" xfId="0" applyNumberFormat="1" applyFont="1" applyFill="1" applyBorder="1" applyAlignment="1">
      <alignment horizontal="center" vertical="center"/>
    </xf>
    <xf numFmtId="0" fontId="202" fillId="134" borderId="7" xfId="0" applyFont="1" applyFill="1" applyBorder="1" applyAlignment="1">
      <alignment horizontal="center" vertical="center"/>
    </xf>
    <xf numFmtId="0" fontId="202" fillId="134" borderId="6" xfId="0" applyFont="1" applyFill="1" applyBorder="1" applyAlignment="1">
      <alignment horizontal="center" vertical="center"/>
    </xf>
    <xf numFmtId="0" fontId="202" fillId="134" borderId="12" xfId="0" applyFont="1" applyFill="1" applyBorder="1" applyAlignment="1">
      <alignment horizontal="center" vertical="center"/>
    </xf>
    <xf numFmtId="0" fontId="202" fillId="134" borderId="98" xfId="0" applyFont="1" applyFill="1" applyBorder="1" applyAlignment="1">
      <alignment horizontal="center" vertical="center"/>
    </xf>
    <xf numFmtId="43" fontId="43" fillId="134" borderId="0" xfId="1" applyFont="1" applyFill="1" applyBorder="1" applyAlignment="1">
      <alignment horizontal="center"/>
    </xf>
    <xf numFmtId="0" fontId="42" fillId="134" borderId="7" xfId="0" applyFont="1" applyFill="1" applyBorder="1" applyAlignment="1">
      <alignment horizontal="center"/>
    </xf>
    <xf numFmtId="0" fontId="44" fillId="134" borderId="1" xfId="0" applyFont="1" applyFill="1" applyBorder="1" applyAlignment="1">
      <alignment horizontal="center"/>
    </xf>
    <xf numFmtId="0" fontId="44" fillId="134" borderId="0" xfId="0" applyFont="1" applyFill="1" applyBorder="1" applyAlignment="1">
      <alignment horizontal="center"/>
    </xf>
    <xf numFmtId="0" fontId="42" fillId="134" borderId="6" xfId="0" applyFont="1" applyFill="1" applyBorder="1" applyAlignment="1">
      <alignment horizontal="center"/>
    </xf>
    <xf numFmtId="0" fontId="44" fillId="134" borderId="13" xfId="0" applyFont="1" applyFill="1" applyBorder="1" applyAlignment="1">
      <alignment horizontal="center"/>
    </xf>
    <xf numFmtId="0" fontId="44" fillId="134" borderId="12" xfId="0" applyFont="1" applyFill="1" applyBorder="1" applyAlignment="1">
      <alignment horizontal="center"/>
    </xf>
    <xf numFmtId="0" fontId="45" fillId="134" borderId="0" xfId="0" applyFont="1" applyFill="1"/>
    <xf numFmtId="0" fontId="45" fillId="134" borderId="0" xfId="0" applyFont="1" applyFill="1" applyAlignment="1">
      <alignment horizontal="center"/>
    </xf>
    <xf numFmtId="184" fontId="45" fillId="134" borderId="0" xfId="0" applyNumberFormat="1" applyFont="1" applyFill="1"/>
    <xf numFmtId="37" fontId="45" fillId="134" borderId="0" xfId="0" applyNumberFormat="1" applyFont="1" applyFill="1"/>
    <xf numFmtId="10" fontId="42" fillId="134" borderId="0" xfId="4" applyNumberFormat="1" applyFont="1" applyFill="1"/>
    <xf numFmtId="184" fontId="42" fillId="134" borderId="0" xfId="0" applyNumberFormat="1" applyFont="1" applyFill="1"/>
    <xf numFmtId="0" fontId="210" fillId="134" borderId="0" xfId="0" applyFont="1" applyFill="1" applyBorder="1"/>
    <xf numFmtId="172" fontId="42" fillId="134" borderId="0" xfId="0" applyNumberFormat="1" applyFont="1" applyFill="1"/>
    <xf numFmtId="10" fontId="45" fillId="134" borderId="0" xfId="4" applyNumberFormat="1" applyFont="1" applyFill="1" applyAlignment="1">
      <alignment horizontal="center"/>
    </xf>
    <xf numFmtId="0" fontId="211" fillId="134" borderId="0" xfId="0" applyFont="1" applyFill="1" applyBorder="1"/>
    <xf numFmtId="0" fontId="211" fillId="134" borderId="0" xfId="0" applyFont="1" applyFill="1"/>
    <xf numFmtId="0" fontId="43" fillId="134" borderId="0" xfId="0" quotePrefix="1" applyFont="1" applyFill="1" applyAlignment="1">
      <alignment horizontal="center"/>
    </xf>
    <xf numFmtId="14" fontId="42" fillId="134" borderId="0" xfId="0" quotePrefix="1" applyNumberFormat="1" applyFont="1" applyFill="1" applyAlignment="1">
      <alignment horizontal="center"/>
    </xf>
    <xf numFmtId="0" fontId="44" fillId="134" borderId="0" xfId="0" applyFont="1" applyFill="1" applyAlignment="1">
      <alignment horizontal="center"/>
    </xf>
    <xf numFmtId="37" fontId="44" fillId="134" borderId="33" xfId="0" applyNumberFormat="1" applyFont="1" applyFill="1" applyBorder="1"/>
    <xf numFmtId="0" fontId="42" fillId="134" borderId="34" xfId="0" applyFont="1" applyFill="1" applyBorder="1"/>
    <xf numFmtId="171" fontId="42" fillId="134" borderId="35" xfId="0" applyNumberFormat="1" applyFont="1" applyFill="1" applyBorder="1"/>
    <xf numFmtId="0" fontId="42" fillId="134" borderId="0" xfId="1" applyNumberFormat="1" applyFont="1" applyFill="1" applyAlignment="1">
      <alignment horizontal="center"/>
    </xf>
    <xf numFmtId="169" fontId="42" fillId="134" borderId="36" xfId="51236" applyNumberFormat="1" applyFont="1" applyFill="1" applyBorder="1" applyAlignment="1">
      <alignment horizontal="center"/>
    </xf>
    <xf numFmtId="0" fontId="42" fillId="134" borderId="29" xfId="0" applyFont="1" applyFill="1" applyBorder="1" applyAlignment="1">
      <alignment horizontal="left"/>
    </xf>
    <xf numFmtId="171" fontId="42" fillId="134" borderId="37" xfId="0" applyNumberFormat="1" applyFont="1" applyFill="1" applyBorder="1" applyAlignment="1">
      <alignment horizontal="left"/>
    </xf>
    <xf numFmtId="0" fontId="42" fillId="134" borderId="12" xfId="1" applyNumberFormat="1" applyFont="1" applyFill="1" applyBorder="1" applyAlignment="1">
      <alignment horizontal="center"/>
    </xf>
    <xf numFmtId="0" fontId="43" fillId="134" borderId="12" xfId="1" applyNumberFormat="1" applyFont="1" applyFill="1" applyBorder="1" applyAlignment="1">
      <alignment horizontal="center"/>
    </xf>
    <xf numFmtId="37" fontId="43" fillId="134" borderId="23" xfId="0" applyNumberFormat="1" applyFont="1" applyFill="1" applyBorder="1"/>
    <xf numFmtId="171" fontId="42" fillId="134" borderId="25" xfId="0" applyNumberFormat="1" applyFont="1" applyFill="1" applyBorder="1"/>
    <xf numFmtId="0" fontId="43" fillId="134" borderId="19" xfId="0" applyFont="1" applyFill="1" applyBorder="1" applyAlignment="1">
      <alignment wrapText="1"/>
    </xf>
    <xf numFmtId="0" fontId="43" fillId="153" borderId="2" xfId="0" applyFont="1" applyFill="1" applyBorder="1" applyAlignment="1">
      <alignment horizontal="right"/>
    </xf>
    <xf numFmtId="185" fontId="43" fillId="134" borderId="0" xfId="101" applyFont="1" applyFill="1" applyBorder="1" applyAlignment="1">
      <alignment horizontal="center"/>
    </xf>
    <xf numFmtId="185" fontId="43" fillId="134" borderId="8" xfId="101" applyFont="1" applyFill="1" applyBorder="1" applyAlignment="1">
      <alignment horizontal="center"/>
    </xf>
    <xf numFmtId="0" fontId="43" fillId="153" borderId="16" xfId="0" applyFont="1" applyFill="1" applyBorder="1" applyAlignment="1">
      <alignment horizontal="center"/>
    </xf>
    <xf numFmtId="0" fontId="43" fillId="134" borderId="5" xfId="0" applyFont="1" applyFill="1" applyBorder="1" applyAlignment="1">
      <alignment horizontal="center"/>
    </xf>
    <xf numFmtId="185" fontId="43" fillId="134" borderId="14" xfId="101" applyFont="1" applyFill="1" applyBorder="1" applyAlignment="1">
      <alignment horizontal="center"/>
    </xf>
    <xf numFmtId="185" fontId="43" fillId="134" borderId="11" xfId="101" applyFont="1" applyFill="1" applyBorder="1" applyAlignment="1">
      <alignment horizontal="center"/>
    </xf>
    <xf numFmtId="171" fontId="42" fillId="153" borderId="16" xfId="0" applyNumberFormat="1" applyFont="1" applyFill="1" applyBorder="1"/>
    <xf numFmtId="172" fontId="42" fillId="134" borderId="14" xfId="0" applyNumberFormat="1" applyFont="1" applyFill="1" applyBorder="1"/>
    <xf numFmtId="170" fontId="45" fillId="134" borderId="5" xfId="0" applyNumberFormat="1" applyFont="1" applyFill="1" applyBorder="1" applyAlignment="1">
      <alignment horizontal="center"/>
    </xf>
    <xf numFmtId="5" fontId="42" fillId="134" borderId="14" xfId="0" applyNumberFormat="1" applyFont="1" applyFill="1" applyBorder="1"/>
    <xf numFmtId="167" fontId="42" fillId="134" borderId="14" xfId="1" applyNumberFormat="1" applyFont="1" applyFill="1" applyBorder="1"/>
    <xf numFmtId="184" fontId="42" fillId="134" borderId="14" xfId="2" applyNumberFormat="1" applyFont="1" applyFill="1" applyBorder="1"/>
    <xf numFmtId="44" fontId="42" fillId="134" borderId="14" xfId="2" applyFont="1" applyFill="1" applyBorder="1"/>
    <xf numFmtId="168" fontId="42" fillId="134" borderId="14" xfId="56362" applyNumberFormat="1" applyFont="1" applyFill="1" applyBorder="1"/>
    <xf numFmtId="168" fontId="42" fillId="134" borderId="11" xfId="56362" applyNumberFormat="1" applyFont="1" applyFill="1" applyBorder="1"/>
    <xf numFmtId="168" fontId="42" fillId="134" borderId="0" xfId="56362" applyNumberFormat="1" applyFont="1" applyFill="1" applyBorder="1"/>
    <xf numFmtId="167" fontId="42" fillId="134" borderId="9" xfId="1" applyNumberFormat="1" applyFont="1" applyFill="1" applyBorder="1"/>
    <xf numFmtId="172" fontId="42" fillId="134" borderId="0" xfId="0" applyNumberFormat="1" applyFont="1" applyFill="1" applyBorder="1"/>
    <xf numFmtId="184" fontId="42" fillId="134" borderId="0" xfId="2" applyNumberFormat="1" applyFont="1" applyFill="1" applyBorder="1"/>
    <xf numFmtId="171" fontId="42" fillId="153" borderId="3" xfId="0" applyNumberFormat="1" applyFont="1" applyFill="1" applyBorder="1"/>
    <xf numFmtId="170" fontId="45" fillId="134" borderId="4" xfId="0" applyNumberFormat="1" applyFont="1" applyFill="1" applyBorder="1" applyAlignment="1">
      <alignment horizontal="center"/>
    </xf>
    <xf numFmtId="5" fontId="42" fillId="134" borderId="0" xfId="3" applyNumberFormat="1" applyFont="1" applyFill="1" applyBorder="1"/>
    <xf numFmtId="168" fontId="42" fillId="134" borderId="8" xfId="56362" applyNumberFormat="1" applyFont="1" applyFill="1" applyBorder="1"/>
    <xf numFmtId="167" fontId="42" fillId="134" borderId="0" xfId="1" applyNumberFormat="1" applyFont="1" applyFill="1" applyBorder="1"/>
    <xf numFmtId="5" fontId="42" fillId="134" borderId="0" xfId="3" quotePrefix="1" applyNumberFormat="1" applyFont="1" applyFill="1" applyBorder="1"/>
    <xf numFmtId="172" fontId="42" fillId="134" borderId="0" xfId="0" applyNumberFormat="1" applyFont="1" applyFill="1" applyBorder="1" applyAlignment="1"/>
    <xf numFmtId="171" fontId="42" fillId="153" borderId="3" xfId="0" applyNumberFormat="1" applyFont="1" applyFill="1" applyBorder="1" applyAlignment="1"/>
    <xf numFmtId="172" fontId="42" fillId="134" borderId="14" xfId="0" applyNumberFormat="1" applyFont="1" applyFill="1" applyBorder="1" applyAlignment="1"/>
    <xf numFmtId="171" fontId="42" fillId="153" borderId="16" xfId="0" applyNumberFormat="1" applyFont="1" applyFill="1" applyBorder="1" applyAlignment="1"/>
    <xf numFmtId="172" fontId="42" fillId="134" borderId="27" xfId="0" applyNumberFormat="1" applyFont="1" applyFill="1" applyBorder="1" applyAlignment="1"/>
    <xf numFmtId="171" fontId="42" fillId="153" borderId="38" xfId="0" applyNumberFormat="1" applyFont="1" applyFill="1" applyBorder="1" applyAlignment="1"/>
    <xf numFmtId="170" fontId="45" fillId="134" borderId="26" xfId="0" applyNumberFormat="1" applyFont="1" applyFill="1" applyBorder="1" applyAlignment="1">
      <alignment horizontal="center"/>
    </xf>
    <xf numFmtId="172" fontId="45" fillId="134" borderId="0" xfId="0" applyNumberFormat="1" applyFont="1" applyFill="1"/>
    <xf numFmtId="173" fontId="45" fillId="134" borderId="0" xfId="0" applyNumberFormat="1" applyFont="1" applyFill="1"/>
    <xf numFmtId="170" fontId="45" fillId="134" borderId="0" xfId="0" applyNumberFormat="1" applyFont="1" applyFill="1" applyAlignment="1">
      <alignment horizontal="center"/>
    </xf>
    <xf numFmtId="37" fontId="42" fillId="134" borderId="0" xfId="101" applyNumberFormat="1" applyFont="1" applyFill="1"/>
    <xf numFmtId="176" fontId="45" fillId="134" borderId="0" xfId="0" applyNumberFormat="1" applyFont="1" applyFill="1"/>
    <xf numFmtId="170" fontId="42" fillId="134" borderId="0" xfId="0" applyNumberFormat="1" applyFont="1" applyFill="1"/>
    <xf numFmtId="170" fontId="42" fillId="134" borderId="0" xfId="0" quotePrefix="1" applyNumberFormat="1" applyFont="1" applyFill="1"/>
    <xf numFmtId="0" fontId="185" fillId="134" borderId="0" xfId="0" applyFont="1" applyFill="1" applyAlignment="1">
      <alignment horizontal="center" vertical="center"/>
    </xf>
    <xf numFmtId="0" fontId="185" fillId="134" borderId="0" xfId="0" applyFont="1" applyFill="1" applyBorder="1" applyAlignment="1">
      <alignment horizontal="center" vertical="center"/>
    </xf>
    <xf numFmtId="171" fontId="42" fillId="134" borderId="0" xfId="0" applyNumberFormat="1" applyFont="1" applyFill="1" applyBorder="1" applyAlignment="1">
      <alignment horizontal="center"/>
    </xf>
    <xf numFmtId="0" fontId="43" fillId="134" borderId="4" xfId="0" applyFont="1" applyFill="1" applyBorder="1" applyAlignment="1">
      <alignment horizontal="center"/>
    </xf>
    <xf numFmtId="171" fontId="42" fillId="134" borderId="8" xfId="0" applyNumberFormat="1" applyFont="1" applyFill="1" applyBorder="1" applyAlignment="1">
      <alignment horizontal="center"/>
    </xf>
    <xf numFmtId="171" fontId="43" fillId="134" borderId="11" xfId="0" applyNumberFormat="1" applyFont="1" applyFill="1" applyBorder="1" applyAlignment="1">
      <alignment horizontal="center"/>
    </xf>
    <xf numFmtId="0" fontId="43" fillId="134" borderId="27" xfId="0" applyFont="1" applyFill="1" applyBorder="1" applyAlignment="1">
      <alignment horizontal="center"/>
    </xf>
    <xf numFmtId="185" fontId="42" fillId="134" borderId="0" xfId="101" applyFont="1" applyFill="1"/>
    <xf numFmtId="185" fontId="45" fillId="134" borderId="0" xfId="101" applyFont="1" applyFill="1"/>
    <xf numFmtId="185" fontId="187" fillId="134" borderId="0" xfId="101" applyFont="1" applyFill="1" applyBorder="1"/>
    <xf numFmtId="4" fontId="45" fillId="134" borderId="0" xfId="101" applyNumberFormat="1" applyFont="1" applyFill="1" applyBorder="1"/>
    <xf numFmtId="185" fontId="42" fillId="134" borderId="0" xfId="101" applyFont="1" applyFill="1" applyBorder="1"/>
    <xf numFmtId="4" fontId="42" fillId="134" borderId="0" xfId="101" applyNumberFormat="1" applyFont="1" applyFill="1" applyBorder="1"/>
    <xf numFmtId="167" fontId="42" fillId="134" borderId="0" xfId="56361" applyNumberFormat="1" applyFont="1" applyFill="1" applyBorder="1"/>
    <xf numFmtId="0" fontId="42" fillId="134" borderId="0" xfId="39305" applyNumberFormat="1" applyFont="1" applyFill="1" applyBorder="1"/>
    <xf numFmtId="185" fontId="45" fillId="134" borderId="0" xfId="101" applyFont="1" applyFill="1" applyBorder="1"/>
    <xf numFmtId="242" fontId="42" fillId="134" borderId="0" xfId="101" applyNumberFormat="1" applyFont="1" applyFill="1" applyBorder="1"/>
    <xf numFmtId="185" fontId="42" fillId="134" borderId="0" xfId="101" quotePrefix="1" applyFont="1" applyFill="1" applyBorder="1"/>
    <xf numFmtId="3" fontId="42" fillId="134" borderId="0" xfId="101" applyNumberFormat="1" applyFont="1" applyFill="1" applyBorder="1"/>
    <xf numFmtId="185" fontId="45" fillId="134" borderId="0" xfId="101" applyFont="1" applyFill="1" applyBorder="1" applyAlignment="1">
      <alignment horizontal="center"/>
    </xf>
    <xf numFmtId="37" fontId="212" fillId="134" borderId="0" xfId="101" applyNumberFormat="1" applyFont="1" applyFill="1" applyBorder="1"/>
    <xf numFmtId="185" fontId="43" fillId="134" borderId="0" xfId="101" applyFont="1" applyFill="1" applyAlignment="1">
      <alignment horizontal="center"/>
    </xf>
    <xf numFmtId="185" fontId="188" fillId="134" borderId="0" xfId="101" applyFont="1" applyFill="1" applyBorder="1"/>
    <xf numFmtId="171" fontId="42" fillId="134" borderId="0" xfId="0" applyNumberFormat="1" applyFont="1" applyFill="1" applyAlignment="1">
      <alignment horizontal="center"/>
    </xf>
    <xf numFmtId="185" fontId="43" fillId="134" borderId="0" xfId="101" applyFont="1" applyFill="1" applyBorder="1" applyAlignment="1">
      <alignment horizontal="left"/>
    </xf>
    <xf numFmtId="37" fontId="42" fillId="134" borderId="36" xfId="101" applyNumberFormat="1" applyFont="1" applyFill="1" applyBorder="1"/>
    <xf numFmtId="185" fontId="42" fillId="134" borderId="29" xfId="101" applyFont="1" applyFill="1" applyBorder="1"/>
    <xf numFmtId="185" fontId="42" fillId="134" borderId="37" xfId="101" applyFont="1" applyFill="1" applyBorder="1"/>
    <xf numFmtId="37" fontId="42" fillId="134" borderId="29" xfId="101" applyNumberFormat="1" applyFont="1" applyFill="1" applyBorder="1"/>
    <xf numFmtId="169" fontId="42" fillId="134" borderId="29" xfId="51236" applyNumberFormat="1" applyFont="1" applyFill="1" applyBorder="1" applyAlignment="1">
      <alignment horizontal="center"/>
    </xf>
    <xf numFmtId="37" fontId="43" fillId="134" borderId="36" xfId="101" applyNumberFormat="1" applyFont="1" applyFill="1" applyBorder="1"/>
    <xf numFmtId="37" fontId="42" fillId="134" borderId="37" xfId="101" applyNumberFormat="1" applyFont="1" applyFill="1" applyBorder="1"/>
    <xf numFmtId="37" fontId="43" fillId="134" borderId="29" xfId="101" applyNumberFormat="1" applyFont="1" applyFill="1" applyBorder="1"/>
    <xf numFmtId="185" fontId="43" fillId="134" borderId="0" xfId="101" applyFont="1" applyFill="1" applyBorder="1" applyAlignment="1">
      <alignment horizontal="right"/>
    </xf>
    <xf numFmtId="37" fontId="42" fillId="134" borderId="0" xfId="101" applyNumberFormat="1" applyFont="1" applyFill="1" applyBorder="1"/>
    <xf numFmtId="185" fontId="43" fillId="134" borderId="4" xfId="101" applyFont="1" applyFill="1" applyBorder="1" applyAlignment="1">
      <alignment horizontal="center"/>
    </xf>
    <xf numFmtId="185" fontId="43" fillId="134" borderId="5" xfId="101" applyFont="1" applyFill="1" applyBorder="1" applyAlignment="1">
      <alignment horizontal="center"/>
    </xf>
    <xf numFmtId="170" fontId="45" fillId="134" borderId="26" xfId="101" applyNumberFormat="1" applyFont="1" applyFill="1" applyBorder="1" applyAlignment="1">
      <alignment horizontal="center"/>
    </xf>
    <xf numFmtId="37" fontId="42" fillId="134" borderId="14" xfId="101" applyNumberFormat="1" applyFont="1" applyFill="1" applyBorder="1"/>
    <xf numFmtId="170" fontId="45" fillId="134" borderId="27" xfId="101" applyNumberFormat="1" applyFont="1" applyFill="1" applyBorder="1" applyAlignment="1">
      <alignment horizontal="center"/>
    </xf>
    <xf numFmtId="170" fontId="45" fillId="134" borderId="5" xfId="101" applyNumberFormat="1" applyFont="1" applyFill="1" applyBorder="1" applyAlignment="1">
      <alignment horizontal="center"/>
    </xf>
    <xf numFmtId="170" fontId="45" fillId="134" borderId="14" xfId="101" applyNumberFormat="1" applyFont="1" applyFill="1" applyBorder="1" applyAlignment="1">
      <alignment horizontal="center"/>
    </xf>
    <xf numFmtId="170" fontId="45" fillId="134" borderId="4" xfId="101" applyNumberFormat="1" applyFont="1" applyFill="1" applyBorder="1" applyAlignment="1">
      <alignment horizontal="center"/>
    </xf>
    <xf numFmtId="170" fontId="45" fillId="134" borderId="0" xfId="101" applyNumberFormat="1" applyFont="1" applyFill="1" applyBorder="1" applyAlignment="1">
      <alignment horizontal="center"/>
    </xf>
    <xf numFmtId="37" fontId="42" fillId="134" borderId="27" xfId="0" applyNumberFormat="1" applyFont="1" applyFill="1" applyBorder="1"/>
    <xf numFmtId="37" fontId="45" fillId="134" borderId="0" xfId="101" applyNumberFormat="1" applyFont="1" applyFill="1"/>
    <xf numFmtId="0" fontId="185" fillId="134" borderId="14" xfId="0" applyFont="1" applyFill="1" applyBorder="1" applyAlignment="1">
      <alignment horizontal="center" vertical="center"/>
    </xf>
    <xf numFmtId="172" fontId="213" fillId="134" borderId="18" xfId="0" applyNumberFormat="1" applyFont="1" applyFill="1" applyBorder="1" applyAlignment="1">
      <alignment horizontal="center"/>
    </xf>
    <xf numFmtId="170" fontId="42" fillId="0" borderId="0" xfId="0" applyNumberFormat="1" applyFont="1" applyFill="1" applyBorder="1" applyAlignment="1"/>
    <xf numFmtId="171" fontId="43" fillId="134" borderId="0" xfId="0" applyNumberFormat="1" applyFont="1" applyFill="1"/>
    <xf numFmtId="0" fontId="195" fillId="134" borderId="0" xfId="0" applyFont="1" applyFill="1" applyBorder="1" applyAlignment="1">
      <alignment horizontal="center"/>
    </xf>
    <xf numFmtId="37" fontId="194" fillId="134" borderId="18" xfId="0" applyNumberFormat="1" applyFont="1" applyFill="1" applyBorder="1" applyAlignment="1">
      <alignment horizontal="center"/>
    </xf>
    <xf numFmtId="0" fontId="43" fillId="134" borderId="40" xfId="0" applyFont="1" applyFill="1" applyBorder="1" applyAlignment="1">
      <alignment horizontal="center"/>
    </xf>
    <xf numFmtId="0" fontId="42" fillId="134" borderId="0" xfId="1" applyNumberFormat="1" applyFont="1" applyFill="1" applyBorder="1" applyAlignment="1">
      <alignment horizontal="center"/>
    </xf>
    <xf numFmtId="0" fontId="43" fillId="134" borderId="103" xfId="0" applyFont="1" applyFill="1" applyBorder="1" applyAlignment="1">
      <alignment horizontal="center"/>
    </xf>
    <xf numFmtId="0" fontId="42" fillId="134" borderId="0" xfId="0" applyFont="1" applyFill="1" applyAlignment="1">
      <alignment vertical="top"/>
    </xf>
    <xf numFmtId="0" fontId="43" fillId="134" borderId="0" xfId="0" applyFont="1" applyFill="1" applyAlignment="1">
      <alignment vertical="top"/>
    </xf>
    <xf numFmtId="0" fontId="195" fillId="134" borderId="91" xfId="0" applyFont="1" applyFill="1" applyBorder="1" applyAlignment="1">
      <alignment horizontal="center"/>
    </xf>
    <xf numFmtId="7" fontId="70" fillId="134" borderId="7" xfId="0" applyNumberFormat="1" applyFont="1" applyFill="1" applyBorder="1" applyAlignment="1">
      <alignment horizontal="center"/>
    </xf>
    <xf numFmtId="10" fontId="0" fillId="0" borderId="0" xfId="4" applyNumberFormat="1" applyFont="1"/>
    <xf numFmtId="0" fontId="42" fillId="134" borderId="99" xfId="0" applyFont="1" applyFill="1" applyBorder="1"/>
    <xf numFmtId="0" fontId="42" fillId="134" borderId="98" xfId="0" applyFont="1" applyFill="1" applyBorder="1"/>
    <xf numFmtId="5" fontId="42" fillId="134" borderId="100" xfId="0" applyNumberFormat="1" applyFont="1" applyFill="1" applyBorder="1"/>
    <xf numFmtId="243" fontId="42" fillId="134" borderId="7" xfId="2" applyNumberFormat="1" applyFont="1" applyFill="1" applyBorder="1"/>
    <xf numFmtId="0" fontId="42" fillId="134" borderId="39" xfId="0" applyFont="1" applyFill="1" applyBorder="1"/>
    <xf numFmtId="166" fontId="43" fillId="134" borderId="40" xfId="5" applyNumberFormat="1" applyFont="1" applyFill="1" applyBorder="1" applyAlignment="1">
      <alignment horizontal="center"/>
    </xf>
    <xf numFmtId="0" fontId="42" fillId="134" borderId="40" xfId="5" applyFont="1" applyFill="1" applyBorder="1" applyAlignment="1">
      <alignment horizontal="center"/>
    </xf>
    <xf numFmtId="0" fontId="42" fillId="134" borderId="103" xfId="5" applyFont="1" applyFill="1" applyBorder="1" applyAlignment="1">
      <alignment horizontal="center"/>
    </xf>
    <xf numFmtId="171" fontId="42" fillId="134" borderId="40" xfId="0" applyNumberFormat="1" applyFont="1" applyFill="1" applyBorder="1" applyAlignment="1"/>
    <xf numFmtId="167" fontId="42" fillId="134" borderId="40" xfId="1" applyNumberFormat="1" applyFont="1" applyFill="1" applyBorder="1" applyAlignment="1"/>
    <xf numFmtId="0" fontId="43" fillId="151" borderId="40" xfId="0" applyFont="1" applyFill="1" applyBorder="1" applyAlignment="1">
      <alignment horizontal="center"/>
    </xf>
    <xf numFmtId="14" fontId="43" fillId="151" borderId="40" xfId="0" applyNumberFormat="1" applyFont="1" applyFill="1" applyBorder="1" applyAlignment="1">
      <alignment horizontal="center"/>
    </xf>
    <xf numFmtId="0" fontId="43" fillId="151" borderId="103" xfId="0" applyFont="1" applyFill="1" applyBorder="1" applyAlignment="1">
      <alignment horizontal="center"/>
    </xf>
    <xf numFmtId="0" fontId="43" fillId="151" borderId="42" xfId="0" applyFont="1" applyFill="1" applyBorder="1" applyAlignment="1">
      <alignment horizontal="center"/>
    </xf>
    <xf numFmtId="171" fontId="43" fillId="151" borderId="43" xfId="0" applyNumberFormat="1" applyFont="1" applyFill="1" applyBorder="1" applyAlignment="1">
      <alignment horizontal="center"/>
    </xf>
    <xf numFmtId="171" fontId="43" fillId="151" borderId="42" xfId="0" applyNumberFormat="1" applyFont="1" applyFill="1" applyBorder="1" applyAlignment="1">
      <alignment horizontal="center"/>
    </xf>
    <xf numFmtId="171" fontId="43" fillId="151" borderId="40" xfId="0" applyNumberFormat="1" applyFont="1" applyFill="1" applyBorder="1" applyAlignment="1">
      <alignment horizontal="center"/>
    </xf>
    <xf numFmtId="37" fontId="43" fillId="134" borderId="40" xfId="0" applyNumberFormat="1" applyFont="1" applyFill="1" applyBorder="1" applyAlignment="1">
      <alignment horizontal="center"/>
    </xf>
    <xf numFmtId="14" fontId="42" fillId="134" borderId="7" xfId="0" applyNumberFormat="1" applyFont="1" applyFill="1" applyBorder="1" applyAlignment="1">
      <alignment horizontal="center"/>
    </xf>
    <xf numFmtId="0" fontId="42" fillId="134" borderId="1" xfId="0" applyFont="1" applyFill="1" applyBorder="1"/>
    <xf numFmtId="0" fontId="42" fillId="134" borderId="40" xfId="0" applyFont="1" applyFill="1" applyBorder="1" applyAlignment="1">
      <alignment horizontal="center"/>
    </xf>
    <xf numFmtId="166" fontId="42" fillId="134" borderId="42" xfId="0" applyNumberFormat="1" applyFont="1" applyFill="1" applyBorder="1"/>
    <xf numFmtId="7" fontId="42" fillId="134" borderId="40" xfId="0" applyNumberFormat="1" applyFont="1" applyFill="1" applyBorder="1"/>
    <xf numFmtId="166" fontId="43" fillId="134" borderId="42" xfId="0" applyNumberFormat="1" applyFont="1" applyFill="1" applyBorder="1"/>
    <xf numFmtId="39" fontId="42" fillId="134" borderId="103" xfId="0" applyNumberFormat="1" applyFont="1" applyFill="1" applyBorder="1"/>
    <xf numFmtId="10" fontId="16" fillId="134" borderId="0" xfId="4" applyNumberFormat="1" applyFont="1" applyFill="1"/>
    <xf numFmtId="0" fontId="50" fillId="154" borderId="7" xfId="0" applyFont="1" applyFill="1" applyBorder="1" applyAlignment="1">
      <alignment horizontal="center" vertical="center" wrapText="1"/>
    </xf>
    <xf numFmtId="0" fontId="50" fillId="154" borderId="1" xfId="0" applyFont="1" applyFill="1" applyBorder="1" applyAlignment="1">
      <alignment horizontal="center" vertical="center" wrapText="1"/>
    </xf>
    <xf numFmtId="0" fontId="181" fillId="154" borderId="48" xfId="0" quotePrefix="1" applyFont="1" applyFill="1" applyBorder="1" applyAlignment="1">
      <alignment horizontal="center" vertical="center" wrapText="1"/>
    </xf>
    <xf numFmtId="0" fontId="50" fillId="154" borderId="22" xfId="0" applyFont="1" applyFill="1" applyBorder="1" applyAlignment="1">
      <alignment horizontal="center" vertical="center" wrapText="1"/>
    </xf>
    <xf numFmtId="0" fontId="181" fillId="154" borderId="55" xfId="0" applyFont="1" applyFill="1" applyBorder="1" applyAlignment="1">
      <alignment horizontal="center" vertical="center" wrapText="1"/>
    </xf>
    <xf numFmtId="0" fontId="181" fillId="154" borderId="56" xfId="0" applyFont="1" applyFill="1" applyBorder="1" applyAlignment="1">
      <alignment horizontal="center" vertical="center" wrapText="1"/>
    </xf>
    <xf numFmtId="0" fontId="0" fillId="154" borderId="7" xfId="0" applyFill="1" applyBorder="1"/>
    <xf numFmtId="184" fontId="50" fillId="154" borderId="7" xfId="0" applyNumberFormat="1" applyFont="1" applyFill="1" applyBorder="1"/>
    <xf numFmtId="166" fontId="50" fillId="134" borderId="1" xfId="4" applyNumberFormat="1" applyFont="1" applyFill="1" applyBorder="1" applyAlignment="1">
      <alignment horizontal="left" indent="1"/>
    </xf>
    <xf numFmtId="7" fontId="42" fillId="0" borderId="0" xfId="2" applyNumberFormat="1" applyFont="1" applyFill="1" applyBorder="1"/>
    <xf numFmtId="0" fontId="50" fillId="152" borderId="0" xfId="0" applyFont="1" applyFill="1" applyBorder="1" applyAlignment="1">
      <alignment horizontal="center" vertical="center" wrapText="1"/>
    </xf>
    <xf numFmtId="37" fontId="44" fillId="0" borderId="33" xfId="0" applyNumberFormat="1" applyFont="1" applyFill="1" applyBorder="1"/>
    <xf numFmtId="10" fontId="50" fillId="154" borderId="1" xfId="4" applyNumberFormat="1" applyFont="1" applyFill="1" applyBorder="1" applyAlignment="1">
      <alignment horizontal="center"/>
    </xf>
    <xf numFmtId="0" fontId="181" fillId="134" borderId="14" xfId="0" applyFont="1" applyFill="1" applyBorder="1" applyAlignment="1">
      <alignment horizontal="center" vertical="center" wrapText="1"/>
    </xf>
    <xf numFmtId="0" fontId="181" fillId="134" borderId="48" xfId="0" applyFont="1" applyFill="1" applyBorder="1" applyAlignment="1">
      <alignment horizontal="center" vertical="center" wrapText="1"/>
    </xf>
    <xf numFmtId="184" fontId="42" fillId="134" borderId="0" xfId="2" applyNumberFormat="1" applyFont="1" applyFill="1" applyBorder="1" applyAlignment="1">
      <alignment horizontal="right"/>
    </xf>
    <xf numFmtId="176" fontId="42" fillId="134" borderId="99" xfId="0" applyNumberFormat="1" applyFont="1" applyFill="1" applyBorder="1" applyAlignment="1"/>
    <xf numFmtId="176" fontId="42" fillId="134" borderId="98" xfId="0" applyNumberFormat="1" applyFont="1" applyFill="1" applyBorder="1" applyAlignment="1"/>
    <xf numFmtId="176" fontId="42" fillId="134" borderId="100" xfId="0" applyNumberFormat="1" applyFont="1" applyFill="1" applyBorder="1" applyAlignment="1"/>
    <xf numFmtId="0" fontId="43" fillId="134" borderId="39" xfId="0" applyFont="1" applyFill="1" applyBorder="1" applyAlignment="1">
      <alignment horizontal="center"/>
    </xf>
    <xf numFmtId="0" fontId="214" fillId="134" borderId="0" xfId="0" applyFont="1" applyFill="1"/>
    <xf numFmtId="171" fontId="186" fillId="134" borderId="44" xfId="0" applyNumberFormat="1" applyFont="1" applyFill="1" applyBorder="1"/>
    <xf numFmtId="0" fontId="70" fillId="134" borderId="1" xfId="0" applyFont="1" applyFill="1" applyBorder="1" applyAlignment="1">
      <alignment horizontal="center"/>
    </xf>
    <xf numFmtId="0" fontId="42" fillId="134" borderId="0" xfId="0" applyFont="1" applyFill="1" applyAlignment="1">
      <alignment horizontal="left" indent="2"/>
    </xf>
    <xf numFmtId="5" fontId="42" fillId="0" borderId="0" xfId="2" applyNumberFormat="1" applyFont="1" applyFill="1" applyBorder="1"/>
    <xf numFmtId="0" fontId="9" fillId="134" borderId="0" xfId="0" applyFont="1" applyFill="1"/>
    <xf numFmtId="0" fontId="42" fillId="134" borderId="31" xfId="0" applyFont="1" applyFill="1" applyBorder="1" applyAlignment="1">
      <alignment horizontal="left"/>
    </xf>
    <xf numFmtId="0" fontId="42" fillId="134" borderId="20" xfId="0" applyFont="1" applyFill="1" applyBorder="1" applyAlignment="1">
      <alignment horizontal="left"/>
    </xf>
    <xf numFmtId="0" fontId="43" fillId="134" borderId="26" xfId="0" applyFont="1" applyFill="1" applyBorder="1" applyAlignment="1">
      <alignment horizontal="center"/>
    </xf>
    <xf numFmtId="0" fontId="43" fillId="134" borderId="0" xfId="0" applyFont="1" applyFill="1" applyBorder="1" applyAlignment="1">
      <alignment horizontal="left"/>
    </xf>
    <xf numFmtId="184" fontId="43" fillId="134" borderId="0" xfId="2" applyNumberFormat="1" applyFont="1" applyFill="1"/>
    <xf numFmtId="10" fontId="43" fillId="0" borderId="0" xfId="4" applyNumberFormat="1" applyFont="1" applyFill="1" applyBorder="1"/>
    <xf numFmtId="0" fontId="207" fillId="134" borderId="0" xfId="0" applyFont="1" applyFill="1" applyBorder="1"/>
    <xf numFmtId="0" fontId="69" fillId="134" borderId="0" xfId="0" applyFont="1" applyFill="1" applyBorder="1" applyAlignment="1">
      <alignment horizontal="right"/>
    </xf>
    <xf numFmtId="184" fontId="42" fillId="0" borderId="38" xfId="2" applyNumberFormat="1" applyFont="1" applyFill="1" applyBorder="1" applyAlignment="1">
      <alignment vertical="center"/>
    </xf>
    <xf numFmtId="43" fontId="0" fillId="0" borderId="0" xfId="1" applyFont="1" applyFill="1"/>
    <xf numFmtId="184" fontId="183" fillId="0" borderId="0" xfId="0" applyNumberFormat="1" applyFont="1" applyFill="1"/>
    <xf numFmtId="184" fontId="0" fillId="0" borderId="0" xfId="0" applyNumberFormat="1" applyFill="1"/>
    <xf numFmtId="0" fontId="181" fillId="134" borderId="0" xfId="0" applyFont="1" applyFill="1" applyBorder="1" applyAlignment="1">
      <alignment horizontal="center" vertical="center" wrapText="1"/>
    </xf>
    <xf numFmtId="168" fontId="184" fillId="134" borderId="0" xfId="0" applyNumberFormat="1" applyFont="1" applyFill="1"/>
    <xf numFmtId="44" fontId="42" fillId="134" borderId="14" xfId="2" applyFont="1" applyFill="1" applyBorder="1" applyAlignment="1">
      <alignment horizontal="center"/>
    </xf>
    <xf numFmtId="0" fontId="215" fillId="134" borderId="0" xfId="0" applyFont="1" applyFill="1"/>
    <xf numFmtId="0" fontId="216" fillId="134" borderId="10" xfId="0" applyFont="1" applyFill="1" applyBorder="1" applyAlignment="1">
      <alignment horizontal="center" vertical="center" wrapText="1"/>
    </xf>
    <xf numFmtId="0" fontId="216" fillId="134" borderId="9" xfId="0" applyFont="1" applyFill="1" applyBorder="1" applyAlignment="1">
      <alignment horizontal="center" vertical="center" wrapText="1"/>
    </xf>
    <xf numFmtId="168" fontId="216" fillId="134" borderId="26" xfId="143" applyNumberFormat="1" applyFont="1" applyFill="1" applyBorder="1" applyAlignment="1">
      <alignment horizontal="center"/>
    </xf>
    <xf numFmtId="168" fontId="216" fillId="134" borderId="27" xfId="143" applyNumberFormat="1" applyFont="1" applyFill="1" applyBorder="1" applyAlignment="1">
      <alignment horizontal="center"/>
    </xf>
    <xf numFmtId="168" fontId="216" fillId="134" borderId="5" xfId="143" applyNumberFormat="1" applyFont="1" applyFill="1" applyBorder="1" applyAlignment="1">
      <alignment horizontal="center"/>
    </xf>
    <xf numFmtId="168" fontId="216" fillId="134" borderId="4" xfId="143" applyNumberFormat="1" applyFont="1" applyFill="1" applyBorder="1" applyAlignment="1">
      <alignment horizontal="center"/>
    </xf>
    <xf numFmtId="241" fontId="42" fillId="134" borderId="11" xfId="2" applyNumberFormat="1" applyFont="1" applyFill="1" applyBorder="1" applyAlignment="1">
      <alignment horizontal="center"/>
    </xf>
    <xf numFmtId="168" fontId="216" fillId="134" borderId="0" xfId="143" applyNumberFormat="1" applyFont="1" applyFill="1" applyBorder="1" applyAlignment="1">
      <alignment horizontal="center"/>
    </xf>
    <xf numFmtId="168" fontId="216" fillId="134" borderId="14" xfId="143" applyNumberFormat="1" applyFont="1" applyFill="1" applyBorder="1" applyAlignment="1">
      <alignment horizontal="center"/>
    </xf>
    <xf numFmtId="0" fontId="68" fillId="134" borderId="38" xfId="0" applyFont="1" applyFill="1" applyBorder="1" applyAlignment="1">
      <alignment horizontal="center" wrapText="1"/>
    </xf>
    <xf numFmtId="0" fontId="217" fillId="134" borderId="0" xfId="0" applyFont="1" applyFill="1" applyAlignment="1">
      <alignment horizontal="center"/>
    </xf>
    <xf numFmtId="0" fontId="217" fillId="154" borderId="33" xfId="0" applyFont="1" applyFill="1" applyBorder="1" applyAlignment="1">
      <alignment horizontal="center"/>
    </xf>
    <xf numFmtId="0" fontId="217" fillId="154" borderId="34" xfId="0" applyFont="1" applyFill="1" applyBorder="1" applyAlignment="1">
      <alignment horizontal="center"/>
    </xf>
    <xf numFmtId="0" fontId="217" fillId="154" borderId="35" xfId="0" applyFont="1" applyFill="1" applyBorder="1" applyAlignment="1">
      <alignment horizontal="center"/>
    </xf>
    <xf numFmtId="0" fontId="217" fillId="151" borderId="33" xfId="0" applyFont="1" applyFill="1" applyBorder="1" applyAlignment="1">
      <alignment horizontal="center"/>
    </xf>
    <xf numFmtId="0" fontId="217" fillId="151" borderId="34" xfId="0" applyFont="1" applyFill="1" applyBorder="1" applyAlignment="1">
      <alignment horizontal="center"/>
    </xf>
    <xf numFmtId="0" fontId="217" fillId="151" borderId="35" xfId="0" applyFont="1" applyFill="1" applyBorder="1" applyAlignment="1">
      <alignment horizontal="center"/>
    </xf>
    <xf numFmtId="0" fontId="216" fillId="134" borderId="110" xfId="5" applyFont="1" applyFill="1" applyBorder="1" applyAlignment="1">
      <alignment horizontal="center" vertical="center"/>
    </xf>
    <xf numFmtId="0" fontId="217" fillId="134" borderId="34" xfId="0" applyFont="1" applyFill="1" applyBorder="1" applyAlignment="1">
      <alignment horizontal="center" vertical="center" wrapText="1"/>
    </xf>
    <xf numFmtId="0" fontId="217" fillId="134" borderId="33" xfId="0" applyFont="1" applyFill="1" applyBorder="1" applyAlignment="1">
      <alignment horizontal="center" vertical="center" wrapText="1"/>
    </xf>
    <xf numFmtId="0" fontId="217" fillId="134" borderId="35" xfId="0" applyFont="1" applyFill="1" applyBorder="1" applyAlignment="1">
      <alignment horizontal="center" vertical="center" wrapText="1"/>
    </xf>
    <xf numFmtId="0" fontId="217" fillId="152" borderId="33" xfId="0" applyFont="1" applyFill="1" applyBorder="1" applyAlignment="1">
      <alignment horizontal="center" vertical="center" wrapText="1"/>
    </xf>
    <xf numFmtId="0" fontId="217" fillId="152" borderId="34" xfId="0" applyFont="1" applyFill="1" applyBorder="1" applyAlignment="1">
      <alignment horizontal="center" vertical="center" wrapText="1"/>
    </xf>
    <xf numFmtId="0" fontId="217" fillId="155" borderId="67" xfId="0" applyFont="1" applyFill="1" applyBorder="1" applyAlignment="1">
      <alignment horizontal="center" vertical="center" wrapText="1"/>
    </xf>
    <xf numFmtId="0" fontId="217" fillId="156" borderId="67" xfId="0" applyFont="1" applyFill="1" applyBorder="1" applyAlignment="1">
      <alignment horizontal="center"/>
    </xf>
    <xf numFmtId="170" fontId="45" fillId="0" borderId="26" xfId="0" applyNumberFormat="1" applyFont="1" applyFill="1" applyBorder="1" applyAlignment="1">
      <alignment horizontal="center"/>
    </xf>
    <xf numFmtId="10" fontId="50" fillId="154" borderId="1" xfId="4" applyNumberFormat="1" applyFont="1" applyFill="1" applyBorder="1" applyAlignment="1">
      <alignment horizontal="center" vertical="center" wrapText="1"/>
    </xf>
    <xf numFmtId="184" fontId="42" fillId="154" borderId="7" xfId="0" applyNumberFormat="1" applyFont="1" applyFill="1" applyBorder="1"/>
    <xf numFmtId="184" fontId="43" fillId="134" borderId="0" xfId="0" applyNumberFormat="1" applyFont="1" applyFill="1" applyBorder="1" applyAlignment="1">
      <alignment horizontal="right"/>
    </xf>
    <xf numFmtId="184" fontId="43" fillId="134" borderId="0" xfId="0" applyNumberFormat="1" applyFont="1" applyFill="1" applyBorder="1"/>
    <xf numFmtId="0" fontId="42" fillId="134" borderId="0" xfId="0" applyFont="1" applyFill="1" applyBorder="1" applyAlignment="1">
      <alignment horizontal="right"/>
    </xf>
    <xf numFmtId="43" fontId="42" fillId="134" borderId="0" xfId="1" applyFont="1" applyFill="1" applyBorder="1"/>
    <xf numFmtId="43" fontId="42" fillId="134" borderId="0" xfId="0" applyNumberFormat="1" applyFont="1" applyFill="1" applyBorder="1"/>
    <xf numFmtId="245" fontId="0" fillId="134" borderId="0" xfId="0" applyNumberFormat="1" applyFill="1"/>
    <xf numFmtId="14" fontId="44" fillId="134" borderId="0" xfId="0" applyNumberFormat="1" applyFont="1" applyFill="1" applyBorder="1" applyAlignment="1">
      <alignment horizontal="left"/>
    </xf>
    <xf numFmtId="167" fontId="42" fillId="134" borderId="14" xfId="1" applyNumberFormat="1" applyFont="1" applyFill="1" applyBorder="1" applyAlignment="1"/>
    <xf numFmtId="167" fontId="42" fillId="134" borderId="0" xfId="1" applyNumberFormat="1" applyFont="1" applyFill="1" applyBorder="1" applyAlignment="1"/>
    <xf numFmtId="7" fontId="43" fillId="134" borderId="0" xfId="0" applyNumberFormat="1" applyFont="1" applyFill="1" applyBorder="1"/>
    <xf numFmtId="7" fontId="42" fillId="134" borderId="5" xfId="0" applyNumberFormat="1" applyFont="1" applyFill="1" applyBorder="1"/>
    <xf numFmtId="7" fontId="42" fillId="134" borderId="4" xfId="0" applyNumberFormat="1" applyFont="1" applyFill="1" applyBorder="1"/>
    <xf numFmtId="7" fontId="42" fillId="134" borderId="0" xfId="0" applyNumberFormat="1" applyFont="1" applyFill="1" applyBorder="1" applyAlignment="1"/>
    <xf numFmtId="7" fontId="42" fillId="134" borderId="27" xfId="0" applyNumberFormat="1" applyFont="1" applyFill="1" applyBorder="1" applyAlignment="1"/>
    <xf numFmtId="0" fontId="186" fillId="134" borderId="0" xfId="0" applyFont="1" applyFill="1" applyBorder="1" applyAlignment="1">
      <alignment horizontal="left"/>
    </xf>
    <xf numFmtId="166" fontId="42" fillId="134" borderId="8" xfId="0" applyNumberFormat="1" applyFont="1" applyFill="1" applyBorder="1"/>
    <xf numFmtId="166" fontId="42" fillId="134" borderId="11" xfId="0" applyNumberFormat="1" applyFont="1" applyFill="1" applyBorder="1"/>
    <xf numFmtId="0" fontId="42" fillId="134" borderId="0" xfId="56367" applyFont="1" applyFill="1" applyBorder="1"/>
    <xf numFmtId="0" fontId="43" fillId="134" borderId="14" xfId="0" applyFont="1" applyFill="1" applyBorder="1" applyAlignment="1">
      <alignment horizontal="center"/>
    </xf>
    <xf numFmtId="0" fontId="43" fillId="134" borderId="0" xfId="0" applyFont="1" applyFill="1" applyAlignment="1">
      <alignment horizontal="center" vertical="center"/>
    </xf>
    <xf numFmtId="184" fontId="43" fillId="134" borderId="0" xfId="2" applyNumberFormat="1" applyFont="1" applyFill="1" applyBorder="1"/>
    <xf numFmtId="166" fontId="186" fillId="134" borderId="99" xfId="5" applyNumberFormat="1" applyFont="1" applyFill="1" applyBorder="1" applyAlignment="1">
      <alignment horizontal="center" vertical="center"/>
    </xf>
    <xf numFmtId="166" fontId="186" fillId="134" borderId="98" xfId="5" applyNumberFormat="1" applyFont="1" applyFill="1" applyBorder="1" applyAlignment="1">
      <alignment horizontal="center" vertical="center"/>
    </xf>
    <xf numFmtId="171" fontId="202" fillId="134" borderId="98" xfId="0" applyNumberFormat="1" applyFont="1" applyFill="1" applyBorder="1" applyAlignment="1"/>
    <xf numFmtId="171" fontId="186" fillId="134" borderId="100" xfId="0" applyNumberFormat="1" applyFont="1" applyFill="1" applyBorder="1" applyAlignment="1"/>
    <xf numFmtId="0" fontId="186" fillId="156" borderId="39" xfId="0" applyFont="1" applyFill="1" applyBorder="1"/>
    <xf numFmtId="0" fontId="192" fillId="156" borderId="40" xfId="0" applyFont="1" applyFill="1" applyBorder="1" applyAlignment="1">
      <alignment horizontal="center" vertical="center"/>
    </xf>
    <xf numFmtId="0" fontId="192" fillId="156" borderId="103" xfId="0" applyFont="1" applyFill="1" applyBorder="1" applyAlignment="1">
      <alignment horizontal="center" vertical="center"/>
    </xf>
    <xf numFmtId="0" fontId="192" fillId="156" borderId="40" xfId="0" applyFont="1" applyFill="1" applyBorder="1" applyAlignment="1">
      <alignment horizontal="center"/>
    </xf>
    <xf numFmtId="0" fontId="192" fillId="156" borderId="42" xfId="0" applyFont="1" applyFill="1" applyBorder="1" applyAlignment="1">
      <alignment horizontal="center"/>
    </xf>
    <xf numFmtId="0" fontId="44" fillId="134" borderId="0" xfId="0" applyFont="1" applyFill="1" applyBorder="1" applyAlignment="1">
      <alignment horizontal="left"/>
    </xf>
    <xf numFmtId="0" fontId="42" fillId="134" borderId="0" xfId="3" applyFont="1" applyFill="1" applyAlignment="1">
      <alignment horizontal="left"/>
    </xf>
    <xf numFmtId="0" fontId="208" fillId="134" borderId="12" xfId="0" applyFont="1" applyFill="1" applyBorder="1" applyAlignment="1">
      <alignment horizontal="center"/>
    </xf>
    <xf numFmtId="43" fontId="42" fillId="134" borderId="0" xfId="0" applyNumberFormat="1" applyFont="1" applyFill="1"/>
    <xf numFmtId="165" fontId="42" fillId="134" borderId="0" xfId="0" applyNumberFormat="1" applyFont="1" applyFill="1" applyBorder="1"/>
    <xf numFmtId="165" fontId="45" fillId="134" borderId="0" xfId="1" applyNumberFormat="1" applyFont="1" applyFill="1"/>
    <xf numFmtId="170" fontId="45" fillId="134" borderId="0" xfId="0" applyNumberFormat="1" applyFont="1" applyFill="1"/>
    <xf numFmtId="165" fontId="42" fillId="134" borderId="0" xfId="1" applyNumberFormat="1" applyFont="1" applyFill="1" applyBorder="1"/>
    <xf numFmtId="0" fontId="207" fillId="134" borderId="0" xfId="0" applyFont="1" applyFill="1" applyBorder="1" applyAlignment="1">
      <alignment horizontal="center"/>
    </xf>
    <xf numFmtId="170" fontId="45" fillId="134" borderId="0" xfId="0" applyNumberFormat="1" applyFont="1" applyFill="1" applyBorder="1" applyAlignment="1"/>
    <xf numFmtId="170" fontId="44" fillId="134" borderId="14" xfId="0" applyNumberFormat="1" applyFont="1" applyFill="1" applyBorder="1" applyAlignment="1"/>
    <xf numFmtId="170" fontId="45" fillId="134" borderId="14" xfId="0" applyNumberFormat="1" applyFont="1" applyFill="1" applyBorder="1" applyAlignment="1"/>
    <xf numFmtId="170" fontId="44" fillId="134" borderId="27" xfId="0" applyNumberFormat="1" applyFont="1" applyFill="1" applyBorder="1" applyAlignment="1"/>
    <xf numFmtId="170" fontId="45" fillId="134" borderId="27" xfId="0" applyNumberFormat="1" applyFont="1" applyFill="1" applyBorder="1" applyAlignment="1"/>
    <xf numFmtId="184" fontId="42" fillId="134" borderId="27" xfId="2" applyNumberFormat="1" applyFont="1" applyFill="1" applyBorder="1" applyAlignment="1"/>
    <xf numFmtId="170" fontId="44" fillId="134" borderId="0" xfId="0" applyNumberFormat="1" applyFont="1" applyFill="1" applyBorder="1" applyAlignment="1"/>
    <xf numFmtId="170" fontId="42" fillId="134" borderId="9" xfId="0" applyNumberFormat="1" applyFont="1" applyFill="1" applyBorder="1" applyAlignment="1"/>
    <xf numFmtId="184" fontId="42" fillId="134" borderId="9" xfId="2" applyNumberFormat="1" applyFont="1" applyFill="1" applyBorder="1" applyAlignment="1"/>
    <xf numFmtId="184" fontId="42" fillId="134" borderId="14" xfId="2" applyNumberFormat="1" applyFont="1" applyFill="1" applyBorder="1" applyAlignment="1"/>
    <xf numFmtId="0" fontId="43" fillId="134" borderId="0" xfId="0" applyFont="1" applyFill="1" applyBorder="1" applyAlignment="1">
      <alignment horizontal="center" vertical="center"/>
    </xf>
    <xf numFmtId="17" fontId="43" fillId="134" borderId="0" xfId="0" applyNumberFormat="1" applyFont="1" applyFill="1" applyAlignment="1">
      <alignment horizontal="center"/>
    </xf>
    <xf numFmtId="184" fontId="42" fillId="134" borderId="0" xfId="2" applyNumberFormat="1" applyFont="1" applyFill="1" applyBorder="1" applyAlignment="1"/>
    <xf numFmtId="17" fontId="208" fillId="134" borderId="98" xfId="0" applyNumberFormat="1" applyFont="1" applyFill="1" applyBorder="1" applyAlignment="1">
      <alignment horizontal="center"/>
    </xf>
    <xf numFmtId="167" fontId="43" fillId="134" borderId="0" xfId="1" applyNumberFormat="1" applyFont="1" applyFill="1" applyBorder="1"/>
    <xf numFmtId="0" fontId="43" fillId="134" borderId="0" xfId="3" applyFont="1" applyFill="1" applyBorder="1" applyAlignment="1">
      <alignment horizontal="left"/>
    </xf>
    <xf numFmtId="37" fontId="43" fillId="134" borderId="0" xfId="101" applyNumberFormat="1" applyFont="1" applyFill="1" applyBorder="1" applyAlignment="1">
      <alignment horizontal="center"/>
    </xf>
    <xf numFmtId="37" fontId="43" fillId="134" borderId="0" xfId="101" applyNumberFormat="1" applyFont="1" applyFill="1"/>
    <xf numFmtId="185" fontId="43" fillId="134" borderId="0" xfId="101" applyFont="1" applyFill="1"/>
    <xf numFmtId="173" fontId="208" fillId="134" borderId="0" xfId="0" applyNumberFormat="1" applyFont="1" applyFill="1"/>
    <xf numFmtId="185" fontId="208" fillId="134" borderId="0" xfId="101" applyFont="1" applyFill="1"/>
    <xf numFmtId="185" fontId="208" fillId="134" borderId="0" xfId="101" applyFont="1" applyFill="1" applyBorder="1" applyAlignment="1">
      <alignment horizontal="center"/>
    </xf>
    <xf numFmtId="167" fontId="43" fillId="134" borderId="0" xfId="56361" applyNumberFormat="1" applyFont="1" applyFill="1" applyBorder="1"/>
    <xf numFmtId="185" fontId="43" fillId="134" borderId="0" xfId="101" applyFont="1" applyFill="1" applyBorder="1"/>
    <xf numFmtId="241" fontId="43" fillId="134" borderId="0" xfId="56362" applyNumberFormat="1" applyFont="1" applyFill="1" applyBorder="1"/>
    <xf numFmtId="0" fontId="192" fillId="134" borderId="9" xfId="0" applyFont="1" applyFill="1" applyBorder="1" applyAlignment="1">
      <alignment horizontal="center"/>
    </xf>
    <xf numFmtId="167" fontId="45" fillId="134" borderId="0" xfId="0" applyNumberFormat="1" applyFont="1" applyFill="1"/>
    <xf numFmtId="0" fontId="192" fillId="134" borderId="99" xfId="0" applyFont="1" applyFill="1" applyBorder="1" applyAlignment="1">
      <alignment horizontal="center" vertical="center"/>
    </xf>
    <xf numFmtId="0" fontId="192" fillId="134" borderId="98" xfId="0" applyFont="1" applyFill="1" applyBorder="1" applyAlignment="1">
      <alignment horizontal="center" vertical="center"/>
    </xf>
    <xf numFmtId="0" fontId="192" fillId="134" borderId="100" xfId="0" applyFont="1" applyFill="1" applyBorder="1" applyAlignment="1">
      <alignment horizontal="center" vertical="center"/>
    </xf>
    <xf numFmtId="172" fontId="186" fillId="134" borderId="98" xfId="0" applyNumberFormat="1" applyFont="1" applyFill="1" applyBorder="1" applyAlignment="1"/>
    <xf numFmtId="170" fontId="45" fillId="0" borderId="0" xfId="0" applyNumberFormat="1" applyFont="1" applyFill="1" applyBorder="1" applyAlignment="1"/>
    <xf numFmtId="0" fontId="43" fillId="134" borderId="14" xfId="0" applyFont="1" applyFill="1" applyBorder="1" applyAlignment="1">
      <alignment horizontal="center"/>
    </xf>
    <xf numFmtId="0" fontId="42" fillId="158" borderId="14" xfId="0" applyFont="1" applyFill="1" applyBorder="1" applyAlignment="1">
      <alignment horizontal="center"/>
    </xf>
    <xf numFmtId="0" fontId="42" fillId="158" borderId="27" xfId="0" applyFont="1" applyFill="1" applyBorder="1" applyAlignment="1">
      <alignment horizontal="center"/>
    </xf>
    <xf numFmtId="0" fontId="42" fillId="158" borderId="0" xfId="0" applyFont="1" applyFill="1" applyBorder="1" applyAlignment="1">
      <alignment horizontal="center"/>
    </xf>
    <xf numFmtId="164" fontId="42" fillId="158" borderId="0" xfId="0" applyNumberFormat="1" applyFont="1" applyFill="1" applyBorder="1" applyAlignment="1">
      <alignment horizontal="center"/>
    </xf>
    <xf numFmtId="164" fontId="42" fillId="158" borderId="14" xfId="0" applyNumberFormat="1" applyFont="1" applyFill="1" applyBorder="1" applyAlignment="1">
      <alignment horizontal="center"/>
    </xf>
    <xf numFmtId="0" fontId="219" fillId="0" borderId="0" xfId="0" applyFont="1"/>
    <xf numFmtId="3" fontId="192" fillId="0" borderId="0" xfId="100" applyNumberFormat="1" applyFont="1"/>
    <xf numFmtId="3" fontId="201" fillId="0" borderId="0" xfId="100" applyNumberFormat="1" applyFont="1"/>
    <xf numFmtId="0" fontId="186" fillId="0" borderId="0" xfId="0" applyFont="1"/>
    <xf numFmtId="171" fontId="186" fillId="0" borderId="100" xfId="0" applyNumberFormat="1" applyFont="1" applyFill="1" applyBorder="1" applyAlignment="1"/>
    <xf numFmtId="0" fontId="42" fillId="158" borderId="9" xfId="0" applyFont="1" applyFill="1" applyBorder="1" applyAlignment="1">
      <alignment horizontal="center"/>
    </xf>
    <xf numFmtId="0" fontId="43" fillId="134" borderId="27" xfId="0" applyFont="1" applyFill="1" applyBorder="1" applyAlignment="1">
      <alignment horizontal="right"/>
    </xf>
    <xf numFmtId="37" fontId="43" fillId="134" borderId="0" xfId="0" applyNumberFormat="1" applyFont="1" applyFill="1"/>
    <xf numFmtId="172" fontId="208" fillId="134" borderId="0" xfId="0" applyNumberFormat="1" applyFont="1" applyFill="1"/>
    <xf numFmtId="0" fontId="208" fillId="134" borderId="0" xfId="0" applyFont="1" applyFill="1"/>
    <xf numFmtId="167" fontId="208" fillId="134" borderId="0" xfId="1" applyNumberFormat="1" applyFont="1" applyFill="1" applyAlignment="1">
      <alignment horizontal="center"/>
    </xf>
    <xf numFmtId="5" fontId="43" fillId="134" borderId="0" xfId="0" applyNumberFormat="1" applyFont="1" applyFill="1"/>
    <xf numFmtId="37" fontId="42" fillId="134" borderId="14" xfId="0" applyNumberFormat="1" applyFont="1" applyFill="1" applyBorder="1" applyAlignment="1">
      <alignment horizontal="center"/>
    </xf>
    <xf numFmtId="0" fontId="43" fillId="134" borderId="9" xfId="0" applyFont="1" applyFill="1" applyBorder="1" applyAlignment="1">
      <alignment horizontal="center"/>
    </xf>
    <xf numFmtId="164" fontId="43" fillId="158" borderId="14" xfId="0" applyNumberFormat="1" applyFont="1" applyFill="1" applyBorder="1" applyAlignment="1">
      <alignment horizontal="center"/>
    </xf>
    <xf numFmtId="7" fontId="42" fillId="134" borderId="7" xfId="0" applyNumberFormat="1" applyFont="1" applyFill="1" applyBorder="1"/>
    <xf numFmtId="37" fontId="43" fillId="134" borderId="0" xfId="0" applyNumberFormat="1" applyFont="1" applyFill="1" applyBorder="1" applyAlignment="1" applyProtection="1">
      <alignment vertical="top"/>
    </xf>
    <xf numFmtId="171" fontId="43" fillId="134" borderId="27" xfId="0" applyNumberFormat="1" applyFont="1" applyFill="1" applyBorder="1" applyAlignment="1">
      <alignment horizontal="center"/>
    </xf>
    <xf numFmtId="44" fontId="45" fillId="134" borderId="14" xfId="2" applyFont="1" applyFill="1" applyBorder="1" applyAlignment="1"/>
    <xf numFmtId="44" fontId="45" fillId="134" borderId="27" xfId="2" applyFont="1" applyFill="1" applyBorder="1" applyAlignment="1"/>
    <xf numFmtId="44" fontId="45" fillId="134" borderId="14" xfId="2" applyFont="1" applyFill="1" applyBorder="1" applyAlignment="1">
      <alignment horizontal="center"/>
    </xf>
    <xf numFmtId="44" fontId="45" fillId="134" borderId="27" xfId="2" applyFont="1" applyFill="1" applyBorder="1" applyAlignment="1">
      <alignment horizontal="center"/>
    </xf>
    <xf numFmtId="44" fontId="45" fillId="134" borderId="0" xfId="2" applyFont="1" applyFill="1" applyBorder="1" applyAlignment="1">
      <alignment horizontal="center"/>
    </xf>
    <xf numFmtId="44" fontId="45" fillId="134" borderId="0" xfId="2" applyFont="1" applyFill="1" applyBorder="1" applyAlignment="1"/>
    <xf numFmtId="44" fontId="43" fillId="134" borderId="0" xfId="2" applyFont="1" applyFill="1" applyBorder="1"/>
    <xf numFmtId="167" fontId="43" fillId="134" borderId="0" xfId="1" applyNumberFormat="1" applyFont="1" applyFill="1"/>
    <xf numFmtId="10" fontId="43" fillId="134" borderId="0" xfId="4" applyNumberFormat="1" applyFont="1" applyFill="1" applyBorder="1"/>
    <xf numFmtId="185" fontId="70" fillId="134" borderId="0" xfId="101" applyFont="1" applyFill="1" applyBorder="1" applyAlignment="1">
      <alignment horizontal="center"/>
    </xf>
    <xf numFmtId="184" fontId="42" fillId="134" borderId="27" xfId="2" applyNumberFormat="1" applyFont="1" applyFill="1" applyBorder="1"/>
    <xf numFmtId="185" fontId="188" fillId="153" borderId="2" xfId="101" applyFont="1" applyFill="1" applyBorder="1" applyAlignment="1">
      <alignment horizontal="right"/>
    </xf>
    <xf numFmtId="185" fontId="188" fillId="153" borderId="3" xfId="101" applyFont="1" applyFill="1" applyBorder="1" applyAlignment="1">
      <alignment horizontal="right"/>
    </xf>
    <xf numFmtId="185" fontId="188" fillId="153" borderId="3" xfId="101" applyFont="1" applyFill="1" applyBorder="1" applyAlignment="1">
      <alignment horizontal="center"/>
    </xf>
    <xf numFmtId="171" fontId="187" fillId="153" borderId="3" xfId="101" applyNumberFormat="1" applyFont="1" applyFill="1" applyBorder="1"/>
    <xf numFmtId="39" fontId="187" fillId="153" borderId="3" xfId="101" applyNumberFormat="1" applyFont="1" applyFill="1" applyBorder="1"/>
    <xf numFmtId="37" fontId="42" fillId="153" borderId="3" xfId="0" applyNumberFormat="1" applyFont="1" applyFill="1" applyBorder="1"/>
    <xf numFmtId="37" fontId="42" fillId="153" borderId="16" xfId="0" applyNumberFormat="1" applyFont="1" applyFill="1" applyBorder="1"/>
    <xf numFmtId="0" fontId="43" fillId="158" borderId="26" xfId="0" applyFont="1" applyFill="1" applyBorder="1"/>
    <xf numFmtId="0" fontId="42" fillId="158" borderId="27" xfId="0" applyFont="1" applyFill="1" applyBorder="1"/>
    <xf numFmtId="171" fontId="42" fillId="158" borderId="27" xfId="0" applyNumberFormat="1" applyFont="1" applyFill="1" applyBorder="1"/>
    <xf numFmtId="171" fontId="42" fillId="158" borderId="28" xfId="0" applyNumberFormat="1" applyFont="1" applyFill="1" applyBorder="1"/>
    <xf numFmtId="44" fontId="42" fillId="134" borderId="14" xfId="0" applyNumberFormat="1" applyFont="1" applyFill="1" applyBorder="1"/>
    <xf numFmtId="0" fontId="203" fillId="134" borderId="0" xfId="0" applyFont="1" applyFill="1" applyBorder="1" applyAlignment="1">
      <alignment horizontal="center"/>
    </xf>
    <xf numFmtId="172" fontId="42" fillId="0" borderId="14" xfId="0" applyNumberFormat="1" applyFont="1" applyFill="1" applyBorder="1"/>
    <xf numFmtId="0" fontId="43" fillId="134" borderId="34" xfId="0" applyFont="1" applyFill="1" applyBorder="1" applyAlignment="1">
      <alignment horizontal="center"/>
    </xf>
    <xf numFmtId="168" fontId="42" fillId="134" borderId="27" xfId="0" applyNumberFormat="1" applyFont="1" applyFill="1" applyBorder="1"/>
    <xf numFmtId="168" fontId="42" fillId="134" borderId="22" xfId="0" applyNumberFormat="1" applyFont="1" applyFill="1" applyBorder="1"/>
    <xf numFmtId="168" fontId="42" fillId="134" borderId="1" xfId="0" applyNumberFormat="1" applyFont="1" applyFill="1" applyBorder="1"/>
    <xf numFmtId="168" fontId="42" fillId="134" borderId="49" xfId="0" applyNumberFormat="1" applyFont="1" applyFill="1" applyBorder="1" applyAlignment="1"/>
    <xf numFmtId="168" fontId="42" fillId="134" borderId="22" xfId="0" applyNumberFormat="1" applyFont="1" applyFill="1" applyBorder="1" applyAlignment="1"/>
    <xf numFmtId="168" fontId="42" fillId="134" borderId="6" xfId="0" applyNumberFormat="1" applyFont="1" applyFill="1" applyBorder="1" applyAlignment="1"/>
    <xf numFmtId="168" fontId="42" fillId="134" borderId="13" xfId="0" applyNumberFormat="1" applyFont="1" applyFill="1" applyBorder="1" applyAlignment="1"/>
    <xf numFmtId="0" fontId="42" fillId="158" borderId="98" xfId="0" applyFont="1" applyFill="1" applyBorder="1" applyAlignment="1">
      <alignment horizontal="center"/>
    </xf>
    <xf numFmtId="0" fontId="42" fillId="158" borderId="34" xfId="0" applyFont="1" applyFill="1" applyBorder="1" applyAlignment="1">
      <alignment horizontal="center"/>
    </xf>
    <xf numFmtId="168" fontId="42" fillId="134" borderId="34" xfId="0" applyNumberFormat="1" applyFont="1" applyFill="1" applyBorder="1" applyAlignment="1"/>
    <xf numFmtId="171" fontId="42" fillId="134" borderId="100" xfId="0" applyNumberFormat="1" applyFont="1" applyFill="1" applyBorder="1" applyAlignment="1"/>
    <xf numFmtId="0" fontId="42" fillId="134" borderId="1" xfId="0" applyFont="1" applyFill="1" applyBorder="1" applyAlignment="1">
      <alignment horizontal="center"/>
    </xf>
    <xf numFmtId="0" fontId="42" fillId="134" borderId="13" xfId="0" applyFont="1" applyFill="1" applyBorder="1" applyAlignment="1">
      <alignment horizontal="center"/>
    </xf>
    <xf numFmtId="7" fontId="42" fillId="134" borderId="99" xfId="2" applyNumberFormat="1" applyFont="1" applyFill="1" applyBorder="1"/>
    <xf numFmtId="7" fontId="42" fillId="134" borderId="98" xfId="2" applyNumberFormat="1" applyFont="1" applyFill="1" applyBorder="1"/>
    <xf numFmtId="0" fontId="186" fillId="134" borderId="7" xfId="0" applyFont="1" applyFill="1" applyBorder="1"/>
    <xf numFmtId="7" fontId="186" fillId="134" borderId="99" xfId="2" applyNumberFormat="1" applyFont="1" applyFill="1" applyBorder="1"/>
    <xf numFmtId="7" fontId="186" fillId="134" borderId="98" xfId="2" applyNumberFormat="1" applyFont="1" applyFill="1" applyBorder="1"/>
    <xf numFmtId="171" fontId="202" fillId="134" borderId="1" xfId="0" applyNumberFormat="1" applyFont="1" applyFill="1" applyBorder="1"/>
    <xf numFmtId="0" fontId="186" fillId="134" borderId="0" xfId="0" applyFont="1" applyFill="1" applyBorder="1" applyAlignment="1">
      <alignment horizontal="center" vertical="center"/>
    </xf>
    <xf numFmtId="0" fontId="186" fillId="134" borderId="1" xfId="0" applyFont="1" applyFill="1" applyBorder="1" applyAlignment="1">
      <alignment horizontal="center" vertical="center"/>
    </xf>
    <xf numFmtId="0" fontId="186" fillId="134" borderId="98" xfId="0" applyFont="1" applyFill="1" applyBorder="1" applyAlignment="1">
      <alignment horizontal="center" vertical="center"/>
    </xf>
    <xf numFmtId="0" fontId="186" fillId="134" borderId="100" xfId="0" applyFont="1" applyFill="1" applyBorder="1" applyAlignment="1">
      <alignment horizontal="center" vertical="center"/>
    </xf>
    <xf numFmtId="168" fontId="42" fillId="134" borderId="12" xfId="0" applyNumberFormat="1" applyFont="1" applyFill="1" applyBorder="1" applyAlignment="1"/>
    <xf numFmtId="37" fontId="42" fillId="134" borderId="99" xfId="0" applyNumberFormat="1" applyFont="1" applyFill="1" applyBorder="1"/>
    <xf numFmtId="0" fontId="42" fillId="158" borderId="26" xfId="0" applyFont="1" applyFill="1" applyBorder="1"/>
    <xf numFmtId="0" fontId="45" fillId="158" borderId="27" xfId="0" applyFont="1" applyFill="1" applyBorder="1" applyAlignment="1">
      <alignment horizontal="center"/>
    </xf>
    <xf numFmtId="0" fontId="45" fillId="158" borderId="28" xfId="0" applyFont="1" applyFill="1" applyBorder="1" applyAlignment="1">
      <alignment horizontal="center"/>
    </xf>
    <xf numFmtId="0" fontId="42" fillId="158" borderId="28" xfId="0" applyFont="1" applyFill="1" applyBorder="1"/>
    <xf numFmtId="170" fontId="42" fillId="134" borderId="98" xfId="0" applyNumberFormat="1" applyFont="1" applyFill="1" applyBorder="1"/>
    <xf numFmtId="170" fontId="42" fillId="134" borderId="100" xfId="0" applyNumberFormat="1" applyFont="1" applyFill="1" applyBorder="1"/>
    <xf numFmtId="0" fontId="44" fillId="134" borderId="0" xfId="5" applyFont="1" applyFill="1" applyBorder="1" applyAlignment="1">
      <alignment horizontal="center"/>
    </xf>
    <xf numFmtId="0" fontId="201" fillId="134" borderId="0" xfId="0" applyFont="1" applyFill="1" applyBorder="1"/>
    <xf numFmtId="37" fontId="42" fillId="134" borderId="98" xfId="0" applyNumberFormat="1" applyFont="1" applyFill="1" applyBorder="1"/>
    <xf numFmtId="167" fontId="42" fillId="134" borderId="99" xfId="1" applyNumberFormat="1" applyFont="1" applyFill="1" applyBorder="1" applyAlignment="1"/>
    <xf numFmtId="0" fontId="44" fillId="0" borderId="0" xfId="5" applyFont="1" applyFill="1" applyBorder="1" applyAlignment="1">
      <alignment horizontal="center" vertical="center"/>
    </xf>
    <xf numFmtId="167" fontId="42" fillId="134" borderId="40" xfId="1" applyNumberFormat="1" applyFont="1" applyFill="1" applyBorder="1"/>
    <xf numFmtId="167" fontId="42" fillId="134" borderId="103" xfId="1" applyNumberFormat="1" applyFont="1" applyFill="1" applyBorder="1" applyAlignment="1"/>
    <xf numFmtId="171" fontId="189" fillId="134" borderId="14" xfId="0" applyNumberFormat="1" applyFont="1" applyFill="1" applyBorder="1"/>
    <xf numFmtId="165" fontId="42" fillId="134" borderId="99" xfId="1" applyNumberFormat="1" applyFont="1" applyFill="1" applyBorder="1" applyAlignment="1"/>
    <xf numFmtId="168" fontId="186" fillId="152" borderId="94" xfId="0" applyNumberFormat="1" applyFont="1" applyFill="1" applyBorder="1"/>
    <xf numFmtId="168" fontId="186" fillId="152" borderId="92" xfId="0" applyNumberFormat="1" applyFont="1" applyFill="1" applyBorder="1"/>
    <xf numFmtId="168" fontId="186" fillId="152" borderId="92" xfId="0" applyNumberFormat="1" applyFont="1" applyFill="1" applyBorder="1" applyAlignment="1"/>
    <xf numFmtId="168" fontId="186" fillId="152" borderId="94" xfId="0" applyNumberFormat="1" applyFont="1" applyFill="1" applyBorder="1" applyAlignment="1"/>
    <xf numFmtId="168" fontId="186" fillId="152" borderId="95" xfId="0" applyNumberFormat="1" applyFont="1" applyFill="1" applyBorder="1" applyAlignment="1"/>
    <xf numFmtId="168" fontId="186" fillId="152" borderId="111" xfId="0" applyNumberFormat="1" applyFont="1" applyFill="1" applyBorder="1" applyAlignment="1"/>
    <xf numFmtId="0" fontId="192" fillId="152" borderId="40" xfId="0" applyFont="1" applyFill="1" applyBorder="1" applyAlignment="1">
      <alignment horizontal="center" vertical="center"/>
    </xf>
    <xf numFmtId="0" fontId="192" fillId="152" borderId="103" xfId="0" applyFont="1" applyFill="1" applyBorder="1" applyAlignment="1">
      <alignment horizontal="center" vertical="center"/>
    </xf>
    <xf numFmtId="0" fontId="192" fillId="152" borderId="40" xfId="0" applyFont="1" applyFill="1" applyBorder="1" applyAlignment="1">
      <alignment horizontal="center"/>
    </xf>
    <xf numFmtId="0" fontId="192" fillId="152" borderId="42" xfId="0" applyFont="1" applyFill="1" applyBorder="1" applyAlignment="1">
      <alignment horizontal="center"/>
    </xf>
    <xf numFmtId="168" fontId="186" fillId="152" borderId="43" xfId="0" applyNumberFormat="1" applyFont="1" applyFill="1" applyBorder="1"/>
    <xf numFmtId="0" fontId="200" fillId="152" borderId="39" xfId="0" applyFont="1" applyFill="1" applyBorder="1" applyAlignment="1">
      <alignment horizontal="center"/>
    </xf>
    <xf numFmtId="168" fontId="192" fillId="156" borderId="42" xfId="0" applyNumberFormat="1" applyFont="1" applyFill="1" applyBorder="1"/>
    <xf numFmtId="168" fontId="186" fillId="152" borderId="42" xfId="0" applyNumberFormat="1" applyFont="1" applyFill="1" applyBorder="1"/>
    <xf numFmtId="168" fontId="186" fillId="152" borderId="40" xfId="0" applyNumberFormat="1" applyFont="1" applyFill="1" applyBorder="1"/>
    <xf numFmtId="168" fontId="192" fillId="156" borderId="40" xfId="0" applyNumberFormat="1" applyFont="1" applyFill="1" applyBorder="1"/>
    <xf numFmtId="168" fontId="186" fillId="152" borderId="40" xfId="0" applyNumberFormat="1" applyFont="1" applyFill="1" applyBorder="1" applyAlignment="1"/>
    <xf numFmtId="168" fontId="192" fillId="156" borderId="40" xfId="0" applyNumberFormat="1" applyFont="1" applyFill="1" applyBorder="1" applyAlignment="1"/>
    <xf numFmtId="168" fontId="186" fillId="152" borderId="42" xfId="0" applyNumberFormat="1" applyFont="1" applyFill="1" applyBorder="1" applyAlignment="1"/>
    <xf numFmtId="168" fontId="192" fillId="156" borderId="42" xfId="0" applyNumberFormat="1" applyFont="1" applyFill="1" applyBorder="1" applyAlignment="1"/>
    <xf numFmtId="168" fontId="186" fillId="152" borderId="43" xfId="0" applyNumberFormat="1" applyFont="1" applyFill="1" applyBorder="1" applyAlignment="1"/>
    <xf numFmtId="168" fontId="192" fillId="156" borderId="43" xfId="0" applyNumberFormat="1" applyFont="1" applyFill="1" applyBorder="1" applyAlignment="1"/>
    <xf numFmtId="168" fontId="186" fillId="152" borderId="67" xfId="0" applyNumberFormat="1" applyFont="1" applyFill="1" applyBorder="1" applyAlignment="1"/>
    <xf numFmtId="168" fontId="192" fillId="156" borderId="67" xfId="0" applyNumberFormat="1" applyFont="1" applyFill="1" applyBorder="1" applyAlignment="1"/>
    <xf numFmtId="168" fontId="42" fillId="134" borderId="98" xfId="0" applyNumberFormat="1" applyFont="1" applyFill="1" applyBorder="1" applyAlignment="1"/>
    <xf numFmtId="0" fontId="45" fillId="134" borderId="0" xfId="0" applyFont="1" applyFill="1" applyBorder="1" applyAlignment="1">
      <alignment horizontal="center"/>
    </xf>
    <xf numFmtId="0" fontId="195" fillId="134" borderId="0" xfId="5" applyFont="1" applyFill="1" applyBorder="1" applyAlignment="1">
      <alignment horizontal="center"/>
    </xf>
    <xf numFmtId="0" fontId="192" fillId="152" borderId="92" xfId="0" applyFont="1" applyFill="1" applyBorder="1" applyAlignment="1">
      <alignment horizontal="center"/>
    </xf>
    <xf numFmtId="171" fontId="195" fillId="134" borderId="0" xfId="5" applyNumberFormat="1" applyFont="1" applyFill="1" applyBorder="1" applyAlignment="1">
      <alignment horizontal="center" vertical="center"/>
    </xf>
    <xf numFmtId="0" fontId="195" fillId="134" borderId="0" xfId="5" applyFont="1" applyFill="1" applyBorder="1" applyAlignment="1">
      <alignment horizontal="center" vertical="center"/>
    </xf>
    <xf numFmtId="171" fontId="195" fillId="134" borderId="0" xfId="0" applyNumberFormat="1" applyFont="1" applyFill="1" applyAlignment="1">
      <alignment horizontal="center"/>
    </xf>
    <xf numFmtId="0" fontId="206" fillId="134" borderId="0" xfId="0" applyFont="1" applyFill="1" applyBorder="1" applyAlignment="1">
      <alignment horizontal="left"/>
    </xf>
    <xf numFmtId="173" fontId="42" fillId="134" borderId="0" xfId="0" applyNumberFormat="1" applyFont="1" applyFill="1"/>
    <xf numFmtId="246" fontId="186" fillId="134" borderId="0" xfId="0" applyNumberFormat="1" applyFont="1" applyFill="1"/>
    <xf numFmtId="0" fontId="42" fillId="158" borderId="28" xfId="0" applyFont="1" applyFill="1" applyBorder="1" applyAlignment="1">
      <alignment horizontal="center"/>
    </xf>
    <xf numFmtId="171" fontId="42" fillId="134" borderId="12" xfId="0" applyNumberFormat="1" applyFont="1" applyFill="1" applyBorder="1" applyAlignment="1">
      <alignment horizontal="center"/>
    </xf>
    <xf numFmtId="0" fontId="43" fillId="152" borderId="40" xfId="1" applyNumberFormat="1" applyFont="1" applyFill="1" applyBorder="1" applyAlignment="1">
      <alignment horizontal="center"/>
    </xf>
    <xf numFmtId="0" fontId="43" fillId="152" borderId="40" xfId="0" applyFont="1" applyFill="1" applyBorder="1" applyAlignment="1">
      <alignment horizontal="center"/>
    </xf>
    <xf numFmtId="0" fontId="43" fillId="152" borderId="103" xfId="0" applyFont="1" applyFill="1" applyBorder="1" applyAlignment="1">
      <alignment horizontal="center"/>
    </xf>
    <xf numFmtId="0" fontId="43" fillId="152" borderId="42" xfId="0" applyFont="1" applyFill="1" applyBorder="1" applyAlignment="1">
      <alignment horizontal="center"/>
    </xf>
    <xf numFmtId="171" fontId="43" fillId="152" borderId="42" xfId="0" applyNumberFormat="1" applyFont="1" applyFill="1" applyBorder="1" applyAlignment="1">
      <alignment horizontal="center"/>
    </xf>
    <xf numFmtId="171" fontId="43" fillId="152" borderId="43" xfId="0" applyNumberFormat="1" applyFont="1" applyFill="1" applyBorder="1" applyAlignment="1">
      <alignment horizontal="center"/>
    </xf>
    <xf numFmtId="171" fontId="43" fillId="152" borderId="40" xfId="0" applyNumberFormat="1" applyFont="1" applyFill="1" applyBorder="1" applyAlignment="1">
      <alignment horizontal="center"/>
    </xf>
    <xf numFmtId="171" fontId="43" fillId="152" borderId="105" xfId="0" applyNumberFormat="1" applyFont="1" applyFill="1" applyBorder="1" applyAlignment="1">
      <alignment horizontal="center"/>
    </xf>
    <xf numFmtId="171" fontId="43" fillId="152" borderId="103" xfId="0" applyNumberFormat="1" applyFont="1" applyFill="1" applyBorder="1" applyAlignment="1">
      <alignment horizontal="center"/>
    </xf>
    <xf numFmtId="171" fontId="43" fillId="151" borderId="67" xfId="0" applyNumberFormat="1" applyFont="1" applyFill="1" applyBorder="1" applyAlignment="1">
      <alignment horizontal="center"/>
    </xf>
    <xf numFmtId="171" fontId="42" fillId="134" borderId="98" xfId="0" applyNumberFormat="1" applyFont="1" applyFill="1" applyBorder="1" applyAlignment="1">
      <alignment horizontal="center"/>
    </xf>
    <xf numFmtId="0" fontId="42" fillId="134" borderId="40" xfId="0" applyFont="1" applyFill="1" applyBorder="1"/>
    <xf numFmtId="0" fontId="42" fillId="134" borderId="103" xfId="0" applyFont="1" applyFill="1" applyBorder="1" applyAlignment="1">
      <alignment horizontal="center"/>
    </xf>
    <xf numFmtId="0" fontId="43" fillId="134" borderId="40" xfId="0" applyFont="1" applyFill="1" applyBorder="1" applyAlignment="1">
      <alignment horizontal="right"/>
    </xf>
    <xf numFmtId="171" fontId="42" fillId="134" borderId="42" xfId="0" applyNumberFormat="1" applyFont="1" applyFill="1" applyBorder="1" applyAlignment="1">
      <alignment horizontal="center"/>
    </xf>
    <xf numFmtId="171" fontId="42" fillId="134" borderId="43" xfId="0" applyNumberFormat="1" applyFont="1" applyFill="1" applyBorder="1" applyAlignment="1">
      <alignment horizontal="center"/>
    </xf>
    <xf numFmtId="171" fontId="42" fillId="134" borderId="40" xfId="0" applyNumberFormat="1" applyFont="1" applyFill="1" applyBorder="1" applyAlignment="1">
      <alignment horizontal="center"/>
    </xf>
    <xf numFmtId="171" fontId="42" fillId="134" borderId="42" xfId="0" applyNumberFormat="1" applyFont="1" applyFill="1" applyBorder="1" applyAlignment="1">
      <alignment horizontal="center" vertical="center"/>
    </xf>
    <xf numFmtId="171" fontId="42" fillId="134" borderId="67" xfId="0" applyNumberFormat="1" applyFont="1" applyFill="1" applyBorder="1" applyAlignment="1">
      <alignment horizontal="center" vertical="center"/>
    </xf>
    <xf numFmtId="0" fontId="42" fillId="158" borderId="32" xfId="0" applyFont="1" applyFill="1" applyBorder="1"/>
    <xf numFmtId="0" fontId="42" fillId="158" borderId="29" xfId="0" applyFont="1" applyFill="1" applyBorder="1"/>
    <xf numFmtId="0" fontId="45" fillId="158" borderId="29" xfId="0" applyFont="1" applyFill="1" applyBorder="1" applyAlignment="1">
      <alignment horizontal="center"/>
    </xf>
    <xf numFmtId="0" fontId="208" fillId="158" borderId="29" xfId="0" applyFont="1" applyFill="1" applyBorder="1" applyAlignment="1">
      <alignment horizontal="center"/>
    </xf>
    <xf numFmtId="0" fontId="45" fillId="158" borderId="30" xfId="0" applyFont="1" applyFill="1" applyBorder="1" applyAlignment="1">
      <alignment horizontal="center"/>
    </xf>
    <xf numFmtId="0" fontId="43" fillId="158" borderId="29" xfId="0" applyFont="1" applyFill="1" applyBorder="1"/>
    <xf numFmtId="0" fontId="42" fillId="158" borderId="30" xfId="0" applyFont="1" applyFill="1" applyBorder="1"/>
    <xf numFmtId="0" fontId="43" fillId="134" borderId="15" xfId="0" applyFont="1" applyFill="1" applyBorder="1" applyAlignment="1">
      <alignment horizontal="center"/>
    </xf>
    <xf numFmtId="164" fontId="42" fillId="158" borderId="8" xfId="0" applyNumberFormat="1" applyFont="1" applyFill="1" applyBorder="1" applyAlignment="1">
      <alignment horizontal="center"/>
    </xf>
    <xf numFmtId="164" fontId="43" fillId="158" borderId="11" xfId="0" applyNumberFormat="1" applyFont="1" applyFill="1" applyBorder="1" applyAlignment="1">
      <alignment horizontal="center"/>
    </xf>
    <xf numFmtId="0" fontId="42" fillId="158" borderId="11" xfId="0" applyFont="1" applyFill="1" applyBorder="1" applyAlignment="1">
      <alignment horizontal="center"/>
    </xf>
    <xf numFmtId="173" fontId="42" fillId="134" borderId="14" xfId="0" applyNumberFormat="1" applyFont="1" applyFill="1" applyBorder="1"/>
    <xf numFmtId="173" fontId="42" fillId="134" borderId="0" xfId="0" applyNumberFormat="1" applyFont="1" applyFill="1" applyBorder="1"/>
    <xf numFmtId="173" fontId="43" fillId="134" borderId="14" xfId="0" applyNumberFormat="1" applyFont="1" applyFill="1" applyBorder="1"/>
    <xf numFmtId="173" fontId="43" fillId="134" borderId="0" xfId="0" applyNumberFormat="1" applyFont="1" applyFill="1" applyBorder="1"/>
    <xf numFmtId="173" fontId="42" fillId="134" borderId="0" xfId="0" applyNumberFormat="1" applyFont="1" applyFill="1" applyBorder="1" applyAlignment="1"/>
    <xf numFmtId="173" fontId="42" fillId="134" borderId="27" xfId="0" applyNumberFormat="1" applyFont="1" applyFill="1" applyBorder="1" applyAlignment="1"/>
    <xf numFmtId="0" fontId="42" fillId="157" borderId="26" xfId="0" applyFont="1" applyFill="1" applyBorder="1"/>
    <xf numFmtId="0" fontId="42" fillId="157" borderId="27" xfId="0" applyFont="1" applyFill="1" applyBorder="1"/>
    <xf numFmtId="0" fontId="45" fillId="157" borderId="27" xfId="0" applyFont="1" applyFill="1" applyBorder="1" applyAlignment="1">
      <alignment horizontal="center"/>
    </xf>
    <xf numFmtId="0" fontId="42" fillId="157" borderId="27" xfId="0" applyFont="1" applyFill="1" applyBorder="1" applyAlignment="1">
      <alignment horizontal="center"/>
    </xf>
    <xf numFmtId="0" fontId="45" fillId="157" borderId="28" xfId="0" applyFont="1" applyFill="1" applyBorder="1" applyAlignment="1">
      <alignment horizontal="center"/>
    </xf>
    <xf numFmtId="0" fontId="42" fillId="157" borderId="28" xfId="0" applyFont="1" applyFill="1" applyBorder="1"/>
    <xf numFmtId="0" fontId="43" fillId="158" borderId="2" xfId="0" applyFont="1" applyFill="1" applyBorder="1" applyAlignment="1">
      <alignment horizontal="center"/>
    </xf>
    <xf numFmtId="0" fontId="43" fillId="158" borderId="16" xfId="0" applyFont="1" applyFill="1" applyBorder="1" applyAlignment="1">
      <alignment horizontal="center" wrapText="1"/>
    </xf>
    <xf numFmtId="0" fontId="42" fillId="158" borderId="3" xfId="0" quotePrefix="1" applyFont="1" applyFill="1" applyBorder="1" applyAlignment="1">
      <alignment horizontal="center"/>
    </xf>
    <xf numFmtId="0" fontId="42" fillId="158" borderId="3" xfId="0" applyFont="1" applyFill="1" applyBorder="1" applyAlignment="1">
      <alignment horizontal="center"/>
    </xf>
    <xf numFmtId="0" fontId="42" fillId="158" borderId="16" xfId="0" applyFont="1" applyFill="1" applyBorder="1" applyAlignment="1">
      <alignment horizontal="center"/>
    </xf>
    <xf numFmtId="3" fontId="43" fillId="134" borderId="0" xfId="100" applyNumberFormat="1" applyFont="1" applyFill="1"/>
    <xf numFmtId="0" fontId="42" fillId="134" borderId="0" xfId="5" applyFont="1" applyFill="1" applyAlignment="1"/>
    <xf numFmtId="0" fontId="214" fillId="134" borderId="0" xfId="0" quotePrefix="1" applyFont="1" applyFill="1"/>
    <xf numFmtId="0" fontId="42" fillId="134" borderId="0" xfId="0" applyFont="1" applyFill="1" applyAlignment="1">
      <alignment vertical="center"/>
    </xf>
    <xf numFmtId="44" fontId="42" fillId="134" borderId="0" xfId="2" applyFont="1" applyFill="1"/>
    <xf numFmtId="43" fontId="42" fillId="134" borderId="0" xfId="1" applyFont="1" applyFill="1"/>
    <xf numFmtId="44" fontId="42" fillId="134" borderId="0" xfId="0" applyNumberFormat="1" applyFont="1" applyFill="1"/>
    <xf numFmtId="3" fontId="42" fillId="134" borderId="0" xfId="100" applyNumberFormat="1" applyFont="1" applyFill="1" applyAlignment="1">
      <alignment vertical="center"/>
    </xf>
    <xf numFmtId="3" fontId="43" fillId="134" borderId="0" xfId="100" applyNumberFormat="1" applyFont="1" applyFill="1" applyAlignment="1">
      <alignment vertical="center"/>
    </xf>
    <xf numFmtId="185" fontId="42" fillId="158" borderId="14" xfId="101" applyFont="1" applyFill="1" applyBorder="1" applyAlignment="1">
      <alignment horizontal="center"/>
    </xf>
    <xf numFmtId="0" fontId="42" fillId="158" borderId="14" xfId="101" applyNumberFormat="1" applyFont="1" applyFill="1" applyBorder="1" applyAlignment="1">
      <alignment horizontal="center"/>
    </xf>
    <xf numFmtId="185" fontId="42" fillId="158" borderId="0" xfId="101" applyFont="1" applyFill="1" applyBorder="1" applyAlignment="1">
      <alignment horizontal="center"/>
    </xf>
    <xf numFmtId="7" fontId="42" fillId="134" borderId="5" xfId="2" applyNumberFormat="1" applyFont="1" applyFill="1" applyBorder="1" applyAlignment="1">
      <alignment horizontal="center"/>
    </xf>
    <xf numFmtId="7" fontId="42" fillId="134" borderId="14" xfId="2" applyNumberFormat="1" applyFont="1" applyFill="1" applyBorder="1" applyAlignment="1">
      <alignment horizontal="center"/>
    </xf>
    <xf numFmtId="7" fontId="42" fillId="134" borderId="11" xfId="2" applyNumberFormat="1" applyFont="1" applyFill="1" applyBorder="1" applyAlignment="1">
      <alignment horizontal="center"/>
    </xf>
    <xf numFmtId="7" fontId="42" fillId="134" borderId="26" xfId="2" applyNumberFormat="1" applyFont="1" applyFill="1" applyBorder="1" applyAlignment="1">
      <alignment horizontal="center"/>
    </xf>
    <xf numFmtId="7" fontId="42" fillId="134" borderId="28" xfId="2" applyNumberFormat="1" applyFont="1" applyFill="1" applyBorder="1" applyAlignment="1">
      <alignment horizontal="center"/>
    </xf>
    <xf numFmtId="7" fontId="42" fillId="134" borderId="4" xfId="2" applyNumberFormat="1" applyFont="1" applyFill="1" applyBorder="1" applyAlignment="1">
      <alignment horizontal="center"/>
    </xf>
    <xf numFmtId="7" fontId="42" fillId="134" borderId="8" xfId="2" applyNumberFormat="1" applyFont="1" applyFill="1" applyBorder="1" applyAlignment="1">
      <alignment horizontal="center"/>
    </xf>
    <xf numFmtId="168" fontId="43" fillId="155" borderId="43" xfId="143" applyNumberFormat="1" applyFont="1" applyFill="1" applyBorder="1" applyAlignment="1">
      <alignment horizontal="center"/>
    </xf>
    <xf numFmtId="168" fontId="43" fillId="156" borderId="43" xfId="143" applyNumberFormat="1" applyFont="1" applyFill="1" applyBorder="1" applyAlignment="1">
      <alignment horizontal="center"/>
    </xf>
    <xf numFmtId="0" fontId="43" fillId="134" borderId="28" xfId="0" applyFont="1" applyFill="1" applyBorder="1" applyAlignment="1">
      <alignment horizontal="center"/>
    </xf>
    <xf numFmtId="44" fontId="44" fillId="134" borderId="0" xfId="2" applyFont="1" applyFill="1" applyBorder="1" applyAlignment="1"/>
    <xf numFmtId="37" fontId="44" fillId="134" borderId="36" xfId="101" applyNumberFormat="1" applyFont="1" applyFill="1" applyBorder="1"/>
    <xf numFmtId="167" fontId="42" fillId="0" borderId="0" xfId="1" applyNumberFormat="1" applyFont="1"/>
    <xf numFmtId="184" fontId="43" fillId="0" borderId="2" xfId="2" applyNumberFormat="1" applyFont="1" applyFill="1" applyBorder="1"/>
    <xf numFmtId="184" fontId="43" fillId="0" borderId="16" xfId="2" applyNumberFormat="1" applyFont="1" applyFill="1" applyBorder="1"/>
    <xf numFmtId="184" fontId="43" fillId="37" borderId="38" xfId="2" applyNumberFormat="1" applyFont="1" applyFill="1" applyBorder="1" applyAlignment="1">
      <alignment vertical="center"/>
    </xf>
    <xf numFmtId="170" fontId="44" fillId="134" borderId="5" xfId="0" applyNumberFormat="1" applyFont="1" applyFill="1" applyBorder="1" applyAlignment="1">
      <alignment horizontal="center"/>
    </xf>
    <xf numFmtId="168" fontId="44" fillId="134" borderId="11" xfId="56362" applyNumberFormat="1" applyFont="1" applyFill="1" applyBorder="1"/>
    <xf numFmtId="170" fontId="44" fillId="134" borderId="4" xfId="0" applyNumberFormat="1" applyFont="1" applyFill="1" applyBorder="1" applyAlignment="1">
      <alignment horizontal="center"/>
    </xf>
    <xf numFmtId="170" fontId="44" fillId="134" borderId="26" xfId="0" applyNumberFormat="1" applyFont="1" applyFill="1" applyBorder="1" applyAlignment="1">
      <alignment horizontal="center"/>
    </xf>
    <xf numFmtId="185" fontId="42" fillId="0" borderId="29" xfId="101" applyFont="1" applyBorder="1"/>
    <xf numFmtId="37" fontId="42" fillId="0" borderId="24" xfId="0" applyNumberFormat="1" applyFont="1" applyBorder="1"/>
    <xf numFmtId="37" fontId="42" fillId="0" borderId="24" xfId="101" applyNumberFormat="1" applyFont="1" applyBorder="1"/>
    <xf numFmtId="184" fontId="208" fillId="134" borderId="0" xfId="2" applyNumberFormat="1" applyFont="1" applyFill="1" applyAlignment="1">
      <alignment horizontal="center"/>
    </xf>
    <xf numFmtId="184" fontId="185" fillId="134" borderId="16" xfId="2" applyNumberFormat="1" applyFont="1" applyFill="1" applyBorder="1" applyAlignment="1">
      <alignment horizontal="right"/>
    </xf>
    <xf numFmtId="0" fontId="70" fillId="134" borderId="0" xfId="0" applyFont="1" applyFill="1" applyBorder="1" applyAlignment="1">
      <alignment horizontal="right"/>
    </xf>
    <xf numFmtId="0" fontId="202" fillId="134" borderId="0" xfId="0" applyFont="1" applyFill="1" applyBorder="1" applyAlignment="1">
      <alignment horizontal="center" vertical="center"/>
    </xf>
    <xf numFmtId="171" fontId="220" fillId="134" borderId="27" xfId="0" applyNumberFormat="1" applyFont="1" applyFill="1" applyBorder="1"/>
    <xf numFmtId="171" fontId="220" fillId="134" borderId="106" xfId="0" applyNumberFormat="1" applyFont="1" applyFill="1" applyBorder="1"/>
    <xf numFmtId="171" fontId="220" fillId="134" borderId="14" xfId="0" applyNumberFormat="1" applyFont="1" applyFill="1" applyBorder="1"/>
    <xf numFmtId="171" fontId="220" fillId="134" borderId="107" xfId="0" applyNumberFormat="1" applyFont="1" applyFill="1" applyBorder="1"/>
    <xf numFmtId="171" fontId="220" fillId="134" borderId="0" xfId="0" applyNumberFormat="1" applyFont="1" applyFill="1" applyBorder="1"/>
    <xf numFmtId="171" fontId="220" fillId="134" borderId="108" xfId="0" applyNumberFormat="1" applyFont="1" applyFill="1" applyBorder="1"/>
    <xf numFmtId="171" fontId="220" fillId="134" borderId="0" xfId="0" applyNumberFormat="1" applyFont="1" applyFill="1" applyBorder="1" applyAlignment="1"/>
    <xf numFmtId="171" fontId="220" fillId="134" borderId="108" xfId="0" applyNumberFormat="1" applyFont="1" applyFill="1" applyBorder="1" applyAlignment="1"/>
    <xf numFmtId="171" fontId="220" fillId="134" borderId="14" xfId="0" applyNumberFormat="1" applyFont="1" applyFill="1" applyBorder="1" applyAlignment="1"/>
    <xf numFmtId="171" fontId="220" fillId="134" borderId="107" xfId="0" applyNumberFormat="1" applyFont="1" applyFill="1" applyBorder="1" applyAlignment="1"/>
    <xf numFmtId="171" fontId="220" fillId="134" borderId="27" xfId="0" applyNumberFormat="1" applyFont="1" applyFill="1" applyBorder="1" applyAlignment="1"/>
    <xf numFmtId="171" fontId="220" fillId="134" borderId="106" xfId="0" applyNumberFormat="1" applyFont="1" applyFill="1" applyBorder="1" applyAlignment="1"/>
    <xf numFmtId="171" fontId="220" fillId="134" borderId="12" xfId="0" applyNumberFormat="1" applyFont="1" applyFill="1" applyBorder="1" applyAlignment="1"/>
    <xf numFmtId="171" fontId="220" fillId="134" borderId="98" xfId="0" applyNumberFormat="1" applyFont="1" applyFill="1" applyBorder="1" applyAlignment="1"/>
    <xf numFmtId="184" fontId="206" fillId="134" borderId="14" xfId="2" applyNumberFormat="1" applyFont="1" applyFill="1" applyBorder="1" applyAlignment="1">
      <alignment horizontal="right"/>
    </xf>
    <xf numFmtId="0" fontId="202" fillId="134" borderId="99" xfId="0" applyFont="1" applyFill="1" applyBorder="1" applyAlignment="1">
      <alignment horizontal="center" vertical="center"/>
    </xf>
    <xf numFmtId="171" fontId="186" fillId="134" borderId="1" xfId="0" applyNumberFormat="1" applyFont="1" applyFill="1" applyBorder="1" applyAlignment="1">
      <alignment horizontal="center" vertical="center"/>
    </xf>
    <xf numFmtId="171" fontId="201" fillId="134" borderId="0" xfId="0" applyNumberFormat="1" applyFont="1" applyFill="1" applyAlignment="1">
      <alignment horizontal="center"/>
    </xf>
    <xf numFmtId="171" fontId="220" fillId="134" borderId="7" xfId="0" applyNumberFormat="1" applyFont="1" applyFill="1" applyBorder="1"/>
    <xf numFmtId="171" fontId="220" fillId="134" borderId="7" xfId="0" applyNumberFormat="1" applyFont="1" applyFill="1" applyBorder="1" applyAlignment="1"/>
    <xf numFmtId="171" fontId="220" fillId="134" borderId="99" xfId="0" applyNumberFormat="1" applyFont="1" applyFill="1" applyBorder="1" applyAlignment="1"/>
    <xf numFmtId="0" fontId="45" fillId="134" borderId="27" xfId="0" applyFont="1" applyFill="1" applyBorder="1" applyAlignment="1">
      <alignment horizontal="center"/>
    </xf>
    <xf numFmtId="0" fontId="42" fillId="134" borderId="27" xfId="0" applyFont="1" applyFill="1" applyBorder="1"/>
    <xf numFmtId="171" fontId="186" fillId="134" borderId="0" xfId="0" applyNumberFormat="1" applyFont="1" applyFill="1" applyBorder="1" applyAlignment="1">
      <alignment horizontal="center" vertical="center"/>
    </xf>
    <xf numFmtId="0" fontId="186" fillId="134" borderId="18" xfId="0" applyFont="1" applyFill="1" applyBorder="1"/>
    <xf numFmtId="171" fontId="220" fillId="134" borderId="44" xfId="0" applyNumberFormat="1" applyFont="1" applyFill="1" applyBorder="1"/>
    <xf numFmtId="171" fontId="220" fillId="134" borderId="113" xfId="0" applyNumberFormat="1" applyFont="1" applyFill="1" applyBorder="1"/>
    <xf numFmtId="171" fontId="220" fillId="134" borderId="48" xfId="0" applyNumberFormat="1" applyFont="1" applyFill="1" applyBorder="1"/>
    <xf numFmtId="171" fontId="220" fillId="134" borderId="113" xfId="0" applyNumberFormat="1" applyFont="1" applyFill="1" applyBorder="1" applyAlignment="1"/>
    <xf numFmtId="171" fontId="220" fillId="134" borderId="44" xfId="0" applyNumberFormat="1" applyFont="1" applyFill="1" applyBorder="1" applyAlignment="1"/>
    <xf numFmtId="0" fontId="43" fillId="134" borderId="91" xfId="0" applyFont="1" applyFill="1" applyBorder="1" applyAlignment="1">
      <alignment horizontal="center"/>
    </xf>
    <xf numFmtId="37" fontId="195" fillId="134" borderId="18" xfId="0" applyNumberFormat="1" applyFont="1" applyFill="1" applyBorder="1" applyAlignment="1">
      <alignment horizontal="center"/>
    </xf>
    <xf numFmtId="7" fontId="189" fillId="134" borderId="0" xfId="0" applyNumberFormat="1" applyFont="1" applyFill="1" applyBorder="1"/>
    <xf numFmtId="184" fontId="0" fillId="134" borderId="0" xfId="0" applyNumberFormat="1" applyFill="1"/>
    <xf numFmtId="0" fontId="42" fillId="152" borderId="0" xfId="0" applyFont="1" applyFill="1" applyBorder="1" applyAlignment="1">
      <alignment horizontal="center" vertical="center" wrapText="1"/>
    </xf>
    <xf numFmtId="0" fontId="0" fillId="152" borderId="0" xfId="0" applyFill="1" applyBorder="1"/>
    <xf numFmtId="10" fontId="50" fillId="152" borderId="0" xfId="4" applyNumberFormat="1" applyFont="1" applyFill="1" applyBorder="1" applyAlignment="1">
      <alignment horizontal="center" vertical="center"/>
    </xf>
    <xf numFmtId="184" fontId="181" fillId="152" borderId="17" xfId="2" applyNumberFormat="1" applyFont="1" applyFill="1" applyBorder="1" applyAlignment="1">
      <alignment horizontal="center"/>
    </xf>
    <xf numFmtId="10" fontId="181" fillId="152" borderId="21" xfId="4" applyNumberFormat="1" applyFont="1" applyFill="1" applyBorder="1" applyAlignment="1">
      <alignment horizontal="center"/>
    </xf>
    <xf numFmtId="168" fontId="216" fillId="0" borderId="5" xfId="143" applyNumberFormat="1" applyFont="1" applyFill="1" applyBorder="1" applyAlignment="1">
      <alignment horizontal="center"/>
    </xf>
    <xf numFmtId="7" fontId="190" fillId="134" borderId="0" xfId="2" applyNumberFormat="1" applyFont="1" applyFill="1" applyBorder="1" applyAlignment="1">
      <alignment horizontal="center"/>
    </xf>
    <xf numFmtId="7" fontId="190" fillId="134" borderId="0" xfId="0" applyNumberFormat="1" applyFont="1" applyFill="1" applyBorder="1" applyAlignment="1">
      <alignment horizontal="center"/>
    </xf>
    <xf numFmtId="168" fontId="217" fillId="134" borderId="26" xfId="0" applyNumberFormat="1" applyFont="1" applyFill="1" applyBorder="1" applyAlignment="1">
      <alignment horizontal="center"/>
    </xf>
    <xf numFmtId="168" fontId="217" fillId="134" borderId="9" xfId="0" applyNumberFormat="1" applyFont="1" applyFill="1" applyBorder="1" applyAlignment="1">
      <alignment horizontal="center"/>
    </xf>
    <xf numFmtId="0" fontId="195" fillId="134" borderId="0" xfId="0" applyFont="1" applyFill="1" applyBorder="1" applyAlignment="1"/>
    <xf numFmtId="0" fontId="190" fillId="159" borderId="114" xfId="0" applyFont="1" applyFill="1" applyBorder="1" applyAlignment="1">
      <alignment horizontal="center"/>
    </xf>
    <xf numFmtId="0" fontId="190" fillId="159" borderId="31" xfId="0" applyFont="1" applyFill="1" applyBorder="1" applyAlignment="1">
      <alignment horizontal="center"/>
    </xf>
    <xf numFmtId="0" fontId="50" fillId="159" borderId="16" xfId="0" applyFont="1" applyFill="1" applyBorder="1" applyAlignment="1">
      <alignment horizontal="center" vertical="center" wrapText="1"/>
    </xf>
    <xf numFmtId="0" fontId="181" fillId="159" borderId="16" xfId="0" applyFont="1" applyFill="1" applyBorder="1" applyAlignment="1">
      <alignment horizontal="center" vertical="center" wrapText="1"/>
    </xf>
    <xf numFmtId="168" fontId="217" fillId="159" borderId="33" xfId="0" applyNumberFormat="1" applyFont="1" applyFill="1" applyBorder="1" applyAlignment="1">
      <alignment horizontal="center"/>
    </xf>
    <xf numFmtId="168" fontId="217" fillId="159" borderId="34" xfId="0" applyNumberFormat="1" applyFont="1" applyFill="1" applyBorder="1" applyAlignment="1">
      <alignment horizontal="center"/>
    </xf>
    <xf numFmtId="168" fontId="217" fillId="159" borderId="110" xfId="0" applyNumberFormat="1" applyFont="1" applyFill="1" applyBorder="1" applyAlignment="1">
      <alignment horizontal="center"/>
    </xf>
    <xf numFmtId="168" fontId="42" fillId="159" borderId="16" xfId="143" applyNumberFormat="1" applyFont="1" applyFill="1" applyBorder="1" applyAlignment="1">
      <alignment horizontal="center"/>
    </xf>
    <xf numFmtId="168" fontId="42" fillId="159" borderId="3" xfId="143" applyNumberFormat="1" applyFont="1" applyFill="1" applyBorder="1" applyAlignment="1">
      <alignment horizontal="center"/>
    </xf>
    <xf numFmtId="168" fontId="42" fillId="159" borderId="38" xfId="143" applyNumberFormat="1" applyFont="1" applyFill="1" applyBorder="1" applyAlignment="1">
      <alignment horizontal="center"/>
    </xf>
    <xf numFmtId="247" fontId="201" fillId="134" borderId="91" xfId="2" applyNumberFormat="1" applyFont="1" applyFill="1" applyBorder="1" applyAlignment="1">
      <alignment horizontal="center"/>
    </xf>
    <xf numFmtId="14" fontId="192" fillId="156" borderId="40" xfId="0" applyNumberFormat="1" applyFont="1" applyFill="1" applyBorder="1" applyAlignment="1">
      <alignment horizontal="center" vertical="center"/>
    </xf>
    <xf numFmtId="0" fontId="186" fillId="159" borderId="39" xfId="0" applyFont="1" applyFill="1" applyBorder="1"/>
    <xf numFmtId="171" fontId="192" fillId="159" borderId="40" xfId="0" applyNumberFormat="1" applyFont="1" applyFill="1" applyBorder="1" applyAlignment="1">
      <alignment horizontal="center" vertical="center"/>
    </xf>
    <xf numFmtId="171" fontId="186" fillId="159" borderId="40" xfId="0" applyNumberFormat="1" applyFont="1" applyFill="1" applyBorder="1" applyAlignment="1">
      <alignment horizontal="center" vertical="center"/>
    </xf>
    <xf numFmtId="0" fontId="186" fillId="159" borderId="40" xfId="0" applyFont="1" applyFill="1" applyBorder="1" applyAlignment="1">
      <alignment horizontal="center" vertical="center"/>
    </xf>
    <xf numFmtId="0" fontId="186" fillId="159" borderId="103" xfId="0" applyFont="1" applyFill="1" applyBorder="1" applyAlignment="1">
      <alignment horizontal="center" vertical="center"/>
    </xf>
    <xf numFmtId="0" fontId="192" fillId="159" borderId="40" xfId="0" applyFont="1" applyFill="1" applyBorder="1" applyAlignment="1">
      <alignment horizontal="center"/>
    </xf>
    <xf numFmtId="0" fontId="192" fillId="159" borderId="42" xfId="0" applyFont="1" applyFill="1" applyBorder="1" applyAlignment="1">
      <alignment horizontal="center"/>
    </xf>
    <xf numFmtId="168" fontId="192" fillId="159" borderId="42" xfId="0" applyNumberFormat="1" applyFont="1" applyFill="1" applyBorder="1"/>
    <xf numFmtId="168" fontId="192" fillId="159" borderId="67" xfId="0" applyNumberFormat="1" applyFont="1" applyFill="1" applyBorder="1" applyAlignment="1"/>
    <xf numFmtId="37" fontId="43" fillId="152" borderId="39" xfId="0" applyNumberFormat="1" applyFont="1" applyFill="1" applyBorder="1" applyAlignment="1">
      <alignment horizontal="center"/>
    </xf>
    <xf numFmtId="0" fontId="42" fillId="134" borderId="27" xfId="0" applyFont="1" applyFill="1" applyBorder="1" applyAlignment="1">
      <alignment horizontal="center"/>
    </xf>
    <xf numFmtId="0" fontId="42" fillId="158" borderId="15" xfId="0" applyFont="1" applyFill="1" applyBorder="1" applyAlignment="1">
      <alignment horizontal="center"/>
    </xf>
    <xf numFmtId="37" fontId="42" fillId="134" borderId="9" xfId="0" applyNumberFormat="1" applyFont="1" applyFill="1" applyBorder="1" applyAlignment="1"/>
    <xf numFmtId="171" fontId="42" fillId="134" borderId="9" xfId="0" applyNumberFormat="1" applyFont="1" applyFill="1" applyBorder="1" applyAlignment="1">
      <alignment horizontal="center"/>
    </xf>
    <xf numFmtId="168" fontId="42" fillId="134" borderId="9" xfId="0" applyNumberFormat="1" applyFont="1" applyFill="1" applyBorder="1" applyAlignment="1"/>
    <xf numFmtId="37" fontId="43" fillId="134" borderId="27" xfId="0" applyNumberFormat="1" applyFont="1" applyFill="1" applyBorder="1" applyAlignment="1"/>
    <xf numFmtId="39" fontId="208" fillId="134" borderId="27" xfId="0" applyNumberFormat="1" applyFont="1" applyFill="1" applyBorder="1" applyAlignment="1"/>
    <xf numFmtId="171" fontId="43" fillId="134" borderId="27" xfId="0" applyNumberFormat="1" applyFont="1" applyFill="1" applyBorder="1" applyAlignment="1"/>
    <xf numFmtId="39" fontId="43" fillId="134" borderId="27" xfId="0" applyNumberFormat="1" applyFont="1" applyFill="1" applyBorder="1"/>
    <xf numFmtId="39" fontId="43" fillId="134" borderId="28" xfId="0" applyNumberFormat="1" applyFont="1" applyFill="1" applyBorder="1"/>
    <xf numFmtId="0" fontId="42" fillId="134" borderId="32" xfId="0" applyFont="1" applyFill="1" applyBorder="1"/>
    <xf numFmtId="0" fontId="42" fillId="134" borderId="29" xfId="0" applyFont="1" applyFill="1" applyBorder="1"/>
    <xf numFmtId="166" fontId="42" fillId="134" borderId="15" xfId="0" applyNumberFormat="1" applyFont="1" applyFill="1" applyBorder="1"/>
    <xf numFmtId="168" fontId="43" fillId="134" borderId="0" xfId="2" applyNumberFormat="1" applyFont="1" applyFill="1" applyBorder="1"/>
    <xf numFmtId="171" fontId="42" fillId="134" borderId="1" xfId="0" applyNumberFormat="1" applyFont="1" applyFill="1" applyBorder="1" applyAlignment="1">
      <alignment horizontal="center"/>
    </xf>
    <xf numFmtId="171" fontId="42" fillId="134" borderId="7" xfId="5" applyNumberFormat="1" applyFont="1" applyFill="1" applyBorder="1" applyAlignment="1">
      <alignment horizontal="center"/>
    </xf>
    <xf numFmtId="171" fontId="42" fillId="134" borderId="0" xfId="5" applyNumberFormat="1" applyFont="1" applyFill="1" applyBorder="1" applyAlignment="1">
      <alignment horizontal="center"/>
    </xf>
    <xf numFmtId="171" fontId="42" fillId="134" borderId="1" xfId="5" applyNumberFormat="1" applyFont="1" applyFill="1" applyBorder="1" applyAlignment="1">
      <alignment horizontal="center"/>
    </xf>
    <xf numFmtId="0" fontId="43" fillId="0" borderId="0" xfId="0" applyFont="1" applyFill="1" applyAlignment="1">
      <alignment horizontal="center"/>
    </xf>
    <xf numFmtId="171" fontId="186" fillId="134" borderId="7" xfId="0" applyNumberFormat="1" applyFont="1" applyFill="1" applyBorder="1" applyAlignment="1">
      <alignment horizontal="center" vertical="center"/>
    </xf>
    <xf numFmtId="14" fontId="192" fillId="152" borderId="40" xfId="0" applyNumberFormat="1" applyFont="1" applyFill="1" applyBorder="1" applyAlignment="1">
      <alignment horizontal="center" vertical="center"/>
    </xf>
    <xf numFmtId="14" fontId="42" fillId="134" borderId="39" xfId="0" applyNumberFormat="1" applyFont="1" applyFill="1" applyBorder="1" applyAlignment="1">
      <alignment horizontal="center"/>
    </xf>
    <xf numFmtId="0" fontId="50" fillId="134" borderId="5" xfId="0" applyFont="1" applyFill="1" applyBorder="1" applyAlignment="1">
      <alignment horizontal="center" vertical="center" wrapText="1"/>
    </xf>
    <xf numFmtId="0" fontId="181" fillId="134" borderId="54" xfId="0" applyFont="1" applyFill="1" applyBorder="1" applyAlignment="1">
      <alignment horizontal="center" vertical="center" wrapText="1"/>
    </xf>
    <xf numFmtId="0" fontId="50" fillId="134" borderId="4" xfId="0" applyFont="1" applyFill="1" applyBorder="1" applyAlignment="1">
      <alignment horizontal="center" vertical="center" wrapText="1"/>
    </xf>
    <xf numFmtId="184" fontId="181" fillId="134" borderId="18" xfId="0" applyNumberFormat="1" applyFont="1" applyFill="1" applyBorder="1"/>
    <xf numFmtId="184" fontId="181" fillId="134" borderId="18" xfId="2" applyNumberFormat="1" applyFont="1" applyFill="1" applyBorder="1"/>
    <xf numFmtId="184" fontId="181" fillId="134" borderId="39" xfId="2" applyNumberFormat="1" applyFont="1" applyFill="1" applyBorder="1"/>
    <xf numFmtId="10" fontId="181" fillId="134" borderId="17" xfId="4" applyNumberFormat="1" applyFont="1" applyFill="1" applyBorder="1" applyAlignment="1">
      <alignment horizontal="center"/>
    </xf>
    <xf numFmtId="10" fontId="181" fillId="134" borderId="18" xfId="4" applyNumberFormat="1" applyFont="1" applyFill="1" applyBorder="1" applyAlignment="1">
      <alignment horizontal="center"/>
    </xf>
    <xf numFmtId="10" fontId="181" fillId="134" borderId="21" xfId="4" applyNumberFormat="1" applyFont="1" applyFill="1" applyBorder="1" applyAlignment="1">
      <alignment horizontal="center"/>
    </xf>
    <xf numFmtId="184" fontId="181" fillId="134" borderId="17" xfId="0" applyNumberFormat="1" applyFont="1" applyFill="1" applyBorder="1"/>
    <xf numFmtId="0" fontId="43" fillId="134" borderId="17" xfId="5" applyFont="1" applyFill="1" applyBorder="1" applyAlignment="1">
      <alignment horizontal="center"/>
    </xf>
    <xf numFmtId="0" fontId="181" fillId="134" borderId="99" xfId="0" applyFont="1" applyFill="1" applyBorder="1"/>
    <xf numFmtId="0" fontId="42" fillId="134" borderId="4" xfId="5" applyFont="1" applyFill="1" applyBorder="1" applyAlignment="1">
      <alignment horizontal="center" vertical="center" wrapText="1"/>
    </xf>
    <xf numFmtId="0" fontId="42" fillId="160" borderId="0" xfId="0" applyFont="1" applyFill="1"/>
    <xf numFmtId="0" fontId="43" fillId="160" borderId="0" xfId="0" applyFont="1" applyFill="1"/>
    <xf numFmtId="10" fontId="0" fillId="134" borderId="1" xfId="0" applyNumberFormat="1" applyFill="1" applyBorder="1" applyAlignment="1">
      <alignment horizontal="center"/>
    </xf>
    <xf numFmtId="10" fontId="0" fillId="134" borderId="0" xfId="0" applyNumberFormat="1" applyFill="1" applyBorder="1" applyAlignment="1">
      <alignment horizontal="center"/>
    </xf>
    <xf numFmtId="243" fontId="0" fillId="134" borderId="7" xfId="2" applyNumberFormat="1" applyFont="1" applyFill="1" applyBorder="1"/>
    <xf numFmtId="10" fontId="0" fillId="134" borderId="1" xfId="2" applyNumberFormat="1" applyFont="1" applyFill="1" applyBorder="1" applyAlignment="1">
      <alignment horizontal="center"/>
    </xf>
    <xf numFmtId="166" fontId="0" fillId="152" borderId="7" xfId="2" applyNumberFormat="1" applyFont="1" applyFill="1" applyBorder="1" applyAlignment="1">
      <alignment horizontal="center"/>
    </xf>
    <xf numFmtId="166" fontId="0" fillId="152" borderId="1" xfId="2" applyNumberFormat="1" applyFont="1" applyFill="1" applyBorder="1" applyAlignment="1">
      <alignment horizontal="center"/>
    </xf>
    <xf numFmtId="10" fontId="0" fillId="154" borderId="1" xfId="0" applyNumberFormat="1" applyFill="1" applyBorder="1" applyAlignment="1">
      <alignment horizontal="center"/>
    </xf>
    <xf numFmtId="243" fontId="181" fillId="134" borderId="17" xfId="2" applyNumberFormat="1" applyFont="1" applyFill="1" applyBorder="1"/>
    <xf numFmtId="0" fontId="49" fillId="134" borderId="98" xfId="0" applyFont="1" applyFill="1" applyBorder="1" applyAlignment="1">
      <alignment horizontal="center"/>
    </xf>
    <xf numFmtId="0" fontId="49" fillId="134" borderId="99" xfId="0" applyFont="1" applyFill="1" applyBorder="1" applyAlignment="1">
      <alignment horizontal="center"/>
    </xf>
    <xf numFmtId="0" fontId="49" fillId="134" borderId="100" xfId="0" applyFont="1" applyFill="1" applyBorder="1" applyAlignment="1">
      <alignment horizontal="center"/>
    </xf>
    <xf numFmtId="0" fontId="0" fillId="152" borderId="100" xfId="0" applyFill="1" applyBorder="1"/>
    <xf numFmtId="0" fontId="0" fillId="154" borderId="99" xfId="0" applyFill="1" applyBorder="1"/>
    <xf numFmtId="0" fontId="49" fillId="154" borderId="100" xfId="0" applyFont="1" applyFill="1" applyBorder="1" applyAlignment="1">
      <alignment horizontal="center"/>
    </xf>
    <xf numFmtId="166" fontId="0" fillId="134" borderId="7" xfId="0" applyNumberFormat="1" applyFill="1" applyBorder="1" applyAlignment="1">
      <alignment horizontal="center"/>
    </xf>
    <xf numFmtId="166" fontId="0" fillId="134" borderId="0" xfId="0" applyNumberFormat="1" applyFill="1" applyBorder="1" applyAlignment="1">
      <alignment horizontal="center"/>
    </xf>
    <xf numFmtId="0" fontId="0" fillId="134" borderId="1" xfId="0" applyFill="1" applyBorder="1" applyAlignment="1">
      <alignment horizontal="center"/>
    </xf>
    <xf numFmtId="184" fontId="181" fillId="134" borderId="9" xfId="0" applyNumberFormat="1" applyFont="1" applyFill="1" applyBorder="1"/>
    <xf numFmtId="184" fontId="181" fillId="134" borderId="9" xfId="2" applyNumberFormat="1" applyFont="1" applyFill="1" applyBorder="1"/>
    <xf numFmtId="10" fontId="181" fillId="134" borderId="115" xfId="4" applyNumberFormat="1" applyFont="1" applyFill="1" applyBorder="1" applyAlignment="1">
      <alignment horizontal="center"/>
    </xf>
    <xf numFmtId="10" fontId="181" fillId="134" borderId="9" xfId="4" applyNumberFormat="1" applyFont="1" applyFill="1" applyBorder="1" applyAlignment="1">
      <alignment horizontal="center"/>
    </xf>
    <xf numFmtId="184" fontId="181" fillId="152" borderId="113" xfId="2" applyNumberFormat="1" applyFont="1" applyFill="1" applyBorder="1" applyAlignment="1">
      <alignment horizontal="center"/>
    </xf>
    <xf numFmtId="10" fontId="181" fillId="152" borderId="115" xfId="4" applyNumberFormat="1" applyFont="1" applyFill="1" applyBorder="1" applyAlignment="1">
      <alignment horizontal="center"/>
    </xf>
    <xf numFmtId="184" fontId="181" fillId="154" borderId="113" xfId="2" applyNumberFormat="1" applyFont="1" applyFill="1" applyBorder="1"/>
    <xf numFmtId="10" fontId="181" fillId="154" borderId="115" xfId="4" applyNumberFormat="1" applyFont="1" applyFill="1" applyBorder="1" applyAlignment="1">
      <alignment horizontal="center"/>
    </xf>
    <xf numFmtId="10" fontId="181" fillId="134" borderId="113" xfId="4" applyNumberFormat="1" applyFont="1" applyFill="1" applyBorder="1" applyAlignment="1">
      <alignment horizontal="center"/>
    </xf>
    <xf numFmtId="0" fontId="0" fillId="160" borderId="0" xfId="0" applyFill="1"/>
    <xf numFmtId="0" fontId="182" fillId="160" borderId="0" xfId="0" applyFont="1" applyFill="1"/>
    <xf numFmtId="0" fontId="50" fillId="161" borderId="11" xfId="0" applyFont="1" applyFill="1" applyBorder="1" applyAlignment="1">
      <alignment horizontal="center" vertical="center" wrapText="1"/>
    </xf>
    <xf numFmtId="0" fontId="50" fillId="161" borderId="116" xfId="0" applyFont="1" applyFill="1" applyBorder="1" applyAlignment="1">
      <alignment horizontal="center" vertical="center" wrapText="1"/>
    </xf>
    <xf numFmtId="0" fontId="50" fillId="161" borderId="8" xfId="0" applyFont="1" applyFill="1" applyBorder="1" applyAlignment="1">
      <alignment horizontal="center" vertical="center" wrapText="1"/>
    </xf>
    <xf numFmtId="0" fontId="42" fillId="161" borderId="8" xfId="0" quotePrefix="1" applyFont="1" applyFill="1" applyBorder="1" applyAlignment="1">
      <alignment horizontal="center"/>
    </xf>
    <xf numFmtId="0" fontId="42" fillId="161" borderId="8" xfId="0" applyFont="1" applyFill="1" applyBorder="1" applyAlignment="1">
      <alignment horizontal="center"/>
    </xf>
    <xf numFmtId="0" fontId="0" fillId="161" borderId="8" xfId="0" applyFill="1" applyBorder="1"/>
    <xf numFmtId="0" fontId="42" fillId="161" borderId="17" xfId="5" applyFont="1" applyFill="1" applyBorder="1" applyAlignment="1">
      <alignment horizontal="center" vertical="center" wrapText="1"/>
    </xf>
    <xf numFmtId="0" fontId="50" fillId="161" borderId="19" xfId="0" applyFont="1" applyFill="1" applyBorder="1" applyAlignment="1">
      <alignment horizontal="center" vertical="center" wrapText="1"/>
    </xf>
    <xf numFmtId="0" fontId="42" fillId="161" borderId="48" xfId="5" applyFont="1" applyFill="1" applyBorder="1" applyAlignment="1">
      <alignment horizontal="center" vertical="center" wrapText="1"/>
    </xf>
    <xf numFmtId="0" fontId="42" fillId="161" borderId="55" xfId="5" applyFont="1" applyFill="1" applyBorder="1" applyAlignment="1">
      <alignment horizontal="center"/>
    </xf>
    <xf numFmtId="0" fontId="42" fillId="161" borderId="7" xfId="5" applyFont="1" applyFill="1" applyBorder="1" applyAlignment="1">
      <alignment horizontal="center"/>
    </xf>
    <xf numFmtId="0" fontId="42" fillId="161" borderId="7" xfId="5" applyFont="1" applyFill="1" applyBorder="1" applyAlignment="1">
      <alignment horizontal="center" vertical="center"/>
    </xf>
    <xf numFmtId="0" fontId="0" fillId="161" borderId="7" xfId="0" applyFill="1" applyBorder="1"/>
    <xf numFmtId="0" fontId="0" fillId="134" borderId="51" xfId="0" applyFill="1" applyBorder="1"/>
    <xf numFmtId="0" fontId="0" fillId="134" borderId="52" xfId="0" applyFill="1" applyBorder="1"/>
    <xf numFmtId="0" fontId="0" fillId="134" borderId="24" xfId="0" applyFill="1" applyBorder="1"/>
    <xf numFmtId="0" fontId="43" fillId="161" borderId="17" xfId="5" applyFont="1" applyFill="1" applyBorder="1" applyAlignment="1">
      <alignment horizontal="center"/>
    </xf>
    <xf numFmtId="184" fontId="181" fillId="154" borderId="18" xfId="2" applyNumberFormat="1" applyFont="1" applyFill="1" applyBorder="1"/>
    <xf numFmtId="0" fontId="0" fillId="161" borderId="99" xfId="0" applyFill="1" applyBorder="1" applyAlignment="1">
      <alignment wrapText="1"/>
    </xf>
    <xf numFmtId="0" fontId="49" fillId="161" borderId="109" xfId="0" applyFont="1" applyFill="1" applyBorder="1" applyAlignment="1">
      <alignment horizontal="center"/>
    </xf>
    <xf numFmtId="0" fontId="0" fillId="154" borderId="98" xfId="0" applyFill="1" applyBorder="1"/>
    <xf numFmtId="10" fontId="181" fillId="154" borderId="18" xfId="4" applyNumberFormat="1" applyFont="1" applyFill="1" applyBorder="1" applyAlignment="1">
      <alignment horizontal="center"/>
    </xf>
    <xf numFmtId="0" fontId="49" fillId="154" borderId="98" xfId="0" applyFont="1" applyFill="1" applyBorder="1" applyAlignment="1">
      <alignment horizontal="center"/>
    </xf>
    <xf numFmtId="0" fontId="0" fillId="134" borderId="98" xfId="0" applyFill="1" applyBorder="1" applyAlignment="1"/>
    <xf numFmtId="184" fontId="181" fillId="134" borderId="21" xfId="2" applyNumberFormat="1" applyFont="1" applyFill="1" applyBorder="1"/>
    <xf numFmtId="0" fontId="0" fillId="134" borderId="100" xfId="0" applyFill="1" applyBorder="1" applyAlignment="1"/>
    <xf numFmtId="0" fontId="50" fillId="134" borderId="113" xfId="0" applyFont="1" applyFill="1" applyBorder="1" applyAlignment="1">
      <alignment horizontal="center" vertical="center" wrapText="1"/>
    </xf>
    <xf numFmtId="184" fontId="50" fillId="134" borderId="7" xfId="2" applyNumberFormat="1" applyFont="1" applyFill="1" applyBorder="1"/>
    <xf numFmtId="184" fontId="181" fillId="134" borderId="113" xfId="0" applyNumberFormat="1" applyFont="1" applyFill="1" applyBorder="1"/>
    <xf numFmtId="0" fontId="195" fillId="37" borderId="0" xfId="1" applyNumberFormat="1" applyFont="1" applyFill="1" applyAlignment="1">
      <alignment horizontal="center"/>
    </xf>
    <xf numFmtId="0" fontId="44" fillId="37" borderId="0" xfId="5" applyFont="1" applyFill="1" applyBorder="1" applyAlignment="1">
      <alignment horizontal="center" vertical="center"/>
    </xf>
    <xf numFmtId="0" fontId="202" fillId="37" borderId="0" xfId="0" applyFont="1" applyFill="1" applyBorder="1" applyAlignment="1">
      <alignment horizontal="center" vertical="center"/>
    </xf>
    <xf numFmtId="0" fontId="190" fillId="37" borderId="38" xfId="0" applyFont="1" applyFill="1" applyBorder="1" applyAlignment="1">
      <alignment horizontal="center"/>
    </xf>
    <xf numFmtId="0" fontId="222" fillId="37" borderId="38" xfId="0" applyFont="1" applyFill="1" applyBorder="1" applyAlignment="1">
      <alignment horizontal="center"/>
    </xf>
    <xf numFmtId="0" fontId="185" fillId="0" borderId="0" xfId="0" applyFont="1" applyFill="1" applyBorder="1"/>
    <xf numFmtId="0" fontId="14" fillId="0" borderId="0" xfId="5" applyFont="1" applyAlignment="1">
      <alignment horizontal="center" vertical="center"/>
    </xf>
    <xf numFmtId="0" fontId="1" fillId="0" borderId="0" xfId="0" applyFont="1" applyAlignment="1">
      <alignment horizontal="center"/>
    </xf>
    <xf numFmtId="0" fontId="1" fillId="0" borderId="0" xfId="0" applyFont="1" applyFill="1" applyAlignment="1">
      <alignment horizontal="center"/>
    </xf>
    <xf numFmtId="0" fontId="112" fillId="0" borderId="0" xfId="5" applyFont="1" applyFill="1" applyAlignment="1">
      <alignment horizontal="center"/>
    </xf>
    <xf numFmtId="0" fontId="0" fillId="0" borderId="0" xfId="0" quotePrefix="1" applyFont="1" applyBorder="1" applyAlignment="1">
      <alignment horizontal="center"/>
    </xf>
    <xf numFmtId="0" fontId="0" fillId="0" borderId="0" xfId="0" applyFont="1" applyBorder="1" applyAlignment="1">
      <alignment horizontal="center"/>
    </xf>
    <xf numFmtId="0" fontId="0" fillId="0" borderId="0" xfId="0" applyFont="1" applyFill="1" applyBorder="1" applyAlignment="1">
      <alignment horizontal="center"/>
    </xf>
    <xf numFmtId="0" fontId="11" fillId="0" borderId="0" xfId="5" applyFont="1" applyBorder="1" applyAlignment="1"/>
    <xf numFmtId="171" fontId="186" fillId="0" borderId="50" xfId="0" applyNumberFormat="1" applyFont="1" applyFill="1" applyBorder="1" applyAlignment="1"/>
    <xf numFmtId="170" fontId="44" fillId="0" borderId="14" xfId="0" applyNumberFormat="1" applyFont="1" applyFill="1" applyBorder="1" applyAlignment="1"/>
    <xf numFmtId="170" fontId="44" fillId="0" borderId="27" xfId="0" applyNumberFormat="1" applyFont="1" applyFill="1" applyBorder="1" applyAlignment="1"/>
    <xf numFmtId="184" fontId="44" fillId="154" borderId="10" xfId="2" applyNumberFormat="1" applyFont="1" applyFill="1" applyBorder="1"/>
    <xf numFmtId="184" fontId="44" fillId="154" borderId="2" xfId="2" applyNumberFormat="1" applyFont="1" applyFill="1" applyBorder="1"/>
    <xf numFmtId="184" fontId="44" fillId="154" borderId="15" xfId="2" applyNumberFormat="1" applyFont="1" applyFill="1" applyBorder="1"/>
    <xf numFmtId="184" fontId="44" fillId="154" borderId="5" xfId="2" applyNumberFormat="1" applyFont="1" applyFill="1" applyBorder="1"/>
    <xf numFmtId="184" fontId="44" fillId="154" borderId="16" xfId="2" applyNumberFormat="1" applyFont="1" applyFill="1" applyBorder="1"/>
    <xf numFmtId="184" fontId="44" fillId="154" borderId="11" xfId="2" applyNumberFormat="1" applyFont="1" applyFill="1" applyBorder="1"/>
    <xf numFmtId="49" fontId="42" fillId="0" borderId="0" xfId="4" applyNumberFormat="1" applyFont="1" applyFill="1"/>
    <xf numFmtId="0" fontId="196" fillId="0" borderId="0" xfId="5" applyFont="1" applyFill="1" applyBorder="1" applyAlignment="1">
      <alignment horizontal="left"/>
    </xf>
    <xf numFmtId="0" fontId="18" fillId="0" borderId="2" xfId="0" applyFont="1" applyBorder="1" applyAlignment="1">
      <alignment horizontal="center" vertical="center"/>
    </xf>
    <xf numFmtId="0" fontId="0" fillId="38" borderId="27" xfId="0" applyFill="1" applyBorder="1"/>
    <xf numFmtId="0" fontId="0" fillId="38" borderId="28" xfId="0" applyFill="1" applyBorder="1"/>
    <xf numFmtId="0" fontId="43" fillId="38" borderId="28" xfId="5" applyFont="1" applyFill="1" applyBorder="1" applyAlignment="1">
      <alignment horizontal="left"/>
    </xf>
    <xf numFmtId="0" fontId="223" fillId="0" borderId="0" xfId="5" applyFont="1" applyAlignment="1">
      <alignment horizontal="left" indent="1"/>
    </xf>
    <xf numFmtId="184" fontId="42" fillId="0" borderId="2" xfId="33" applyNumberFormat="1" applyFont="1" applyBorder="1"/>
    <xf numFmtId="10" fontId="46" fillId="0" borderId="3" xfId="4" applyNumberFormat="1" applyFont="1" applyFill="1" applyBorder="1" applyAlignment="1">
      <alignment vertical="center"/>
    </xf>
    <xf numFmtId="184" fontId="42" fillId="0" borderId="3" xfId="33" applyNumberFormat="1" applyFont="1" applyBorder="1"/>
    <xf numFmtId="10" fontId="46" fillId="0" borderId="3" xfId="4" applyNumberFormat="1" applyFont="1" applyBorder="1"/>
    <xf numFmtId="10" fontId="46" fillId="0" borderId="16" xfId="4" applyNumberFormat="1" applyFont="1" applyFill="1" applyBorder="1"/>
    <xf numFmtId="0" fontId="69" fillId="0" borderId="0" xfId="5" applyFont="1"/>
    <xf numFmtId="184" fontId="43" fillId="0" borderId="0" xfId="2" applyNumberFormat="1" applyFont="1" applyFill="1" applyBorder="1" applyAlignment="1">
      <alignment vertical="center"/>
    </xf>
    <xf numFmtId="5" fontId="42" fillId="0" borderId="14" xfId="0" applyNumberFormat="1" applyFont="1" applyFill="1" applyBorder="1"/>
    <xf numFmtId="169" fontId="42" fillId="37" borderId="36" xfId="51236" applyNumberFormat="1" applyFont="1" applyFill="1" applyBorder="1" applyAlignment="1">
      <alignment horizontal="center"/>
    </xf>
    <xf numFmtId="184" fontId="42" fillId="0" borderId="0" xfId="4" applyNumberFormat="1" applyFont="1" applyFill="1" applyAlignment="1">
      <alignment vertical="center"/>
    </xf>
    <xf numFmtId="9" fontId="42" fillId="134" borderId="0" xfId="4" applyFont="1" applyFill="1"/>
    <xf numFmtId="0" fontId="43" fillId="134" borderId="18" xfId="0" applyFont="1" applyFill="1" applyBorder="1" applyAlignment="1">
      <alignment horizontal="center"/>
    </xf>
    <xf numFmtId="0" fontId="42" fillId="0" borderId="0" xfId="0" applyFont="1" applyFill="1"/>
    <xf numFmtId="10" fontId="42" fillId="134" borderId="0" xfId="0" applyNumberFormat="1" applyFont="1" applyFill="1"/>
    <xf numFmtId="169" fontId="43" fillId="0" borderId="0" xfId="4" applyNumberFormat="1" applyFont="1" applyAlignment="1">
      <alignment horizontal="center"/>
    </xf>
    <xf numFmtId="10" fontId="223" fillId="0" borderId="0" xfId="4" quotePrefix="1" applyNumberFormat="1" applyFont="1" applyFill="1" applyBorder="1"/>
    <xf numFmtId="172" fontId="189" fillId="0" borderId="14" xfId="0" applyNumberFormat="1" applyFont="1" applyFill="1" applyBorder="1" applyAlignment="1">
      <alignment horizontal="center"/>
    </xf>
    <xf numFmtId="5" fontId="224" fillId="134" borderId="0" xfId="0" applyNumberFormat="1" applyFont="1" applyFill="1" applyBorder="1" applyAlignment="1">
      <alignment horizontal="center"/>
    </xf>
    <xf numFmtId="0" fontId="43" fillId="134" borderId="19" xfId="0" applyFont="1" applyFill="1" applyBorder="1" applyAlignment="1">
      <alignment horizontal="center" wrapText="1"/>
    </xf>
    <xf numFmtId="0" fontId="195" fillId="134" borderId="12" xfId="0" applyFont="1" applyFill="1" applyBorder="1" applyAlignment="1">
      <alignment horizontal="center"/>
    </xf>
    <xf numFmtId="0" fontId="42" fillId="134" borderId="21" xfId="0" applyFont="1" applyFill="1" applyBorder="1" applyAlignment="1">
      <alignment horizontal="center"/>
    </xf>
    <xf numFmtId="166" fontId="43" fillId="134" borderId="1" xfId="5" applyNumberFormat="1" applyFont="1" applyFill="1" applyBorder="1" applyAlignment="1">
      <alignment horizontal="center"/>
    </xf>
    <xf numFmtId="5" fontId="43" fillId="134" borderId="100" xfId="0" applyNumberFormat="1" applyFont="1" applyFill="1" applyBorder="1"/>
    <xf numFmtId="0" fontId="196" fillId="0" borderId="0" xfId="5" applyFont="1" applyAlignment="1">
      <alignment horizontal="left" indent="1"/>
    </xf>
    <xf numFmtId="0" fontId="225" fillId="134" borderId="0" xfId="5" applyFont="1" applyFill="1" applyBorder="1" applyAlignment="1">
      <alignment horizontal="center" vertical="center"/>
    </xf>
    <xf numFmtId="0" fontId="185" fillId="134" borderId="0" xfId="0" applyFont="1" applyFill="1" applyBorder="1"/>
    <xf numFmtId="171" fontId="44" fillId="134" borderId="0" xfId="0" applyNumberFormat="1" applyFont="1" applyFill="1" applyAlignment="1">
      <alignment horizontal="center"/>
    </xf>
    <xf numFmtId="0" fontId="226" fillId="134" borderId="0" xfId="5" applyFont="1" applyFill="1" applyBorder="1" applyAlignment="1">
      <alignment horizontal="center" vertical="center"/>
    </xf>
    <xf numFmtId="0" fontId="42" fillId="134" borderId="14" xfId="0" applyFont="1" applyFill="1" applyBorder="1"/>
    <xf numFmtId="0" fontId="42" fillId="134" borderId="66" xfId="0" applyFont="1" applyFill="1" applyBorder="1"/>
    <xf numFmtId="184" fontId="42" fillId="134" borderId="66" xfId="2" applyNumberFormat="1" applyFont="1" applyFill="1" applyBorder="1"/>
    <xf numFmtId="184" fontId="42" fillId="134" borderId="53" xfId="2" applyNumberFormat="1" applyFont="1" applyFill="1" applyBorder="1"/>
    <xf numFmtId="0" fontId="42" fillId="134" borderId="53" xfId="0" applyFont="1" applyFill="1" applyBorder="1"/>
    <xf numFmtId="0" fontId="43" fillId="134" borderId="53" xfId="0" applyFont="1" applyFill="1" applyBorder="1" applyAlignment="1">
      <alignment horizontal="right"/>
    </xf>
    <xf numFmtId="0" fontId="64" fillId="134" borderId="0" xfId="0" applyFont="1" applyFill="1" applyAlignment="1">
      <alignment horizontal="center"/>
    </xf>
    <xf numFmtId="171" fontId="186" fillId="134" borderId="27" xfId="0" applyNumberFormat="1" applyFont="1" applyFill="1" applyBorder="1"/>
    <xf numFmtId="171" fontId="186" fillId="134" borderId="117" xfId="0" applyNumberFormat="1" applyFont="1" applyFill="1" applyBorder="1"/>
    <xf numFmtId="171" fontId="186" fillId="134" borderId="118" xfId="0" applyNumberFormat="1" applyFont="1" applyFill="1" applyBorder="1"/>
    <xf numFmtId="171" fontId="186" fillId="134" borderId="119" xfId="0" applyNumberFormat="1" applyFont="1" applyFill="1" applyBorder="1"/>
    <xf numFmtId="171" fontId="186" fillId="134" borderId="119" xfId="0" applyNumberFormat="1" applyFont="1" applyFill="1" applyBorder="1" applyAlignment="1"/>
    <xf numFmtId="171" fontId="186" fillId="134" borderId="118" xfId="0" applyNumberFormat="1" applyFont="1" applyFill="1" applyBorder="1" applyAlignment="1"/>
    <xf numFmtId="171" fontId="186" fillId="134" borderId="117" xfId="0" applyNumberFormat="1" applyFont="1" applyFill="1" applyBorder="1" applyAlignment="1"/>
    <xf numFmtId="171" fontId="186" fillId="134" borderId="120" xfId="0" applyNumberFormat="1" applyFont="1" applyFill="1" applyBorder="1" applyAlignment="1"/>
    <xf numFmtId="171" fontId="186" fillId="134" borderId="99" xfId="0" applyNumberFormat="1" applyFont="1" applyFill="1" applyBorder="1" applyAlignment="1"/>
    <xf numFmtId="44" fontId="42" fillId="0" borderId="0" xfId="2" applyFont="1" applyFill="1" applyBorder="1"/>
    <xf numFmtId="0" fontId="18" fillId="0" borderId="0" xfId="0" applyFont="1" applyFill="1" applyBorder="1"/>
    <xf numFmtId="0" fontId="0" fillId="0" borderId="0" xfId="0" applyFill="1" applyBorder="1"/>
    <xf numFmtId="0" fontId="18" fillId="0" borderId="0" xfId="0" applyFont="1" applyFill="1" applyBorder="1" applyAlignment="1">
      <alignment horizontal="center"/>
    </xf>
    <xf numFmtId="0" fontId="9" fillId="0" borderId="0" xfId="0" applyFont="1" applyFill="1" applyBorder="1" applyAlignment="1">
      <alignment horizontal="center"/>
    </xf>
    <xf numFmtId="44" fontId="44" fillId="0" borderId="0" xfId="2" applyFont="1" applyFill="1" applyBorder="1"/>
    <xf numFmtId="184" fontId="42" fillId="0" borderId="0" xfId="0" applyNumberFormat="1" applyFont="1" applyFill="1" applyBorder="1"/>
    <xf numFmtId="172" fontId="42" fillId="0" borderId="0" xfId="0" applyNumberFormat="1" applyFont="1" applyFill="1" applyBorder="1"/>
    <xf numFmtId="184" fontId="206" fillId="134" borderId="0" xfId="2" applyNumberFormat="1" applyFont="1" applyFill="1" applyBorder="1" applyAlignment="1">
      <alignment horizontal="right"/>
    </xf>
    <xf numFmtId="0" fontId="207" fillId="134" borderId="0" xfId="0" applyFont="1" applyFill="1" applyBorder="1" applyAlignment="1">
      <alignment horizontal="left"/>
    </xf>
    <xf numFmtId="184" fontId="43" fillId="134" borderId="0" xfId="2" applyNumberFormat="1" applyFont="1" applyFill="1" applyBorder="1" applyAlignment="1">
      <alignment horizontal="right"/>
    </xf>
    <xf numFmtId="184" fontId="185" fillId="134" borderId="3" xfId="2" applyNumberFormat="1" applyFont="1" applyFill="1" applyBorder="1" applyAlignment="1">
      <alignment horizontal="center"/>
    </xf>
    <xf numFmtId="0" fontId="44" fillId="0" borderId="0" xfId="1" applyNumberFormat="1" applyFont="1" applyFill="1" applyBorder="1" applyAlignment="1">
      <alignment horizontal="center"/>
    </xf>
    <xf numFmtId="0" fontId="195" fillId="134" borderId="0" xfId="1" applyNumberFormat="1" applyFont="1" applyFill="1" applyBorder="1" applyAlignment="1">
      <alignment horizontal="center"/>
    </xf>
    <xf numFmtId="169" fontId="0" fillId="0" borderId="0" xfId="0" applyNumberFormat="1" applyAlignment="1">
      <alignment horizontal="center"/>
    </xf>
    <xf numFmtId="168" fontId="186" fillId="134" borderId="0" xfId="0" applyNumberFormat="1" applyFont="1" applyFill="1" applyBorder="1"/>
    <xf numFmtId="10" fontId="186" fillId="134" borderId="0" xfId="0" applyNumberFormat="1" applyFont="1" applyFill="1" applyBorder="1"/>
    <xf numFmtId="248" fontId="186" fillId="134" borderId="0" xfId="0" applyNumberFormat="1" applyFont="1" applyFill="1"/>
    <xf numFmtId="0" fontId="50" fillId="134" borderId="39" xfId="0" applyFont="1" applyFill="1" applyBorder="1" applyAlignment="1">
      <alignment horizontal="center" vertical="center" wrapText="1"/>
    </xf>
    <xf numFmtId="0" fontId="42" fillId="134" borderId="41" xfId="0" applyFont="1" applyFill="1" applyBorder="1"/>
    <xf numFmtId="0" fontId="181" fillId="134" borderId="103" xfId="0" quotePrefix="1" applyFont="1" applyFill="1" applyBorder="1" applyAlignment="1">
      <alignment horizontal="center" vertical="center" wrapText="1"/>
    </xf>
    <xf numFmtId="184" fontId="50" fillId="134" borderId="4" xfId="2" applyNumberFormat="1" applyFont="1" applyFill="1" applyBorder="1"/>
    <xf numFmtId="184" fontId="181" fillId="134" borderId="17" xfId="2" applyNumberFormat="1" applyFont="1" applyFill="1" applyBorder="1"/>
    <xf numFmtId="243" fontId="181" fillId="134" borderId="18" xfId="2" applyNumberFormat="1" applyFont="1" applyFill="1" applyBorder="1"/>
    <xf numFmtId="184" fontId="181" fillId="134" borderId="113" xfId="2" applyNumberFormat="1" applyFont="1" applyFill="1" applyBorder="1"/>
    <xf numFmtId="247" fontId="201" fillId="0" borderId="91" xfId="2" applyNumberFormat="1" applyFont="1" applyFill="1" applyBorder="1" applyAlignment="1">
      <alignment horizontal="center"/>
    </xf>
    <xf numFmtId="0" fontId="202" fillId="37" borderId="12" xfId="0" applyFont="1" applyFill="1" applyBorder="1" applyAlignment="1">
      <alignment horizontal="center" vertical="center"/>
    </xf>
    <xf numFmtId="0" fontId="202" fillId="37" borderId="98" xfId="0" applyFont="1" applyFill="1" applyBorder="1" applyAlignment="1">
      <alignment horizontal="center" vertical="center"/>
    </xf>
    <xf numFmtId="0" fontId="42" fillId="152" borderId="7" xfId="0" applyFont="1" applyFill="1" applyBorder="1" applyAlignment="1">
      <alignment horizontal="center" vertical="center" wrapText="1"/>
    </xf>
    <xf numFmtId="0" fontId="42" fillId="152" borderId="1" xfId="0" applyFont="1" applyFill="1" applyBorder="1" applyAlignment="1">
      <alignment horizontal="center" vertical="center" wrapText="1"/>
    </xf>
    <xf numFmtId="0" fontId="0" fillId="152" borderId="7" xfId="0" applyFill="1" applyBorder="1"/>
    <xf numFmtId="0" fontId="0" fillId="152" borderId="1" xfId="0" applyFill="1" applyBorder="1"/>
    <xf numFmtId="184" fontId="50" fillId="152" borderId="7" xfId="2" applyNumberFormat="1" applyFont="1" applyFill="1" applyBorder="1" applyAlignment="1">
      <alignment horizontal="center"/>
    </xf>
    <xf numFmtId="10" fontId="50" fillId="152" borderId="1" xfId="4" applyNumberFormat="1" applyFont="1" applyFill="1" applyBorder="1" applyAlignment="1">
      <alignment horizontal="center" vertical="center"/>
    </xf>
    <xf numFmtId="0" fontId="181" fillId="134" borderId="14" xfId="0" quotePrefix="1" applyFont="1" applyFill="1" applyBorder="1" applyAlignment="1">
      <alignment horizontal="center" vertical="center" wrapText="1"/>
    </xf>
    <xf numFmtId="0" fontId="181" fillId="134" borderId="66" xfId="0" applyFont="1" applyFill="1" applyBorder="1" applyAlignment="1">
      <alignment horizontal="center" vertical="center" wrapText="1"/>
    </xf>
    <xf numFmtId="243" fontId="50" fillId="134" borderId="0" xfId="2" applyNumberFormat="1" applyFont="1" applyFill="1" applyBorder="1"/>
    <xf numFmtId="243" fontId="42" fillId="134" borderId="0" xfId="2" applyNumberFormat="1" applyFont="1" applyFill="1" applyBorder="1"/>
    <xf numFmtId="243" fontId="0" fillId="134" borderId="0" xfId="2" applyNumberFormat="1" applyFont="1" applyFill="1" applyBorder="1"/>
    <xf numFmtId="243" fontId="181" fillId="134" borderId="9" xfId="2" applyNumberFormat="1" applyFont="1" applyFill="1" applyBorder="1"/>
    <xf numFmtId="0" fontId="0" fillId="134" borderId="12" xfId="0" applyFill="1" applyBorder="1"/>
    <xf numFmtId="0" fontId="49" fillId="134" borderId="13" xfId="0" applyFont="1" applyFill="1" applyBorder="1" applyAlignment="1">
      <alignment horizontal="center"/>
    </xf>
    <xf numFmtId="37" fontId="43" fillId="134" borderId="0" xfId="0" applyNumberFormat="1" applyFont="1" applyFill="1" applyBorder="1" applyAlignment="1">
      <alignment horizontal="center"/>
    </xf>
    <xf numFmtId="0" fontId="227" fillId="134" borderId="0" xfId="0" applyFont="1" applyFill="1" applyAlignment="1">
      <alignment horizontal="center"/>
    </xf>
    <xf numFmtId="0" fontId="42" fillId="134" borderId="0" xfId="0" applyFont="1" applyFill="1" applyAlignment="1">
      <alignment horizontal="left"/>
    </xf>
    <xf numFmtId="0" fontId="42" fillId="134" borderId="9" xfId="0" applyFont="1" applyFill="1" applyBorder="1"/>
    <xf numFmtId="0" fontId="45" fillId="162" borderId="15" xfId="0" applyFont="1" applyFill="1" applyBorder="1"/>
    <xf numFmtId="0" fontId="43" fillId="162" borderId="5" xfId="0" applyFont="1" applyFill="1" applyBorder="1"/>
    <xf numFmtId="0" fontId="45" fillId="162" borderId="8" xfId="0" applyFont="1" applyFill="1" applyBorder="1"/>
    <xf numFmtId="0" fontId="42" fillId="162" borderId="4" xfId="0" applyFont="1" applyFill="1" applyBorder="1"/>
    <xf numFmtId="0" fontId="42" fillId="162" borderId="8" xfId="0" applyFont="1" applyFill="1" applyBorder="1"/>
    <xf numFmtId="0" fontId="42" fillId="162" borderId="5" xfId="0" applyFont="1" applyFill="1" applyBorder="1"/>
    <xf numFmtId="0" fontId="42" fillId="162" borderId="11" xfId="0" applyFont="1" applyFill="1" applyBorder="1"/>
    <xf numFmtId="0" fontId="195" fillId="37" borderId="0" xfId="0" applyFont="1" applyFill="1" applyAlignment="1">
      <alignment horizontal="center"/>
    </xf>
    <xf numFmtId="0" fontId="195" fillId="37" borderId="12" xfId="0" applyFont="1" applyFill="1" applyBorder="1" applyAlignment="1">
      <alignment horizontal="center"/>
    </xf>
    <xf numFmtId="0" fontId="44" fillId="37" borderId="0" xfId="1" applyNumberFormat="1" applyFont="1" applyFill="1" applyBorder="1" applyAlignment="1">
      <alignment horizontal="center"/>
    </xf>
    <xf numFmtId="0" fontId="44" fillId="37" borderId="0" xfId="0" applyFont="1" applyFill="1" applyBorder="1" applyAlignment="1">
      <alignment horizontal="center"/>
    </xf>
    <xf numFmtId="0" fontId="44" fillId="37" borderId="98" xfId="0" applyFont="1" applyFill="1" applyBorder="1" applyAlignment="1">
      <alignment horizontal="center"/>
    </xf>
    <xf numFmtId="10" fontId="181" fillId="152" borderId="18" xfId="4" applyNumberFormat="1" applyFont="1" applyFill="1" applyBorder="1" applyAlignment="1">
      <alignment horizontal="center"/>
    </xf>
    <xf numFmtId="0" fontId="0" fillId="152" borderId="98" xfId="0" applyFill="1" applyBorder="1"/>
    <xf numFmtId="10" fontId="0" fillId="134" borderId="0" xfId="2" applyNumberFormat="1" applyFont="1" applyFill="1" applyBorder="1" applyAlignment="1">
      <alignment horizontal="center"/>
    </xf>
    <xf numFmtId="0" fontId="181" fillId="152" borderId="0" xfId="0" quotePrefix="1" applyFont="1" applyFill="1" applyBorder="1" applyAlignment="1">
      <alignment horizontal="center" vertical="center" wrapText="1"/>
    </xf>
    <xf numFmtId="184" fontId="50" fillId="152" borderId="0" xfId="4" applyNumberFormat="1" applyFont="1" applyFill="1" applyBorder="1" applyAlignment="1">
      <alignment horizontal="center" vertical="center"/>
    </xf>
    <xf numFmtId="0" fontId="181" fillId="152" borderId="7" xfId="0" quotePrefix="1" applyFont="1" applyFill="1" applyBorder="1" applyAlignment="1">
      <alignment horizontal="center" vertical="center" wrapText="1"/>
    </xf>
    <xf numFmtId="0" fontId="181" fillId="152" borderId="1" xfId="0" quotePrefix="1" applyFont="1" applyFill="1" applyBorder="1" applyAlignment="1">
      <alignment horizontal="center" vertical="center" wrapText="1"/>
    </xf>
    <xf numFmtId="166" fontId="0" fillId="152" borderId="99" xfId="2" applyNumberFormat="1" applyFont="1" applyFill="1" applyBorder="1" applyAlignment="1">
      <alignment horizontal="center"/>
    </xf>
    <xf numFmtId="166" fontId="0" fillId="152" borderId="98" xfId="2" applyNumberFormat="1" applyFont="1" applyFill="1" applyBorder="1" applyAlignment="1">
      <alignment horizontal="center"/>
    </xf>
    <xf numFmtId="166" fontId="0" fillId="152" borderId="100" xfId="2" applyNumberFormat="1" applyFont="1" applyFill="1" applyBorder="1" applyAlignment="1">
      <alignment horizontal="center"/>
    </xf>
    <xf numFmtId="184" fontId="181" fillId="152" borderId="0" xfId="4" applyNumberFormat="1" applyFont="1" applyFill="1" applyBorder="1" applyAlignment="1">
      <alignment horizontal="center" vertical="center"/>
    </xf>
    <xf numFmtId="0" fontId="50" fillId="134" borderId="102" xfId="0" applyFont="1" applyFill="1" applyBorder="1" applyAlignment="1">
      <alignment horizontal="center" vertical="center" wrapText="1"/>
    </xf>
    <xf numFmtId="10" fontId="42" fillId="134" borderId="0" xfId="4" applyNumberFormat="1" applyFont="1" applyFill="1" applyAlignment="1">
      <alignment horizontal="center"/>
    </xf>
    <xf numFmtId="44" fontId="42" fillId="134" borderId="0" xfId="0" applyNumberFormat="1" applyFont="1" applyFill="1" applyAlignment="1">
      <alignment horizontal="center"/>
    </xf>
    <xf numFmtId="184" fontId="42" fillId="134" borderId="9" xfId="0" applyNumberFormat="1" applyFont="1" applyFill="1" applyBorder="1" applyAlignment="1">
      <alignment horizontal="center"/>
    </xf>
    <xf numFmtId="10" fontId="42" fillId="134" borderId="9" xfId="4" applyNumberFormat="1" applyFont="1" applyFill="1" applyBorder="1" applyAlignment="1">
      <alignment horizontal="center"/>
    </xf>
    <xf numFmtId="44" fontId="42" fillId="134" borderId="9" xfId="0" applyNumberFormat="1" applyFont="1" applyFill="1" applyBorder="1" applyAlignment="1">
      <alignment horizontal="center"/>
    </xf>
    <xf numFmtId="167" fontId="42" fillId="134" borderId="0" xfId="1" applyNumberFormat="1" applyFont="1" applyFill="1"/>
    <xf numFmtId="167" fontId="42" fillId="134" borderId="0" xfId="0" applyNumberFormat="1" applyFont="1" applyFill="1"/>
    <xf numFmtId="7" fontId="42" fillId="134" borderId="0" xfId="0" applyNumberFormat="1" applyFont="1" applyFill="1" applyAlignment="1">
      <alignment horizontal="right"/>
    </xf>
    <xf numFmtId="7" fontId="42" fillId="134" borderId="9" xfId="0" applyNumberFormat="1" applyFont="1" applyFill="1" applyBorder="1" applyAlignment="1">
      <alignment horizontal="right"/>
    </xf>
    <xf numFmtId="44" fontId="43" fillId="134" borderId="0" xfId="2" applyFont="1" applyFill="1" applyBorder="1" applyAlignment="1">
      <alignment horizontal="right"/>
    </xf>
    <xf numFmtId="44" fontId="42" fillId="134" borderId="0" xfId="0" applyNumberFormat="1" applyFont="1" applyFill="1" applyBorder="1"/>
    <xf numFmtId="184" fontId="181" fillId="134" borderId="103" xfId="2" quotePrefix="1" applyNumberFormat="1" applyFont="1" applyFill="1" applyBorder="1" applyAlignment="1">
      <alignment horizontal="center" vertical="center" wrapText="1"/>
    </xf>
    <xf numFmtId="184" fontId="181" fillId="134" borderId="98" xfId="2" quotePrefix="1" applyNumberFormat="1" applyFont="1" applyFill="1" applyBorder="1" applyAlignment="1">
      <alignment horizontal="center" vertical="center" wrapText="1"/>
    </xf>
    <xf numFmtId="7" fontId="195" fillId="134" borderId="18" xfId="0" applyNumberFormat="1" applyFont="1" applyFill="1" applyBorder="1" applyAlignment="1">
      <alignment horizontal="center"/>
    </xf>
    <xf numFmtId="0" fontId="195" fillId="37" borderId="0" xfId="5" applyFont="1" applyFill="1" applyBorder="1" applyAlignment="1">
      <alignment horizontal="center" vertical="center"/>
    </xf>
    <xf numFmtId="43" fontId="186" fillId="134" borderId="0" xfId="1" applyFont="1" applyFill="1" applyBorder="1"/>
    <xf numFmtId="249" fontId="42" fillId="134" borderId="0" xfId="0" applyNumberFormat="1" applyFont="1" applyFill="1"/>
    <xf numFmtId="37" fontId="43" fillId="134" borderId="7" xfId="0" applyNumberFormat="1" applyFont="1" applyFill="1" applyBorder="1" applyAlignment="1">
      <alignment horizontal="center"/>
    </xf>
    <xf numFmtId="44" fontId="42" fillId="134" borderId="48" xfId="2" applyFont="1" applyFill="1" applyBorder="1"/>
    <xf numFmtId="44" fontId="42" fillId="134" borderId="7" xfId="2" applyFont="1" applyFill="1" applyBorder="1"/>
    <xf numFmtId="44" fontId="43" fillId="134" borderId="48" xfId="2" applyFont="1" applyFill="1" applyBorder="1"/>
    <xf numFmtId="7" fontId="195" fillId="134" borderId="39" xfId="0" applyNumberFormat="1" applyFont="1" applyFill="1" applyBorder="1" applyAlignment="1">
      <alignment horizontal="center"/>
    </xf>
    <xf numFmtId="7" fontId="43" fillId="134" borderId="40" xfId="0" applyNumberFormat="1" applyFont="1" applyFill="1" applyBorder="1" applyAlignment="1">
      <alignment horizontal="center"/>
    </xf>
    <xf numFmtId="44" fontId="42" fillId="134" borderId="42" xfId="2" applyFont="1" applyFill="1" applyBorder="1"/>
    <xf numFmtId="44" fontId="42" fillId="134" borderId="40" xfId="2" applyFont="1" applyFill="1" applyBorder="1"/>
    <xf numFmtId="44" fontId="43" fillId="134" borderId="42" xfId="2" applyFont="1" applyFill="1" applyBorder="1"/>
    <xf numFmtId="7" fontId="42" fillId="134" borderId="42" xfId="0" applyNumberFormat="1" applyFont="1" applyFill="1" applyBorder="1"/>
    <xf numFmtId="250" fontId="42" fillId="134" borderId="0" xfId="0" applyNumberFormat="1" applyFont="1" applyFill="1"/>
    <xf numFmtId="0" fontId="9" fillId="134" borderId="0" xfId="0" applyFont="1" applyFill="1" applyAlignment="1">
      <alignment horizontal="center"/>
    </xf>
    <xf numFmtId="184" fontId="0" fillId="134" borderId="0" xfId="0" applyNumberFormat="1" applyFill="1" applyAlignment="1">
      <alignment horizontal="center"/>
    </xf>
    <xf numFmtId="184" fontId="0" fillId="134" borderId="9" xfId="0" applyNumberFormat="1" applyFill="1" applyBorder="1" applyAlignment="1">
      <alignment horizontal="center"/>
    </xf>
    <xf numFmtId="166" fontId="0" fillId="134" borderId="0" xfId="4" applyNumberFormat="1" applyFont="1" applyFill="1" applyAlignment="1">
      <alignment horizontal="center"/>
    </xf>
    <xf numFmtId="166" fontId="0" fillId="134" borderId="9" xfId="4" applyNumberFormat="1" applyFont="1" applyFill="1" applyBorder="1" applyAlignment="1">
      <alignment horizontal="center"/>
    </xf>
    <xf numFmtId="0" fontId="43" fillId="134" borderId="18" xfId="0" applyFont="1" applyFill="1" applyBorder="1" applyAlignment="1">
      <alignment horizontal="center"/>
    </xf>
    <xf numFmtId="10" fontId="42" fillId="134" borderId="0" xfId="4" applyNumberFormat="1" applyFont="1" applyFill="1" applyBorder="1" applyAlignment="1">
      <alignment horizontal="center"/>
    </xf>
    <xf numFmtId="0" fontId="181" fillId="152" borderId="48" xfId="0" quotePrefix="1" applyFont="1" applyFill="1" applyBorder="1" applyAlignment="1">
      <alignment horizontal="center" vertical="center" wrapText="1"/>
    </xf>
    <xf numFmtId="0" fontId="181" fillId="152" borderId="22" xfId="0" quotePrefix="1" applyFont="1" applyFill="1" applyBorder="1" applyAlignment="1">
      <alignment horizontal="center" vertical="center" wrapText="1"/>
    </xf>
    <xf numFmtId="0" fontId="181" fillId="152" borderId="55" xfId="0" applyFont="1" applyFill="1" applyBorder="1" applyAlignment="1">
      <alignment horizontal="center" vertical="center" wrapText="1"/>
    </xf>
    <xf numFmtId="0" fontId="181" fillId="152" borderId="56" xfId="0" applyFont="1" applyFill="1" applyBorder="1" applyAlignment="1">
      <alignment horizontal="center" vertical="center" wrapText="1"/>
    </xf>
    <xf numFmtId="43" fontId="16" fillId="134" borderId="0" xfId="1" applyFont="1" applyFill="1"/>
    <xf numFmtId="184" fontId="49" fillId="134" borderId="99" xfId="0" applyNumberFormat="1" applyFont="1" applyFill="1" applyBorder="1" applyAlignment="1">
      <alignment horizontal="center"/>
    </xf>
    <xf numFmtId="184" fontId="49" fillId="134" borderId="98" xfId="0" applyNumberFormat="1" applyFont="1" applyFill="1" applyBorder="1" applyAlignment="1">
      <alignment horizontal="center"/>
    </xf>
    <xf numFmtId="0" fontId="68" fillId="134" borderId="99" xfId="0" applyFont="1" applyFill="1" applyBorder="1" applyAlignment="1">
      <alignment horizontal="left"/>
    </xf>
    <xf numFmtId="184" fontId="0" fillId="134" borderId="0" xfId="2" quotePrefix="1" applyNumberFormat="1" applyFont="1" applyFill="1" applyBorder="1"/>
    <xf numFmtId="0" fontId="19" fillId="134" borderId="0" xfId="0" applyFont="1" applyFill="1"/>
    <xf numFmtId="7" fontId="42" fillId="134" borderId="0" xfId="1" applyNumberFormat="1" applyFont="1" applyFill="1" applyBorder="1"/>
    <xf numFmtId="0" fontId="43" fillId="134" borderId="10" xfId="0" applyFont="1" applyFill="1" applyBorder="1" applyAlignment="1">
      <alignment horizontal="center"/>
    </xf>
    <xf numFmtId="166" fontId="42" fillId="134" borderId="8" xfId="4" applyNumberFormat="1" applyFont="1" applyFill="1" applyBorder="1"/>
    <xf numFmtId="7" fontId="42" fillId="134" borderId="14" xfId="1" applyNumberFormat="1" applyFont="1" applyFill="1" applyBorder="1"/>
    <xf numFmtId="166" fontId="42" fillId="134" borderId="11" xfId="4" applyNumberFormat="1" applyFont="1" applyFill="1" applyBorder="1"/>
    <xf numFmtId="0" fontId="69" fillId="134" borderId="0" xfId="0" applyFont="1" applyFill="1" applyBorder="1" applyAlignment="1">
      <alignment horizontal="center"/>
    </xf>
    <xf numFmtId="44" fontId="0" fillId="134" borderId="0" xfId="0" applyNumberFormat="1" applyFill="1"/>
    <xf numFmtId="44" fontId="0" fillId="134" borderId="0" xfId="2" applyFont="1" applyFill="1"/>
    <xf numFmtId="170" fontId="0" fillId="134" borderId="0" xfId="1" applyNumberFormat="1" applyFont="1" applyFill="1" applyAlignment="1">
      <alignment horizontal="center"/>
    </xf>
    <xf numFmtId="170" fontId="0" fillId="134" borderId="0" xfId="0" applyNumberFormat="1" applyFill="1" applyAlignment="1">
      <alignment horizontal="center"/>
    </xf>
    <xf numFmtId="170" fontId="0" fillId="134" borderId="14" xfId="1" applyNumberFormat="1" applyFont="1" applyFill="1" applyBorder="1" applyAlignment="1">
      <alignment horizontal="center"/>
    </xf>
    <xf numFmtId="0" fontId="9" fillId="134" borderId="0" xfId="0" applyFont="1" applyFill="1" applyBorder="1" applyAlignment="1">
      <alignment horizontal="center"/>
    </xf>
    <xf numFmtId="0" fontId="9" fillId="134" borderId="14" xfId="0" applyFont="1" applyFill="1" applyBorder="1" applyAlignment="1">
      <alignment horizontal="center"/>
    </xf>
    <xf numFmtId="170" fontId="0" fillId="134" borderId="0" xfId="0" applyNumberFormat="1" applyFill="1"/>
    <xf numFmtId="170" fontId="0" fillId="134" borderId="14" xfId="0" applyNumberFormat="1" applyFill="1" applyBorder="1"/>
    <xf numFmtId="44" fontId="0" fillId="134" borderId="14" xfId="0" applyNumberFormat="1" applyFill="1" applyBorder="1"/>
    <xf numFmtId="0" fontId="15" fillId="134" borderId="0" xfId="0" applyFont="1" applyFill="1" applyBorder="1" applyAlignment="1">
      <alignment horizontal="center"/>
    </xf>
    <xf numFmtId="44" fontId="44" fillId="134" borderId="0" xfId="2" applyFont="1" applyFill="1" applyBorder="1"/>
    <xf numFmtId="166" fontId="50" fillId="134" borderId="1" xfId="4" applyNumberFormat="1" applyFont="1" applyFill="1" applyBorder="1" applyAlignment="1">
      <alignment horizontal="center"/>
    </xf>
    <xf numFmtId="166" fontId="50" fillId="134" borderId="0" xfId="4" applyNumberFormat="1" applyFont="1" applyFill="1" applyBorder="1" applyAlignment="1">
      <alignment horizontal="center"/>
    </xf>
    <xf numFmtId="10" fontId="181" fillId="134" borderId="0" xfId="4" applyNumberFormat="1" applyFont="1" applyFill="1" applyBorder="1" applyAlignment="1">
      <alignment horizontal="center"/>
    </xf>
    <xf numFmtId="0" fontId="43" fillId="0" borderId="0" xfId="5" applyFont="1" applyFill="1" applyBorder="1" applyAlignment="1">
      <alignment horizontal="center"/>
    </xf>
    <xf numFmtId="0" fontId="216" fillId="134" borderId="0" xfId="0" applyFont="1" applyFill="1" applyAlignment="1">
      <alignment vertical="center"/>
    </xf>
    <xf numFmtId="3" fontId="217" fillId="134" borderId="0" xfId="100" applyNumberFormat="1" applyFont="1" applyFill="1" applyAlignment="1">
      <alignment vertical="center"/>
    </xf>
    <xf numFmtId="0" fontId="51" fillId="0" borderId="42" xfId="0" quotePrefix="1" applyFont="1" applyFill="1" applyBorder="1" applyAlignment="1">
      <alignment horizontal="center" vertical="center" wrapText="1"/>
    </xf>
    <xf numFmtId="0" fontId="51" fillId="0" borderId="41" xfId="0" quotePrefix="1" applyFont="1" applyFill="1" applyBorder="1" applyAlignment="1">
      <alignment horizontal="center" vertical="center" wrapText="1"/>
    </xf>
    <xf numFmtId="0" fontId="50" fillId="134" borderId="17" xfId="0" applyFont="1" applyFill="1" applyBorder="1" applyAlignment="1">
      <alignment horizontal="center" vertical="center" wrapText="1"/>
    </xf>
    <xf numFmtId="0" fontId="50" fillId="134" borderId="18" xfId="0" applyFont="1" applyFill="1" applyBorder="1" applyAlignment="1">
      <alignment horizontal="center" vertical="center" wrapText="1"/>
    </xf>
    <xf numFmtId="0" fontId="50" fillId="134" borderId="21" xfId="0" applyFont="1" applyFill="1" applyBorder="1" applyAlignment="1">
      <alignment horizontal="center" vertical="center" wrapText="1"/>
    </xf>
    <xf numFmtId="0" fontId="51" fillId="0" borderId="13" xfId="0" quotePrefix="1" applyFont="1" applyFill="1" applyBorder="1" applyAlignment="1">
      <alignment horizontal="center" vertical="center" wrapText="1"/>
    </xf>
    <xf numFmtId="0" fontId="11" fillId="134" borderId="0" xfId="5" applyFont="1" applyFill="1" applyBorder="1" applyAlignment="1"/>
    <xf numFmtId="7" fontId="42" fillId="134" borderId="0" xfId="0" applyNumberFormat="1" applyFont="1" applyFill="1" applyBorder="1" applyAlignment="1">
      <alignment horizontal="right"/>
    </xf>
    <xf numFmtId="0" fontId="42" fillId="134" borderId="17" xfId="5" applyFont="1" applyFill="1" applyBorder="1" applyAlignment="1">
      <alignment horizontal="center" vertical="center" wrapText="1"/>
    </xf>
    <xf numFmtId="0" fontId="50" fillId="134" borderId="19" xfId="0" applyFont="1" applyFill="1" applyBorder="1" applyAlignment="1">
      <alignment horizontal="center" vertical="center" wrapText="1"/>
    </xf>
    <xf numFmtId="0" fontId="42" fillId="134" borderId="48" xfId="5" applyFont="1" applyFill="1" applyBorder="1" applyAlignment="1">
      <alignment horizontal="center" vertical="center" wrapText="1"/>
    </xf>
    <xf numFmtId="0" fontId="50" fillId="134" borderId="11" xfId="0" applyFont="1" applyFill="1" applyBorder="1" applyAlignment="1">
      <alignment horizontal="center" vertical="center" wrapText="1"/>
    </xf>
    <xf numFmtId="0" fontId="42" fillId="134" borderId="55" xfId="5" applyFont="1" applyFill="1" applyBorder="1" applyAlignment="1">
      <alignment horizontal="center"/>
    </xf>
    <xf numFmtId="0" fontId="50" fillId="134" borderId="116" xfId="0" applyFont="1" applyFill="1" applyBorder="1" applyAlignment="1">
      <alignment horizontal="center" vertical="center" wrapText="1"/>
    </xf>
    <xf numFmtId="0" fontId="50" fillId="134" borderId="8" xfId="0" applyFont="1" applyFill="1" applyBorder="1" applyAlignment="1">
      <alignment horizontal="center" vertical="center" wrapText="1"/>
    </xf>
    <xf numFmtId="0" fontId="42" fillId="134" borderId="8" xfId="0" quotePrefix="1" applyFont="1" applyFill="1" applyBorder="1" applyAlignment="1">
      <alignment horizontal="center"/>
    </xf>
    <xf numFmtId="0" fontId="42" fillId="134" borderId="8" xfId="0" applyFont="1" applyFill="1" applyBorder="1" applyAlignment="1">
      <alignment horizontal="center"/>
    </xf>
    <xf numFmtId="0" fontId="42" fillId="134" borderId="7" xfId="5" applyFont="1" applyFill="1" applyBorder="1" applyAlignment="1">
      <alignment horizontal="center" vertical="center"/>
    </xf>
    <xf numFmtId="0" fontId="0" fillId="134" borderId="8" xfId="0" applyFill="1" applyBorder="1"/>
    <xf numFmtId="0" fontId="0" fillId="134" borderId="99" xfId="0" applyFill="1" applyBorder="1" applyAlignment="1">
      <alignment wrapText="1"/>
    </xf>
    <xf numFmtId="0" fontId="49" fillId="134" borderId="109" xfId="0" applyFont="1" applyFill="1" applyBorder="1" applyAlignment="1">
      <alignment horizontal="center"/>
    </xf>
    <xf numFmtId="0" fontId="16" fillId="134" borderId="0" xfId="0" applyFont="1" applyFill="1" applyBorder="1"/>
    <xf numFmtId="0" fontId="19" fillId="134" borderId="0" xfId="0" applyFont="1" applyFill="1" applyBorder="1"/>
    <xf numFmtId="184" fontId="0" fillId="134" borderId="0" xfId="0" applyNumberFormat="1" applyFill="1" applyBorder="1" applyAlignment="1">
      <alignment horizontal="center"/>
    </xf>
    <xf numFmtId="166" fontId="0" fillId="134" borderId="0" xfId="4" applyNumberFormat="1" applyFont="1" applyFill="1" applyBorder="1" applyAlignment="1">
      <alignment horizontal="center"/>
    </xf>
    <xf numFmtId="170" fontId="0" fillId="134" borderId="0" xfId="1" applyNumberFormat="1" applyFont="1" applyFill="1" applyBorder="1" applyAlignment="1">
      <alignment horizontal="center"/>
    </xf>
    <xf numFmtId="44" fontId="0" fillId="134" borderId="0" xfId="0" applyNumberFormat="1" applyFill="1" applyBorder="1"/>
    <xf numFmtId="0" fontId="9" fillId="134" borderId="0" xfId="0" applyFont="1" applyFill="1" applyBorder="1"/>
    <xf numFmtId="170" fontId="0" fillId="134" borderId="0" xfId="0" applyNumberFormat="1" applyFill="1" applyBorder="1" applyAlignment="1">
      <alignment horizontal="center"/>
    </xf>
    <xf numFmtId="44" fontId="0" fillId="134" borderId="0" xfId="2" applyFont="1" applyFill="1" applyBorder="1"/>
    <xf numFmtId="184" fontId="0" fillId="134" borderId="0" xfId="0" applyNumberFormat="1" applyFill="1" applyBorder="1"/>
    <xf numFmtId="170" fontId="0" fillId="134" borderId="0" xfId="0" applyNumberFormat="1" applyFill="1" applyBorder="1"/>
    <xf numFmtId="44" fontId="42" fillId="134" borderId="0" xfId="0" applyNumberFormat="1" applyFont="1" applyFill="1" applyBorder="1" applyAlignment="1">
      <alignment horizontal="center"/>
    </xf>
    <xf numFmtId="184" fontId="42" fillId="134" borderId="0" xfId="0" applyNumberFormat="1" applyFont="1" applyFill="1" applyBorder="1" applyAlignment="1">
      <alignment horizontal="center"/>
    </xf>
    <xf numFmtId="0" fontId="43" fillId="134" borderId="0" xfId="0" applyFont="1" applyFill="1" applyBorder="1" applyAlignment="1">
      <alignment horizontal="center" wrapText="1"/>
    </xf>
    <xf numFmtId="0" fontId="0" fillId="134" borderId="0" xfId="0" applyFill="1" applyBorder="1" applyAlignment="1">
      <alignment horizontal="center"/>
    </xf>
    <xf numFmtId="0" fontId="49" fillId="134" borderId="0" xfId="0" applyFont="1" applyFill="1" applyBorder="1" applyAlignment="1">
      <alignment horizontal="center"/>
    </xf>
    <xf numFmtId="0" fontId="19" fillId="134" borderId="0" xfId="0" applyFont="1" applyFill="1" applyBorder="1" applyAlignment="1">
      <alignment horizontal="center"/>
    </xf>
    <xf numFmtId="0" fontId="41" fillId="0" borderId="0" xfId="5" applyFont="1" applyFill="1" applyBorder="1" applyAlignment="1">
      <alignment horizontal="center"/>
    </xf>
    <xf numFmtId="0" fontId="41" fillId="134" borderId="0" xfId="5" applyFont="1" applyFill="1" applyBorder="1" applyAlignment="1">
      <alignment horizontal="center"/>
    </xf>
    <xf numFmtId="3" fontId="16" fillId="134" borderId="0" xfId="100" applyNumberFormat="1" applyFont="1" applyFill="1" applyAlignment="1">
      <alignment vertical="center"/>
    </xf>
    <xf numFmtId="0" fontId="51" fillId="0" borderId="48" xfId="0" quotePrefix="1" applyFont="1" applyFill="1" applyBorder="1" applyAlignment="1">
      <alignment horizontal="center" vertical="center" wrapText="1"/>
    </xf>
    <xf numFmtId="0" fontId="49" fillId="134" borderId="12" xfId="0" applyFont="1" applyFill="1" applyBorder="1" applyAlignment="1">
      <alignment horizontal="center"/>
    </xf>
    <xf numFmtId="0" fontId="51" fillId="0" borderId="6" xfId="0" quotePrefix="1" applyFont="1" applyFill="1" applyBorder="1" applyAlignment="1">
      <alignment horizontal="center" vertical="center" wrapText="1"/>
    </xf>
    <xf numFmtId="0" fontId="0" fillId="134" borderId="13" xfId="0" applyFill="1" applyBorder="1"/>
    <xf numFmtId="0" fontId="68" fillId="134" borderId="6" xfId="0" applyFont="1" applyFill="1" applyBorder="1" applyAlignment="1">
      <alignment horizontal="left"/>
    </xf>
    <xf numFmtId="0" fontId="42" fillId="134" borderId="14" xfId="101" applyNumberFormat="1" applyFont="1" applyFill="1" applyBorder="1" applyAlignment="1">
      <alignment horizontal="center"/>
    </xf>
    <xf numFmtId="185" fontId="42" fillId="134" borderId="0" xfId="101" applyFont="1" applyFill="1" applyBorder="1" applyAlignment="1">
      <alignment horizontal="center"/>
    </xf>
    <xf numFmtId="168" fontId="217" fillId="134" borderId="0" xfId="0" applyNumberFormat="1" applyFont="1" applyFill="1" applyBorder="1" applyAlignment="1">
      <alignment horizontal="center"/>
    </xf>
    <xf numFmtId="0" fontId="185" fillId="134" borderId="4" xfId="0" applyFont="1" applyFill="1" applyBorder="1" applyAlignment="1">
      <alignment horizontal="center"/>
    </xf>
    <xf numFmtId="3" fontId="230" fillId="134" borderId="0" xfId="100" applyNumberFormat="1" applyFont="1" applyFill="1"/>
    <xf numFmtId="0" fontId="217" fillId="37" borderId="34" xfId="0" applyFont="1" applyFill="1" applyBorder="1" applyAlignment="1">
      <alignment horizontal="center" vertical="center" wrapText="1"/>
    </xf>
    <xf numFmtId="0" fontId="217" fillId="37" borderId="67" xfId="0" applyFont="1" applyFill="1" applyBorder="1" applyAlignment="1">
      <alignment horizontal="center" vertical="center" wrapText="1"/>
    </xf>
    <xf numFmtId="0" fontId="181" fillId="37" borderId="39" xfId="0" applyFont="1" applyFill="1" applyBorder="1" applyAlignment="1">
      <alignment horizontal="center" vertical="center" wrapText="1"/>
    </xf>
    <xf numFmtId="0" fontId="50" fillId="38" borderId="11" xfId="0" applyFont="1" applyFill="1" applyBorder="1" applyAlignment="1">
      <alignment horizontal="center" vertical="center" wrapText="1"/>
    </xf>
    <xf numFmtId="0" fontId="181" fillId="38" borderId="105" xfId="0" applyFont="1" applyFill="1" applyBorder="1" applyAlignment="1">
      <alignment horizontal="center" vertical="center" wrapText="1"/>
    </xf>
    <xf numFmtId="168" fontId="217" fillId="38" borderId="34" xfId="0" applyNumberFormat="1" applyFont="1" applyFill="1" applyBorder="1" applyAlignment="1">
      <alignment horizontal="center"/>
    </xf>
    <xf numFmtId="0" fontId="190" fillId="38" borderId="32" xfId="0" applyFont="1" applyFill="1" applyBorder="1" applyAlignment="1">
      <alignment horizontal="center"/>
    </xf>
    <xf numFmtId="0" fontId="50" fillId="38" borderId="14" xfId="0" applyFont="1" applyFill="1" applyBorder="1" applyAlignment="1">
      <alignment horizontal="center" vertical="center" wrapText="1"/>
    </xf>
    <xf numFmtId="168" fontId="42" fillId="134" borderId="14" xfId="143" applyNumberFormat="1" applyFont="1" applyFill="1" applyBorder="1" applyAlignment="1">
      <alignment horizontal="center"/>
    </xf>
    <xf numFmtId="0" fontId="185" fillId="134" borderId="0" xfId="0" applyFont="1" applyFill="1" applyBorder="1" applyAlignment="1">
      <alignment horizontal="center"/>
    </xf>
    <xf numFmtId="0" fontId="190" fillId="38" borderId="91" xfId="0" applyFont="1" applyFill="1" applyBorder="1" applyAlignment="1">
      <alignment horizontal="center"/>
    </xf>
    <xf numFmtId="168" fontId="217" fillId="38" borderId="67" xfId="0" applyNumberFormat="1" applyFont="1" applyFill="1" applyBorder="1" applyAlignment="1">
      <alignment horizontal="center"/>
    </xf>
    <xf numFmtId="0" fontId="190" fillId="37" borderId="91" xfId="0" applyFont="1" applyFill="1" applyBorder="1" applyAlignment="1">
      <alignment horizontal="center"/>
    </xf>
    <xf numFmtId="168" fontId="42" fillId="0" borderId="5" xfId="143" applyNumberFormat="1" applyFont="1" applyFill="1" applyBorder="1" applyAlignment="1">
      <alignment horizontal="center"/>
    </xf>
    <xf numFmtId="168" fontId="42" fillId="37" borderId="42" xfId="143" applyNumberFormat="1" applyFont="1" applyFill="1" applyBorder="1" applyAlignment="1">
      <alignment horizontal="center"/>
    </xf>
    <xf numFmtId="168" fontId="42" fillId="134" borderId="5" xfId="143" applyNumberFormat="1" applyFont="1" applyFill="1" applyBorder="1" applyAlignment="1">
      <alignment horizontal="center"/>
    </xf>
    <xf numFmtId="168" fontId="42" fillId="134" borderId="4" xfId="143" applyNumberFormat="1" applyFont="1" applyFill="1" applyBorder="1" applyAlignment="1">
      <alignment horizontal="center"/>
    </xf>
    <xf numFmtId="168" fontId="42" fillId="134" borderId="0" xfId="143" applyNumberFormat="1" applyFont="1" applyFill="1" applyBorder="1" applyAlignment="1">
      <alignment horizontal="center"/>
    </xf>
    <xf numFmtId="168" fontId="42" fillId="37" borderId="40" xfId="143" applyNumberFormat="1" applyFont="1" applyFill="1" applyBorder="1" applyAlignment="1">
      <alignment horizontal="center"/>
    </xf>
    <xf numFmtId="168" fontId="42" fillId="134" borderId="27" xfId="143" applyNumberFormat="1" applyFont="1" applyFill="1" applyBorder="1" applyAlignment="1">
      <alignment horizontal="center"/>
    </xf>
    <xf numFmtId="168" fontId="42" fillId="37" borderId="43" xfId="143" applyNumberFormat="1" applyFont="1" applyFill="1" applyBorder="1" applyAlignment="1">
      <alignment horizontal="center"/>
    </xf>
    <xf numFmtId="168" fontId="42" fillId="37" borderId="67" xfId="143" applyNumberFormat="1" applyFont="1" applyFill="1" applyBorder="1" applyAlignment="1">
      <alignment horizontal="center"/>
    </xf>
    <xf numFmtId="0" fontId="50" fillId="37" borderId="0" xfId="0" applyFont="1" applyFill="1" applyBorder="1" applyAlignment="1">
      <alignment horizontal="center" vertical="center" wrapText="1"/>
    </xf>
    <xf numFmtId="168" fontId="43" fillId="37" borderId="42" xfId="143" applyNumberFormat="1" applyFont="1" applyFill="1" applyBorder="1" applyAlignment="1">
      <alignment horizontal="center"/>
    </xf>
    <xf numFmtId="168" fontId="43" fillId="37" borderId="40" xfId="143" applyNumberFormat="1" applyFont="1" applyFill="1" applyBorder="1" applyAlignment="1">
      <alignment horizontal="center"/>
    </xf>
    <xf numFmtId="168" fontId="43" fillId="37" borderId="43" xfId="143" applyNumberFormat="1" applyFont="1" applyFill="1" applyBorder="1" applyAlignment="1">
      <alignment horizontal="center"/>
    </xf>
    <xf numFmtId="168" fontId="43" fillId="37" borderId="67" xfId="143" applyNumberFormat="1" applyFont="1" applyFill="1" applyBorder="1" applyAlignment="1">
      <alignment horizontal="center"/>
    </xf>
    <xf numFmtId="168" fontId="43" fillId="38" borderId="42" xfId="143" applyNumberFormat="1" applyFont="1" applyFill="1" applyBorder="1" applyAlignment="1">
      <alignment horizontal="center"/>
    </xf>
    <xf numFmtId="168" fontId="43" fillId="38" borderId="40" xfId="143" applyNumberFormat="1" applyFont="1" applyFill="1" applyBorder="1" applyAlignment="1">
      <alignment horizontal="center"/>
    </xf>
    <xf numFmtId="168" fontId="43" fillId="38" borderId="43" xfId="143" applyNumberFormat="1" applyFont="1" applyFill="1" applyBorder="1" applyAlignment="1">
      <alignment horizontal="center"/>
    </xf>
    <xf numFmtId="168" fontId="43" fillId="38" borderId="67" xfId="143" applyNumberFormat="1" applyFont="1" applyFill="1" applyBorder="1" applyAlignment="1">
      <alignment horizontal="center"/>
    </xf>
    <xf numFmtId="0" fontId="190" fillId="37" borderId="41" xfId="0" applyFont="1" applyFill="1" applyBorder="1" applyAlignment="1">
      <alignment horizontal="center"/>
    </xf>
    <xf numFmtId="0" fontId="190" fillId="37" borderId="22" xfId="0" applyFont="1" applyFill="1" applyBorder="1" applyAlignment="1">
      <alignment horizontal="center"/>
    </xf>
    <xf numFmtId="0" fontId="50" fillId="37" borderId="115" xfId="0" applyFont="1" applyFill="1" applyBorder="1" applyAlignment="1">
      <alignment horizontal="center" vertical="center" wrapText="1"/>
    </xf>
    <xf numFmtId="0" fontId="217" fillId="37" borderId="122" xfId="0" applyFont="1" applyFill="1" applyBorder="1" applyAlignment="1">
      <alignment horizontal="center" vertical="center" wrapText="1"/>
    </xf>
    <xf numFmtId="0" fontId="190" fillId="37" borderId="123" xfId="0" applyFont="1" applyFill="1" applyBorder="1" applyAlignment="1">
      <alignment horizontal="center"/>
    </xf>
    <xf numFmtId="0" fontId="50" fillId="37" borderId="124" xfId="0" applyFont="1" applyFill="1" applyBorder="1" applyAlignment="1">
      <alignment horizontal="center" vertical="center" wrapText="1"/>
    </xf>
    <xf numFmtId="0" fontId="217" fillId="37" borderId="125" xfId="0" applyFont="1" applyFill="1" applyBorder="1" applyAlignment="1">
      <alignment horizontal="center" vertical="center" wrapText="1"/>
    </xf>
    <xf numFmtId="0" fontId="190" fillId="37" borderId="11" xfId="0" applyFont="1" applyFill="1" applyBorder="1" applyAlignment="1">
      <alignment horizontal="center"/>
    </xf>
    <xf numFmtId="0" fontId="190" fillId="38" borderId="37" xfId="0" applyFont="1" applyFill="1" applyBorder="1" applyAlignment="1">
      <alignment horizontal="center"/>
    </xf>
    <xf numFmtId="0" fontId="190" fillId="38" borderId="121" xfId="0" applyFont="1" applyFill="1" applyBorder="1" applyAlignment="1">
      <alignment horizontal="center"/>
    </xf>
    <xf numFmtId="0" fontId="50" fillId="38" borderId="126" xfId="0" applyFont="1" applyFill="1" applyBorder="1" applyAlignment="1">
      <alignment horizontal="center" vertical="center" wrapText="1"/>
    </xf>
    <xf numFmtId="168" fontId="217" fillId="38" borderId="125" xfId="0" applyNumberFormat="1" applyFont="1" applyFill="1" applyBorder="1" applyAlignment="1">
      <alignment horizontal="center"/>
    </xf>
    <xf numFmtId="0" fontId="190" fillId="37" borderId="52" xfId="0" applyFont="1" applyFill="1" applyBorder="1" applyAlignment="1">
      <alignment horizontal="center"/>
    </xf>
    <xf numFmtId="0" fontId="51" fillId="0" borderId="0" xfId="0" quotePrefix="1" applyFont="1" applyFill="1" applyBorder="1" applyAlignment="1">
      <alignment horizontal="center" vertical="center" wrapText="1"/>
    </xf>
    <xf numFmtId="0" fontId="42" fillId="134" borderId="7" xfId="5" applyFont="1" applyFill="1" applyBorder="1" applyAlignment="1">
      <alignment horizontal="center" vertical="center" wrapText="1"/>
    </xf>
    <xf numFmtId="0" fontId="181" fillId="134" borderId="6" xfId="0" applyFont="1" applyFill="1" applyBorder="1"/>
    <xf numFmtId="0" fontId="42" fillId="37" borderId="7" xfId="0" applyFont="1" applyFill="1" applyBorder="1" applyAlignment="1">
      <alignment horizontal="center" vertical="center" wrapText="1"/>
    </xf>
    <xf numFmtId="0" fontId="42" fillId="37" borderId="0" xfId="0" applyFont="1" applyFill="1" applyBorder="1" applyAlignment="1">
      <alignment horizontal="center" vertical="center" wrapText="1"/>
    </xf>
    <xf numFmtId="0" fontId="42" fillId="37" borderId="1" xfId="0" applyFont="1" applyFill="1" applyBorder="1" applyAlignment="1">
      <alignment horizontal="center" vertical="center" wrapText="1"/>
    </xf>
    <xf numFmtId="0" fontId="181" fillId="37" borderId="7" xfId="0" quotePrefix="1" applyFont="1" applyFill="1" applyBorder="1" applyAlignment="1">
      <alignment horizontal="center" vertical="center" wrapText="1"/>
    </xf>
    <xf numFmtId="0" fontId="181" fillId="37" borderId="0" xfId="0" quotePrefix="1" applyFont="1" applyFill="1" applyBorder="1" applyAlignment="1">
      <alignment horizontal="center" vertical="center" wrapText="1"/>
    </xf>
    <xf numFmtId="0" fontId="181" fillId="37" borderId="1" xfId="0" quotePrefix="1" applyFont="1" applyFill="1" applyBorder="1" applyAlignment="1">
      <alignment horizontal="center" vertical="center" wrapText="1"/>
    </xf>
    <xf numFmtId="0" fontId="181" fillId="37" borderId="101" xfId="0" applyFont="1" applyFill="1" applyBorder="1" applyAlignment="1">
      <alignment horizontal="center" vertical="center" wrapText="1"/>
    </xf>
    <xf numFmtId="0" fontId="181" fillId="37" borderId="66" xfId="0" applyFont="1" applyFill="1" applyBorder="1" applyAlignment="1">
      <alignment horizontal="center" vertical="center" wrapText="1"/>
    </xf>
    <xf numFmtId="0" fontId="50" fillId="37" borderId="102" xfId="0" applyFont="1" applyFill="1" applyBorder="1" applyAlignment="1">
      <alignment horizontal="center" vertical="center" wrapText="1"/>
    </xf>
    <xf numFmtId="0" fontId="0" fillId="37" borderId="7" xfId="0" applyFill="1" applyBorder="1"/>
    <xf numFmtId="0" fontId="0" fillId="37" borderId="0" xfId="0" applyFill="1" applyBorder="1"/>
    <xf numFmtId="0" fontId="0" fillId="37" borderId="1" xfId="0" applyFill="1" applyBorder="1"/>
    <xf numFmtId="184" fontId="50" fillId="37" borderId="7" xfId="2" applyNumberFormat="1" applyFont="1" applyFill="1" applyBorder="1" applyAlignment="1">
      <alignment horizontal="center"/>
    </xf>
    <xf numFmtId="10" fontId="50" fillId="37" borderId="0" xfId="4" applyNumberFormat="1" applyFont="1" applyFill="1" applyBorder="1" applyAlignment="1">
      <alignment horizontal="center" vertical="center"/>
    </xf>
    <xf numFmtId="184" fontId="50" fillId="37" borderId="0" xfId="4" applyNumberFormat="1" applyFont="1" applyFill="1" applyBorder="1" applyAlignment="1">
      <alignment horizontal="center" vertical="center"/>
    </xf>
    <xf numFmtId="10" fontId="50" fillId="37" borderId="1" xfId="4" applyNumberFormat="1" applyFont="1" applyFill="1" applyBorder="1" applyAlignment="1">
      <alignment horizontal="center" vertical="center"/>
    </xf>
    <xf numFmtId="166" fontId="0" fillId="37" borderId="99" xfId="2" applyNumberFormat="1" applyFont="1" applyFill="1" applyBorder="1" applyAlignment="1">
      <alignment horizontal="center"/>
    </xf>
    <xf numFmtId="166" fontId="0" fillId="37" borderId="98" xfId="2" applyNumberFormat="1" applyFont="1" applyFill="1" applyBorder="1" applyAlignment="1">
      <alignment horizontal="center"/>
    </xf>
    <xf numFmtId="166" fontId="0" fillId="37" borderId="100" xfId="2" applyNumberFormat="1" applyFont="1" applyFill="1" applyBorder="1" applyAlignment="1">
      <alignment horizontal="center"/>
    </xf>
    <xf numFmtId="184" fontId="181" fillId="37" borderId="18" xfId="2" applyNumberFormat="1" applyFont="1" applyFill="1" applyBorder="1" applyAlignment="1">
      <alignment horizontal="center"/>
    </xf>
    <xf numFmtId="10" fontId="181" fillId="37" borderId="18" xfId="4" applyNumberFormat="1" applyFont="1" applyFill="1" applyBorder="1" applyAlignment="1">
      <alignment horizontal="center"/>
    </xf>
    <xf numFmtId="184" fontId="181" fillId="37" borderId="0" xfId="4" applyNumberFormat="1" applyFont="1" applyFill="1" applyBorder="1" applyAlignment="1">
      <alignment horizontal="center" vertical="center"/>
    </xf>
    <xf numFmtId="10" fontId="181" fillId="37" borderId="21" xfId="4" applyNumberFormat="1" applyFont="1" applyFill="1" applyBorder="1" applyAlignment="1">
      <alignment horizontal="center"/>
    </xf>
    <xf numFmtId="0" fontId="229" fillId="37" borderId="12" xfId="0" applyFont="1" applyFill="1" applyBorder="1" applyAlignment="1">
      <alignment horizontal="center"/>
    </xf>
    <xf numFmtId="0" fontId="229" fillId="37" borderId="98" xfId="0" applyFont="1" applyFill="1" applyBorder="1" applyAlignment="1">
      <alignment horizontal="center"/>
    </xf>
    <xf numFmtId="0" fontId="0" fillId="37" borderId="100" xfId="0" applyFill="1" applyBorder="1"/>
    <xf numFmtId="0" fontId="42" fillId="38" borderId="7" xfId="0" applyFont="1" applyFill="1" applyBorder="1" applyAlignment="1">
      <alignment horizontal="center" vertical="center" wrapText="1"/>
    </xf>
    <xf numFmtId="0" fontId="42" fillId="38" borderId="1" xfId="0" applyFont="1" applyFill="1" applyBorder="1" applyAlignment="1">
      <alignment horizontal="center" vertical="center" wrapText="1"/>
    </xf>
    <xf numFmtId="0" fontId="181" fillId="38" borderId="48" xfId="0" quotePrefix="1" applyFont="1" applyFill="1" applyBorder="1" applyAlignment="1">
      <alignment horizontal="center" vertical="center" wrapText="1"/>
    </xf>
    <xf numFmtId="0" fontId="181" fillId="38" borderId="22" xfId="0" quotePrefix="1" applyFont="1" applyFill="1" applyBorder="1" applyAlignment="1">
      <alignment horizontal="center" vertical="center" wrapText="1"/>
    </xf>
    <xf numFmtId="0" fontId="181" fillId="38" borderId="55" xfId="0" applyFont="1" applyFill="1" applyBorder="1" applyAlignment="1">
      <alignment horizontal="center" vertical="center" wrapText="1"/>
    </xf>
    <xf numFmtId="0" fontId="181" fillId="38" borderId="56" xfId="0" applyFont="1" applyFill="1" applyBorder="1" applyAlignment="1">
      <alignment horizontal="center" vertical="center" wrapText="1"/>
    </xf>
    <xf numFmtId="0" fontId="0" fillId="38" borderId="7" xfId="0" applyFill="1" applyBorder="1"/>
    <xf numFmtId="0" fontId="0" fillId="38" borderId="1" xfId="0" applyFill="1" applyBorder="1"/>
    <xf numFmtId="184" fontId="50" fillId="38" borderId="7" xfId="2" applyNumberFormat="1" applyFont="1" applyFill="1" applyBorder="1" applyAlignment="1">
      <alignment horizontal="center"/>
    </xf>
    <xf numFmtId="10" fontId="50" fillId="38" borderId="1" xfId="4" applyNumberFormat="1" applyFont="1" applyFill="1" applyBorder="1" applyAlignment="1">
      <alignment horizontal="center" vertical="center"/>
    </xf>
    <xf numFmtId="166" fontId="0" fillId="38" borderId="7" xfId="2" applyNumberFormat="1" applyFont="1" applyFill="1" applyBorder="1" applyAlignment="1">
      <alignment horizontal="center"/>
    </xf>
    <xf numFmtId="166" fontId="0" fillId="38" borderId="1" xfId="2" applyNumberFormat="1" applyFont="1" applyFill="1" applyBorder="1" applyAlignment="1">
      <alignment horizontal="center"/>
    </xf>
    <xf numFmtId="184" fontId="181" fillId="38" borderId="113" xfId="2" applyNumberFormat="1" applyFont="1" applyFill="1" applyBorder="1" applyAlignment="1">
      <alignment horizontal="center"/>
    </xf>
    <xf numFmtId="10" fontId="181" fillId="38" borderId="115" xfId="4" applyNumberFormat="1" applyFont="1" applyFill="1" applyBorder="1" applyAlignment="1">
      <alignment horizontal="center"/>
    </xf>
    <xf numFmtId="0" fontId="229" fillId="38" borderId="12" xfId="0" quotePrefix="1" applyFont="1" applyFill="1" applyBorder="1" applyAlignment="1">
      <alignment horizontal="center"/>
    </xf>
    <xf numFmtId="0" fontId="0" fillId="38" borderId="100" xfId="0" applyFill="1" applyBorder="1"/>
    <xf numFmtId="0" fontId="50" fillId="134" borderId="16" xfId="0" applyFont="1" applyFill="1" applyBorder="1" applyAlignment="1">
      <alignment horizontal="center"/>
    </xf>
    <xf numFmtId="0" fontId="217" fillId="38" borderId="67" xfId="0" applyFont="1" applyFill="1" applyBorder="1" applyAlignment="1">
      <alignment horizontal="center" vertical="center" wrapText="1"/>
    </xf>
    <xf numFmtId="0" fontId="50" fillId="134" borderId="56" xfId="0" applyFont="1" applyFill="1" applyBorder="1" applyAlignment="1">
      <alignment horizontal="center" vertical="center" wrapText="1"/>
    </xf>
    <xf numFmtId="0" fontId="42" fillId="134" borderId="1" xfId="0" quotePrefix="1" applyFont="1" applyFill="1" applyBorder="1" applyAlignment="1">
      <alignment horizontal="center"/>
    </xf>
    <xf numFmtId="0" fontId="43" fillId="134" borderId="21" xfId="0" applyFont="1" applyFill="1" applyBorder="1" applyAlignment="1">
      <alignment horizontal="center"/>
    </xf>
    <xf numFmtId="0" fontId="0" fillId="134" borderId="6" xfId="0" applyFill="1" applyBorder="1" applyAlignment="1">
      <alignment wrapText="1"/>
    </xf>
    <xf numFmtId="0" fontId="42" fillId="134" borderId="30" xfId="0" applyFont="1" applyFill="1" applyBorder="1"/>
    <xf numFmtId="0" fontId="42" fillId="134" borderId="13" xfId="0" applyFont="1" applyFill="1" applyBorder="1"/>
    <xf numFmtId="171" fontId="192" fillId="134" borderId="7" xfId="0" applyNumberFormat="1" applyFont="1" applyFill="1" applyBorder="1" applyAlignment="1">
      <alignment horizontal="center" vertical="center"/>
    </xf>
    <xf numFmtId="0" fontId="186" fillId="134" borderId="7" xfId="0" applyFont="1" applyFill="1" applyBorder="1" applyAlignment="1">
      <alignment horizontal="center" vertical="center"/>
    </xf>
    <xf numFmtId="0" fontId="186" fillId="134" borderId="99" xfId="0" applyFont="1" applyFill="1" applyBorder="1" applyAlignment="1">
      <alignment horizontal="center" vertical="center"/>
    </xf>
    <xf numFmtId="171" fontId="186" fillId="134" borderId="113" xfId="0" applyNumberFormat="1" applyFont="1" applyFill="1" applyBorder="1"/>
    <xf numFmtId="171" fontId="186" fillId="134" borderId="113" xfId="0" applyNumberFormat="1" applyFont="1" applyFill="1" applyBorder="1" applyAlignment="1"/>
    <xf numFmtId="168" fontId="192" fillId="159" borderId="40" xfId="0" applyNumberFormat="1" applyFont="1" applyFill="1" applyBorder="1"/>
    <xf numFmtId="168" fontId="192" fillId="159" borderId="40" xfId="0" applyNumberFormat="1" applyFont="1" applyFill="1" applyBorder="1" applyAlignment="1"/>
    <xf numFmtId="168" fontId="192" fillId="159" borderId="42" xfId="0" applyNumberFormat="1" applyFont="1" applyFill="1" applyBorder="1" applyAlignment="1"/>
    <xf numFmtId="168" fontId="192" fillId="159" borderId="43" xfId="0" applyNumberFormat="1" applyFont="1" applyFill="1" applyBorder="1" applyAlignment="1"/>
    <xf numFmtId="0" fontId="43" fillId="134" borderId="100" xfId="0" quotePrefix="1" applyFont="1" applyFill="1" applyBorder="1" applyAlignment="1">
      <alignment horizontal="center"/>
    </xf>
    <xf numFmtId="0" fontId="181" fillId="134" borderId="42" xfId="0" quotePrefix="1" applyFont="1" applyFill="1" applyBorder="1" applyAlignment="1">
      <alignment horizontal="center" vertical="center" wrapText="1"/>
    </xf>
    <xf numFmtId="0" fontId="214" fillId="134" borderId="0" xfId="5" applyFont="1" applyFill="1" applyAlignment="1">
      <alignment wrapText="1"/>
    </xf>
    <xf numFmtId="0" fontId="214" fillId="134" borderId="98" xfId="5" applyFont="1" applyFill="1" applyBorder="1" applyAlignment="1">
      <alignment wrapText="1"/>
    </xf>
    <xf numFmtId="0" fontId="43" fillId="161" borderId="19" xfId="0" applyFont="1" applyFill="1" applyBorder="1" applyAlignment="1">
      <alignment horizontal="center"/>
    </xf>
    <xf numFmtId="0" fontId="181" fillId="134" borderId="99" xfId="0" quotePrefix="1" applyFont="1" applyFill="1" applyBorder="1" applyAlignment="1">
      <alignment horizontal="center"/>
    </xf>
    <xf numFmtId="0" fontId="43" fillId="134" borderId="98" xfId="0" quotePrefix="1" applyFont="1" applyFill="1" applyBorder="1" applyAlignment="1">
      <alignment horizontal="center"/>
    </xf>
    <xf numFmtId="0" fontId="43" fillId="134" borderId="99" xfId="0" quotePrefix="1" applyFont="1" applyFill="1" applyBorder="1" applyAlignment="1">
      <alignment horizontal="center"/>
    </xf>
    <xf numFmtId="0" fontId="43" fillId="152" borderId="99" xfId="0" quotePrefix="1" applyFont="1" applyFill="1" applyBorder="1" applyAlignment="1">
      <alignment horizontal="center"/>
    </xf>
    <xf numFmtId="0" fontId="43" fillId="152" borderId="98" xfId="0" quotePrefix="1" applyFont="1" applyFill="1" applyBorder="1" applyAlignment="1">
      <alignment horizontal="center"/>
    </xf>
    <xf numFmtId="0" fontId="181" fillId="134" borderId="100" xfId="0" quotePrefix="1" applyFont="1" applyFill="1" applyBorder="1" applyAlignment="1">
      <alignment horizontal="center"/>
    </xf>
    <xf numFmtId="0" fontId="181" fillId="134" borderId="48" xfId="0" quotePrefix="1" applyFont="1" applyFill="1" applyBorder="1" applyAlignment="1">
      <alignment horizontal="center" vertical="center" wrapText="1"/>
    </xf>
    <xf numFmtId="0" fontId="43" fillId="134" borderId="6" xfId="0" quotePrefix="1" applyFont="1" applyFill="1" applyBorder="1" applyAlignment="1">
      <alignment horizontal="center"/>
    </xf>
    <xf numFmtId="0" fontId="182" fillId="134" borderId="0" xfId="0" applyFont="1" applyFill="1" applyAlignment="1">
      <alignment horizontal="center"/>
    </xf>
    <xf numFmtId="0" fontId="182" fillId="134" borderId="0" xfId="0" applyFont="1" applyFill="1" applyBorder="1" applyAlignment="1">
      <alignment horizontal="center"/>
    </xf>
    <xf numFmtId="0" fontId="182" fillId="134" borderId="14" xfId="0" applyFont="1" applyFill="1" applyBorder="1" applyAlignment="1">
      <alignment horizontal="center"/>
    </xf>
    <xf numFmtId="10" fontId="43" fillId="0" borderId="18" xfId="4" applyNumberFormat="1" applyFont="1" applyFill="1" applyBorder="1" applyAlignment="1">
      <alignment horizontal="center"/>
    </xf>
    <xf numFmtId="251" fontId="42" fillId="134" borderId="0" xfId="1" applyNumberFormat="1" applyFont="1" applyFill="1" applyBorder="1"/>
    <xf numFmtId="0" fontId="192" fillId="134" borderId="0" xfId="0" applyFont="1" applyFill="1" applyBorder="1" applyAlignment="1">
      <alignment horizontal="left" vertical="center"/>
    </xf>
    <xf numFmtId="0" fontId="192" fillId="134" borderId="0" xfId="0" applyFont="1" applyFill="1" applyBorder="1" applyAlignment="1">
      <alignment vertical="center"/>
    </xf>
    <xf numFmtId="0" fontId="224" fillId="134" borderId="0" xfId="0" applyFont="1" applyFill="1" applyBorder="1"/>
    <xf numFmtId="0" fontId="43" fillId="162" borderId="11" xfId="0" applyFont="1" applyFill="1" applyBorder="1"/>
    <xf numFmtId="43" fontId="42" fillId="162" borderId="8" xfId="1" applyFont="1" applyFill="1" applyBorder="1" applyAlignment="1">
      <alignment horizontal="center"/>
    </xf>
    <xf numFmtId="43" fontId="42" fillId="162" borderId="11" xfId="1" applyFont="1" applyFill="1" applyBorder="1" applyAlignment="1">
      <alignment horizontal="center"/>
    </xf>
    <xf numFmtId="0" fontId="229" fillId="134" borderId="0" xfId="0" applyFont="1" applyFill="1"/>
    <xf numFmtId="164" fontId="42" fillId="134" borderId="0" xfId="0" applyNumberFormat="1" applyFont="1" applyFill="1" applyBorder="1" applyAlignment="1">
      <alignment horizontal="center"/>
    </xf>
    <xf numFmtId="164" fontId="42" fillId="134" borderId="14" xfId="0" applyNumberFormat="1" applyFont="1" applyFill="1" applyBorder="1" applyAlignment="1">
      <alignment horizontal="center"/>
    </xf>
    <xf numFmtId="0" fontId="11" fillId="0" borderId="0" xfId="5" applyFont="1" applyFill="1" applyAlignment="1">
      <alignment horizontal="centerContinuous"/>
    </xf>
    <xf numFmtId="0" fontId="42" fillId="0" borderId="0" xfId="5" applyFont="1" applyFill="1" applyAlignment="1">
      <alignment horizontal="centerContinuous"/>
    </xf>
    <xf numFmtId="0" fontId="50" fillId="0" borderId="0" xfId="0" applyFont="1" applyFill="1" applyAlignment="1">
      <alignment horizontal="center"/>
    </xf>
    <xf numFmtId="0" fontId="42" fillId="0" borderId="0" xfId="0" applyFont="1" applyFill="1" applyAlignment="1">
      <alignment horizontal="center"/>
    </xf>
    <xf numFmtId="0" fontId="43" fillId="0" borderId="53" xfId="0" applyFont="1" applyFill="1" applyBorder="1" applyAlignment="1">
      <alignment horizontal="center"/>
    </xf>
    <xf numFmtId="0" fontId="49" fillId="0" borderId="53" xfId="0" quotePrefix="1" applyFont="1" applyFill="1" applyBorder="1" applyAlignment="1">
      <alignment horizontal="center"/>
    </xf>
    <xf numFmtId="0" fontId="49" fillId="0" borderId="53" xfId="0" applyFont="1" applyFill="1" applyBorder="1" applyAlignment="1">
      <alignment horizontal="center"/>
    </xf>
    <xf numFmtId="0" fontId="192" fillId="0" borderId="53" xfId="0" applyFont="1" applyFill="1" applyBorder="1" applyAlignment="1">
      <alignment horizontal="center"/>
    </xf>
    <xf numFmtId="49" fontId="42" fillId="0" borderId="0" xfId="4" applyNumberFormat="1" applyFont="1" applyFill="1" applyAlignment="1">
      <alignment horizontal="center"/>
    </xf>
    <xf numFmtId="0" fontId="69" fillId="0" borderId="0" xfId="5" applyFont="1" applyAlignment="1">
      <alignment horizontal="center"/>
    </xf>
    <xf numFmtId="0" fontId="183" fillId="0" borderId="0" xfId="0" applyFont="1" applyFill="1"/>
    <xf numFmtId="184" fontId="42" fillId="0" borderId="5" xfId="2" applyNumberFormat="1" applyFont="1" applyFill="1" applyBorder="1"/>
    <xf numFmtId="184" fontId="42" fillId="0" borderId="16" xfId="2" applyNumberFormat="1" applyFont="1" applyFill="1" applyBorder="1"/>
    <xf numFmtId="184" fontId="42" fillId="0" borderId="11" xfId="2" applyNumberFormat="1" applyFont="1" applyFill="1" applyBorder="1"/>
    <xf numFmtId="0" fontId="42" fillId="134" borderId="34" xfId="0" applyFont="1" applyFill="1" applyBorder="1" applyAlignment="1">
      <alignment horizontal="center"/>
    </xf>
    <xf numFmtId="171" fontId="186" fillId="0" borderId="14" xfId="0" applyNumberFormat="1" applyFont="1" applyFill="1" applyBorder="1"/>
    <xf numFmtId="0" fontId="186" fillId="134" borderId="27" xfId="0" applyFont="1" applyFill="1" applyBorder="1" applyAlignment="1">
      <alignment horizontal="center"/>
    </xf>
    <xf numFmtId="0" fontId="186" fillId="134" borderId="14" xfId="0" applyFont="1" applyFill="1" applyBorder="1" applyAlignment="1">
      <alignment horizontal="center"/>
    </xf>
    <xf numFmtId="164" fontId="186" fillId="134" borderId="0" xfId="0" applyNumberFormat="1" applyFont="1" applyFill="1" applyBorder="1" applyAlignment="1">
      <alignment horizontal="center"/>
    </xf>
    <xf numFmtId="0" fontId="64" fillId="134" borderId="0" xfId="0" applyFont="1" applyFill="1" applyBorder="1" applyAlignment="1">
      <alignment horizontal="center"/>
    </xf>
    <xf numFmtId="164" fontId="186" fillId="134" borderId="14" xfId="0" applyNumberFormat="1" applyFont="1" applyFill="1" applyBorder="1" applyAlignment="1">
      <alignment horizontal="center"/>
    </xf>
    <xf numFmtId="0" fontId="185" fillId="134" borderId="14" xfId="0" applyFont="1" applyFill="1" applyBorder="1" applyAlignment="1">
      <alignment horizontal="center"/>
    </xf>
    <xf numFmtId="37" fontId="43" fillId="37" borderId="39" xfId="0" applyNumberFormat="1" applyFont="1" applyFill="1" applyBorder="1" applyAlignment="1">
      <alignment horizontal="center"/>
    </xf>
    <xf numFmtId="0" fontId="43" fillId="37" borderId="40" xfId="0" applyFont="1" applyFill="1" applyBorder="1" applyAlignment="1">
      <alignment horizontal="center"/>
    </xf>
    <xf numFmtId="0" fontId="43" fillId="37" borderId="40" xfId="1" applyNumberFormat="1" applyFont="1" applyFill="1" applyBorder="1" applyAlignment="1">
      <alignment horizontal="center"/>
    </xf>
    <xf numFmtId="0" fontId="43" fillId="37" borderId="103" xfId="0" applyFont="1" applyFill="1" applyBorder="1" applyAlignment="1">
      <alignment horizontal="center"/>
    </xf>
    <xf numFmtId="0" fontId="43" fillId="37" borderId="42" xfId="0" applyFont="1" applyFill="1" applyBorder="1" applyAlignment="1">
      <alignment horizontal="center"/>
    </xf>
    <xf numFmtId="171" fontId="43" fillId="37" borderId="42" xfId="0" applyNumberFormat="1" applyFont="1" applyFill="1" applyBorder="1" applyAlignment="1">
      <alignment horizontal="center"/>
    </xf>
    <xf numFmtId="171" fontId="43" fillId="37" borderId="43" xfId="0" applyNumberFormat="1" applyFont="1" applyFill="1" applyBorder="1" applyAlignment="1">
      <alignment horizontal="center"/>
    </xf>
    <xf numFmtId="171" fontId="43" fillId="37" borderId="40" xfId="0" applyNumberFormat="1" applyFont="1" applyFill="1" applyBorder="1" applyAlignment="1">
      <alignment horizontal="center"/>
    </xf>
    <xf numFmtId="171" fontId="43" fillId="37" borderId="105" xfId="0" applyNumberFormat="1" applyFont="1" applyFill="1" applyBorder="1" applyAlignment="1">
      <alignment horizontal="center"/>
    </xf>
    <xf numFmtId="171" fontId="43" fillId="37" borderId="103" xfId="0" applyNumberFormat="1" applyFont="1" applyFill="1" applyBorder="1" applyAlignment="1">
      <alignment horizontal="center"/>
    </xf>
    <xf numFmtId="0" fontId="43" fillId="38" borderId="40" xfId="0" applyFont="1" applyFill="1" applyBorder="1" applyAlignment="1">
      <alignment horizontal="center"/>
    </xf>
    <xf numFmtId="0" fontId="43" fillId="38" borderId="103" xfId="0" applyFont="1" applyFill="1" applyBorder="1" applyAlignment="1">
      <alignment horizontal="center"/>
    </xf>
    <xf numFmtId="0" fontId="43" fillId="38" borderId="42" xfId="0" applyFont="1" applyFill="1" applyBorder="1" applyAlignment="1">
      <alignment horizontal="center"/>
    </xf>
    <xf numFmtId="171" fontId="43" fillId="38" borderId="42" xfId="0" applyNumberFormat="1" applyFont="1" applyFill="1" applyBorder="1" applyAlignment="1">
      <alignment horizontal="center"/>
    </xf>
    <xf numFmtId="171" fontId="43" fillId="38" borderId="43" xfId="0" applyNumberFormat="1" applyFont="1" applyFill="1" applyBorder="1" applyAlignment="1">
      <alignment horizontal="center"/>
    </xf>
    <xf numFmtId="171" fontId="43" fillId="38" borderId="40" xfId="0" applyNumberFormat="1" applyFont="1" applyFill="1" applyBorder="1" applyAlignment="1">
      <alignment horizontal="center"/>
    </xf>
    <xf numFmtId="171" fontId="43" fillId="38" borderId="67" xfId="0" applyNumberFormat="1" applyFont="1" applyFill="1" applyBorder="1" applyAlignment="1">
      <alignment horizontal="center"/>
    </xf>
    <xf numFmtId="0" fontId="43" fillId="38" borderId="40" xfId="1" applyNumberFormat="1" applyFont="1" applyFill="1" applyBorder="1" applyAlignment="1">
      <alignment horizontal="center"/>
    </xf>
    <xf numFmtId="7" fontId="192" fillId="0" borderId="29" xfId="0" applyNumberFormat="1" applyFont="1" applyFill="1" applyBorder="1" applyAlignment="1">
      <alignment horizontal="center"/>
    </xf>
    <xf numFmtId="7" fontId="192" fillId="0" borderId="91" xfId="0" applyNumberFormat="1" applyFont="1" applyFill="1" applyBorder="1" applyAlignment="1">
      <alignment horizontal="center"/>
    </xf>
    <xf numFmtId="0" fontId="214" fillId="134" borderId="0" xfId="0" applyFont="1" applyFill="1" applyAlignment="1">
      <alignment wrapText="1"/>
    </xf>
    <xf numFmtId="3" fontId="17" fillId="0" borderId="0" xfId="0" applyNumberFormat="1" applyFont="1" applyFill="1" applyBorder="1" applyAlignment="1">
      <alignment vertical="center"/>
    </xf>
    <xf numFmtId="3" fontId="17" fillId="0" borderId="0" xfId="100" applyNumberFormat="1" applyFont="1" applyAlignment="1">
      <alignment vertical="center"/>
    </xf>
    <xf numFmtId="3" fontId="18" fillId="0" borderId="0" xfId="0" applyNumberFormat="1" applyFont="1" applyFill="1" applyBorder="1" applyAlignment="1">
      <alignment vertical="center"/>
    </xf>
    <xf numFmtId="0" fontId="68" fillId="0" borderId="0" xfId="0" quotePrefix="1" applyFont="1"/>
    <xf numFmtId="0" fontId="0" fillId="163" borderId="38" xfId="0" applyFill="1" applyBorder="1"/>
    <xf numFmtId="0" fontId="0" fillId="38" borderId="38" xfId="0" applyFill="1" applyBorder="1"/>
    <xf numFmtId="0" fontId="0" fillId="39" borderId="38" xfId="0" applyFill="1" applyBorder="1"/>
    <xf numFmtId="0" fontId="0" fillId="162" borderId="38" xfId="0" applyFill="1" applyBorder="1"/>
    <xf numFmtId="0" fontId="0" fillId="164" borderId="38" xfId="0" applyFill="1" applyBorder="1"/>
    <xf numFmtId="0" fontId="0" fillId="37" borderId="38" xfId="0" applyFill="1" applyBorder="1"/>
    <xf numFmtId="0" fontId="186" fillId="0" borderId="0" xfId="0" applyFont="1" applyFill="1"/>
    <xf numFmtId="0" fontId="42" fillId="162" borderId="10" xfId="0" applyFont="1" applyFill="1" applyBorder="1" applyAlignment="1">
      <alignment horizontal="center"/>
    </xf>
    <xf numFmtId="0" fontId="42" fillId="162" borderId="15" xfId="0" applyFont="1" applyFill="1" applyBorder="1" applyAlignment="1">
      <alignment horizontal="center"/>
    </xf>
    <xf numFmtId="0" fontId="185" fillId="134" borderId="0" xfId="0" applyFont="1" applyFill="1" applyAlignment="1">
      <alignment horizontal="center" vertical="center"/>
    </xf>
    <xf numFmtId="0" fontId="185" fillId="134" borderId="14" xfId="0" applyFont="1" applyFill="1" applyBorder="1" applyAlignment="1">
      <alignment horizontal="center" vertical="center"/>
    </xf>
    <xf numFmtId="0" fontId="185" fillId="134" borderId="0" xfId="0" applyFont="1" applyFill="1" applyBorder="1" applyAlignment="1">
      <alignment horizontal="center" vertical="center"/>
    </xf>
    <xf numFmtId="37" fontId="195" fillId="37" borderId="33" xfId="101" applyNumberFormat="1" applyFont="1" applyFill="1" applyBorder="1" applyAlignment="1">
      <alignment horizontal="center"/>
    </xf>
    <xf numFmtId="37" fontId="195" fillId="37" borderId="34" xfId="101" applyNumberFormat="1" applyFont="1" applyFill="1" applyBorder="1" applyAlignment="1">
      <alignment horizontal="center"/>
    </xf>
    <xf numFmtId="37" fontId="195" fillId="37" borderId="35" xfId="101" applyNumberFormat="1" applyFont="1" applyFill="1" applyBorder="1" applyAlignment="1">
      <alignment horizontal="center"/>
    </xf>
    <xf numFmtId="37" fontId="195" fillId="134" borderId="36" xfId="101" applyNumberFormat="1" applyFont="1" applyFill="1" applyBorder="1" applyAlignment="1">
      <alignment horizontal="center"/>
    </xf>
    <xf numFmtId="37" fontId="195" fillId="134" borderId="29" xfId="101" applyNumberFormat="1" applyFont="1" applyFill="1" applyBorder="1" applyAlignment="1">
      <alignment horizontal="center"/>
    </xf>
    <xf numFmtId="37" fontId="195" fillId="134" borderId="37" xfId="101" applyNumberFormat="1" applyFont="1" applyFill="1" applyBorder="1" applyAlignment="1">
      <alignment horizontal="center"/>
    </xf>
    <xf numFmtId="0" fontId="43" fillId="134" borderId="18" xfId="0" applyFont="1" applyFill="1" applyBorder="1" applyAlignment="1">
      <alignment horizontal="center"/>
    </xf>
    <xf numFmtId="37" fontId="195" fillId="134" borderId="30" xfId="101" applyNumberFormat="1" applyFont="1" applyFill="1" applyBorder="1" applyAlignment="1">
      <alignment horizontal="center"/>
    </xf>
    <xf numFmtId="37" fontId="195" fillId="134" borderId="32" xfId="101" applyNumberFormat="1" applyFont="1" applyFill="1" applyBorder="1" applyAlignment="1">
      <alignment horizontal="center"/>
    </xf>
    <xf numFmtId="0" fontId="43" fillId="158" borderId="26" xfId="0" applyFont="1" applyFill="1" applyBorder="1" applyAlignment="1">
      <alignment horizontal="left"/>
    </xf>
    <xf numFmtId="0" fontId="43" fillId="158" borderId="27" xfId="0" applyFont="1" applyFill="1" applyBorder="1" applyAlignment="1">
      <alignment horizontal="left"/>
    </xf>
    <xf numFmtId="0" fontId="43" fillId="158" borderId="28" xfId="0" applyFont="1" applyFill="1" applyBorder="1" applyAlignment="1">
      <alignment horizontal="left"/>
    </xf>
    <xf numFmtId="0" fontId="208" fillId="37" borderId="32" xfId="0" applyFont="1" applyFill="1" applyBorder="1" applyAlignment="1">
      <alignment horizontal="center"/>
    </xf>
    <xf numFmtId="0" fontId="208" fillId="37" borderId="29" xfId="0" applyFont="1" applyFill="1" applyBorder="1" applyAlignment="1">
      <alignment horizontal="center"/>
    </xf>
    <xf numFmtId="0" fontId="208" fillId="37" borderId="30" xfId="0" applyFont="1" applyFill="1" applyBorder="1" applyAlignment="1">
      <alignment horizontal="center"/>
    </xf>
    <xf numFmtId="37" fontId="195" fillId="134" borderId="112" xfId="101" applyNumberFormat="1" applyFont="1" applyFill="1" applyBorder="1" applyAlignment="1">
      <alignment horizontal="center"/>
    </xf>
    <xf numFmtId="37" fontId="195" fillId="134" borderId="98" xfId="101" applyNumberFormat="1" applyFont="1" applyFill="1" applyBorder="1" applyAlignment="1">
      <alignment horizontal="center"/>
    </xf>
    <xf numFmtId="37" fontId="195" fillId="134" borderId="109" xfId="101" applyNumberFormat="1" applyFont="1" applyFill="1" applyBorder="1" applyAlignment="1">
      <alignment horizontal="center"/>
    </xf>
    <xf numFmtId="37" fontId="195" fillId="0" borderId="112" xfId="101" applyNumberFormat="1" applyFont="1" applyFill="1" applyBorder="1" applyAlignment="1">
      <alignment horizontal="center"/>
    </xf>
    <xf numFmtId="37" fontId="195" fillId="0" borderId="98" xfId="101" applyNumberFormat="1" applyFont="1" applyFill="1" applyBorder="1" applyAlignment="1">
      <alignment horizontal="center"/>
    </xf>
    <xf numFmtId="37" fontId="195" fillId="0" borderId="109" xfId="101" applyNumberFormat="1" applyFont="1" applyFill="1" applyBorder="1" applyAlignment="1">
      <alignment horizontal="center"/>
    </xf>
    <xf numFmtId="0" fontId="221" fillId="134" borderId="0" xfId="0" applyFont="1" applyFill="1" applyBorder="1" applyAlignment="1">
      <alignment horizontal="center" wrapText="1"/>
    </xf>
    <xf numFmtId="0" fontId="208" fillId="154" borderId="32" xfId="0" applyFont="1" applyFill="1" applyBorder="1" applyAlignment="1">
      <alignment horizontal="center"/>
    </xf>
    <xf numFmtId="0" fontId="208" fillId="154" borderId="29" xfId="0" applyFont="1" applyFill="1" applyBorder="1" applyAlignment="1">
      <alignment horizontal="center"/>
    </xf>
    <xf numFmtId="0" fontId="208" fillId="154" borderId="30" xfId="0" applyFont="1" applyFill="1" applyBorder="1" applyAlignment="1">
      <alignment horizontal="center"/>
    </xf>
    <xf numFmtId="37" fontId="195" fillId="37" borderId="10" xfId="0" applyNumberFormat="1" applyFont="1" applyFill="1" applyBorder="1" applyAlignment="1">
      <alignment horizontal="center"/>
    </xf>
    <xf numFmtId="37" fontId="195" fillId="37" borderId="9" xfId="0" applyNumberFormat="1" applyFont="1" applyFill="1" applyBorder="1" applyAlignment="1">
      <alignment horizontal="center"/>
    </xf>
    <xf numFmtId="37" fontId="195" fillId="37" borderId="15" xfId="0" applyNumberFormat="1" applyFont="1" applyFill="1" applyBorder="1" applyAlignment="1">
      <alignment horizontal="center"/>
    </xf>
    <xf numFmtId="5" fontId="196" fillId="134" borderId="0" xfId="2" applyNumberFormat="1" applyFont="1" applyFill="1" applyBorder="1" applyAlignment="1">
      <alignment horizontal="center" vertical="center"/>
    </xf>
    <xf numFmtId="0" fontId="43" fillId="134" borderId="32" xfId="0" applyFont="1" applyFill="1" applyBorder="1" applyAlignment="1">
      <alignment horizontal="center"/>
    </xf>
    <xf numFmtId="0" fontId="43" fillId="134" borderId="29" xfId="0" applyFont="1" applyFill="1" applyBorder="1" applyAlignment="1">
      <alignment horizontal="center"/>
    </xf>
    <xf numFmtId="0" fontId="43" fillId="134" borderId="30" xfId="0" applyFont="1" applyFill="1" applyBorder="1" applyAlignment="1">
      <alignment horizontal="center"/>
    </xf>
    <xf numFmtId="0" fontId="44" fillId="134" borderId="32" xfId="0" applyFont="1" applyFill="1" applyBorder="1" applyAlignment="1">
      <alignment horizontal="center" vertical="center"/>
    </xf>
    <xf numFmtId="0" fontId="44" fillId="134" borderId="30" xfId="0" applyFont="1" applyFill="1" applyBorder="1" applyAlignment="1">
      <alignment horizontal="center" vertical="center"/>
    </xf>
    <xf numFmtId="166" fontId="43" fillId="134" borderId="32" xfId="5" applyNumberFormat="1" applyFont="1" applyFill="1" applyBorder="1" applyAlignment="1">
      <alignment horizontal="center"/>
    </xf>
    <xf numFmtId="166" fontId="43" fillId="134" borderId="30" xfId="5" applyNumberFormat="1" applyFont="1" applyFill="1" applyBorder="1" applyAlignment="1">
      <alignment horizontal="center"/>
    </xf>
    <xf numFmtId="166" fontId="43" fillId="134" borderId="29" xfId="5" applyNumberFormat="1" applyFont="1" applyFill="1" applyBorder="1" applyAlignment="1">
      <alignment horizontal="center"/>
    </xf>
    <xf numFmtId="0" fontId="44" fillId="0" borderId="0" xfId="5" applyFont="1" applyFill="1" applyBorder="1" applyAlignment="1">
      <alignment horizontal="center"/>
    </xf>
    <xf numFmtId="5" fontId="42" fillId="134" borderId="0" xfId="2" applyNumberFormat="1" applyFont="1" applyFill="1" applyBorder="1" applyAlignment="1">
      <alignment horizontal="center" vertical="center"/>
    </xf>
    <xf numFmtId="166" fontId="192" fillId="134" borderId="32" xfId="5" applyNumberFormat="1" applyFont="1" applyFill="1" applyBorder="1" applyAlignment="1">
      <alignment horizontal="center"/>
    </xf>
    <xf numFmtId="166" fontId="192" fillId="134" borderId="29" xfId="5" applyNumberFormat="1" applyFont="1" applyFill="1" applyBorder="1" applyAlignment="1">
      <alignment horizontal="center"/>
    </xf>
    <xf numFmtId="166" fontId="192" fillId="134" borderId="30" xfId="5" applyNumberFormat="1" applyFont="1" applyFill="1" applyBorder="1" applyAlignment="1">
      <alignment horizontal="center"/>
    </xf>
    <xf numFmtId="14" fontId="201" fillId="134" borderId="32" xfId="0" applyNumberFormat="1" applyFont="1" applyFill="1" applyBorder="1" applyAlignment="1">
      <alignment horizontal="center"/>
    </xf>
    <xf numFmtId="14" fontId="201" fillId="134" borderId="29" xfId="0" applyNumberFormat="1" applyFont="1" applyFill="1" applyBorder="1" applyAlignment="1">
      <alignment horizontal="center"/>
    </xf>
    <xf numFmtId="14" fontId="201" fillId="134" borderId="30" xfId="0" applyNumberFormat="1" applyFont="1" applyFill="1" applyBorder="1" applyAlignment="1">
      <alignment horizontal="center"/>
    </xf>
    <xf numFmtId="0" fontId="199" fillId="134" borderId="17" xfId="0" applyFont="1" applyFill="1" applyBorder="1" applyAlignment="1">
      <alignment horizontal="center"/>
    </xf>
    <xf numFmtId="0" fontId="199" fillId="134" borderId="18" xfId="0" applyFont="1" applyFill="1" applyBorder="1" applyAlignment="1">
      <alignment horizontal="center"/>
    </xf>
    <xf numFmtId="0" fontId="199" fillId="134" borderId="96" xfId="0" applyFont="1" applyFill="1" applyBorder="1" applyAlignment="1">
      <alignment horizontal="center"/>
    </xf>
    <xf numFmtId="0" fontId="192" fillId="134" borderId="32" xfId="0" applyFont="1" applyFill="1" applyBorder="1" applyAlignment="1">
      <alignment horizontal="center"/>
    </xf>
    <xf numFmtId="0" fontId="192" fillId="134" borderId="29" xfId="0" applyFont="1" applyFill="1" applyBorder="1" applyAlignment="1">
      <alignment horizontal="center"/>
    </xf>
    <xf numFmtId="0" fontId="192" fillId="134" borderId="30" xfId="0" applyFont="1" applyFill="1" applyBorder="1" applyAlignment="1">
      <alignment horizontal="center"/>
    </xf>
    <xf numFmtId="0" fontId="43" fillId="134" borderId="9" xfId="0" applyFont="1" applyFill="1" applyBorder="1" applyAlignment="1">
      <alignment horizontal="center" wrapText="1"/>
    </xf>
    <xf numFmtId="0" fontId="43" fillId="134" borderId="14" xfId="0" applyFont="1" applyFill="1" applyBorder="1" applyAlignment="1">
      <alignment horizontal="center" wrapText="1"/>
    </xf>
    <xf numFmtId="0" fontId="43" fillId="134" borderId="15" xfId="0" applyFont="1" applyFill="1" applyBorder="1" applyAlignment="1">
      <alignment horizontal="center" wrapText="1"/>
    </xf>
    <xf numFmtId="0" fontId="43" fillId="134" borderId="11" xfId="0" applyFont="1" applyFill="1" applyBorder="1" applyAlignment="1">
      <alignment horizontal="center" wrapText="1"/>
    </xf>
    <xf numFmtId="0" fontId="43" fillId="37" borderId="32" xfId="0" applyFont="1" applyFill="1" applyBorder="1" applyAlignment="1">
      <alignment horizontal="center"/>
    </xf>
    <xf numFmtId="0" fontId="43" fillId="37" borderId="29" xfId="0" applyFont="1" applyFill="1" applyBorder="1" applyAlignment="1">
      <alignment horizontal="center"/>
    </xf>
    <xf numFmtId="0" fontId="43" fillId="37" borderId="30" xfId="0" applyFont="1" applyFill="1" applyBorder="1" applyAlignment="1">
      <alignment horizontal="center"/>
    </xf>
    <xf numFmtId="0" fontId="43" fillId="38" borderId="32" xfId="0" applyFont="1" applyFill="1" applyBorder="1" applyAlignment="1">
      <alignment horizontal="center"/>
    </xf>
    <xf numFmtId="0" fontId="43" fillId="38" borderId="29" xfId="0" applyFont="1" applyFill="1" applyBorder="1" applyAlignment="1">
      <alignment horizontal="center"/>
    </xf>
    <xf numFmtId="0" fontId="43" fillId="38" borderId="30" xfId="0" applyFont="1" applyFill="1" applyBorder="1" applyAlignment="1">
      <alignment horizontal="center"/>
    </xf>
    <xf numFmtId="37" fontId="42" fillId="134" borderId="0" xfId="0" applyNumberFormat="1" applyFont="1" applyFill="1" applyBorder="1" applyAlignment="1" applyProtection="1">
      <alignment horizontal="left" vertical="top" wrapText="1"/>
    </xf>
    <xf numFmtId="7" fontId="192" fillId="37" borderId="32" xfId="0" applyNumberFormat="1" applyFont="1" applyFill="1" applyBorder="1" applyAlignment="1">
      <alignment horizontal="center"/>
    </xf>
    <xf numFmtId="7" fontId="192" fillId="37" borderId="29" xfId="0" applyNumberFormat="1" applyFont="1" applyFill="1" applyBorder="1" applyAlignment="1">
      <alignment horizontal="center"/>
    </xf>
    <xf numFmtId="7" fontId="192" fillId="37" borderId="30" xfId="0" applyNumberFormat="1" applyFont="1" applyFill="1" applyBorder="1" applyAlignment="1">
      <alignment horizontal="center"/>
    </xf>
    <xf numFmtId="7" fontId="192" fillId="38" borderId="32" xfId="0" applyNumberFormat="1" applyFont="1" applyFill="1" applyBorder="1" applyAlignment="1">
      <alignment horizontal="center"/>
    </xf>
    <xf numFmtId="7" fontId="192" fillId="38" borderId="29" xfId="0" applyNumberFormat="1" applyFont="1" applyFill="1" applyBorder="1" applyAlignment="1">
      <alignment horizontal="center"/>
    </xf>
    <xf numFmtId="7" fontId="192" fillId="38" borderId="30" xfId="0" applyNumberFormat="1" applyFont="1" applyFill="1" applyBorder="1" applyAlignment="1">
      <alignment horizontal="center"/>
    </xf>
    <xf numFmtId="7" fontId="43" fillId="134" borderId="16" xfId="0" applyNumberFormat="1" applyFont="1" applyFill="1" applyBorder="1" applyAlignment="1">
      <alignment horizontal="center"/>
    </xf>
    <xf numFmtId="0" fontId="43" fillId="134" borderId="16" xfId="0" applyFont="1" applyFill="1" applyBorder="1" applyAlignment="1">
      <alignment horizontal="center"/>
    </xf>
    <xf numFmtId="0" fontId="43" fillId="134" borderId="11" xfId="0" applyFont="1" applyFill="1" applyBorder="1" applyAlignment="1">
      <alignment horizontal="center"/>
    </xf>
    <xf numFmtId="7" fontId="195" fillId="134" borderId="17" xfId="0" applyNumberFormat="1" applyFont="1" applyFill="1" applyBorder="1" applyAlignment="1">
      <alignment horizontal="center"/>
    </xf>
    <xf numFmtId="7" fontId="195" fillId="134" borderId="18" xfId="0" applyNumberFormat="1" applyFont="1" applyFill="1" applyBorder="1" applyAlignment="1">
      <alignment horizontal="center"/>
    </xf>
    <xf numFmtId="7" fontId="195" fillId="134" borderId="21" xfId="0" applyNumberFormat="1" applyFont="1" applyFill="1" applyBorder="1" applyAlignment="1">
      <alignment horizontal="center"/>
    </xf>
    <xf numFmtId="0" fontId="195" fillId="134" borderId="17" xfId="0" applyFont="1" applyFill="1" applyBorder="1" applyAlignment="1">
      <alignment horizontal="center"/>
    </xf>
    <xf numFmtId="0" fontId="195" fillId="134" borderId="18" xfId="0" applyFont="1" applyFill="1" applyBorder="1" applyAlignment="1">
      <alignment horizontal="center"/>
    </xf>
    <xf numFmtId="0" fontId="195" fillId="134" borderId="21" xfId="0" applyFont="1" applyFill="1" applyBorder="1" applyAlignment="1">
      <alignment horizontal="center"/>
    </xf>
    <xf numFmtId="0" fontId="43" fillId="134" borderId="10" xfId="0" applyFont="1" applyFill="1" applyBorder="1" applyAlignment="1">
      <alignment horizontal="center" wrapText="1"/>
    </xf>
    <xf numFmtId="0" fontId="43" fillId="134" borderId="5" xfId="0" applyFont="1" applyFill="1" applyBorder="1" applyAlignment="1">
      <alignment horizontal="center" wrapText="1"/>
    </xf>
    <xf numFmtId="0" fontId="43" fillId="154" borderId="32" xfId="0" applyFont="1" applyFill="1" applyBorder="1" applyAlignment="1">
      <alignment horizontal="center"/>
    </xf>
    <xf numFmtId="0" fontId="43" fillId="154" borderId="29" xfId="0" applyFont="1" applyFill="1" applyBorder="1" applyAlignment="1">
      <alignment horizontal="center"/>
    </xf>
    <xf numFmtId="0" fontId="43" fillId="154" borderId="30" xfId="0" applyFont="1" applyFill="1" applyBorder="1" applyAlignment="1">
      <alignment horizontal="center"/>
    </xf>
    <xf numFmtId="0" fontId="43" fillId="37" borderId="32" xfId="5" applyFont="1" applyFill="1" applyBorder="1" applyAlignment="1">
      <alignment horizontal="center"/>
    </xf>
    <xf numFmtId="0" fontId="43" fillId="37" borderId="29" xfId="5" applyFont="1" applyFill="1" applyBorder="1" applyAlignment="1">
      <alignment horizontal="center"/>
    </xf>
    <xf numFmtId="0" fontId="43" fillId="37" borderId="30" xfId="5" applyFont="1" applyFill="1" applyBorder="1" applyAlignment="1">
      <alignment horizontal="center"/>
    </xf>
    <xf numFmtId="0" fontId="19" fillId="134" borderId="34" xfId="0" applyFont="1" applyFill="1" applyBorder="1" applyAlignment="1">
      <alignment horizontal="center"/>
    </xf>
    <xf numFmtId="0" fontId="195" fillId="152" borderId="51" xfId="0" applyFont="1" applyFill="1" applyBorder="1" applyAlignment="1">
      <alignment horizontal="center" wrapText="1"/>
    </xf>
    <xf numFmtId="0" fontId="195" fillId="152" borderId="52" xfId="0" applyFont="1" applyFill="1" applyBorder="1" applyAlignment="1">
      <alignment horizontal="center" wrapText="1"/>
    </xf>
    <xf numFmtId="0" fontId="43" fillId="154" borderId="48" xfId="0" applyFont="1" applyFill="1" applyBorder="1" applyAlignment="1">
      <alignment horizontal="center"/>
    </xf>
    <xf numFmtId="0" fontId="43" fillId="154" borderId="22" xfId="0" applyFont="1" applyFill="1" applyBorder="1" applyAlignment="1">
      <alignment horizontal="center"/>
    </xf>
    <xf numFmtId="0" fontId="43" fillId="134" borderId="99" xfId="0" applyFont="1" applyFill="1" applyBorder="1" applyAlignment="1">
      <alignment horizontal="center" wrapText="1"/>
    </xf>
    <xf numFmtId="0" fontId="43" fillId="134" borderId="98" xfId="0" applyFont="1" applyFill="1" applyBorder="1" applyAlignment="1">
      <alignment horizontal="center" wrapText="1"/>
    </xf>
    <xf numFmtId="0" fontId="43" fillId="134" borderId="100" xfId="0" applyFont="1" applyFill="1" applyBorder="1" applyAlignment="1">
      <alignment horizontal="center" wrapText="1"/>
    </xf>
    <xf numFmtId="0" fontId="41" fillId="37" borderId="32" xfId="5" applyFont="1" applyFill="1" applyBorder="1" applyAlignment="1">
      <alignment horizontal="center"/>
    </xf>
    <xf numFmtId="0" fontId="41" fillId="37" borderId="29" xfId="5" applyFont="1" applyFill="1" applyBorder="1" applyAlignment="1">
      <alignment horizontal="center"/>
    </xf>
    <xf numFmtId="0" fontId="41" fillId="37" borderId="18" xfId="5" applyFont="1" applyFill="1" applyBorder="1" applyAlignment="1">
      <alignment horizontal="center"/>
    </xf>
    <xf numFmtId="0" fontId="41" fillId="37" borderId="30" xfId="5" applyFont="1" applyFill="1" applyBorder="1" applyAlignment="1">
      <alignment horizontal="center"/>
    </xf>
    <xf numFmtId="0" fontId="41" fillId="154" borderId="32" xfId="5" applyFont="1" applyFill="1" applyBorder="1" applyAlignment="1">
      <alignment horizontal="center"/>
    </xf>
    <xf numFmtId="0" fontId="41" fillId="154" borderId="29" xfId="5" applyFont="1" applyFill="1" applyBorder="1" applyAlignment="1">
      <alignment horizontal="center"/>
    </xf>
    <xf numFmtId="0" fontId="41" fillId="154" borderId="30" xfId="5" applyFont="1" applyFill="1" applyBorder="1" applyAlignment="1">
      <alignment horizontal="center"/>
    </xf>
    <xf numFmtId="0" fontId="195" fillId="134" borderId="51" xfId="0" applyFont="1" applyFill="1" applyBorder="1" applyAlignment="1">
      <alignment horizontal="center"/>
    </xf>
    <xf numFmtId="0" fontId="195" fillId="134" borderId="52" xfId="0" applyFont="1" applyFill="1" applyBorder="1" applyAlignment="1">
      <alignment horizontal="center"/>
    </xf>
    <xf numFmtId="0" fontId="195" fillId="37" borderId="14" xfId="0" applyFont="1" applyFill="1" applyBorder="1" applyAlignment="1">
      <alignment horizontal="center"/>
    </xf>
    <xf numFmtId="0" fontId="195" fillId="37" borderId="22" xfId="0" applyFont="1" applyFill="1" applyBorder="1" applyAlignment="1">
      <alignment horizontal="center"/>
    </xf>
    <xf numFmtId="0" fontId="43" fillId="134" borderId="24" xfId="0" applyFont="1" applyFill="1" applyBorder="1" applyAlignment="1">
      <alignment horizontal="center" wrapText="1"/>
    </xf>
    <xf numFmtId="0" fontId="43" fillId="134" borderId="52" xfId="0" applyFont="1" applyFill="1" applyBorder="1" applyAlignment="1">
      <alignment horizontal="center" wrapText="1"/>
    </xf>
    <xf numFmtId="0" fontId="195" fillId="134" borderId="24" xfId="0" applyFont="1" applyFill="1" applyBorder="1" applyAlignment="1">
      <alignment horizontal="center"/>
    </xf>
    <xf numFmtId="0" fontId="195" fillId="152" borderId="24" xfId="0" applyFont="1" applyFill="1" applyBorder="1" applyAlignment="1">
      <alignment horizontal="center" wrapText="1"/>
    </xf>
    <xf numFmtId="0" fontId="43" fillId="134" borderId="51" xfId="0" applyFont="1" applyFill="1" applyBorder="1" applyAlignment="1">
      <alignment horizontal="center" wrapText="1"/>
    </xf>
    <xf numFmtId="0" fontId="43" fillId="134" borderId="48" xfId="0" applyFont="1" applyFill="1" applyBorder="1" applyAlignment="1">
      <alignment horizontal="center" wrapText="1"/>
    </xf>
    <xf numFmtId="0" fontId="43" fillId="134" borderId="22" xfId="0" applyFont="1" applyFill="1" applyBorder="1" applyAlignment="1">
      <alignment horizontal="center" wrapText="1"/>
    </xf>
    <xf numFmtId="0" fontId="43" fillId="154" borderId="51" xfId="0" applyFont="1" applyFill="1" applyBorder="1" applyAlignment="1">
      <alignment horizontal="center"/>
    </xf>
    <xf numFmtId="0" fontId="43" fillId="154" borderId="52" xfId="0" applyFont="1" applyFill="1" applyBorder="1" applyAlignment="1">
      <alignment horizontal="center"/>
    </xf>
    <xf numFmtId="10" fontId="42" fillId="134" borderId="0" xfId="4" applyNumberFormat="1" applyFont="1" applyFill="1" applyBorder="1" applyAlignment="1">
      <alignment horizontal="center"/>
    </xf>
    <xf numFmtId="0" fontId="42" fillId="134" borderId="0" xfId="0" applyFont="1" applyFill="1" applyBorder="1" applyAlignment="1">
      <alignment horizontal="center" wrapText="1"/>
    </xf>
    <xf numFmtId="0" fontId="42" fillId="134" borderId="14" xfId="0" applyFont="1" applyFill="1" applyBorder="1" applyAlignment="1">
      <alignment horizontal="center" wrapText="1"/>
    </xf>
    <xf numFmtId="0" fontId="43" fillId="154" borderId="26" xfId="0" applyFont="1" applyFill="1" applyBorder="1" applyAlignment="1">
      <alignment horizontal="center"/>
    </xf>
    <xf numFmtId="0" fontId="43" fillId="154" borderId="27" xfId="0" applyFont="1" applyFill="1" applyBorder="1" applyAlignment="1">
      <alignment horizontal="center"/>
    </xf>
    <xf numFmtId="0" fontId="43" fillId="154" borderId="28" xfId="0" applyFont="1" applyFill="1" applyBorder="1" applyAlignment="1">
      <alignment horizontal="center"/>
    </xf>
    <xf numFmtId="0" fontId="70" fillId="151" borderId="38" xfId="0" applyFont="1" applyFill="1" applyBorder="1" applyAlignment="1">
      <alignment horizontal="center"/>
    </xf>
    <xf numFmtId="0" fontId="43" fillId="151" borderId="38" xfId="0" applyFont="1" applyFill="1" applyBorder="1" applyAlignment="1">
      <alignment horizontal="center"/>
    </xf>
    <xf numFmtId="0" fontId="218" fillId="134" borderId="26" xfId="0" applyFont="1" applyFill="1" applyBorder="1" applyAlignment="1">
      <alignment horizontal="center"/>
    </xf>
    <xf numFmtId="0" fontId="218" fillId="134" borderId="27" xfId="0" applyFont="1" applyFill="1" applyBorder="1" applyAlignment="1">
      <alignment horizontal="center"/>
    </xf>
    <xf numFmtId="0" fontId="218" fillId="134" borderId="28" xfId="0" applyFont="1" applyFill="1" applyBorder="1" applyAlignment="1">
      <alignment horizontal="center"/>
    </xf>
    <xf numFmtId="0" fontId="19" fillId="134" borderId="0" xfId="0" applyFont="1" applyFill="1" applyBorder="1" applyAlignment="1">
      <alignment horizontal="center"/>
    </xf>
    <xf numFmtId="0" fontId="41" fillId="38" borderId="32" xfId="5" applyFont="1" applyFill="1" applyBorder="1" applyAlignment="1">
      <alignment horizontal="center" vertical="center"/>
    </xf>
    <xf numFmtId="0" fontId="41" fillId="38" borderId="29" xfId="5" applyFont="1" applyFill="1" applyBorder="1" applyAlignment="1">
      <alignment horizontal="center" vertical="center"/>
    </xf>
    <xf numFmtId="0" fontId="41" fillId="38" borderId="30" xfId="5" applyFont="1" applyFill="1" applyBorder="1" applyAlignment="1">
      <alignment horizontal="center" vertical="center"/>
    </xf>
    <xf numFmtId="0" fontId="43" fillId="134" borderId="51" xfId="0" applyFont="1" applyFill="1" applyBorder="1" applyAlignment="1">
      <alignment horizontal="center"/>
    </xf>
    <xf numFmtId="0" fontId="43" fillId="134" borderId="52" xfId="0" applyFont="1" applyFill="1" applyBorder="1" applyAlignment="1">
      <alignment horizontal="center"/>
    </xf>
    <xf numFmtId="0" fontId="195" fillId="38" borderId="51" xfId="0" applyFont="1" applyFill="1" applyBorder="1" applyAlignment="1">
      <alignment horizontal="center" wrapText="1"/>
    </xf>
    <xf numFmtId="0" fontId="195" fillId="38" borderId="52" xfId="0" applyFont="1" applyFill="1" applyBorder="1" applyAlignment="1">
      <alignment horizontal="center" wrapText="1"/>
    </xf>
    <xf numFmtId="0" fontId="43" fillId="134" borderId="24" xfId="0" applyFont="1" applyFill="1" applyBorder="1" applyAlignment="1">
      <alignment horizontal="center"/>
    </xf>
    <xf numFmtId="0" fontId="195" fillId="37" borderId="51" xfId="0" applyFont="1" applyFill="1" applyBorder="1" applyAlignment="1">
      <alignment horizontal="center" wrapText="1"/>
    </xf>
    <xf numFmtId="0" fontId="195" fillId="37" borderId="24" xfId="0" applyFont="1" applyFill="1" applyBorder="1" applyAlignment="1">
      <alignment horizontal="center" wrapText="1"/>
    </xf>
    <xf numFmtId="0" fontId="195" fillId="37" borderId="52" xfId="0" applyFont="1" applyFill="1" applyBorder="1" applyAlignment="1">
      <alignment horizontal="center" wrapText="1"/>
    </xf>
    <xf numFmtId="0" fontId="195" fillId="38" borderId="32" xfId="0" applyFont="1" applyFill="1" applyBorder="1" applyAlignment="1">
      <alignment horizontal="center"/>
    </xf>
    <xf numFmtId="0" fontId="195" fillId="38" borderId="30" xfId="0" applyFont="1" applyFill="1" applyBorder="1" applyAlignment="1">
      <alignment horizontal="center"/>
    </xf>
    <xf numFmtId="7" fontId="195" fillId="37" borderId="32" xfId="2" applyNumberFormat="1" applyFont="1" applyFill="1" applyBorder="1" applyAlignment="1">
      <alignment horizontal="center"/>
    </xf>
    <xf numFmtId="7" fontId="195" fillId="37" borderId="29" xfId="2" applyNumberFormat="1" applyFont="1" applyFill="1" applyBorder="1" applyAlignment="1">
      <alignment horizontal="center"/>
    </xf>
    <xf numFmtId="7" fontId="195" fillId="37" borderId="30" xfId="2" applyNumberFormat="1" applyFont="1" applyFill="1" applyBorder="1" applyAlignment="1">
      <alignment horizontal="center"/>
    </xf>
    <xf numFmtId="0" fontId="195" fillId="38" borderId="29" xfId="0" applyFont="1" applyFill="1" applyBorder="1" applyAlignment="1">
      <alignment horizontal="center"/>
    </xf>
  </cellXfs>
  <cellStyles count="56368">
    <cellStyle name="$/kW" xfId="3575" xr:uid="{00000000-0005-0000-0000-000000000000}"/>
    <cellStyle name="$/kWh" xfId="3576" xr:uid="{00000000-0005-0000-0000-000001000000}"/>
    <cellStyle name="$/kW-yr" xfId="3577" xr:uid="{00000000-0005-0000-0000-000002000000}"/>
    <cellStyle name="$/MWh" xfId="3578" xr:uid="{00000000-0005-0000-0000-000003000000}"/>
    <cellStyle name="$M" xfId="3579" xr:uid="{00000000-0005-0000-0000-000004000000}"/>
    <cellStyle name="/dth" xfId="3580" xr:uid="{00000000-0005-0000-0000-000005000000}"/>
    <cellStyle name="[]" xfId="3581" xr:uid="{00000000-0005-0000-0000-000006000000}"/>
    <cellStyle name="20% - Accent1" xfId="119" builtinId="30" customBuiltin="1"/>
    <cellStyle name="20% - Accent1 10" xfId="3582" xr:uid="{00000000-0005-0000-0000-000007000000}"/>
    <cellStyle name="20% - Accent1 10 10" xfId="3583" xr:uid="{00000000-0005-0000-0000-000008000000}"/>
    <cellStyle name="20% - Accent1 10 11" xfId="3584" xr:uid="{00000000-0005-0000-0000-000009000000}"/>
    <cellStyle name="20% - Accent1 10 2" xfId="3585" xr:uid="{00000000-0005-0000-0000-00000A000000}"/>
    <cellStyle name="20% - Accent1 10 2 2" xfId="3586" xr:uid="{00000000-0005-0000-0000-00000B000000}"/>
    <cellStyle name="20% - Accent1 10 2 2 2" xfId="3587" xr:uid="{00000000-0005-0000-0000-00000C000000}"/>
    <cellStyle name="20% - Accent1 10 2 2 2 2" xfId="3588" xr:uid="{00000000-0005-0000-0000-00000D000000}"/>
    <cellStyle name="20% - Accent1 10 2 2 2 2 2" xfId="3589" xr:uid="{00000000-0005-0000-0000-00000E000000}"/>
    <cellStyle name="20% - Accent1 10 2 2 2 3" xfId="3590" xr:uid="{00000000-0005-0000-0000-00000F000000}"/>
    <cellStyle name="20% - Accent1 10 2 2 3" xfId="3591" xr:uid="{00000000-0005-0000-0000-000010000000}"/>
    <cellStyle name="20% - Accent1 10 2 2 3 2" xfId="3592" xr:uid="{00000000-0005-0000-0000-000011000000}"/>
    <cellStyle name="20% - Accent1 10 2 2 4" xfId="3593" xr:uid="{00000000-0005-0000-0000-000012000000}"/>
    <cellStyle name="20% - Accent1 10 2 2 5" xfId="3594" xr:uid="{00000000-0005-0000-0000-000013000000}"/>
    <cellStyle name="20% - Accent1 10 2 2 6" xfId="3595" xr:uid="{00000000-0005-0000-0000-000014000000}"/>
    <cellStyle name="20% - Accent1 10 2 3" xfId="3596" xr:uid="{00000000-0005-0000-0000-000015000000}"/>
    <cellStyle name="20% - Accent1 10 2 3 2" xfId="3597" xr:uid="{00000000-0005-0000-0000-000016000000}"/>
    <cellStyle name="20% - Accent1 10 2 3 2 2" xfId="3598" xr:uid="{00000000-0005-0000-0000-000017000000}"/>
    <cellStyle name="20% - Accent1 10 2 3 3" xfId="3599" xr:uid="{00000000-0005-0000-0000-000018000000}"/>
    <cellStyle name="20% - Accent1 10 2 4" xfId="3600" xr:uid="{00000000-0005-0000-0000-000019000000}"/>
    <cellStyle name="20% - Accent1 10 2 4 2" xfId="3601" xr:uid="{00000000-0005-0000-0000-00001A000000}"/>
    <cellStyle name="20% - Accent1 10 2 5" xfId="3602" xr:uid="{00000000-0005-0000-0000-00001B000000}"/>
    <cellStyle name="20% - Accent1 10 2 5 2" xfId="3603" xr:uid="{00000000-0005-0000-0000-00001C000000}"/>
    <cellStyle name="20% - Accent1 10 2 6" xfId="3604" xr:uid="{00000000-0005-0000-0000-00001D000000}"/>
    <cellStyle name="20% - Accent1 10 2 7" xfId="3605" xr:uid="{00000000-0005-0000-0000-00001E000000}"/>
    <cellStyle name="20% - Accent1 10 2 8" xfId="3606" xr:uid="{00000000-0005-0000-0000-00001F000000}"/>
    <cellStyle name="20% - Accent1 10 3" xfId="3607" xr:uid="{00000000-0005-0000-0000-000020000000}"/>
    <cellStyle name="20% - Accent1 10 3 2" xfId="3608" xr:uid="{00000000-0005-0000-0000-000021000000}"/>
    <cellStyle name="20% - Accent1 10 3 2 2" xfId="3609" xr:uid="{00000000-0005-0000-0000-000022000000}"/>
    <cellStyle name="20% - Accent1 10 3 2 2 2" xfId="3610" xr:uid="{00000000-0005-0000-0000-000023000000}"/>
    <cellStyle name="20% - Accent1 10 3 2 2 2 2" xfId="3611" xr:uid="{00000000-0005-0000-0000-000024000000}"/>
    <cellStyle name="20% - Accent1 10 3 2 2 3" xfId="3612" xr:uid="{00000000-0005-0000-0000-000025000000}"/>
    <cellStyle name="20% - Accent1 10 3 2 3" xfId="3613" xr:uid="{00000000-0005-0000-0000-000026000000}"/>
    <cellStyle name="20% - Accent1 10 3 2 3 2" xfId="3614" xr:uid="{00000000-0005-0000-0000-000027000000}"/>
    <cellStyle name="20% - Accent1 10 3 2 4" xfId="3615" xr:uid="{00000000-0005-0000-0000-000028000000}"/>
    <cellStyle name="20% - Accent1 10 3 2 5" xfId="3616" xr:uid="{00000000-0005-0000-0000-000029000000}"/>
    <cellStyle name="20% - Accent1 10 3 2 6" xfId="3617" xr:uid="{00000000-0005-0000-0000-00002A000000}"/>
    <cellStyle name="20% - Accent1 10 3 3" xfId="3618" xr:uid="{00000000-0005-0000-0000-00002B000000}"/>
    <cellStyle name="20% - Accent1 10 3 3 2" xfId="3619" xr:uid="{00000000-0005-0000-0000-00002C000000}"/>
    <cellStyle name="20% - Accent1 10 3 3 2 2" xfId="3620" xr:uid="{00000000-0005-0000-0000-00002D000000}"/>
    <cellStyle name="20% - Accent1 10 3 3 3" xfId="3621" xr:uid="{00000000-0005-0000-0000-00002E000000}"/>
    <cellStyle name="20% - Accent1 10 3 4" xfId="3622" xr:uid="{00000000-0005-0000-0000-00002F000000}"/>
    <cellStyle name="20% - Accent1 10 3 4 2" xfId="3623" xr:uid="{00000000-0005-0000-0000-000030000000}"/>
    <cellStyle name="20% - Accent1 10 3 5" xfId="3624" xr:uid="{00000000-0005-0000-0000-000031000000}"/>
    <cellStyle name="20% - Accent1 10 3 6" xfId="3625" xr:uid="{00000000-0005-0000-0000-000032000000}"/>
    <cellStyle name="20% - Accent1 10 3 7" xfId="3626" xr:uid="{00000000-0005-0000-0000-000033000000}"/>
    <cellStyle name="20% - Accent1 10 4" xfId="3627" xr:uid="{00000000-0005-0000-0000-000034000000}"/>
    <cellStyle name="20% - Accent1 10 4 2" xfId="3628" xr:uid="{00000000-0005-0000-0000-000035000000}"/>
    <cellStyle name="20% - Accent1 10 4 2 2" xfId="3629" xr:uid="{00000000-0005-0000-0000-000036000000}"/>
    <cellStyle name="20% - Accent1 10 4 2 2 2" xfId="3630" xr:uid="{00000000-0005-0000-0000-000037000000}"/>
    <cellStyle name="20% - Accent1 10 4 2 3" xfId="3631" xr:uid="{00000000-0005-0000-0000-000038000000}"/>
    <cellStyle name="20% - Accent1 10 4 3" xfId="3632" xr:uid="{00000000-0005-0000-0000-000039000000}"/>
    <cellStyle name="20% - Accent1 10 4 3 2" xfId="3633" xr:uid="{00000000-0005-0000-0000-00003A000000}"/>
    <cellStyle name="20% - Accent1 10 4 4" xfId="3634" xr:uid="{00000000-0005-0000-0000-00003B000000}"/>
    <cellStyle name="20% - Accent1 10 4 5" xfId="3635" xr:uid="{00000000-0005-0000-0000-00003C000000}"/>
    <cellStyle name="20% - Accent1 10 4 6" xfId="3636" xr:uid="{00000000-0005-0000-0000-00003D000000}"/>
    <cellStyle name="20% - Accent1 10 5" xfId="3637" xr:uid="{00000000-0005-0000-0000-00003E000000}"/>
    <cellStyle name="20% - Accent1 10 5 2" xfId="3638" xr:uid="{00000000-0005-0000-0000-00003F000000}"/>
    <cellStyle name="20% - Accent1 10 5 2 2" xfId="3639" xr:uid="{00000000-0005-0000-0000-000040000000}"/>
    <cellStyle name="20% - Accent1 10 5 3" xfId="3640" xr:uid="{00000000-0005-0000-0000-000041000000}"/>
    <cellStyle name="20% - Accent1 10 6" xfId="3641" xr:uid="{00000000-0005-0000-0000-000042000000}"/>
    <cellStyle name="20% - Accent1 10 6 2" xfId="3642" xr:uid="{00000000-0005-0000-0000-000043000000}"/>
    <cellStyle name="20% - Accent1 10 6 2 2" xfId="3643" xr:uid="{00000000-0005-0000-0000-000044000000}"/>
    <cellStyle name="20% - Accent1 10 6 3" xfId="3644" xr:uid="{00000000-0005-0000-0000-000045000000}"/>
    <cellStyle name="20% - Accent1 10 7" xfId="3645" xr:uid="{00000000-0005-0000-0000-000046000000}"/>
    <cellStyle name="20% - Accent1 10 7 2" xfId="3646" xr:uid="{00000000-0005-0000-0000-000047000000}"/>
    <cellStyle name="20% - Accent1 10 8" xfId="3647" xr:uid="{00000000-0005-0000-0000-000048000000}"/>
    <cellStyle name="20% - Accent1 10 8 2" xfId="3648" xr:uid="{00000000-0005-0000-0000-000049000000}"/>
    <cellStyle name="20% - Accent1 10 9" xfId="3649" xr:uid="{00000000-0005-0000-0000-00004A000000}"/>
    <cellStyle name="20% - Accent1 11" xfId="3650" xr:uid="{00000000-0005-0000-0000-00004B000000}"/>
    <cellStyle name="20% - Accent1 11 10" xfId="3651" xr:uid="{00000000-0005-0000-0000-00004C000000}"/>
    <cellStyle name="20% - Accent1 11 11" xfId="3652" xr:uid="{00000000-0005-0000-0000-00004D000000}"/>
    <cellStyle name="20% - Accent1 11 2" xfId="3653" xr:uid="{00000000-0005-0000-0000-00004E000000}"/>
    <cellStyle name="20% - Accent1 11 2 2" xfId="3654" xr:uid="{00000000-0005-0000-0000-00004F000000}"/>
    <cellStyle name="20% - Accent1 11 2 2 2" xfId="3655" xr:uid="{00000000-0005-0000-0000-000050000000}"/>
    <cellStyle name="20% - Accent1 11 2 2 2 2" xfId="3656" xr:uid="{00000000-0005-0000-0000-000051000000}"/>
    <cellStyle name="20% - Accent1 11 2 2 2 2 2" xfId="3657" xr:uid="{00000000-0005-0000-0000-000052000000}"/>
    <cellStyle name="20% - Accent1 11 2 2 2 3" xfId="3658" xr:uid="{00000000-0005-0000-0000-000053000000}"/>
    <cellStyle name="20% - Accent1 11 2 2 3" xfId="3659" xr:uid="{00000000-0005-0000-0000-000054000000}"/>
    <cellStyle name="20% - Accent1 11 2 2 3 2" xfId="3660" xr:uid="{00000000-0005-0000-0000-000055000000}"/>
    <cellStyle name="20% - Accent1 11 2 2 4" xfId="3661" xr:uid="{00000000-0005-0000-0000-000056000000}"/>
    <cellStyle name="20% - Accent1 11 2 2 5" xfId="3662" xr:uid="{00000000-0005-0000-0000-000057000000}"/>
    <cellStyle name="20% - Accent1 11 2 2 6" xfId="3663" xr:uid="{00000000-0005-0000-0000-000058000000}"/>
    <cellStyle name="20% - Accent1 11 2 3" xfId="3664" xr:uid="{00000000-0005-0000-0000-000059000000}"/>
    <cellStyle name="20% - Accent1 11 2 3 2" xfId="3665" xr:uid="{00000000-0005-0000-0000-00005A000000}"/>
    <cellStyle name="20% - Accent1 11 2 3 2 2" xfId="3666" xr:uid="{00000000-0005-0000-0000-00005B000000}"/>
    <cellStyle name="20% - Accent1 11 2 3 3" xfId="3667" xr:uid="{00000000-0005-0000-0000-00005C000000}"/>
    <cellStyle name="20% - Accent1 11 2 4" xfId="3668" xr:uid="{00000000-0005-0000-0000-00005D000000}"/>
    <cellStyle name="20% - Accent1 11 2 4 2" xfId="3669" xr:uid="{00000000-0005-0000-0000-00005E000000}"/>
    <cellStyle name="20% - Accent1 11 2 5" xfId="3670" xr:uid="{00000000-0005-0000-0000-00005F000000}"/>
    <cellStyle name="20% - Accent1 11 2 5 2" xfId="3671" xr:uid="{00000000-0005-0000-0000-000060000000}"/>
    <cellStyle name="20% - Accent1 11 2 6" xfId="3672" xr:uid="{00000000-0005-0000-0000-000061000000}"/>
    <cellStyle name="20% - Accent1 11 2 7" xfId="3673" xr:uid="{00000000-0005-0000-0000-000062000000}"/>
    <cellStyle name="20% - Accent1 11 2 8" xfId="3674" xr:uid="{00000000-0005-0000-0000-000063000000}"/>
    <cellStyle name="20% - Accent1 11 3" xfId="3675" xr:uid="{00000000-0005-0000-0000-000064000000}"/>
    <cellStyle name="20% - Accent1 11 3 2" xfId="3676" xr:uid="{00000000-0005-0000-0000-000065000000}"/>
    <cellStyle name="20% - Accent1 11 3 2 2" xfId="3677" xr:uid="{00000000-0005-0000-0000-000066000000}"/>
    <cellStyle name="20% - Accent1 11 3 2 2 2" xfId="3678" xr:uid="{00000000-0005-0000-0000-000067000000}"/>
    <cellStyle name="20% - Accent1 11 3 2 2 2 2" xfId="3679" xr:uid="{00000000-0005-0000-0000-000068000000}"/>
    <cellStyle name="20% - Accent1 11 3 2 2 3" xfId="3680" xr:uid="{00000000-0005-0000-0000-000069000000}"/>
    <cellStyle name="20% - Accent1 11 3 2 3" xfId="3681" xr:uid="{00000000-0005-0000-0000-00006A000000}"/>
    <cellStyle name="20% - Accent1 11 3 2 3 2" xfId="3682" xr:uid="{00000000-0005-0000-0000-00006B000000}"/>
    <cellStyle name="20% - Accent1 11 3 2 4" xfId="3683" xr:uid="{00000000-0005-0000-0000-00006C000000}"/>
    <cellStyle name="20% - Accent1 11 3 2 5" xfId="3684" xr:uid="{00000000-0005-0000-0000-00006D000000}"/>
    <cellStyle name="20% - Accent1 11 3 2 6" xfId="3685" xr:uid="{00000000-0005-0000-0000-00006E000000}"/>
    <cellStyle name="20% - Accent1 11 3 3" xfId="3686" xr:uid="{00000000-0005-0000-0000-00006F000000}"/>
    <cellStyle name="20% - Accent1 11 3 3 2" xfId="3687" xr:uid="{00000000-0005-0000-0000-000070000000}"/>
    <cellStyle name="20% - Accent1 11 3 3 2 2" xfId="3688" xr:uid="{00000000-0005-0000-0000-000071000000}"/>
    <cellStyle name="20% - Accent1 11 3 3 3" xfId="3689" xr:uid="{00000000-0005-0000-0000-000072000000}"/>
    <cellStyle name="20% - Accent1 11 3 4" xfId="3690" xr:uid="{00000000-0005-0000-0000-000073000000}"/>
    <cellStyle name="20% - Accent1 11 3 4 2" xfId="3691" xr:uid="{00000000-0005-0000-0000-000074000000}"/>
    <cellStyle name="20% - Accent1 11 3 5" xfId="3692" xr:uid="{00000000-0005-0000-0000-000075000000}"/>
    <cellStyle name="20% - Accent1 11 3 6" xfId="3693" xr:uid="{00000000-0005-0000-0000-000076000000}"/>
    <cellStyle name="20% - Accent1 11 3 7" xfId="3694" xr:uid="{00000000-0005-0000-0000-000077000000}"/>
    <cellStyle name="20% - Accent1 11 4" xfId="3695" xr:uid="{00000000-0005-0000-0000-000078000000}"/>
    <cellStyle name="20% - Accent1 11 4 2" xfId="3696" xr:uid="{00000000-0005-0000-0000-000079000000}"/>
    <cellStyle name="20% - Accent1 11 4 2 2" xfId="3697" xr:uid="{00000000-0005-0000-0000-00007A000000}"/>
    <cellStyle name="20% - Accent1 11 4 2 2 2" xfId="3698" xr:uid="{00000000-0005-0000-0000-00007B000000}"/>
    <cellStyle name="20% - Accent1 11 4 2 3" xfId="3699" xr:uid="{00000000-0005-0000-0000-00007C000000}"/>
    <cellStyle name="20% - Accent1 11 4 3" xfId="3700" xr:uid="{00000000-0005-0000-0000-00007D000000}"/>
    <cellStyle name="20% - Accent1 11 4 3 2" xfId="3701" xr:uid="{00000000-0005-0000-0000-00007E000000}"/>
    <cellStyle name="20% - Accent1 11 4 4" xfId="3702" xr:uid="{00000000-0005-0000-0000-00007F000000}"/>
    <cellStyle name="20% - Accent1 11 4 5" xfId="3703" xr:uid="{00000000-0005-0000-0000-000080000000}"/>
    <cellStyle name="20% - Accent1 11 4 6" xfId="3704" xr:uid="{00000000-0005-0000-0000-000081000000}"/>
    <cellStyle name="20% - Accent1 11 5" xfId="3705" xr:uid="{00000000-0005-0000-0000-000082000000}"/>
    <cellStyle name="20% - Accent1 11 5 2" xfId="3706" xr:uid="{00000000-0005-0000-0000-000083000000}"/>
    <cellStyle name="20% - Accent1 11 5 2 2" xfId="3707" xr:uid="{00000000-0005-0000-0000-000084000000}"/>
    <cellStyle name="20% - Accent1 11 5 3" xfId="3708" xr:uid="{00000000-0005-0000-0000-000085000000}"/>
    <cellStyle name="20% - Accent1 11 6" xfId="3709" xr:uid="{00000000-0005-0000-0000-000086000000}"/>
    <cellStyle name="20% - Accent1 11 6 2" xfId="3710" xr:uid="{00000000-0005-0000-0000-000087000000}"/>
    <cellStyle name="20% - Accent1 11 6 2 2" xfId="3711" xr:uid="{00000000-0005-0000-0000-000088000000}"/>
    <cellStyle name="20% - Accent1 11 6 3" xfId="3712" xr:uid="{00000000-0005-0000-0000-000089000000}"/>
    <cellStyle name="20% - Accent1 11 7" xfId="3713" xr:uid="{00000000-0005-0000-0000-00008A000000}"/>
    <cellStyle name="20% - Accent1 11 7 2" xfId="3714" xr:uid="{00000000-0005-0000-0000-00008B000000}"/>
    <cellStyle name="20% - Accent1 11 8" xfId="3715" xr:uid="{00000000-0005-0000-0000-00008C000000}"/>
    <cellStyle name="20% - Accent1 11 8 2" xfId="3716" xr:uid="{00000000-0005-0000-0000-00008D000000}"/>
    <cellStyle name="20% - Accent1 11 9" xfId="3717" xr:uid="{00000000-0005-0000-0000-00008E000000}"/>
    <cellStyle name="20% - Accent1 12" xfId="3718" xr:uid="{00000000-0005-0000-0000-00008F000000}"/>
    <cellStyle name="20% - Accent1 12 2" xfId="3719" xr:uid="{00000000-0005-0000-0000-000090000000}"/>
    <cellStyle name="20% - Accent1 12 2 2" xfId="3720" xr:uid="{00000000-0005-0000-0000-000091000000}"/>
    <cellStyle name="20% - Accent1 12 2 2 2" xfId="3721" xr:uid="{00000000-0005-0000-0000-000092000000}"/>
    <cellStyle name="20% - Accent1 12 2 2 2 2" xfId="3722" xr:uid="{00000000-0005-0000-0000-000093000000}"/>
    <cellStyle name="20% - Accent1 12 2 2 2 2 2" xfId="3723" xr:uid="{00000000-0005-0000-0000-000094000000}"/>
    <cellStyle name="20% - Accent1 12 2 2 2 3" xfId="3724" xr:uid="{00000000-0005-0000-0000-000095000000}"/>
    <cellStyle name="20% - Accent1 12 2 2 3" xfId="3725" xr:uid="{00000000-0005-0000-0000-000096000000}"/>
    <cellStyle name="20% - Accent1 12 2 2 3 2" xfId="3726" xr:uid="{00000000-0005-0000-0000-000097000000}"/>
    <cellStyle name="20% - Accent1 12 2 2 4" xfId="3727" xr:uid="{00000000-0005-0000-0000-000098000000}"/>
    <cellStyle name="20% - Accent1 12 2 2 5" xfId="3728" xr:uid="{00000000-0005-0000-0000-000099000000}"/>
    <cellStyle name="20% - Accent1 12 2 2 6" xfId="3729" xr:uid="{00000000-0005-0000-0000-00009A000000}"/>
    <cellStyle name="20% - Accent1 12 2 3" xfId="3730" xr:uid="{00000000-0005-0000-0000-00009B000000}"/>
    <cellStyle name="20% - Accent1 12 2 3 2" xfId="3731" xr:uid="{00000000-0005-0000-0000-00009C000000}"/>
    <cellStyle name="20% - Accent1 12 2 3 2 2" xfId="3732" xr:uid="{00000000-0005-0000-0000-00009D000000}"/>
    <cellStyle name="20% - Accent1 12 2 3 3" xfId="3733" xr:uid="{00000000-0005-0000-0000-00009E000000}"/>
    <cellStyle name="20% - Accent1 12 2 4" xfId="3734" xr:uid="{00000000-0005-0000-0000-00009F000000}"/>
    <cellStyle name="20% - Accent1 12 2 4 2" xfId="3735" xr:uid="{00000000-0005-0000-0000-0000A0000000}"/>
    <cellStyle name="20% - Accent1 12 2 5" xfId="3736" xr:uid="{00000000-0005-0000-0000-0000A1000000}"/>
    <cellStyle name="20% - Accent1 12 2 6" xfId="3737" xr:uid="{00000000-0005-0000-0000-0000A2000000}"/>
    <cellStyle name="20% - Accent1 12 2 7" xfId="3738" xr:uid="{00000000-0005-0000-0000-0000A3000000}"/>
    <cellStyle name="20% - Accent1 12 3" xfId="3739" xr:uid="{00000000-0005-0000-0000-0000A4000000}"/>
    <cellStyle name="20% - Accent1 12 3 2" xfId="3740" xr:uid="{00000000-0005-0000-0000-0000A5000000}"/>
    <cellStyle name="20% - Accent1 12 3 2 2" xfId="3741" xr:uid="{00000000-0005-0000-0000-0000A6000000}"/>
    <cellStyle name="20% - Accent1 12 3 2 2 2" xfId="3742" xr:uid="{00000000-0005-0000-0000-0000A7000000}"/>
    <cellStyle name="20% - Accent1 12 3 2 2 2 2" xfId="3743" xr:uid="{00000000-0005-0000-0000-0000A8000000}"/>
    <cellStyle name="20% - Accent1 12 3 2 2 3" xfId="3744" xr:uid="{00000000-0005-0000-0000-0000A9000000}"/>
    <cellStyle name="20% - Accent1 12 3 2 3" xfId="3745" xr:uid="{00000000-0005-0000-0000-0000AA000000}"/>
    <cellStyle name="20% - Accent1 12 3 2 3 2" xfId="3746" xr:uid="{00000000-0005-0000-0000-0000AB000000}"/>
    <cellStyle name="20% - Accent1 12 3 2 4" xfId="3747" xr:uid="{00000000-0005-0000-0000-0000AC000000}"/>
    <cellStyle name="20% - Accent1 12 3 2 5" xfId="3748" xr:uid="{00000000-0005-0000-0000-0000AD000000}"/>
    <cellStyle name="20% - Accent1 12 3 2 6" xfId="3749" xr:uid="{00000000-0005-0000-0000-0000AE000000}"/>
    <cellStyle name="20% - Accent1 12 3 3" xfId="3750" xr:uid="{00000000-0005-0000-0000-0000AF000000}"/>
    <cellStyle name="20% - Accent1 12 3 3 2" xfId="3751" xr:uid="{00000000-0005-0000-0000-0000B0000000}"/>
    <cellStyle name="20% - Accent1 12 3 3 2 2" xfId="3752" xr:uid="{00000000-0005-0000-0000-0000B1000000}"/>
    <cellStyle name="20% - Accent1 12 3 3 3" xfId="3753" xr:uid="{00000000-0005-0000-0000-0000B2000000}"/>
    <cellStyle name="20% - Accent1 12 3 4" xfId="3754" xr:uid="{00000000-0005-0000-0000-0000B3000000}"/>
    <cellStyle name="20% - Accent1 12 3 4 2" xfId="3755" xr:uid="{00000000-0005-0000-0000-0000B4000000}"/>
    <cellStyle name="20% - Accent1 12 3 5" xfId="3756" xr:uid="{00000000-0005-0000-0000-0000B5000000}"/>
    <cellStyle name="20% - Accent1 12 3 6" xfId="3757" xr:uid="{00000000-0005-0000-0000-0000B6000000}"/>
    <cellStyle name="20% - Accent1 12 3 7" xfId="3758" xr:uid="{00000000-0005-0000-0000-0000B7000000}"/>
    <cellStyle name="20% - Accent1 12 4" xfId="3759" xr:uid="{00000000-0005-0000-0000-0000B8000000}"/>
    <cellStyle name="20% - Accent1 12 5" xfId="3760" xr:uid="{00000000-0005-0000-0000-0000B9000000}"/>
    <cellStyle name="20% - Accent1 12 6" xfId="3761" xr:uid="{00000000-0005-0000-0000-0000BA000000}"/>
    <cellStyle name="20% - Accent1 12 6 2" xfId="3762" xr:uid="{00000000-0005-0000-0000-0000BB000000}"/>
    <cellStyle name="20% - Accent1 12 7" xfId="3763" xr:uid="{00000000-0005-0000-0000-0000BC000000}"/>
    <cellStyle name="20% - Accent1 12 8" xfId="3764" xr:uid="{00000000-0005-0000-0000-0000BD000000}"/>
    <cellStyle name="20% - Accent1 13" xfId="3765" xr:uid="{00000000-0005-0000-0000-0000BE000000}"/>
    <cellStyle name="20% - Accent1 13 2" xfId="3766" xr:uid="{00000000-0005-0000-0000-0000BF000000}"/>
    <cellStyle name="20% - Accent1 13 2 2" xfId="3767" xr:uid="{00000000-0005-0000-0000-0000C0000000}"/>
    <cellStyle name="20% - Accent1 13 2 2 2" xfId="3768" xr:uid="{00000000-0005-0000-0000-0000C1000000}"/>
    <cellStyle name="20% - Accent1 13 2 3" xfId="3769" xr:uid="{00000000-0005-0000-0000-0000C2000000}"/>
    <cellStyle name="20% - Accent1 13 3" xfId="3770" xr:uid="{00000000-0005-0000-0000-0000C3000000}"/>
    <cellStyle name="20% - Accent1 13 3 2" xfId="3771" xr:uid="{00000000-0005-0000-0000-0000C4000000}"/>
    <cellStyle name="20% - Accent1 13 4" xfId="3772" xr:uid="{00000000-0005-0000-0000-0000C5000000}"/>
    <cellStyle name="20% - Accent1 13 5" xfId="3773" xr:uid="{00000000-0005-0000-0000-0000C6000000}"/>
    <cellStyle name="20% - Accent1 13 6" xfId="3774" xr:uid="{00000000-0005-0000-0000-0000C7000000}"/>
    <cellStyle name="20% - Accent1 14" xfId="3775" xr:uid="{00000000-0005-0000-0000-0000C8000000}"/>
    <cellStyle name="20% - Accent1 14 2" xfId="3776" xr:uid="{00000000-0005-0000-0000-0000C9000000}"/>
    <cellStyle name="20% - Accent1 14 2 2" xfId="3777" xr:uid="{00000000-0005-0000-0000-0000CA000000}"/>
    <cellStyle name="20% - Accent1 14 2 2 2" xfId="3778" xr:uid="{00000000-0005-0000-0000-0000CB000000}"/>
    <cellStyle name="20% - Accent1 14 2 3" xfId="3779" xr:uid="{00000000-0005-0000-0000-0000CC000000}"/>
    <cellStyle name="20% - Accent1 14 3" xfId="3780" xr:uid="{00000000-0005-0000-0000-0000CD000000}"/>
    <cellStyle name="20% - Accent1 14 3 2" xfId="3781" xr:uid="{00000000-0005-0000-0000-0000CE000000}"/>
    <cellStyle name="20% - Accent1 14 4" xfId="3782" xr:uid="{00000000-0005-0000-0000-0000CF000000}"/>
    <cellStyle name="20% - Accent1 15" xfId="3783" xr:uid="{00000000-0005-0000-0000-0000D0000000}"/>
    <cellStyle name="20% - Accent1 15 2" xfId="3784" xr:uid="{00000000-0005-0000-0000-0000D1000000}"/>
    <cellStyle name="20% - Accent1 15 2 2" xfId="3785" xr:uid="{00000000-0005-0000-0000-0000D2000000}"/>
    <cellStyle name="20% - Accent1 15 2 2 2" xfId="3786" xr:uid="{00000000-0005-0000-0000-0000D3000000}"/>
    <cellStyle name="20% - Accent1 15 2 3" xfId="3787" xr:uid="{00000000-0005-0000-0000-0000D4000000}"/>
    <cellStyle name="20% - Accent1 15 3" xfId="3788" xr:uid="{00000000-0005-0000-0000-0000D5000000}"/>
    <cellStyle name="20% - Accent1 15 3 2" xfId="3789" xr:uid="{00000000-0005-0000-0000-0000D6000000}"/>
    <cellStyle name="20% - Accent1 15 4" xfId="3790" xr:uid="{00000000-0005-0000-0000-0000D7000000}"/>
    <cellStyle name="20% - Accent1 16" xfId="3791" xr:uid="{00000000-0005-0000-0000-0000D8000000}"/>
    <cellStyle name="20% - Accent1 16 2" xfId="3792" xr:uid="{00000000-0005-0000-0000-0000D9000000}"/>
    <cellStyle name="20% - Accent1 16 2 2" xfId="3793" xr:uid="{00000000-0005-0000-0000-0000DA000000}"/>
    <cellStyle name="20% - Accent1 16 3" xfId="3794" xr:uid="{00000000-0005-0000-0000-0000DB000000}"/>
    <cellStyle name="20% - Accent1 17" xfId="3795" xr:uid="{00000000-0005-0000-0000-0000DC000000}"/>
    <cellStyle name="20% - Accent1 18" xfId="3796" xr:uid="{00000000-0005-0000-0000-0000DD000000}"/>
    <cellStyle name="20% - Accent1 19" xfId="3797" xr:uid="{00000000-0005-0000-0000-0000DE000000}"/>
    <cellStyle name="20% - Accent1 2" xfId="161" xr:uid="{00000000-0005-0000-0000-0000DF000000}"/>
    <cellStyle name="20% - Accent1 2 2" xfId="3798" xr:uid="{00000000-0005-0000-0000-0000E0000000}"/>
    <cellStyle name="20% - Accent1 2 2 10" xfId="3799" xr:uid="{00000000-0005-0000-0000-0000E1000000}"/>
    <cellStyle name="20% - Accent1 2 2 10 2" xfId="3800" xr:uid="{00000000-0005-0000-0000-0000E2000000}"/>
    <cellStyle name="20% - Accent1 2 2 10 2 2" xfId="3801" xr:uid="{00000000-0005-0000-0000-0000E3000000}"/>
    <cellStyle name="20% - Accent1 2 2 10 3" xfId="3802" xr:uid="{00000000-0005-0000-0000-0000E4000000}"/>
    <cellStyle name="20% - Accent1 2 2 11" xfId="3803" xr:uid="{00000000-0005-0000-0000-0000E5000000}"/>
    <cellStyle name="20% - Accent1 2 2 11 2" xfId="3804" xr:uid="{00000000-0005-0000-0000-0000E6000000}"/>
    <cellStyle name="20% - Accent1 2 2 11 2 2" xfId="3805" xr:uid="{00000000-0005-0000-0000-0000E7000000}"/>
    <cellStyle name="20% - Accent1 2 2 11 3" xfId="3806" xr:uid="{00000000-0005-0000-0000-0000E8000000}"/>
    <cellStyle name="20% - Accent1 2 2 12" xfId="3807" xr:uid="{00000000-0005-0000-0000-0000E9000000}"/>
    <cellStyle name="20% - Accent1 2 2 12 2" xfId="3808" xr:uid="{00000000-0005-0000-0000-0000EA000000}"/>
    <cellStyle name="20% - Accent1 2 2 12 2 2" xfId="3809" xr:uid="{00000000-0005-0000-0000-0000EB000000}"/>
    <cellStyle name="20% - Accent1 2 2 12 3" xfId="3810" xr:uid="{00000000-0005-0000-0000-0000EC000000}"/>
    <cellStyle name="20% - Accent1 2 2 13" xfId="3811" xr:uid="{00000000-0005-0000-0000-0000ED000000}"/>
    <cellStyle name="20% - Accent1 2 2 13 2" xfId="3812" xr:uid="{00000000-0005-0000-0000-0000EE000000}"/>
    <cellStyle name="20% - Accent1 2 2 14" xfId="3813" xr:uid="{00000000-0005-0000-0000-0000EF000000}"/>
    <cellStyle name="20% - Accent1 2 2 15" xfId="3814" xr:uid="{00000000-0005-0000-0000-0000F0000000}"/>
    <cellStyle name="20% - Accent1 2 2 16" xfId="3815" xr:uid="{00000000-0005-0000-0000-0000F1000000}"/>
    <cellStyle name="20% - Accent1 2 2 2" xfId="3816" xr:uid="{00000000-0005-0000-0000-0000F2000000}"/>
    <cellStyle name="20% - Accent1 2 2 2 10" xfId="3817" xr:uid="{00000000-0005-0000-0000-0000F3000000}"/>
    <cellStyle name="20% - Accent1 2 2 2 11" xfId="3818" xr:uid="{00000000-0005-0000-0000-0000F4000000}"/>
    <cellStyle name="20% - Accent1 2 2 2 2" xfId="3819" xr:uid="{00000000-0005-0000-0000-0000F5000000}"/>
    <cellStyle name="20% - Accent1 2 2 2 2 2" xfId="3820" xr:uid="{00000000-0005-0000-0000-0000F6000000}"/>
    <cellStyle name="20% - Accent1 2 2 2 2 2 2" xfId="3821" xr:uid="{00000000-0005-0000-0000-0000F7000000}"/>
    <cellStyle name="20% - Accent1 2 2 2 2 2 2 2" xfId="3822" xr:uid="{00000000-0005-0000-0000-0000F8000000}"/>
    <cellStyle name="20% - Accent1 2 2 2 2 2 2 2 2" xfId="3823" xr:uid="{00000000-0005-0000-0000-0000F9000000}"/>
    <cellStyle name="20% - Accent1 2 2 2 2 2 2 3" xfId="3824" xr:uid="{00000000-0005-0000-0000-0000FA000000}"/>
    <cellStyle name="20% - Accent1 2 2 2 2 2 3" xfId="3825" xr:uid="{00000000-0005-0000-0000-0000FB000000}"/>
    <cellStyle name="20% - Accent1 2 2 2 2 2 3 2" xfId="3826" xr:uid="{00000000-0005-0000-0000-0000FC000000}"/>
    <cellStyle name="20% - Accent1 2 2 2 2 2 4" xfId="3827" xr:uid="{00000000-0005-0000-0000-0000FD000000}"/>
    <cellStyle name="20% - Accent1 2 2 2 2 2 5" xfId="3828" xr:uid="{00000000-0005-0000-0000-0000FE000000}"/>
    <cellStyle name="20% - Accent1 2 2 2 2 2 6" xfId="3829" xr:uid="{00000000-0005-0000-0000-0000FF000000}"/>
    <cellStyle name="20% - Accent1 2 2 2 2 3" xfId="3830" xr:uid="{00000000-0005-0000-0000-000000010000}"/>
    <cellStyle name="20% - Accent1 2 2 2 2 3 2" xfId="3831" xr:uid="{00000000-0005-0000-0000-000001010000}"/>
    <cellStyle name="20% - Accent1 2 2 2 2 3 2 2" xfId="3832" xr:uid="{00000000-0005-0000-0000-000002010000}"/>
    <cellStyle name="20% - Accent1 2 2 2 2 3 3" xfId="3833" xr:uid="{00000000-0005-0000-0000-000003010000}"/>
    <cellStyle name="20% - Accent1 2 2 2 2 4" xfId="3834" xr:uid="{00000000-0005-0000-0000-000004010000}"/>
    <cellStyle name="20% - Accent1 2 2 2 2 4 2" xfId="3835" xr:uid="{00000000-0005-0000-0000-000005010000}"/>
    <cellStyle name="20% - Accent1 2 2 2 2 5" xfId="3836" xr:uid="{00000000-0005-0000-0000-000006010000}"/>
    <cellStyle name="20% - Accent1 2 2 2 2 5 2" xfId="3837" xr:uid="{00000000-0005-0000-0000-000007010000}"/>
    <cellStyle name="20% - Accent1 2 2 2 2 6" xfId="3838" xr:uid="{00000000-0005-0000-0000-000008010000}"/>
    <cellStyle name="20% - Accent1 2 2 2 2 7" xfId="3839" xr:uid="{00000000-0005-0000-0000-000009010000}"/>
    <cellStyle name="20% - Accent1 2 2 2 2 8" xfId="3840" xr:uid="{00000000-0005-0000-0000-00000A010000}"/>
    <cellStyle name="20% - Accent1 2 2 2 3" xfId="3841" xr:uid="{00000000-0005-0000-0000-00000B010000}"/>
    <cellStyle name="20% - Accent1 2 2 2 3 2" xfId="3842" xr:uid="{00000000-0005-0000-0000-00000C010000}"/>
    <cellStyle name="20% - Accent1 2 2 2 3 2 2" xfId="3843" xr:uid="{00000000-0005-0000-0000-00000D010000}"/>
    <cellStyle name="20% - Accent1 2 2 2 3 2 2 2" xfId="3844" xr:uid="{00000000-0005-0000-0000-00000E010000}"/>
    <cellStyle name="20% - Accent1 2 2 2 3 2 2 2 2" xfId="3845" xr:uid="{00000000-0005-0000-0000-00000F010000}"/>
    <cellStyle name="20% - Accent1 2 2 2 3 2 2 3" xfId="3846" xr:uid="{00000000-0005-0000-0000-000010010000}"/>
    <cellStyle name="20% - Accent1 2 2 2 3 2 3" xfId="3847" xr:uid="{00000000-0005-0000-0000-000011010000}"/>
    <cellStyle name="20% - Accent1 2 2 2 3 2 3 2" xfId="3848" xr:uid="{00000000-0005-0000-0000-000012010000}"/>
    <cellStyle name="20% - Accent1 2 2 2 3 2 4" xfId="3849" xr:uid="{00000000-0005-0000-0000-000013010000}"/>
    <cellStyle name="20% - Accent1 2 2 2 3 2 5" xfId="3850" xr:uid="{00000000-0005-0000-0000-000014010000}"/>
    <cellStyle name="20% - Accent1 2 2 2 3 2 6" xfId="3851" xr:uid="{00000000-0005-0000-0000-000015010000}"/>
    <cellStyle name="20% - Accent1 2 2 2 3 3" xfId="3852" xr:uid="{00000000-0005-0000-0000-000016010000}"/>
    <cellStyle name="20% - Accent1 2 2 2 3 3 2" xfId="3853" xr:uid="{00000000-0005-0000-0000-000017010000}"/>
    <cellStyle name="20% - Accent1 2 2 2 3 3 2 2" xfId="3854" xr:uid="{00000000-0005-0000-0000-000018010000}"/>
    <cellStyle name="20% - Accent1 2 2 2 3 3 3" xfId="3855" xr:uid="{00000000-0005-0000-0000-000019010000}"/>
    <cellStyle name="20% - Accent1 2 2 2 3 4" xfId="3856" xr:uid="{00000000-0005-0000-0000-00001A010000}"/>
    <cellStyle name="20% - Accent1 2 2 2 3 4 2" xfId="3857" xr:uid="{00000000-0005-0000-0000-00001B010000}"/>
    <cellStyle name="20% - Accent1 2 2 2 3 5" xfId="3858" xr:uid="{00000000-0005-0000-0000-00001C010000}"/>
    <cellStyle name="20% - Accent1 2 2 2 3 6" xfId="3859" xr:uid="{00000000-0005-0000-0000-00001D010000}"/>
    <cellStyle name="20% - Accent1 2 2 2 3 7" xfId="3860" xr:uid="{00000000-0005-0000-0000-00001E010000}"/>
    <cellStyle name="20% - Accent1 2 2 2 4" xfId="3861" xr:uid="{00000000-0005-0000-0000-00001F010000}"/>
    <cellStyle name="20% - Accent1 2 2 2 4 2" xfId="3862" xr:uid="{00000000-0005-0000-0000-000020010000}"/>
    <cellStyle name="20% - Accent1 2 2 2 4 2 2" xfId="3863" xr:uid="{00000000-0005-0000-0000-000021010000}"/>
    <cellStyle name="20% - Accent1 2 2 2 4 2 2 2" xfId="3864" xr:uid="{00000000-0005-0000-0000-000022010000}"/>
    <cellStyle name="20% - Accent1 2 2 2 4 2 3" xfId="3865" xr:uid="{00000000-0005-0000-0000-000023010000}"/>
    <cellStyle name="20% - Accent1 2 2 2 4 3" xfId="3866" xr:uid="{00000000-0005-0000-0000-000024010000}"/>
    <cellStyle name="20% - Accent1 2 2 2 4 3 2" xfId="3867" xr:uid="{00000000-0005-0000-0000-000025010000}"/>
    <cellStyle name="20% - Accent1 2 2 2 4 4" xfId="3868" xr:uid="{00000000-0005-0000-0000-000026010000}"/>
    <cellStyle name="20% - Accent1 2 2 2 4 5" xfId="3869" xr:uid="{00000000-0005-0000-0000-000027010000}"/>
    <cellStyle name="20% - Accent1 2 2 2 4 6" xfId="3870" xr:uid="{00000000-0005-0000-0000-000028010000}"/>
    <cellStyle name="20% - Accent1 2 2 2 5" xfId="3871" xr:uid="{00000000-0005-0000-0000-000029010000}"/>
    <cellStyle name="20% - Accent1 2 2 2 5 2" xfId="3872" xr:uid="{00000000-0005-0000-0000-00002A010000}"/>
    <cellStyle name="20% - Accent1 2 2 2 5 2 2" xfId="3873" xr:uid="{00000000-0005-0000-0000-00002B010000}"/>
    <cellStyle name="20% - Accent1 2 2 2 5 3" xfId="3874" xr:uid="{00000000-0005-0000-0000-00002C010000}"/>
    <cellStyle name="20% - Accent1 2 2 2 6" xfId="3875" xr:uid="{00000000-0005-0000-0000-00002D010000}"/>
    <cellStyle name="20% - Accent1 2 2 2 6 2" xfId="3876" xr:uid="{00000000-0005-0000-0000-00002E010000}"/>
    <cellStyle name="20% - Accent1 2 2 2 6 2 2" xfId="3877" xr:uid="{00000000-0005-0000-0000-00002F010000}"/>
    <cellStyle name="20% - Accent1 2 2 2 6 3" xfId="3878" xr:uid="{00000000-0005-0000-0000-000030010000}"/>
    <cellStyle name="20% - Accent1 2 2 2 7" xfId="3879" xr:uid="{00000000-0005-0000-0000-000031010000}"/>
    <cellStyle name="20% - Accent1 2 2 2 7 2" xfId="3880" xr:uid="{00000000-0005-0000-0000-000032010000}"/>
    <cellStyle name="20% - Accent1 2 2 2 8" xfId="3881" xr:uid="{00000000-0005-0000-0000-000033010000}"/>
    <cellStyle name="20% - Accent1 2 2 2 8 2" xfId="3882" xr:uid="{00000000-0005-0000-0000-000034010000}"/>
    <cellStyle name="20% - Accent1 2 2 2 9" xfId="3883" xr:uid="{00000000-0005-0000-0000-000035010000}"/>
    <cellStyle name="20% - Accent1 2 2 3" xfId="3884" xr:uid="{00000000-0005-0000-0000-000036010000}"/>
    <cellStyle name="20% - Accent1 2 2 3 10" xfId="3885" xr:uid="{00000000-0005-0000-0000-000037010000}"/>
    <cellStyle name="20% - Accent1 2 2 3 11" xfId="3886" xr:uid="{00000000-0005-0000-0000-000038010000}"/>
    <cellStyle name="20% - Accent1 2 2 3 2" xfId="3887" xr:uid="{00000000-0005-0000-0000-000039010000}"/>
    <cellStyle name="20% - Accent1 2 2 3 2 2" xfId="3888" xr:uid="{00000000-0005-0000-0000-00003A010000}"/>
    <cellStyle name="20% - Accent1 2 2 3 2 2 2" xfId="3889" xr:uid="{00000000-0005-0000-0000-00003B010000}"/>
    <cellStyle name="20% - Accent1 2 2 3 2 2 2 2" xfId="3890" xr:uid="{00000000-0005-0000-0000-00003C010000}"/>
    <cellStyle name="20% - Accent1 2 2 3 2 2 2 2 2" xfId="3891" xr:uid="{00000000-0005-0000-0000-00003D010000}"/>
    <cellStyle name="20% - Accent1 2 2 3 2 2 2 3" xfId="3892" xr:uid="{00000000-0005-0000-0000-00003E010000}"/>
    <cellStyle name="20% - Accent1 2 2 3 2 2 3" xfId="3893" xr:uid="{00000000-0005-0000-0000-00003F010000}"/>
    <cellStyle name="20% - Accent1 2 2 3 2 2 3 2" xfId="3894" xr:uid="{00000000-0005-0000-0000-000040010000}"/>
    <cellStyle name="20% - Accent1 2 2 3 2 2 4" xfId="3895" xr:uid="{00000000-0005-0000-0000-000041010000}"/>
    <cellStyle name="20% - Accent1 2 2 3 2 2 5" xfId="3896" xr:uid="{00000000-0005-0000-0000-000042010000}"/>
    <cellStyle name="20% - Accent1 2 2 3 2 2 6" xfId="3897" xr:uid="{00000000-0005-0000-0000-000043010000}"/>
    <cellStyle name="20% - Accent1 2 2 3 2 3" xfId="3898" xr:uid="{00000000-0005-0000-0000-000044010000}"/>
    <cellStyle name="20% - Accent1 2 2 3 2 3 2" xfId="3899" xr:uid="{00000000-0005-0000-0000-000045010000}"/>
    <cellStyle name="20% - Accent1 2 2 3 2 3 2 2" xfId="3900" xr:uid="{00000000-0005-0000-0000-000046010000}"/>
    <cellStyle name="20% - Accent1 2 2 3 2 3 3" xfId="3901" xr:uid="{00000000-0005-0000-0000-000047010000}"/>
    <cellStyle name="20% - Accent1 2 2 3 2 4" xfId="3902" xr:uid="{00000000-0005-0000-0000-000048010000}"/>
    <cellStyle name="20% - Accent1 2 2 3 2 4 2" xfId="3903" xr:uid="{00000000-0005-0000-0000-000049010000}"/>
    <cellStyle name="20% - Accent1 2 2 3 2 5" xfId="3904" xr:uid="{00000000-0005-0000-0000-00004A010000}"/>
    <cellStyle name="20% - Accent1 2 2 3 2 5 2" xfId="3905" xr:uid="{00000000-0005-0000-0000-00004B010000}"/>
    <cellStyle name="20% - Accent1 2 2 3 2 6" xfId="3906" xr:uid="{00000000-0005-0000-0000-00004C010000}"/>
    <cellStyle name="20% - Accent1 2 2 3 2 7" xfId="3907" xr:uid="{00000000-0005-0000-0000-00004D010000}"/>
    <cellStyle name="20% - Accent1 2 2 3 2 8" xfId="3908" xr:uid="{00000000-0005-0000-0000-00004E010000}"/>
    <cellStyle name="20% - Accent1 2 2 3 3" xfId="3909" xr:uid="{00000000-0005-0000-0000-00004F010000}"/>
    <cellStyle name="20% - Accent1 2 2 3 3 2" xfId="3910" xr:uid="{00000000-0005-0000-0000-000050010000}"/>
    <cellStyle name="20% - Accent1 2 2 3 3 2 2" xfId="3911" xr:uid="{00000000-0005-0000-0000-000051010000}"/>
    <cellStyle name="20% - Accent1 2 2 3 3 2 2 2" xfId="3912" xr:uid="{00000000-0005-0000-0000-000052010000}"/>
    <cellStyle name="20% - Accent1 2 2 3 3 2 2 2 2" xfId="3913" xr:uid="{00000000-0005-0000-0000-000053010000}"/>
    <cellStyle name="20% - Accent1 2 2 3 3 2 2 3" xfId="3914" xr:uid="{00000000-0005-0000-0000-000054010000}"/>
    <cellStyle name="20% - Accent1 2 2 3 3 2 3" xfId="3915" xr:uid="{00000000-0005-0000-0000-000055010000}"/>
    <cellStyle name="20% - Accent1 2 2 3 3 2 3 2" xfId="3916" xr:uid="{00000000-0005-0000-0000-000056010000}"/>
    <cellStyle name="20% - Accent1 2 2 3 3 2 4" xfId="3917" xr:uid="{00000000-0005-0000-0000-000057010000}"/>
    <cellStyle name="20% - Accent1 2 2 3 3 2 5" xfId="3918" xr:uid="{00000000-0005-0000-0000-000058010000}"/>
    <cellStyle name="20% - Accent1 2 2 3 3 2 6" xfId="3919" xr:uid="{00000000-0005-0000-0000-000059010000}"/>
    <cellStyle name="20% - Accent1 2 2 3 3 3" xfId="3920" xr:uid="{00000000-0005-0000-0000-00005A010000}"/>
    <cellStyle name="20% - Accent1 2 2 3 3 3 2" xfId="3921" xr:uid="{00000000-0005-0000-0000-00005B010000}"/>
    <cellStyle name="20% - Accent1 2 2 3 3 3 2 2" xfId="3922" xr:uid="{00000000-0005-0000-0000-00005C010000}"/>
    <cellStyle name="20% - Accent1 2 2 3 3 3 3" xfId="3923" xr:uid="{00000000-0005-0000-0000-00005D010000}"/>
    <cellStyle name="20% - Accent1 2 2 3 3 4" xfId="3924" xr:uid="{00000000-0005-0000-0000-00005E010000}"/>
    <cellStyle name="20% - Accent1 2 2 3 3 4 2" xfId="3925" xr:uid="{00000000-0005-0000-0000-00005F010000}"/>
    <cellStyle name="20% - Accent1 2 2 3 3 5" xfId="3926" xr:uid="{00000000-0005-0000-0000-000060010000}"/>
    <cellStyle name="20% - Accent1 2 2 3 3 6" xfId="3927" xr:uid="{00000000-0005-0000-0000-000061010000}"/>
    <cellStyle name="20% - Accent1 2 2 3 3 7" xfId="3928" xr:uid="{00000000-0005-0000-0000-000062010000}"/>
    <cellStyle name="20% - Accent1 2 2 3 4" xfId="3929" xr:uid="{00000000-0005-0000-0000-000063010000}"/>
    <cellStyle name="20% - Accent1 2 2 3 4 2" xfId="3930" xr:uid="{00000000-0005-0000-0000-000064010000}"/>
    <cellStyle name="20% - Accent1 2 2 3 4 2 2" xfId="3931" xr:uid="{00000000-0005-0000-0000-000065010000}"/>
    <cellStyle name="20% - Accent1 2 2 3 4 2 2 2" xfId="3932" xr:uid="{00000000-0005-0000-0000-000066010000}"/>
    <cellStyle name="20% - Accent1 2 2 3 4 2 3" xfId="3933" xr:uid="{00000000-0005-0000-0000-000067010000}"/>
    <cellStyle name="20% - Accent1 2 2 3 4 3" xfId="3934" xr:uid="{00000000-0005-0000-0000-000068010000}"/>
    <cellStyle name="20% - Accent1 2 2 3 4 3 2" xfId="3935" xr:uid="{00000000-0005-0000-0000-000069010000}"/>
    <cellStyle name="20% - Accent1 2 2 3 4 4" xfId="3936" xr:uid="{00000000-0005-0000-0000-00006A010000}"/>
    <cellStyle name="20% - Accent1 2 2 3 4 5" xfId="3937" xr:uid="{00000000-0005-0000-0000-00006B010000}"/>
    <cellStyle name="20% - Accent1 2 2 3 4 6" xfId="3938" xr:uid="{00000000-0005-0000-0000-00006C010000}"/>
    <cellStyle name="20% - Accent1 2 2 3 5" xfId="3939" xr:uid="{00000000-0005-0000-0000-00006D010000}"/>
    <cellStyle name="20% - Accent1 2 2 3 5 2" xfId="3940" xr:uid="{00000000-0005-0000-0000-00006E010000}"/>
    <cellStyle name="20% - Accent1 2 2 3 5 2 2" xfId="3941" xr:uid="{00000000-0005-0000-0000-00006F010000}"/>
    <cellStyle name="20% - Accent1 2 2 3 5 3" xfId="3942" xr:uid="{00000000-0005-0000-0000-000070010000}"/>
    <cellStyle name="20% - Accent1 2 2 3 6" xfId="3943" xr:uid="{00000000-0005-0000-0000-000071010000}"/>
    <cellStyle name="20% - Accent1 2 2 3 6 2" xfId="3944" xr:uid="{00000000-0005-0000-0000-000072010000}"/>
    <cellStyle name="20% - Accent1 2 2 3 6 2 2" xfId="3945" xr:uid="{00000000-0005-0000-0000-000073010000}"/>
    <cellStyle name="20% - Accent1 2 2 3 6 3" xfId="3946" xr:uid="{00000000-0005-0000-0000-000074010000}"/>
    <cellStyle name="20% - Accent1 2 2 3 7" xfId="3947" xr:uid="{00000000-0005-0000-0000-000075010000}"/>
    <cellStyle name="20% - Accent1 2 2 3 7 2" xfId="3948" xr:uid="{00000000-0005-0000-0000-000076010000}"/>
    <cellStyle name="20% - Accent1 2 2 3 8" xfId="3949" xr:uid="{00000000-0005-0000-0000-000077010000}"/>
    <cellStyle name="20% - Accent1 2 2 3 8 2" xfId="3950" xr:uid="{00000000-0005-0000-0000-000078010000}"/>
    <cellStyle name="20% - Accent1 2 2 3 9" xfId="3951" xr:uid="{00000000-0005-0000-0000-000079010000}"/>
    <cellStyle name="20% - Accent1 2 2 4" xfId="3952" xr:uid="{00000000-0005-0000-0000-00007A010000}"/>
    <cellStyle name="20% - Accent1 2 2 4 10" xfId="3953" xr:uid="{00000000-0005-0000-0000-00007B010000}"/>
    <cellStyle name="20% - Accent1 2 2 4 11" xfId="3954" xr:uid="{00000000-0005-0000-0000-00007C010000}"/>
    <cellStyle name="20% - Accent1 2 2 4 2" xfId="3955" xr:uid="{00000000-0005-0000-0000-00007D010000}"/>
    <cellStyle name="20% - Accent1 2 2 4 2 2" xfId="3956" xr:uid="{00000000-0005-0000-0000-00007E010000}"/>
    <cellStyle name="20% - Accent1 2 2 4 2 2 2" xfId="3957" xr:uid="{00000000-0005-0000-0000-00007F010000}"/>
    <cellStyle name="20% - Accent1 2 2 4 2 2 2 2" xfId="3958" xr:uid="{00000000-0005-0000-0000-000080010000}"/>
    <cellStyle name="20% - Accent1 2 2 4 2 2 2 2 2" xfId="3959" xr:uid="{00000000-0005-0000-0000-000081010000}"/>
    <cellStyle name="20% - Accent1 2 2 4 2 2 2 3" xfId="3960" xr:uid="{00000000-0005-0000-0000-000082010000}"/>
    <cellStyle name="20% - Accent1 2 2 4 2 2 3" xfId="3961" xr:uid="{00000000-0005-0000-0000-000083010000}"/>
    <cellStyle name="20% - Accent1 2 2 4 2 2 3 2" xfId="3962" xr:uid="{00000000-0005-0000-0000-000084010000}"/>
    <cellStyle name="20% - Accent1 2 2 4 2 2 4" xfId="3963" xr:uid="{00000000-0005-0000-0000-000085010000}"/>
    <cellStyle name="20% - Accent1 2 2 4 2 2 5" xfId="3964" xr:uid="{00000000-0005-0000-0000-000086010000}"/>
    <cellStyle name="20% - Accent1 2 2 4 2 2 6" xfId="3965" xr:uid="{00000000-0005-0000-0000-000087010000}"/>
    <cellStyle name="20% - Accent1 2 2 4 2 3" xfId="3966" xr:uid="{00000000-0005-0000-0000-000088010000}"/>
    <cellStyle name="20% - Accent1 2 2 4 2 3 2" xfId="3967" xr:uid="{00000000-0005-0000-0000-000089010000}"/>
    <cellStyle name="20% - Accent1 2 2 4 2 3 2 2" xfId="3968" xr:uid="{00000000-0005-0000-0000-00008A010000}"/>
    <cellStyle name="20% - Accent1 2 2 4 2 3 3" xfId="3969" xr:uid="{00000000-0005-0000-0000-00008B010000}"/>
    <cellStyle name="20% - Accent1 2 2 4 2 4" xfId="3970" xr:uid="{00000000-0005-0000-0000-00008C010000}"/>
    <cellStyle name="20% - Accent1 2 2 4 2 4 2" xfId="3971" xr:uid="{00000000-0005-0000-0000-00008D010000}"/>
    <cellStyle name="20% - Accent1 2 2 4 2 5" xfId="3972" xr:uid="{00000000-0005-0000-0000-00008E010000}"/>
    <cellStyle name="20% - Accent1 2 2 4 2 5 2" xfId="3973" xr:uid="{00000000-0005-0000-0000-00008F010000}"/>
    <cellStyle name="20% - Accent1 2 2 4 2 6" xfId="3974" xr:uid="{00000000-0005-0000-0000-000090010000}"/>
    <cellStyle name="20% - Accent1 2 2 4 2 7" xfId="3975" xr:uid="{00000000-0005-0000-0000-000091010000}"/>
    <cellStyle name="20% - Accent1 2 2 4 2 8" xfId="3976" xr:uid="{00000000-0005-0000-0000-000092010000}"/>
    <cellStyle name="20% - Accent1 2 2 4 3" xfId="3977" xr:uid="{00000000-0005-0000-0000-000093010000}"/>
    <cellStyle name="20% - Accent1 2 2 4 3 2" xfId="3978" xr:uid="{00000000-0005-0000-0000-000094010000}"/>
    <cellStyle name="20% - Accent1 2 2 4 3 2 2" xfId="3979" xr:uid="{00000000-0005-0000-0000-000095010000}"/>
    <cellStyle name="20% - Accent1 2 2 4 3 2 2 2" xfId="3980" xr:uid="{00000000-0005-0000-0000-000096010000}"/>
    <cellStyle name="20% - Accent1 2 2 4 3 2 2 2 2" xfId="3981" xr:uid="{00000000-0005-0000-0000-000097010000}"/>
    <cellStyle name="20% - Accent1 2 2 4 3 2 2 3" xfId="3982" xr:uid="{00000000-0005-0000-0000-000098010000}"/>
    <cellStyle name="20% - Accent1 2 2 4 3 2 3" xfId="3983" xr:uid="{00000000-0005-0000-0000-000099010000}"/>
    <cellStyle name="20% - Accent1 2 2 4 3 2 3 2" xfId="3984" xr:uid="{00000000-0005-0000-0000-00009A010000}"/>
    <cellStyle name="20% - Accent1 2 2 4 3 2 4" xfId="3985" xr:uid="{00000000-0005-0000-0000-00009B010000}"/>
    <cellStyle name="20% - Accent1 2 2 4 3 2 5" xfId="3986" xr:uid="{00000000-0005-0000-0000-00009C010000}"/>
    <cellStyle name="20% - Accent1 2 2 4 3 2 6" xfId="3987" xr:uid="{00000000-0005-0000-0000-00009D010000}"/>
    <cellStyle name="20% - Accent1 2 2 4 3 3" xfId="3988" xr:uid="{00000000-0005-0000-0000-00009E010000}"/>
    <cellStyle name="20% - Accent1 2 2 4 3 3 2" xfId="3989" xr:uid="{00000000-0005-0000-0000-00009F010000}"/>
    <cellStyle name="20% - Accent1 2 2 4 3 3 2 2" xfId="3990" xr:uid="{00000000-0005-0000-0000-0000A0010000}"/>
    <cellStyle name="20% - Accent1 2 2 4 3 3 3" xfId="3991" xr:uid="{00000000-0005-0000-0000-0000A1010000}"/>
    <cellStyle name="20% - Accent1 2 2 4 3 4" xfId="3992" xr:uid="{00000000-0005-0000-0000-0000A2010000}"/>
    <cellStyle name="20% - Accent1 2 2 4 3 4 2" xfId="3993" xr:uid="{00000000-0005-0000-0000-0000A3010000}"/>
    <cellStyle name="20% - Accent1 2 2 4 3 5" xfId="3994" xr:uid="{00000000-0005-0000-0000-0000A4010000}"/>
    <cellStyle name="20% - Accent1 2 2 4 3 6" xfId="3995" xr:uid="{00000000-0005-0000-0000-0000A5010000}"/>
    <cellStyle name="20% - Accent1 2 2 4 3 7" xfId="3996" xr:uid="{00000000-0005-0000-0000-0000A6010000}"/>
    <cellStyle name="20% - Accent1 2 2 4 4" xfId="3997" xr:uid="{00000000-0005-0000-0000-0000A7010000}"/>
    <cellStyle name="20% - Accent1 2 2 4 4 2" xfId="3998" xr:uid="{00000000-0005-0000-0000-0000A8010000}"/>
    <cellStyle name="20% - Accent1 2 2 4 4 2 2" xfId="3999" xr:uid="{00000000-0005-0000-0000-0000A9010000}"/>
    <cellStyle name="20% - Accent1 2 2 4 4 2 2 2" xfId="4000" xr:uid="{00000000-0005-0000-0000-0000AA010000}"/>
    <cellStyle name="20% - Accent1 2 2 4 4 2 3" xfId="4001" xr:uid="{00000000-0005-0000-0000-0000AB010000}"/>
    <cellStyle name="20% - Accent1 2 2 4 4 3" xfId="4002" xr:uid="{00000000-0005-0000-0000-0000AC010000}"/>
    <cellStyle name="20% - Accent1 2 2 4 4 3 2" xfId="4003" xr:uid="{00000000-0005-0000-0000-0000AD010000}"/>
    <cellStyle name="20% - Accent1 2 2 4 4 4" xfId="4004" xr:uid="{00000000-0005-0000-0000-0000AE010000}"/>
    <cellStyle name="20% - Accent1 2 2 4 4 5" xfId="4005" xr:uid="{00000000-0005-0000-0000-0000AF010000}"/>
    <cellStyle name="20% - Accent1 2 2 4 4 6" xfId="4006" xr:uid="{00000000-0005-0000-0000-0000B0010000}"/>
    <cellStyle name="20% - Accent1 2 2 4 5" xfId="4007" xr:uid="{00000000-0005-0000-0000-0000B1010000}"/>
    <cellStyle name="20% - Accent1 2 2 4 5 2" xfId="4008" xr:uid="{00000000-0005-0000-0000-0000B2010000}"/>
    <cellStyle name="20% - Accent1 2 2 4 5 2 2" xfId="4009" xr:uid="{00000000-0005-0000-0000-0000B3010000}"/>
    <cellStyle name="20% - Accent1 2 2 4 5 3" xfId="4010" xr:uid="{00000000-0005-0000-0000-0000B4010000}"/>
    <cellStyle name="20% - Accent1 2 2 4 6" xfId="4011" xr:uid="{00000000-0005-0000-0000-0000B5010000}"/>
    <cellStyle name="20% - Accent1 2 2 4 6 2" xfId="4012" xr:uid="{00000000-0005-0000-0000-0000B6010000}"/>
    <cellStyle name="20% - Accent1 2 2 4 6 2 2" xfId="4013" xr:uid="{00000000-0005-0000-0000-0000B7010000}"/>
    <cellStyle name="20% - Accent1 2 2 4 6 3" xfId="4014" xr:uid="{00000000-0005-0000-0000-0000B8010000}"/>
    <cellStyle name="20% - Accent1 2 2 4 7" xfId="4015" xr:uid="{00000000-0005-0000-0000-0000B9010000}"/>
    <cellStyle name="20% - Accent1 2 2 4 7 2" xfId="4016" xr:uid="{00000000-0005-0000-0000-0000BA010000}"/>
    <cellStyle name="20% - Accent1 2 2 4 8" xfId="4017" xr:uid="{00000000-0005-0000-0000-0000BB010000}"/>
    <cellStyle name="20% - Accent1 2 2 4 8 2" xfId="4018" xr:uid="{00000000-0005-0000-0000-0000BC010000}"/>
    <cellStyle name="20% - Accent1 2 2 4 9" xfId="4019" xr:uid="{00000000-0005-0000-0000-0000BD010000}"/>
    <cellStyle name="20% - Accent1 2 2 5" xfId="4020" xr:uid="{00000000-0005-0000-0000-0000BE010000}"/>
    <cellStyle name="20% - Accent1 2 2 5 10" xfId="4021" xr:uid="{00000000-0005-0000-0000-0000BF010000}"/>
    <cellStyle name="20% - Accent1 2 2 5 11" xfId="4022" xr:uid="{00000000-0005-0000-0000-0000C0010000}"/>
    <cellStyle name="20% - Accent1 2 2 5 2" xfId="4023" xr:uid="{00000000-0005-0000-0000-0000C1010000}"/>
    <cellStyle name="20% - Accent1 2 2 5 2 2" xfId="4024" xr:uid="{00000000-0005-0000-0000-0000C2010000}"/>
    <cellStyle name="20% - Accent1 2 2 5 2 2 2" xfId="4025" xr:uid="{00000000-0005-0000-0000-0000C3010000}"/>
    <cellStyle name="20% - Accent1 2 2 5 2 2 2 2" xfId="4026" xr:uid="{00000000-0005-0000-0000-0000C4010000}"/>
    <cellStyle name="20% - Accent1 2 2 5 2 2 2 2 2" xfId="4027" xr:uid="{00000000-0005-0000-0000-0000C5010000}"/>
    <cellStyle name="20% - Accent1 2 2 5 2 2 2 3" xfId="4028" xr:uid="{00000000-0005-0000-0000-0000C6010000}"/>
    <cellStyle name="20% - Accent1 2 2 5 2 2 3" xfId="4029" xr:uid="{00000000-0005-0000-0000-0000C7010000}"/>
    <cellStyle name="20% - Accent1 2 2 5 2 2 3 2" xfId="4030" xr:uid="{00000000-0005-0000-0000-0000C8010000}"/>
    <cellStyle name="20% - Accent1 2 2 5 2 2 4" xfId="4031" xr:uid="{00000000-0005-0000-0000-0000C9010000}"/>
    <cellStyle name="20% - Accent1 2 2 5 2 2 5" xfId="4032" xr:uid="{00000000-0005-0000-0000-0000CA010000}"/>
    <cellStyle name="20% - Accent1 2 2 5 2 2 6" xfId="4033" xr:uid="{00000000-0005-0000-0000-0000CB010000}"/>
    <cellStyle name="20% - Accent1 2 2 5 2 3" xfId="4034" xr:uid="{00000000-0005-0000-0000-0000CC010000}"/>
    <cellStyle name="20% - Accent1 2 2 5 2 3 2" xfId="4035" xr:uid="{00000000-0005-0000-0000-0000CD010000}"/>
    <cellStyle name="20% - Accent1 2 2 5 2 3 2 2" xfId="4036" xr:uid="{00000000-0005-0000-0000-0000CE010000}"/>
    <cellStyle name="20% - Accent1 2 2 5 2 3 3" xfId="4037" xr:uid="{00000000-0005-0000-0000-0000CF010000}"/>
    <cellStyle name="20% - Accent1 2 2 5 2 4" xfId="4038" xr:uid="{00000000-0005-0000-0000-0000D0010000}"/>
    <cellStyle name="20% - Accent1 2 2 5 2 4 2" xfId="4039" xr:uid="{00000000-0005-0000-0000-0000D1010000}"/>
    <cellStyle name="20% - Accent1 2 2 5 2 5" xfId="4040" xr:uid="{00000000-0005-0000-0000-0000D2010000}"/>
    <cellStyle name="20% - Accent1 2 2 5 2 5 2" xfId="4041" xr:uid="{00000000-0005-0000-0000-0000D3010000}"/>
    <cellStyle name="20% - Accent1 2 2 5 2 6" xfId="4042" xr:uid="{00000000-0005-0000-0000-0000D4010000}"/>
    <cellStyle name="20% - Accent1 2 2 5 2 7" xfId="4043" xr:uid="{00000000-0005-0000-0000-0000D5010000}"/>
    <cellStyle name="20% - Accent1 2 2 5 2 8" xfId="4044" xr:uid="{00000000-0005-0000-0000-0000D6010000}"/>
    <cellStyle name="20% - Accent1 2 2 5 3" xfId="4045" xr:uid="{00000000-0005-0000-0000-0000D7010000}"/>
    <cellStyle name="20% - Accent1 2 2 5 3 2" xfId="4046" xr:uid="{00000000-0005-0000-0000-0000D8010000}"/>
    <cellStyle name="20% - Accent1 2 2 5 3 2 2" xfId="4047" xr:uid="{00000000-0005-0000-0000-0000D9010000}"/>
    <cellStyle name="20% - Accent1 2 2 5 3 2 2 2" xfId="4048" xr:uid="{00000000-0005-0000-0000-0000DA010000}"/>
    <cellStyle name="20% - Accent1 2 2 5 3 2 2 2 2" xfId="4049" xr:uid="{00000000-0005-0000-0000-0000DB010000}"/>
    <cellStyle name="20% - Accent1 2 2 5 3 2 2 3" xfId="4050" xr:uid="{00000000-0005-0000-0000-0000DC010000}"/>
    <cellStyle name="20% - Accent1 2 2 5 3 2 3" xfId="4051" xr:uid="{00000000-0005-0000-0000-0000DD010000}"/>
    <cellStyle name="20% - Accent1 2 2 5 3 2 3 2" xfId="4052" xr:uid="{00000000-0005-0000-0000-0000DE010000}"/>
    <cellStyle name="20% - Accent1 2 2 5 3 2 4" xfId="4053" xr:uid="{00000000-0005-0000-0000-0000DF010000}"/>
    <cellStyle name="20% - Accent1 2 2 5 3 2 5" xfId="4054" xr:uid="{00000000-0005-0000-0000-0000E0010000}"/>
    <cellStyle name="20% - Accent1 2 2 5 3 2 6" xfId="4055" xr:uid="{00000000-0005-0000-0000-0000E1010000}"/>
    <cellStyle name="20% - Accent1 2 2 5 3 3" xfId="4056" xr:uid="{00000000-0005-0000-0000-0000E2010000}"/>
    <cellStyle name="20% - Accent1 2 2 5 3 3 2" xfId="4057" xr:uid="{00000000-0005-0000-0000-0000E3010000}"/>
    <cellStyle name="20% - Accent1 2 2 5 3 3 2 2" xfId="4058" xr:uid="{00000000-0005-0000-0000-0000E4010000}"/>
    <cellStyle name="20% - Accent1 2 2 5 3 3 3" xfId="4059" xr:uid="{00000000-0005-0000-0000-0000E5010000}"/>
    <cellStyle name="20% - Accent1 2 2 5 3 4" xfId="4060" xr:uid="{00000000-0005-0000-0000-0000E6010000}"/>
    <cellStyle name="20% - Accent1 2 2 5 3 4 2" xfId="4061" xr:uid="{00000000-0005-0000-0000-0000E7010000}"/>
    <cellStyle name="20% - Accent1 2 2 5 3 5" xfId="4062" xr:uid="{00000000-0005-0000-0000-0000E8010000}"/>
    <cellStyle name="20% - Accent1 2 2 5 3 6" xfId="4063" xr:uid="{00000000-0005-0000-0000-0000E9010000}"/>
    <cellStyle name="20% - Accent1 2 2 5 3 7" xfId="4064" xr:uid="{00000000-0005-0000-0000-0000EA010000}"/>
    <cellStyle name="20% - Accent1 2 2 5 4" xfId="4065" xr:uid="{00000000-0005-0000-0000-0000EB010000}"/>
    <cellStyle name="20% - Accent1 2 2 5 4 2" xfId="4066" xr:uid="{00000000-0005-0000-0000-0000EC010000}"/>
    <cellStyle name="20% - Accent1 2 2 5 4 2 2" xfId="4067" xr:uid="{00000000-0005-0000-0000-0000ED010000}"/>
    <cellStyle name="20% - Accent1 2 2 5 4 2 2 2" xfId="4068" xr:uid="{00000000-0005-0000-0000-0000EE010000}"/>
    <cellStyle name="20% - Accent1 2 2 5 4 2 3" xfId="4069" xr:uid="{00000000-0005-0000-0000-0000EF010000}"/>
    <cellStyle name="20% - Accent1 2 2 5 4 3" xfId="4070" xr:uid="{00000000-0005-0000-0000-0000F0010000}"/>
    <cellStyle name="20% - Accent1 2 2 5 4 3 2" xfId="4071" xr:uid="{00000000-0005-0000-0000-0000F1010000}"/>
    <cellStyle name="20% - Accent1 2 2 5 4 4" xfId="4072" xr:uid="{00000000-0005-0000-0000-0000F2010000}"/>
    <cellStyle name="20% - Accent1 2 2 5 4 5" xfId="4073" xr:uid="{00000000-0005-0000-0000-0000F3010000}"/>
    <cellStyle name="20% - Accent1 2 2 5 4 6" xfId="4074" xr:uid="{00000000-0005-0000-0000-0000F4010000}"/>
    <cellStyle name="20% - Accent1 2 2 5 5" xfId="4075" xr:uid="{00000000-0005-0000-0000-0000F5010000}"/>
    <cellStyle name="20% - Accent1 2 2 5 5 2" xfId="4076" xr:uid="{00000000-0005-0000-0000-0000F6010000}"/>
    <cellStyle name="20% - Accent1 2 2 5 5 2 2" xfId="4077" xr:uid="{00000000-0005-0000-0000-0000F7010000}"/>
    <cellStyle name="20% - Accent1 2 2 5 5 3" xfId="4078" xr:uid="{00000000-0005-0000-0000-0000F8010000}"/>
    <cellStyle name="20% - Accent1 2 2 5 6" xfId="4079" xr:uid="{00000000-0005-0000-0000-0000F9010000}"/>
    <cellStyle name="20% - Accent1 2 2 5 6 2" xfId="4080" xr:uid="{00000000-0005-0000-0000-0000FA010000}"/>
    <cellStyle name="20% - Accent1 2 2 5 6 2 2" xfId="4081" xr:uid="{00000000-0005-0000-0000-0000FB010000}"/>
    <cellStyle name="20% - Accent1 2 2 5 6 3" xfId="4082" xr:uid="{00000000-0005-0000-0000-0000FC010000}"/>
    <cellStyle name="20% - Accent1 2 2 5 7" xfId="4083" xr:uid="{00000000-0005-0000-0000-0000FD010000}"/>
    <cellStyle name="20% - Accent1 2 2 5 7 2" xfId="4084" xr:uid="{00000000-0005-0000-0000-0000FE010000}"/>
    <cellStyle name="20% - Accent1 2 2 5 8" xfId="4085" xr:uid="{00000000-0005-0000-0000-0000FF010000}"/>
    <cellStyle name="20% - Accent1 2 2 5 8 2" xfId="4086" xr:uid="{00000000-0005-0000-0000-000000020000}"/>
    <cellStyle name="20% - Accent1 2 2 5 9" xfId="4087" xr:uid="{00000000-0005-0000-0000-000001020000}"/>
    <cellStyle name="20% - Accent1 2 2 6" xfId="4088" xr:uid="{00000000-0005-0000-0000-000002020000}"/>
    <cellStyle name="20% - Accent1 2 2 6 10" xfId="4089" xr:uid="{00000000-0005-0000-0000-000003020000}"/>
    <cellStyle name="20% - Accent1 2 2 6 11" xfId="4090" xr:uid="{00000000-0005-0000-0000-000004020000}"/>
    <cellStyle name="20% - Accent1 2 2 6 2" xfId="4091" xr:uid="{00000000-0005-0000-0000-000005020000}"/>
    <cellStyle name="20% - Accent1 2 2 6 2 2" xfId="4092" xr:uid="{00000000-0005-0000-0000-000006020000}"/>
    <cellStyle name="20% - Accent1 2 2 6 2 2 2" xfId="4093" xr:uid="{00000000-0005-0000-0000-000007020000}"/>
    <cellStyle name="20% - Accent1 2 2 6 2 2 2 2" xfId="4094" xr:uid="{00000000-0005-0000-0000-000008020000}"/>
    <cellStyle name="20% - Accent1 2 2 6 2 2 2 2 2" xfId="4095" xr:uid="{00000000-0005-0000-0000-000009020000}"/>
    <cellStyle name="20% - Accent1 2 2 6 2 2 2 3" xfId="4096" xr:uid="{00000000-0005-0000-0000-00000A020000}"/>
    <cellStyle name="20% - Accent1 2 2 6 2 2 3" xfId="4097" xr:uid="{00000000-0005-0000-0000-00000B020000}"/>
    <cellStyle name="20% - Accent1 2 2 6 2 2 3 2" xfId="4098" xr:uid="{00000000-0005-0000-0000-00000C020000}"/>
    <cellStyle name="20% - Accent1 2 2 6 2 2 4" xfId="4099" xr:uid="{00000000-0005-0000-0000-00000D020000}"/>
    <cellStyle name="20% - Accent1 2 2 6 2 2 5" xfId="4100" xr:uid="{00000000-0005-0000-0000-00000E020000}"/>
    <cellStyle name="20% - Accent1 2 2 6 2 2 6" xfId="4101" xr:uid="{00000000-0005-0000-0000-00000F020000}"/>
    <cellStyle name="20% - Accent1 2 2 6 2 3" xfId="4102" xr:uid="{00000000-0005-0000-0000-000010020000}"/>
    <cellStyle name="20% - Accent1 2 2 6 2 3 2" xfId="4103" xr:uid="{00000000-0005-0000-0000-000011020000}"/>
    <cellStyle name="20% - Accent1 2 2 6 2 3 2 2" xfId="4104" xr:uid="{00000000-0005-0000-0000-000012020000}"/>
    <cellStyle name="20% - Accent1 2 2 6 2 3 3" xfId="4105" xr:uid="{00000000-0005-0000-0000-000013020000}"/>
    <cellStyle name="20% - Accent1 2 2 6 2 4" xfId="4106" xr:uid="{00000000-0005-0000-0000-000014020000}"/>
    <cellStyle name="20% - Accent1 2 2 6 2 4 2" xfId="4107" xr:uid="{00000000-0005-0000-0000-000015020000}"/>
    <cellStyle name="20% - Accent1 2 2 6 2 5" xfId="4108" xr:uid="{00000000-0005-0000-0000-000016020000}"/>
    <cellStyle name="20% - Accent1 2 2 6 2 5 2" xfId="4109" xr:uid="{00000000-0005-0000-0000-000017020000}"/>
    <cellStyle name="20% - Accent1 2 2 6 2 6" xfId="4110" xr:uid="{00000000-0005-0000-0000-000018020000}"/>
    <cellStyle name="20% - Accent1 2 2 6 2 7" xfId="4111" xr:uid="{00000000-0005-0000-0000-000019020000}"/>
    <cellStyle name="20% - Accent1 2 2 6 2 8" xfId="4112" xr:uid="{00000000-0005-0000-0000-00001A020000}"/>
    <cellStyle name="20% - Accent1 2 2 6 3" xfId="4113" xr:uid="{00000000-0005-0000-0000-00001B020000}"/>
    <cellStyle name="20% - Accent1 2 2 6 3 2" xfId="4114" xr:uid="{00000000-0005-0000-0000-00001C020000}"/>
    <cellStyle name="20% - Accent1 2 2 6 3 2 2" xfId="4115" xr:uid="{00000000-0005-0000-0000-00001D020000}"/>
    <cellStyle name="20% - Accent1 2 2 6 3 2 2 2" xfId="4116" xr:uid="{00000000-0005-0000-0000-00001E020000}"/>
    <cellStyle name="20% - Accent1 2 2 6 3 2 2 2 2" xfId="4117" xr:uid="{00000000-0005-0000-0000-00001F020000}"/>
    <cellStyle name="20% - Accent1 2 2 6 3 2 2 3" xfId="4118" xr:uid="{00000000-0005-0000-0000-000020020000}"/>
    <cellStyle name="20% - Accent1 2 2 6 3 2 3" xfId="4119" xr:uid="{00000000-0005-0000-0000-000021020000}"/>
    <cellStyle name="20% - Accent1 2 2 6 3 2 3 2" xfId="4120" xr:uid="{00000000-0005-0000-0000-000022020000}"/>
    <cellStyle name="20% - Accent1 2 2 6 3 2 4" xfId="4121" xr:uid="{00000000-0005-0000-0000-000023020000}"/>
    <cellStyle name="20% - Accent1 2 2 6 3 2 5" xfId="4122" xr:uid="{00000000-0005-0000-0000-000024020000}"/>
    <cellStyle name="20% - Accent1 2 2 6 3 2 6" xfId="4123" xr:uid="{00000000-0005-0000-0000-000025020000}"/>
    <cellStyle name="20% - Accent1 2 2 6 3 3" xfId="4124" xr:uid="{00000000-0005-0000-0000-000026020000}"/>
    <cellStyle name="20% - Accent1 2 2 6 3 3 2" xfId="4125" xr:uid="{00000000-0005-0000-0000-000027020000}"/>
    <cellStyle name="20% - Accent1 2 2 6 3 3 2 2" xfId="4126" xr:uid="{00000000-0005-0000-0000-000028020000}"/>
    <cellStyle name="20% - Accent1 2 2 6 3 3 3" xfId="4127" xr:uid="{00000000-0005-0000-0000-000029020000}"/>
    <cellStyle name="20% - Accent1 2 2 6 3 4" xfId="4128" xr:uid="{00000000-0005-0000-0000-00002A020000}"/>
    <cellStyle name="20% - Accent1 2 2 6 3 4 2" xfId="4129" xr:uid="{00000000-0005-0000-0000-00002B020000}"/>
    <cellStyle name="20% - Accent1 2 2 6 3 5" xfId="4130" xr:uid="{00000000-0005-0000-0000-00002C020000}"/>
    <cellStyle name="20% - Accent1 2 2 6 3 6" xfId="4131" xr:uid="{00000000-0005-0000-0000-00002D020000}"/>
    <cellStyle name="20% - Accent1 2 2 6 3 7" xfId="4132" xr:uid="{00000000-0005-0000-0000-00002E020000}"/>
    <cellStyle name="20% - Accent1 2 2 6 4" xfId="4133" xr:uid="{00000000-0005-0000-0000-00002F020000}"/>
    <cellStyle name="20% - Accent1 2 2 6 4 2" xfId="4134" xr:uid="{00000000-0005-0000-0000-000030020000}"/>
    <cellStyle name="20% - Accent1 2 2 6 4 2 2" xfId="4135" xr:uid="{00000000-0005-0000-0000-000031020000}"/>
    <cellStyle name="20% - Accent1 2 2 6 4 2 2 2" xfId="4136" xr:uid="{00000000-0005-0000-0000-000032020000}"/>
    <cellStyle name="20% - Accent1 2 2 6 4 2 3" xfId="4137" xr:uid="{00000000-0005-0000-0000-000033020000}"/>
    <cellStyle name="20% - Accent1 2 2 6 4 3" xfId="4138" xr:uid="{00000000-0005-0000-0000-000034020000}"/>
    <cellStyle name="20% - Accent1 2 2 6 4 3 2" xfId="4139" xr:uid="{00000000-0005-0000-0000-000035020000}"/>
    <cellStyle name="20% - Accent1 2 2 6 4 4" xfId="4140" xr:uid="{00000000-0005-0000-0000-000036020000}"/>
    <cellStyle name="20% - Accent1 2 2 6 4 5" xfId="4141" xr:uid="{00000000-0005-0000-0000-000037020000}"/>
    <cellStyle name="20% - Accent1 2 2 6 4 6" xfId="4142" xr:uid="{00000000-0005-0000-0000-000038020000}"/>
    <cellStyle name="20% - Accent1 2 2 6 5" xfId="4143" xr:uid="{00000000-0005-0000-0000-000039020000}"/>
    <cellStyle name="20% - Accent1 2 2 6 5 2" xfId="4144" xr:uid="{00000000-0005-0000-0000-00003A020000}"/>
    <cellStyle name="20% - Accent1 2 2 6 5 2 2" xfId="4145" xr:uid="{00000000-0005-0000-0000-00003B020000}"/>
    <cellStyle name="20% - Accent1 2 2 6 5 3" xfId="4146" xr:uid="{00000000-0005-0000-0000-00003C020000}"/>
    <cellStyle name="20% - Accent1 2 2 6 6" xfId="4147" xr:uid="{00000000-0005-0000-0000-00003D020000}"/>
    <cellStyle name="20% - Accent1 2 2 6 6 2" xfId="4148" xr:uid="{00000000-0005-0000-0000-00003E020000}"/>
    <cellStyle name="20% - Accent1 2 2 6 6 2 2" xfId="4149" xr:uid="{00000000-0005-0000-0000-00003F020000}"/>
    <cellStyle name="20% - Accent1 2 2 6 6 3" xfId="4150" xr:uid="{00000000-0005-0000-0000-000040020000}"/>
    <cellStyle name="20% - Accent1 2 2 6 7" xfId="4151" xr:uid="{00000000-0005-0000-0000-000041020000}"/>
    <cellStyle name="20% - Accent1 2 2 6 7 2" xfId="4152" xr:uid="{00000000-0005-0000-0000-000042020000}"/>
    <cellStyle name="20% - Accent1 2 2 6 8" xfId="4153" xr:uid="{00000000-0005-0000-0000-000043020000}"/>
    <cellStyle name="20% - Accent1 2 2 6 8 2" xfId="4154" xr:uid="{00000000-0005-0000-0000-000044020000}"/>
    <cellStyle name="20% - Accent1 2 2 6 9" xfId="4155" xr:uid="{00000000-0005-0000-0000-000045020000}"/>
    <cellStyle name="20% - Accent1 2 2 7" xfId="4156" xr:uid="{00000000-0005-0000-0000-000046020000}"/>
    <cellStyle name="20% - Accent1 2 2 7 2" xfId="4157" xr:uid="{00000000-0005-0000-0000-000047020000}"/>
    <cellStyle name="20% - Accent1 2 2 7 2 2" xfId="4158" xr:uid="{00000000-0005-0000-0000-000048020000}"/>
    <cellStyle name="20% - Accent1 2 2 7 2 2 2" xfId="4159" xr:uid="{00000000-0005-0000-0000-000049020000}"/>
    <cellStyle name="20% - Accent1 2 2 7 2 2 2 2" xfId="4160" xr:uid="{00000000-0005-0000-0000-00004A020000}"/>
    <cellStyle name="20% - Accent1 2 2 7 2 2 3" xfId="4161" xr:uid="{00000000-0005-0000-0000-00004B020000}"/>
    <cellStyle name="20% - Accent1 2 2 7 2 3" xfId="4162" xr:uid="{00000000-0005-0000-0000-00004C020000}"/>
    <cellStyle name="20% - Accent1 2 2 7 2 3 2" xfId="4163" xr:uid="{00000000-0005-0000-0000-00004D020000}"/>
    <cellStyle name="20% - Accent1 2 2 7 2 4" xfId="4164" xr:uid="{00000000-0005-0000-0000-00004E020000}"/>
    <cellStyle name="20% - Accent1 2 2 7 2 5" xfId="4165" xr:uid="{00000000-0005-0000-0000-00004F020000}"/>
    <cellStyle name="20% - Accent1 2 2 7 2 6" xfId="4166" xr:uid="{00000000-0005-0000-0000-000050020000}"/>
    <cellStyle name="20% - Accent1 2 2 7 3" xfId="4167" xr:uid="{00000000-0005-0000-0000-000051020000}"/>
    <cellStyle name="20% - Accent1 2 2 7 3 2" xfId="4168" xr:uid="{00000000-0005-0000-0000-000052020000}"/>
    <cellStyle name="20% - Accent1 2 2 7 3 2 2" xfId="4169" xr:uid="{00000000-0005-0000-0000-000053020000}"/>
    <cellStyle name="20% - Accent1 2 2 7 3 3" xfId="4170" xr:uid="{00000000-0005-0000-0000-000054020000}"/>
    <cellStyle name="20% - Accent1 2 2 7 4" xfId="4171" xr:uid="{00000000-0005-0000-0000-000055020000}"/>
    <cellStyle name="20% - Accent1 2 2 7 4 2" xfId="4172" xr:uid="{00000000-0005-0000-0000-000056020000}"/>
    <cellStyle name="20% - Accent1 2 2 7 5" xfId="4173" xr:uid="{00000000-0005-0000-0000-000057020000}"/>
    <cellStyle name="20% - Accent1 2 2 7 5 2" xfId="4174" xr:uid="{00000000-0005-0000-0000-000058020000}"/>
    <cellStyle name="20% - Accent1 2 2 7 6" xfId="4175" xr:uid="{00000000-0005-0000-0000-000059020000}"/>
    <cellStyle name="20% - Accent1 2 2 7 7" xfId="4176" xr:uid="{00000000-0005-0000-0000-00005A020000}"/>
    <cellStyle name="20% - Accent1 2 2 7 8" xfId="4177" xr:uid="{00000000-0005-0000-0000-00005B020000}"/>
    <cellStyle name="20% - Accent1 2 2 8" xfId="4178" xr:uid="{00000000-0005-0000-0000-00005C020000}"/>
    <cellStyle name="20% - Accent1 2 2 8 2" xfId="4179" xr:uid="{00000000-0005-0000-0000-00005D020000}"/>
    <cellStyle name="20% - Accent1 2 2 8 2 2" xfId="4180" xr:uid="{00000000-0005-0000-0000-00005E020000}"/>
    <cellStyle name="20% - Accent1 2 2 8 2 2 2" xfId="4181" xr:uid="{00000000-0005-0000-0000-00005F020000}"/>
    <cellStyle name="20% - Accent1 2 2 8 2 2 2 2" xfId="4182" xr:uid="{00000000-0005-0000-0000-000060020000}"/>
    <cellStyle name="20% - Accent1 2 2 8 2 2 3" xfId="4183" xr:uid="{00000000-0005-0000-0000-000061020000}"/>
    <cellStyle name="20% - Accent1 2 2 8 2 3" xfId="4184" xr:uid="{00000000-0005-0000-0000-000062020000}"/>
    <cellStyle name="20% - Accent1 2 2 8 2 3 2" xfId="4185" xr:uid="{00000000-0005-0000-0000-000063020000}"/>
    <cellStyle name="20% - Accent1 2 2 8 2 4" xfId="4186" xr:uid="{00000000-0005-0000-0000-000064020000}"/>
    <cellStyle name="20% - Accent1 2 2 8 2 5" xfId="4187" xr:uid="{00000000-0005-0000-0000-000065020000}"/>
    <cellStyle name="20% - Accent1 2 2 8 2 6" xfId="4188" xr:uid="{00000000-0005-0000-0000-000066020000}"/>
    <cellStyle name="20% - Accent1 2 2 8 3" xfId="4189" xr:uid="{00000000-0005-0000-0000-000067020000}"/>
    <cellStyle name="20% - Accent1 2 2 8 3 2" xfId="4190" xr:uid="{00000000-0005-0000-0000-000068020000}"/>
    <cellStyle name="20% - Accent1 2 2 8 3 2 2" xfId="4191" xr:uid="{00000000-0005-0000-0000-000069020000}"/>
    <cellStyle name="20% - Accent1 2 2 8 3 3" xfId="4192" xr:uid="{00000000-0005-0000-0000-00006A020000}"/>
    <cellStyle name="20% - Accent1 2 2 8 4" xfId="4193" xr:uid="{00000000-0005-0000-0000-00006B020000}"/>
    <cellStyle name="20% - Accent1 2 2 8 4 2" xfId="4194" xr:uid="{00000000-0005-0000-0000-00006C020000}"/>
    <cellStyle name="20% - Accent1 2 2 8 5" xfId="4195" xr:uid="{00000000-0005-0000-0000-00006D020000}"/>
    <cellStyle name="20% - Accent1 2 2 8 6" xfId="4196" xr:uid="{00000000-0005-0000-0000-00006E020000}"/>
    <cellStyle name="20% - Accent1 2 2 8 7" xfId="4197" xr:uid="{00000000-0005-0000-0000-00006F020000}"/>
    <cellStyle name="20% - Accent1 2 2 9" xfId="4198" xr:uid="{00000000-0005-0000-0000-000070020000}"/>
    <cellStyle name="20% - Accent1 2 2 9 2" xfId="4199" xr:uid="{00000000-0005-0000-0000-000071020000}"/>
    <cellStyle name="20% - Accent1 2 2 9 2 2" xfId="4200" xr:uid="{00000000-0005-0000-0000-000072020000}"/>
    <cellStyle name="20% - Accent1 2 2 9 2 2 2" xfId="4201" xr:uid="{00000000-0005-0000-0000-000073020000}"/>
    <cellStyle name="20% - Accent1 2 2 9 2 3" xfId="4202" xr:uid="{00000000-0005-0000-0000-000074020000}"/>
    <cellStyle name="20% - Accent1 2 2 9 3" xfId="4203" xr:uid="{00000000-0005-0000-0000-000075020000}"/>
    <cellStyle name="20% - Accent1 2 2 9 3 2" xfId="4204" xr:uid="{00000000-0005-0000-0000-000076020000}"/>
    <cellStyle name="20% - Accent1 2 2 9 4" xfId="4205" xr:uid="{00000000-0005-0000-0000-000077020000}"/>
    <cellStyle name="20% - Accent1 2 2 9 5" xfId="4206" xr:uid="{00000000-0005-0000-0000-000078020000}"/>
    <cellStyle name="20% - Accent1 2 2 9 6" xfId="4207" xr:uid="{00000000-0005-0000-0000-000079020000}"/>
    <cellStyle name="20% - Accent1 2 3" xfId="4208" xr:uid="{00000000-0005-0000-0000-00007A020000}"/>
    <cellStyle name="20% - Accent1 2 3 2" xfId="4209" xr:uid="{00000000-0005-0000-0000-00007B020000}"/>
    <cellStyle name="20% - Accent1 2 3 2 2" xfId="4210" xr:uid="{00000000-0005-0000-0000-00007C020000}"/>
    <cellStyle name="20% - Accent1 2 3 2 2 2" xfId="4211" xr:uid="{00000000-0005-0000-0000-00007D020000}"/>
    <cellStyle name="20% - Accent1 2 3 2 2 2 2" xfId="4212" xr:uid="{00000000-0005-0000-0000-00007E020000}"/>
    <cellStyle name="20% - Accent1 2 3 2 2 3" xfId="4213" xr:uid="{00000000-0005-0000-0000-00007F020000}"/>
    <cellStyle name="20% - Accent1 2 3 2 3" xfId="4214" xr:uid="{00000000-0005-0000-0000-000080020000}"/>
    <cellStyle name="20% - Accent1 2 3 2 3 2" xfId="4215" xr:uid="{00000000-0005-0000-0000-000081020000}"/>
    <cellStyle name="20% - Accent1 2 3 2 4" xfId="4216" xr:uid="{00000000-0005-0000-0000-000082020000}"/>
    <cellStyle name="20% - Accent1 2 3 3" xfId="4217" xr:uid="{00000000-0005-0000-0000-000083020000}"/>
    <cellStyle name="20% - Accent1 2 3 3 2" xfId="4218" xr:uid="{00000000-0005-0000-0000-000084020000}"/>
    <cellStyle name="20% - Accent1 2 3 3 2 2" xfId="4219" xr:uid="{00000000-0005-0000-0000-000085020000}"/>
    <cellStyle name="20% - Accent1 2 3 3 2 2 2" xfId="4220" xr:uid="{00000000-0005-0000-0000-000086020000}"/>
    <cellStyle name="20% - Accent1 2 3 3 2 3" xfId="4221" xr:uid="{00000000-0005-0000-0000-000087020000}"/>
    <cellStyle name="20% - Accent1 2 3 3 3" xfId="4222" xr:uid="{00000000-0005-0000-0000-000088020000}"/>
    <cellStyle name="20% - Accent1 2 3 3 3 2" xfId="4223" xr:uid="{00000000-0005-0000-0000-000089020000}"/>
    <cellStyle name="20% - Accent1 2 3 3 4" xfId="4224" xr:uid="{00000000-0005-0000-0000-00008A020000}"/>
    <cellStyle name="20% - Accent1 2 3 4" xfId="4225" xr:uid="{00000000-0005-0000-0000-00008B020000}"/>
    <cellStyle name="20% - Accent1 2 3 4 2" xfId="4226" xr:uid="{00000000-0005-0000-0000-00008C020000}"/>
    <cellStyle name="20% - Accent1 2 3 4 2 2" xfId="4227" xr:uid="{00000000-0005-0000-0000-00008D020000}"/>
    <cellStyle name="20% - Accent1 2 3 4 2 2 2" xfId="4228" xr:uid="{00000000-0005-0000-0000-00008E020000}"/>
    <cellStyle name="20% - Accent1 2 3 4 2 3" xfId="4229" xr:uid="{00000000-0005-0000-0000-00008F020000}"/>
    <cellStyle name="20% - Accent1 2 3 4 3" xfId="4230" xr:uid="{00000000-0005-0000-0000-000090020000}"/>
    <cellStyle name="20% - Accent1 2 3 4 3 2" xfId="4231" xr:uid="{00000000-0005-0000-0000-000091020000}"/>
    <cellStyle name="20% - Accent1 2 3 4 4" xfId="4232" xr:uid="{00000000-0005-0000-0000-000092020000}"/>
    <cellStyle name="20% - Accent1 2 4" xfId="4233" xr:uid="{00000000-0005-0000-0000-000093020000}"/>
    <cellStyle name="20% - Accent1 2 4 2" xfId="4234" xr:uid="{00000000-0005-0000-0000-000094020000}"/>
    <cellStyle name="20% - Accent1 2 5" xfId="4235" xr:uid="{00000000-0005-0000-0000-000095020000}"/>
    <cellStyle name="20% - Accent1 2 5 2" xfId="4236" xr:uid="{00000000-0005-0000-0000-000096020000}"/>
    <cellStyle name="20% - Accent1 2 6" xfId="4237" xr:uid="{00000000-0005-0000-0000-000097020000}"/>
    <cellStyle name="20% - Accent1 2 6 2" xfId="4238" xr:uid="{00000000-0005-0000-0000-000098020000}"/>
    <cellStyle name="20% - Accent1 2 7" xfId="4239" xr:uid="{00000000-0005-0000-0000-000099020000}"/>
    <cellStyle name="20% - Accent1 2 7 2" xfId="4240" xr:uid="{00000000-0005-0000-0000-00009A020000}"/>
    <cellStyle name="20% - Accent1 2 7 2 2" xfId="4241" xr:uid="{00000000-0005-0000-0000-00009B020000}"/>
    <cellStyle name="20% - Accent1 2 7 3" xfId="4242" xr:uid="{00000000-0005-0000-0000-00009C020000}"/>
    <cellStyle name="20% - Accent1 3" xfId="162" xr:uid="{00000000-0005-0000-0000-00009D020000}"/>
    <cellStyle name="20% - Accent1 3 10" xfId="4243" xr:uid="{00000000-0005-0000-0000-00009E020000}"/>
    <cellStyle name="20% - Accent1 3 10 2" xfId="4244" xr:uid="{00000000-0005-0000-0000-00009F020000}"/>
    <cellStyle name="20% - Accent1 3 10 2 2" xfId="4245" xr:uid="{00000000-0005-0000-0000-0000A0020000}"/>
    <cellStyle name="20% - Accent1 3 10 2 2 2" xfId="4246" xr:uid="{00000000-0005-0000-0000-0000A1020000}"/>
    <cellStyle name="20% - Accent1 3 10 2 2 2 2" xfId="4247" xr:uid="{00000000-0005-0000-0000-0000A2020000}"/>
    <cellStyle name="20% - Accent1 3 10 2 2 3" xfId="4248" xr:uid="{00000000-0005-0000-0000-0000A3020000}"/>
    <cellStyle name="20% - Accent1 3 10 2 3" xfId="4249" xr:uid="{00000000-0005-0000-0000-0000A4020000}"/>
    <cellStyle name="20% - Accent1 3 10 2 3 2" xfId="4250" xr:uid="{00000000-0005-0000-0000-0000A5020000}"/>
    <cellStyle name="20% - Accent1 3 10 2 4" xfId="4251" xr:uid="{00000000-0005-0000-0000-0000A6020000}"/>
    <cellStyle name="20% - Accent1 3 10 2 5" xfId="4252" xr:uid="{00000000-0005-0000-0000-0000A7020000}"/>
    <cellStyle name="20% - Accent1 3 10 2 6" xfId="4253" xr:uid="{00000000-0005-0000-0000-0000A8020000}"/>
    <cellStyle name="20% - Accent1 3 10 3" xfId="4254" xr:uid="{00000000-0005-0000-0000-0000A9020000}"/>
    <cellStyle name="20% - Accent1 3 10 3 2" xfId="4255" xr:uid="{00000000-0005-0000-0000-0000AA020000}"/>
    <cellStyle name="20% - Accent1 3 10 3 2 2" xfId="4256" xr:uid="{00000000-0005-0000-0000-0000AB020000}"/>
    <cellStyle name="20% - Accent1 3 10 3 3" xfId="4257" xr:uid="{00000000-0005-0000-0000-0000AC020000}"/>
    <cellStyle name="20% - Accent1 3 10 4" xfId="4258" xr:uid="{00000000-0005-0000-0000-0000AD020000}"/>
    <cellStyle name="20% - Accent1 3 10 4 2" xfId="4259" xr:uid="{00000000-0005-0000-0000-0000AE020000}"/>
    <cellStyle name="20% - Accent1 3 10 4 2 2" xfId="4260" xr:uid="{00000000-0005-0000-0000-0000AF020000}"/>
    <cellStyle name="20% - Accent1 3 10 4 3" xfId="4261" xr:uid="{00000000-0005-0000-0000-0000B0020000}"/>
    <cellStyle name="20% - Accent1 3 10 5" xfId="4262" xr:uid="{00000000-0005-0000-0000-0000B1020000}"/>
    <cellStyle name="20% - Accent1 3 10 6" xfId="4263" xr:uid="{00000000-0005-0000-0000-0000B2020000}"/>
    <cellStyle name="20% - Accent1 3 11" xfId="4264" xr:uid="{00000000-0005-0000-0000-0000B3020000}"/>
    <cellStyle name="20% - Accent1 3 11 2" xfId="4265" xr:uid="{00000000-0005-0000-0000-0000B4020000}"/>
    <cellStyle name="20% - Accent1 3 11 2 2" xfId="4266" xr:uid="{00000000-0005-0000-0000-0000B5020000}"/>
    <cellStyle name="20% - Accent1 3 11 2 2 2" xfId="4267" xr:uid="{00000000-0005-0000-0000-0000B6020000}"/>
    <cellStyle name="20% - Accent1 3 11 2 2 2 2" xfId="4268" xr:uid="{00000000-0005-0000-0000-0000B7020000}"/>
    <cellStyle name="20% - Accent1 3 11 2 2 3" xfId="4269" xr:uid="{00000000-0005-0000-0000-0000B8020000}"/>
    <cellStyle name="20% - Accent1 3 11 2 3" xfId="4270" xr:uid="{00000000-0005-0000-0000-0000B9020000}"/>
    <cellStyle name="20% - Accent1 3 11 2 3 2" xfId="4271" xr:uid="{00000000-0005-0000-0000-0000BA020000}"/>
    <cellStyle name="20% - Accent1 3 11 2 4" xfId="4272" xr:uid="{00000000-0005-0000-0000-0000BB020000}"/>
    <cellStyle name="20% - Accent1 3 11 2 5" xfId="4273" xr:uid="{00000000-0005-0000-0000-0000BC020000}"/>
    <cellStyle name="20% - Accent1 3 11 2 6" xfId="4274" xr:uid="{00000000-0005-0000-0000-0000BD020000}"/>
    <cellStyle name="20% - Accent1 3 11 3" xfId="4275" xr:uid="{00000000-0005-0000-0000-0000BE020000}"/>
    <cellStyle name="20% - Accent1 3 11 3 2" xfId="4276" xr:uid="{00000000-0005-0000-0000-0000BF020000}"/>
    <cellStyle name="20% - Accent1 3 11 3 2 2" xfId="4277" xr:uid="{00000000-0005-0000-0000-0000C0020000}"/>
    <cellStyle name="20% - Accent1 3 11 3 3" xfId="4278" xr:uid="{00000000-0005-0000-0000-0000C1020000}"/>
    <cellStyle name="20% - Accent1 3 11 4" xfId="4279" xr:uid="{00000000-0005-0000-0000-0000C2020000}"/>
    <cellStyle name="20% - Accent1 3 11 4 2" xfId="4280" xr:uid="{00000000-0005-0000-0000-0000C3020000}"/>
    <cellStyle name="20% - Accent1 3 11 5" xfId="4281" xr:uid="{00000000-0005-0000-0000-0000C4020000}"/>
    <cellStyle name="20% - Accent1 3 11 6" xfId="4282" xr:uid="{00000000-0005-0000-0000-0000C5020000}"/>
    <cellStyle name="20% - Accent1 3 11 7" xfId="4283" xr:uid="{00000000-0005-0000-0000-0000C6020000}"/>
    <cellStyle name="20% - Accent1 3 12" xfId="4284" xr:uid="{00000000-0005-0000-0000-0000C7020000}"/>
    <cellStyle name="20% - Accent1 3 13" xfId="4285" xr:uid="{00000000-0005-0000-0000-0000C8020000}"/>
    <cellStyle name="20% - Accent1 3 13 2" xfId="4286" xr:uid="{00000000-0005-0000-0000-0000C9020000}"/>
    <cellStyle name="20% - Accent1 3 13 2 2" xfId="4287" xr:uid="{00000000-0005-0000-0000-0000CA020000}"/>
    <cellStyle name="20% - Accent1 3 13 2 2 2" xfId="4288" xr:uid="{00000000-0005-0000-0000-0000CB020000}"/>
    <cellStyle name="20% - Accent1 3 13 2 3" xfId="4289" xr:uid="{00000000-0005-0000-0000-0000CC020000}"/>
    <cellStyle name="20% - Accent1 3 13 3" xfId="4290" xr:uid="{00000000-0005-0000-0000-0000CD020000}"/>
    <cellStyle name="20% - Accent1 3 13 3 2" xfId="4291" xr:uid="{00000000-0005-0000-0000-0000CE020000}"/>
    <cellStyle name="20% - Accent1 3 13 4" xfId="4292" xr:uid="{00000000-0005-0000-0000-0000CF020000}"/>
    <cellStyle name="20% - Accent1 3 14" xfId="4293" xr:uid="{00000000-0005-0000-0000-0000D0020000}"/>
    <cellStyle name="20% - Accent1 3 14 2" xfId="4294" xr:uid="{00000000-0005-0000-0000-0000D1020000}"/>
    <cellStyle name="20% - Accent1 3 14 2 2" xfId="4295" xr:uid="{00000000-0005-0000-0000-0000D2020000}"/>
    <cellStyle name="20% - Accent1 3 14 2 2 2" xfId="4296" xr:uid="{00000000-0005-0000-0000-0000D3020000}"/>
    <cellStyle name="20% - Accent1 3 14 2 3" xfId="4297" xr:uid="{00000000-0005-0000-0000-0000D4020000}"/>
    <cellStyle name="20% - Accent1 3 14 3" xfId="4298" xr:uid="{00000000-0005-0000-0000-0000D5020000}"/>
    <cellStyle name="20% - Accent1 3 14 3 2" xfId="4299" xr:uid="{00000000-0005-0000-0000-0000D6020000}"/>
    <cellStyle name="20% - Accent1 3 14 4" xfId="4300" xr:uid="{00000000-0005-0000-0000-0000D7020000}"/>
    <cellStyle name="20% - Accent1 3 15" xfId="4301" xr:uid="{00000000-0005-0000-0000-0000D8020000}"/>
    <cellStyle name="20% - Accent1 3 15 2" xfId="4302" xr:uid="{00000000-0005-0000-0000-0000D9020000}"/>
    <cellStyle name="20% - Accent1 3 15 2 2" xfId="4303" xr:uid="{00000000-0005-0000-0000-0000DA020000}"/>
    <cellStyle name="20% - Accent1 3 15 2 2 2" xfId="4304" xr:uid="{00000000-0005-0000-0000-0000DB020000}"/>
    <cellStyle name="20% - Accent1 3 15 2 3" xfId="4305" xr:uid="{00000000-0005-0000-0000-0000DC020000}"/>
    <cellStyle name="20% - Accent1 3 15 3" xfId="4306" xr:uid="{00000000-0005-0000-0000-0000DD020000}"/>
    <cellStyle name="20% - Accent1 3 15 3 2" xfId="4307" xr:uid="{00000000-0005-0000-0000-0000DE020000}"/>
    <cellStyle name="20% - Accent1 3 15 4" xfId="4308" xr:uid="{00000000-0005-0000-0000-0000DF020000}"/>
    <cellStyle name="20% - Accent1 3 16" xfId="4309" xr:uid="{00000000-0005-0000-0000-0000E0020000}"/>
    <cellStyle name="20% - Accent1 3 16 2" xfId="4310" xr:uid="{00000000-0005-0000-0000-0000E1020000}"/>
    <cellStyle name="20% - Accent1 3 16 2 2" xfId="4311" xr:uid="{00000000-0005-0000-0000-0000E2020000}"/>
    <cellStyle name="20% - Accent1 3 16 3" xfId="4312" xr:uid="{00000000-0005-0000-0000-0000E3020000}"/>
    <cellStyle name="20% - Accent1 3 2" xfId="4313" xr:uid="{00000000-0005-0000-0000-0000E4020000}"/>
    <cellStyle name="20% - Accent1 3 2 10" xfId="4314" xr:uid="{00000000-0005-0000-0000-0000E5020000}"/>
    <cellStyle name="20% - Accent1 3 2 11" xfId="4315" xr:uid="{00000000-0005-0000-0000-0000E6020000}"/>
    <cellStyle name="20% - Accent1 3 2 2" xfId="4316" xr:uid="{00000000-0005-0000-0000-0000E7020000}"/>
    <cellStyle name="20% - Accent1 3 2 2 2" xfId="4317" xr:uid="{00000000-0005-0000-0000-0000E8020000}"/>
    <cellStyle name="20% - Accent1 3 2 2 2 2" xfId="4318" xr:uid="{00000000-0005-0000-0000-0000E9020000}"/>
    <cellStyle name="20% - Accent1 3 2 2 2 2 2" xfId="4319" xr:uid="{00000000-0005-0000-0000-0000EA020000}"/>
    <cellStyle name="20% - Accent1 3 2 2 2 2 2 2" xfId="4320" xr:uid="{00000000-0005-0000-0000-0000EB020000}"/>
    <cellStyle name="20% - Accent1 3 2 2 2 2 3" xfId="4321" xr:uid="{00000000-0005-0000-0000-0000EC020000}"/>
    <cellStyle name="20% - Accent1 3 2 2 2 3" xfId="4322" xr:uid="{00000000-0005-0000-0000-0000ED020000}"/>
    <cellStyle name="20% - Accent1 3 2 2 2 3 2" xfId="4323" xr:uid="{00000000-0005-0000-0000-0000EE020000}"/>
    <cellStyle name="20% - Accent1 3 2 2 2 4" xfId="4324" xr:uid="{00000000-0005-0000-0000-0000EF020000}"/>
    <cellStyle name="20% - Accent1 3 2 2 2 5" xfId="4325" xr:uid="{00000000-0005-0000-0000-0000F0020000}"/>
    <cellStyle name="20% - Accent1 3 2 2 2 6" xfId="4326" xr:uid="{00000000-0005-0000-0000-0000F1020000}"/>
    <cellStyle name="20% - Accent1 3 2 2 3" xfId="4327" xr:uid="{00000000-0005-0000-0000-0000F2020000}"/>
    <cellStyle name="20% - Accent1 3 2 2 3 2" xfId="4328" xr:uid="{00000000-0005-0000-0000-0000F3020000}"/>
    <cellStyle name="20% - Accent1 3 2 2 3 2 2" xfId="4329" xr:uid="{00000000-0005-0000-0000-0000F4020000}"/>
    <cellStyle name="20% - Accent1 3 2 2 3 3" xfId="4330" xr:uid="{00000000-0005-0000-0000-0000F5020000}"/>
    <cellStyle name="20% - Accent1 3 2 2 4" xfId="4331" xr:uid="{00000000-0005-0000-0000-0000F6020000}"/>
    <cellStyle name="20% - Accent1 3 2 2 4 2" xfId="4332" xr:uid="{00000000-0005-0000-0000-0000F7020000}"/>
    <cellStyle name="20% - Accent1 3 2 2 5" xfId="4333" xr:uid="{00000000-0005-0000-0000-0000F8020000}"/>
    <cellStyle name="20% - Accent1 3 2 2 5 2" xfId="4334" xr:uid="{00000000-0005-0000-0000-0000F9020000}"/>
    <cellStyle name="20% - Accent1 3 2 2 6" xfId="4335" xr:uid="{00000000-0005-0000-0000-0000FA020000}"/>
    <cellStyle name="20% - Accent1 3 2 2 7" xfId="4336" xr:uid="{00000000-0005-0000-0000-0000FB020000}"/>
    <cellStyle name="20% - Accent1 3 2 2 8" xfId="4337" xr:uid="{00000000-0005-0000-0000-0000FC020000}"/>
    <cellStyle name="20% - Accent1 3 2 3" xfId="4338" xr:uid="{00000000-0005-0000-0000-0000FD020000}"/>
    <cellStyle name="20% - Accent1 3 2 3 2" xfId="4339" xr:uid="{00000000-0005-0000-0000-0000FE020000}"/>
    <cellStyle name="20% - Accent1 3 2 3 2 2" xfId="4340" xr:uid="{00000000-0005-0000-0000-0000FF020000}"/>
    <cellStyle name="20% - Accent1 3 2 3 2 2 2" xfId="4341" xr:uid="{00000000-0005-0000-0000-000000030000}"/>
    <cellStyle name="20% - Accent1 3 2 3 2 2 2 2" xfId="4342" xr:uid="{00000000-0005-0000-0000-000001030000}"/>
    <cellStyle name="20% - Accent1 3 2 3 2 2 3" xfId="4343" xr:uid="{00000000-0005-0000-0000-000002030000}"/>
    <cellStyle name="20% - Accent1 3 2 3 2 3" xfId="4344" xr:uid="{00000000-0005-0000-0000-000003030000}"/>
    <cellStyle name="20% - Accent1 3 2 3 2 3 2" xfId="4345" xr:uid="{00000000-0005-0000-0000-000004030000}"/>
    <cellStyle name="20% - Accent1 3 2 3 2 4" xfId="4346" xr:uid="{00000000-0005-0000-0000-000005030000}"/>
    <cellStyle name="20% - Accent1 3 2 3 2 5" xfId="4347" xr:uid="{00000000-0005-0000-0000-000006030000}"/>
    <cellStyle name="20% - Accent1 3 2 3 2 6" xfId="4348" xr:uid="{00000000-0005-0000-0000-000007030000}"/>
    <cellStyle name="20% - Accent1 3 2 3 3" xfId="4349" xr:uid="{00000000-0005-0000-0000-000008030000}"/>
    <cellStyle name="20% - Accent1 3 2 3 3 2" xfId="4350" xr:uid="{00000000-0005-0000-0000-000009030000}"/>
    <cellStyle name="20% - Accent1 3 2 3 3 2 2" xfId="4351" xr:uid="{00000000-0005-0000-0000-00000A030000}"/>
    <cellStyle name="20% - Accent1 3 2 3 3 3" xfId="4352" xr:uid="{00000000-0005-0000-0000-00000B030000}"/>
    <cellStyle name="20% - Accent1 3 2 3 4" xfId="4353" xr:uid="{00000000-0005-0000-0000-00000C030000}"/>
    <cellStyle name="20% - Accent1 3 2 3 4 2" xfId="4354" xr:uid="{00000000-0005-0000-0000-00000D030000}"/>
    <cellStyle name="20% - Accent1 3 2 3 5" xfId="4355" xr:uid="{00000000-0005-0000-0000-00000E030000}"/>
    <cellStyle name="20% - Accent1 3 2 3 6" xfId="4356" xr:uid="{00000000-0005-0000-0000-00000F030000}"/>
    <cellStyle name="20% - Accent1 3 2 3 7" xfId="4357" xr:uid="{00000000-0005-0000-0000-000010030000}"/>
    <cellStyle name="20% - Accent1 3 2 4" xfId="4358" xr:uid="{00000000-0005-0000-0000-000011030000}"/>
    <cellStyle name="20% - Accent1 3 2 4 2" xfId="4359" xr:uid="{00000000-0005-0000-0000-000012030000}"/>
    <cellStyle name="20% - Accent1 3 2 4 2 2" xfId="4360" xr:uid="{00000000-0005-0000-0000-000013030000}"/>
    <cellStyle name="20% - Accent1 3 2 4 2 2 2" xfId="4361" xr:uid="{00000000-0005-0000-0000-000014030000}"/>
    <cellStyle name="20% - Accent1 3 2 4 2 3" xfId="4362" xr:uid="{00000000-0005-0000-0000-000015030000}"/>
    <cellStyle name="20% - Accent1 3 2 4 3" xfId="4363" xr:uid="{00000000-0005-0000-0000-000016030000}"/>
    <cellStyle name="20% - Accent1 3 2 4 3 2" xfId="4364" xr:uid="{00000000-0005-0000-0000-000017030000}"/>
    <cellStyle name="20% - Accent1 3 2 4 4" xfId="4365" xr:uid="{00000000-0005-0000-0000-000018030000}"/>
    <cellStyle name="20% - Accent1 3 2 4 5" xfId="4366" xr:uid="{00000000-0005-0000-0000-000019030000}"/>
    <cellStyle name="20% - Accent1 3 2 4 6" xfId="4367" xr:uid="{00000000-0005-0000-0000-00001A030000}"/>
    <cellStyle name="20% - Accent1 3 2 5" xfId="4368" xr:uid="{00000000-0005-0000-0000-00001B030000}"/>
    <cellStyle name="20% - Accent1 3 2 5 2" xfId="4369" xr:uid="{00000000-0005-0000-0000-00001C030000}"/>
    <cellStyle name="20% - Accent1 3 2 5 2 2" xfId="4370" xr:uid="{00000000-0005-0000-0000-00001D030000}"/>
    <cellStyle name="20% - Accent1 3 2 5 3" xfId="4371" xr:uid="{00000000-0005-0000-0000-00001E030000}"/>
    <cellStyle name="20% - Accent1 3 2 6" xfId="4372" xr:uid="{00000000-0005-0000-0000-00001F030000}"/>
    <cellStyle name="20% - Accent1 3 2 6 2" xfId="4373" xr:uid="{00000000-0005-0000-0000-000020030000}"/>
    <cellStyle name="20% - Accent1 3 2 6 2 2" xfId="4374" xr:uid="{00000000-0005-0000-0000-000021030000}"/>
    <cellStyle name="20% - Accent1 3 2 6 3" xfId="4375" xr:uid="{00000000-0005-0000-0000-000022030000}"/>
    <cellStyle name="20% - Accent1 3 2 7" xfId="4376" xr:uid="{00000000-0005-0000-0000-000023030000}"/>
    <cellStyle name="20% - Accent1 3 2 7 2" xfId="4377" xr:uid="{00000000-0005-0000-0000-000024030000}"/>
    <cellStyle name="20% - Accent1 3 2 8" xfId="4378" xr:uid="{00000000-0005-0000-0000-000025030000}"/>
    <cellStyle name="20% - Accent1 3 2 8 2" xfId="4379" xr:uid="{00000000-0005-0000-0000-000026030000}"/>
    <cellStyle name="20% - Accent1 3 2 9" xfId="4380" xr:uid="{00000000-0005-0000-0000-000027030000}"/>
    <cellStyle name="20% - Accent1 3 3" xfId="4381" xr:uid="{00000000-0005-0000-0000-000028030000}"/>
    <cellStyle name="20% - Accent1 3 3 10" xfId="4382" xr:uid="{00000000-0005-0000-0000-000029030000}"/>
    <cellStyle name="20% - Accent1 3 3 11" xfId="4383" xr:uid="{00000000-0005-0000-0000-00002A030000}"/>
    <cellStyle name="20% - Accent1 3 3 2" xfId="4384" xr:uid="{00000000-0005-0000-0000-00002B030000}"/>
    <cellStyle name="20% - Accent1 3 3 2 2" xfId="4385" xr:uid="{00000000-0005-0000-0000-00002C030000}"/>
    <cellStyle name="20% - Accent1 3 3 2 2 2" xfId="4386" xr:uid="{00000000-0005-0000-0000-00002D030000}"/>
    <cellStyle name="20% - Accent1 3 3 2 2 2 2" xfId="4387" xr:uid="{00000000-0005-0000-0000-00002E030000}"/>
    <cellStyle name="20% - Accent1 3 3 2 2 2 2 2" xfId="4388" xr:uid="{00000000-0005-0000-0000-00002F030000}"/>
    <cellStyle name="20% - Accent1 3 3 2 2 2 3" xfId="4389" xr:uid="{00000000-0005-0000-0000-000030030000}"/>
    <cellStyle name="20% - Accent1 3 3 2 2 3" xfId="4390" xr:uid="{00000000-0005-0000-0000-000031030000}"/>
    <cellStyle name="20% - Accent1 3 3 2 2 3 2" xfId="4391" xr:uid="{00000000-0005-0000-0000-000032030000}"/>
    <cellStyle name="20% - Accent1 3 3 2 2 4" xfId="4392" xr:uid="{00000000-0005-0000-0000-000033030000}"/>
    <cellStyle name="20% - Accent1 3 3 2 2 5" xfId="4393" xr:uid="{00000000-0005-0000-0000-000034030000}"/>
    <cellStyle name="20% - Accent1 3 3 2 2 6" xfId="4394" xr:uid="{00000000-0005-0000-0000-000035030000}"/>
    <cellStyle name="20% - Accent1 3 3 2 3" xfId="4395" xr:uid="{00000000-0005-0000-0000-000036030000}"/>
    <cellStyle name="20% - Accent1 3 3 2 3 2" xfId="4396" xr:uid="{00000000-0005-0000-0000-000037030000}"/>
    <cellStyle name="20% - Accent1 3 3 2 3 2 2" xfId="4397" xr:uid="{00000000-0005-0000-0000-000038030000}"/>
    <cellStyle name="20% - Accent1 3 3 2 3 3" xfId="4398" xr:uid="{00000000-0005-0000-0000-000039030000}"/>
    <cellStyle name="20% - Accent1 3 3 2 4" xfId="4399" xr:uid="{00000000-0005-0000-0000-00003A030000}"/>
    <cellStyle name="20% - Accent1 3 3 2 4 2" xfId="4400" xr:uid="{00000000-0005-0000-0000-00003B030000}"/>
    <cellStyle name="20% - Accent1 3 3 2 5" xfId="4401" xr:uid="{00000000-0005-0000-0000-00003C030000}"/>
    <cellStyle name="20% - Accent1 3 3 2 5 2" xfId="4402" xr:uid="{00000000-0005-0000-0000-00003D030000}"/>
    <cellStyle name="20% - Accent1 3 3 2 6" xfId="4403" xr:uid="{00000000-0005-0000-0000-00003E030000}"/>
    <cellStyle name="20% - Accent1 3 3 2 7" xfId="4404" xr:uid="{00000000-0005-0000-0000-00003F030000}"/>
    <cellStyle name="20% - Accent1 3 3 2 8" xfId="4405" xr:uid="{00000000-0005-0000-0000-000040030000}"/>
    <cellStyle name="20% - Accent1 3 3 3" xfId="4406" xr:uid="{00000000-0005-0000-0000-000041030000}"/>
    <cellStyle name="20% - Accent1 3 3 3 2" xfId="4407" xr:uid="{00000000-0005-0000-0000-000042030000}"/>
    <cellStyle name="20% - Accent1 3 3 3 2 2" xfId="4408" xr:uid="{00000000-0005-0000-0000-000043030000}"/>
    <cellStyle name="20% - Accent1 3 3 3 2 2 2" xfId="4409" xr:uid="{00000000-0005-0000-0000-000044030000}"/>
    <cellStyle name="20% - Accent1 3 3 3 2 2 2 2" xfId="4410" xr:uid="{00000000-0005-0000-0000-000045030000}"/>
    <cellStyle name="20% - Accent1 3 3 3 2 2 3" xfId="4411" xr:uid="{00000000-0005-0000-0000-000046030000}"/>
    <cellStyle name="20% - Accent1 3 3 3 2 3" xfId="4412" xr:uid="{00000000-0005-0000-0000-000047030000}"/>
    <cellStyle name="20% - Accent1 3 3 3 2 3 2" xfId="4413" xr:uid="{00000000-0005-0000-0000-000048030000}"/>
    <cellStyle name="20% - Accent1 3 3 3 2 4" xfId="4414" xr:uid="{00000000-0005-0000-0000-000049030000}"/>
    <cellStyle name="20% - Accent1 3 3 3 2 5" xfId="4415" xr:uid="{00000000-0005-0000-0000-00004A030000}"/>
    <cellStyle name="20% - Accent1 3 3 3 2 6" xfId="4416" xr:uid="{00000000-0005-0000-0000-00004B030000}"/>
    <cellStyle name="20% - Accent1 3 3 3 3" xfId="4417" xr:uid="{00000000-0005-0000-0000-00004C030000}"/>
    <cellStyle name="20% - Accent1 3 3 3 3 2" xfId="4418" xr:uid="{00000000-0005-0000-0000-00004D030000}"/>
    <cellStyle name="20% - Accent1 3 3 3 3 2 2" xfId="4419" xr:uid="{00000000-0005-0000-0000-00004E030000}"/>
    <cellStyle name="20% - Accent1 3 3 3 3 3" xfId="4420" xr:uid="{00000000-0005-0000-0000-00004F030000}"/>
    <cellStyle name="20% - Accent1 3 3 3 4" xfId="4421" xr:uid="{00000000-0005-0000-0000-000050030000}"/>
    <cellStyle name="20% - Accent1 3 3 3 4 2" xfId="4422" xr:uid="{00000000-0005-0000-0000-000051030000}"/>
    <cellStyle name="20% - Accent1 3 3 3 5" xfId="4423" xr:uid="{00000000-0005-0000-0000-000052030000}"/>
    <cellStyle name="20% - Accent1 3 3 3 6" xfId="4424" xr:uid="{00000000-0005-0000-0000-000053030000}"/>
    <cellStyle name="20% - Accent1 3 3 3 7" xfId="4425" xr:uid="{00000000-0005-0000-0000-000054030000}"/>
    <cellStyle name="20% - Accent1 3 3 4" xfId="4426" xr:uid="{00000000-0005-0000-0000-000055030000}"/>
    <cellStyle name="20% - Accent1 3 3 4 2" xfId="4427" xr:uid="{00000000-0005-0000-0000-000056030000}"/>
    <cellStyle name="20% - Accent1 3 3 4 2 2" xfId="4428" xr:uid="{00000000-0005-0000-0000-000057030000}"/>
    <cellStyle name="20% - Accent1 3 3 4 2 2 2" xfId="4429" xr:uid="{00000000-0005-0000-0000-000058030000}"/>
    <cellStyle name="20% - Accent1 3 3 4 2 3" xfId="4430" xr:uid="{00000000-0005-0000-0000-000059030000}"/>
    <cellStyle name="20% - Accent1 3 3 4 3" xfId="4431" xr:uid="{00000000-0005-0000-0000-00005A030000}"/>
    <cellStyle name="20% - Accent1 3 3 4 3 2" xfId="4432" xr:uid="{00000000-0005-0000-0000-00005B030000}"/>
    <cellStyle name="20% - Accent1 3 3 4 4" xfId="4433" xr:uid="{00000000-0005-0000-0000-00005C030000}"/>
    <cellStyle name="20% - Accent1 3 3 4 5" xfId="4434" xr:uid="{00000000-0005-0000-0000-00005D030000}"/>
    <cellStyle name="20% - Accent1 3 3 4 6" xfId="4435" xr:uid="{00000000-0005-0000-0000-00005E030000}"/>
    <cellStyle name="20% - Accent1 3 3 5" xfId="4436" xr:uid="{00000000-0005-0000-0000-00005F030000}"/>
    <cellStyle name="20% - Accent1 3 3 5 2" xfId="4437" xr:uid="{00000000-0005-0000-0000-000060030000}"/>
    <cellStyle name="20% - Accent1 3 3 5 2 2" xfId="4438" xr:uid="{00000000-0005-0000-0000-000061030000}"/>
    <cellStyle name="20% - Accent1 3 3 5 3" xfId="4439" xr:uid="{00000000-0005-0000-0000-000062030000}"/>
    <cellStyle name="20% - Accent1 3 3 6" xfId="4440" xr:uid="{00000000-0005-0000-0000-000063030000}"/>
    <cellStyle name="20% - Accent1 3 3 6 2" xfId="4441" xr:uid="{00000000-0005-0000-0000-000064030000}"/>
    <cellStyle name="20% - Accent1 3 3 6 2 2" xfId="4442" xr:uid="{00000000-0005-0000-0000-000065030000}"/>
    <cellStyle name="20% - Accent1 3 3 6 3" xfId="4443" xr:uid="{00000000-0005-0000-0000-000066030000}"/>
    <cellStyle name="20% - Accent1 3 3 7" xfId="4444" xr:uid="{00000000-0005-0000-0000-000067030000}"/>
    <cellStyle name="20% - Accent1 3 3 7 2" xfId="4445" xr:uid="{00000000-0005-0000-0000-000068030000}"/>
    <cellStyle name="20% - Accent1 3 3 8" xfId="4446" xr:uid="{00000000-0005-0000-0000-000069030000}"/>
    <cellStyle name="20% - Accent1 3 3 8 2" xfId="4447" xr:uid="{00000000-0005-0000-0000-00006A030000}"/>
    <cellStyle name="20% - Accent1 3 3 9" xfId="4448" xr:uid="{00000000-0005-0000-0000-00006B030000}"/>
    <cellStyle name="20% - Accent1 3 4" xfId="4449" xr:uid="{00000000-0005-0000-0000-00006C030000}"/>
    <cellStyle name="20% - Accent1 3 4 10" xfId="4450" xr:uid="{00000000-0005-0000-0000-00006D030000}"/>
    <cellStyle name="20% - Accent1 3 4 11" xfId="4451" xr:uid="{00000000-0005-0000-0000-00006E030000}"/>
    <cellStyle name="20% - Accent1 3 4 2" xfId="4452" xr:uid="{00000000-0005-0000-0000-00006F030000}"/>
    <cellStyle name="20% - Accent1 3 4 2 2" xfId="4453" xr:uid="{00000000-0005-0000-0000-000070030000}"/>
    <cellStyle name="20% - Accent1 3 4 2 2 2" xfId="4454" xr:uid="{00000000-0005-0000-0000-000071030000}"/>
    <cellStyle name="20% - Accent1 3 4 2 2 2 2" xfId="4455" xr:uid="{00000000-0005-0000-0000-000072030000}"/>
    <cellStyle name="20% - Accent1 3 4 2 2 2 2 2" xfId="4456" xr:uid="{00000000-0005-0000-0000-000073030000}"/>
    <cellStyle name="20% - Accent1 3 4 2 2 2 3" xfId="4457" xr:uid="{00000000-0005-0000-0000-000074030000}"/>
    <cellStyle name="20% - Accent1 3 4 2 2 3" xfId="4458" xr:uid="{00000000-0005-0000-0000-000075030000}"/>
    <cellStyle name="20% - Accent1 3 4 2 2 3 2" xfId="4459" xr:uid="{00000000-0005-0000-0000-000076030000}"/>
    <cellStyle name="20% - Accent1 3 4 2 2 4" xfId="4460" xr:uid="{00000000-0005-0000-0000-000077030000}"/>
    <cellStyle name="20% - Accent1 3 4 2 2 5" xfId="4461" xr:uid="{00000000-0005-0000-0000-000078030000}"/>
    <cellStyle name="20% - Accent1 3 4 2 2 6" xfId="4462" xr:uid="{00000000-0005-0000-0000-000079030000}"/>
    <cellStyle name="20% - Accent1 3 4 2 3" xfId="4463" xr:uid="{00000000-0005-0000-0000-00007A030000}"/>
    <cellStyle name="20% - Accent1 3 4 2 3 2" xfId="4464" xr:uid="{00000000-0005-0000-0000-00007B030000}"/>
    <cellStyle name="20% - Accent1 3 4 2 3 2 2" xfId="4465" xr:uid="{00000000-0005-0000-0000-00007C030000}"/>
    <cellStyle name="20% - Accent1 3 4 2 3 3" xfId="4466" xr:uid="{00000000-0005-0000-0000-00007D030000}"/>
    <cellStyle name="20% - Accent1 3 4 2 4" xfId="4467" xr:uid="{00000000-0005-0000-0000-00007E030000}"/>
    <cellStyle name="20% - Accent1 3 4 2 4 2" xfId="4468" xr:uid="{00000000-0005-0000-0000-00007F030000}"/>
    <cellStyle name="20% - Accent1 3 4 2 5" xfId="4469" xr:uid="{00000000-0005-0000-0000-000080030000}"/>
    <cellStyle name="20% - Accent1 3 4 2 5 2" xfId="4470" xr:uid="{00000000-0005-0000-0000-000081030000}"/>
    <cellStyle name="20% - Accent1 3 4 2 6" xfId="4471" xr:uid="{00000000-0005-0000-0000-000082030000}"/>
    <cellStyle name="20% - Accent1 3 4 2 7" xfId="4472" xr:uid="{00000000-0005-0000-0000-000083030000}"/>
    <cellStyle name="20% - Accent1 3 4 2 8" xfId="4473" xr:uid="{00000000-0005-0000-0000-000084030000}"/>
    <cellStyle name="20% - Accent1 3 4 3" xfId="4474" xr:uid="{00000000-0005-0000-0000-000085030000}"/>
    <cellStyle name="20% - Accent1 3 4 3 2" xfId="4475" xr:uid="{00000000-0005-0000-0000-000086030000}"/>
    <cellStyle name="20% - Accent1 3 4 3 2 2" xfId="4476" xr:uid="{00000000-0005-0000-0000-000087030000}"/>
    <cellStyle name="20% - Accent1 3 4 3 2 2 2" xfId="4477" xr:uid="{00000000-0005-0000-0000-000088030000}"/>
    <cellStyle name="20% - Accent1 3 4 3 2 2 2 2" xfId="4478" xr:uid="{00000000-0005-0000-0000-000089030000}"/>
    <cellStyle name="20% - Accent1 3 4 3 2 2 3" xfId="4479" xr:uid="{00000000-0005-0000-0000-00008A030000}"/>
    <cellStyle name="20% - Accent1 3 4 3 2 3" xfId="4480" xr:uid="{00000000-0005-0000-0000-00008B030000}"/>
    <cellStyle name="20% - Accent1 3 4 3 2 3 2" xfId="4481" xr:uid="{00000000-0005-0000-0000-00008C030000}"/>
    <cellStyle name="20% - Accent1 3 4 3 2 4" xfId="4482" xr:uid="{00000000-0005-0000-0000-00008D030000}"/>
    <cellStyle name="20% - Accent1 3 4 3 2 5" xfId="4483" xr:uid="{00000000-0005-0000-0000-00008E030000}"/>
    <cellStyle name="20% - Accent1 3 4 3 2 6" xfId="4484" xr:uid="{00000000-0005-0000-0000-00008F030000}"/>
    <cellStyle name="20% - Accent1 3 4 3 3" xfId="4485" xr:uid="{00000000-0005-0000-0000-000090030000}"/>
    <cellStyle name="20% - Accent1 3 4 3 3 2" xfId="4486" xr:uid="{00000000-0005-0000-0000-000091030000}"/>
    <cellStyle name="20% - Accent1 3 4 3 3 2 2" xfId="4487" xr:uid="{00000000-0005-0000-0000-000092030000}"/>
    <cellStyle name="20% - Accent1 3 4 3 3 3" xfId="4488" xr:uid="{00000000-0005-0000-0000-000093030000}"/>
    <cellStyle name="20% - Accent1 3 4 3 4" xfId="4489" xr:uid="{00000000-0005-0000-0000-000094030000}"/>
    <cellStyle name="20% - Accent1 3 4 3 4 2" xfId="4490" xr:uid="{00000000-0005-0000-0000-000095030000}"/>
    <cellStyle name="20% - Accent1 3 4 3 5" xfId="4491" xr:uid="{00000000-0005-0000-0000-000096030000}"/>
    <cellStyle name="20% - Accent1 3 4 3 6" xfId="4492" xr:uid="{00000000-0005-0000-0000-000097030000}"/>
    <cellStyle name="20% - Accent1 3 4 3 7" xfId="4493" xr:uid="{00000000-0005-0000-0000-000098030000}"/>
    <cellStyle name="20% - Accent1 3 4 4" xfId="4494" xr:uid="{00000000-0005-0000-0000-000099030000}"/>
    <cellStyle name="20% - Accent1 3 4 4 2" xfId="4495" xr:uid="{00000000-0005-0000-0000-00009A030000}"/>
    <cellStyle name="20% - Accent1 3 4 4 2 2" xfId="4496" xr:uid="{00000000-0005-0000-0000-00009B030000}"/>
    <cellStyle name="20% - Accent1 3 4 4 2 2 2" xfId="4497" xr:uid="{00000000-0005-0000-0000-00009C030000}"/>
    <cellStyle name="20% - Accent1 3 4 4 2 3" xfId="4498" xr:uid="{00000000-0005-0000-0000-00009D030000}"/>
    <cellStyle name="20% - Accent1 3 4 4 3" xfId="4499" xr:uid="{00000000-0005-0000-0000-00009E030000}"/>
    <cellStyle name="20% - Accent1 3 4 4 3 2" xfId="4500" xr:uid="{00000000-0005-0000-0000-00009F030000}"/>
    <cellStyle name="20% - Accent1 3 4 4 4" xfId="4501" xr:uid="{00000000-0005-0000-0000-0000A0030000}"/>
    <cellStyle name="20% - Accent1 3 4 4 5" xfId="4502" xr:uid="{00000000-0005-0000-0000-0000A1030000}"/>
    <cellStyle name="20% - Accent1 3 4 4 6" xfId="4503" xr:uid="{00000000-0005-0000-0000-0000A2030000}"/>
    <cellStyle name="20% - Accent1 3 4 5" xfId="4504" xr:uid="{00000000-0005-0000-0000-0000A3030000}"/>
    <cellStyle name="20% - Accent1 3 4 5 2" xfId="4505" xr:uid="{00000000-0005-0000-0000-0000A4030000}"/>
    <cellStyle name="20% - Accent1 3 4 5 2 2" xfId="4506" xr:uid="{00000000-0005-0000-0000-0000A5030000}"/>
    <cellStyle name="20% - Accent1 3 4 5 3" xfId="4507" xr:uid="{00000000-0005-0000-0000-0000A6030000}"/>
    <cellStyle name="20% - Accent1 3 4 6" xfId="4508" xr:uid="{00000000-0005-0000-0000-0000A7030000}"/>
    <cellStyle name="20% - Accent1 3 4 6 2" xfId="4509" xr:uid="{00000000-0005-0000-0000-0000A8030000}"/>
    <cellStyle name="20% - Accent1 3 4 6 2 2" xfId="4510" xr:uid="{00000000-0005-0000-0000-0000A9030000}"/>
    <cellStyle name="20% - Accent1 3 4 6 3" xfId="4511" xr:uid="{00000000-0005-0000-0000-0000AA030000}"/>
    <cellStyle name="20% - Accent1 3 4 7" xfId="4512" xr:uid="{00000000-0005-0000-0000-0000AB030000}"/>
    <cellStyle name="20% - Accent1 3 4 7 2" xfId="4513" xr:uid="{00000000-0005-0000-0000-0000AC030000}"/>
    <cellStyle name="20% - Accent1 3 4 8" xfId="4514" xr:uid="{00000000-0005-0000-0000-0000AD030000}"/>
    <cellStyle name="20% - Accent1 3 4 8 2" xfId="4515" xr:uid="{00000000-0005-0000-0000-0000AE030000}"/>
    <cellStyle name="20% - Accent1 3 4 9" xfId="4516" xr:uid="{00000000-0005-0000-0000-0000AF030000}"/>
    <cellStyle name="20% - Accent1 3 5" xfId="4517" xr:uid="{00000000-0005-0000-0000-0000B0030000}"/>
    <cellStyle name="20% - Accent1 3 5 10" xfId="4518" xr:uid="{00000000-0005-0000-0000-0000B1030000}"/>
    <cellStyle name="20% - Accent1 3 5 11" xfId="4519" xr:uid="{00000000-0005-0000-0000-0000B2030000}"/>
    <cellStyle name="20% - Accent1 3 5 2" xfId="4520" xr:uid="{00000000-0005-0000-0000-0000B3030000}"/>
    <cellStyle name="20% - Accent1 3 5 2 2" xfId="4521" xr:uid="{00000000-0005-0000-0000-0000B4030000}"/>
    <cellStyle name="20% - Accent1 3 5 2 2 2" xfId="4522" xr:uid="{00000000-0005-0000-0000-0000B5030000}"/>
    <cellStyle name="20% - Accent1 3 5 2 2 2 2" xfId="4523" xr:uid="{00000000-0005-0000-0000-0000B6030000}"/>
    <cellStyle name="20% - Accent1 3 5 2 2 2 2 2" xfId="4524" xr:uid="{00000000-0005-0000-0000-0000B7030000}"/>
    <cellStyle name="20% - Accent1 3 5 2 2 2 3" xfId="4525" xr:uid="{00000000-0005-0000-0000-0000B8030000}"/>
    <cellStyle name="20% - Accent1 3 5 2 2 3" xfId="4526" xr:uid="{00000000-0005-0000-0000-0000B9030000}"/>
    <cellStyle name="20% - Accent1 3 5 2 2 3 2" xfId="4527" xr:uid="{00000000-0005-0000-0000-0000BA030000}"/>
    <cellStyle name="20% - Accent1 3 5 2 2 4" xfId="4528" xr:uid="{00000000-0005-0000-0000-0000BB030000}"/>
    <cellStyle name="20% - Accent1 3 5 2 2 5" xfId="4529" xr:uid="{00000000-0005-0000-0000-0000BC030000}"/>
    <cellStyle name="20% - Accent1 3 5 2 2 6" xfId="4530" xr:uid="{00000000-0005-0000-0000-0000BD030000}"/>
    <cellStyle name="20% - Accent1 3 5 2 3" xfId="4531" xr:uid="{00000000-0005-0000-0000-0000BE030000}"/>
    <cellStyle name="20% - Accent1 3 5 2 3 2" xfId="4532" xr:uid="{00000000-0005-0000-0000-0000BF030000}"/>
    <cellStyle name="20% - Accent1 3 5 2 3 2 2" xfId="4533" xr:uid="{00000000-0005-0000-0000-0000C0030000}"/>
    <cellStyle name="20% - Accent1 3 5 2 3 3" xfId="4534" xr:uid="{00000000-0005-0000-0000-0000C1030000}"/>
    <cellStyle name="20% - Accent1 3 5 2 4" xfId="4535" xr:uid="{00000000-0005-0000-0000-0000C2030000}"/>
    <cellStyle name="20% - Accent1 3 5 2 4 2" xfId="4536" xr:uid="{00000000-0005-0000-0000-0000C3030000}"/>
    <cellStyle name="20% - Accent1 3 5 2 5" xfId="4537" xr:uid="{00000000-0005-0000-0000-0000C4030000}"/>
    <cellStyle name="20% - Accent1 3 5 2 5 2" xfId="4538" xr:uid="{00000000-0005-0000-0000-0000C5030000}"/>
    <cellStyle name="20% - Accent1 3 5 2 6" xfId="4539" xr:uid="{00000000-0005-0000-0000-0000C6030000}"/>
    <cellStyle name="20% - Accent1 3 5 2 7" xfId="4540" xr:uid="{00000000-0005-0000-0000-0000C7030000}"/>
    <cellStyle name="20% - Accent1 3 5 2 8" xfId="4541" xr:uid="{00000000-0005-0000-0000-0000C8030000}"/>
    <cellStyle name="20% - Accent1 3 5 3" xfId="4542" xr:uid="{00000000-0005-0000-0000-0000C9030000}"/>
    <cellStyle name="20% - Accent1 3 5 3 2" xfId="4543" xr:uid="{00000000-0005-0000-0000-0000CA030000}"/>
    <cellStyle name="20% - Accent1 3 5 3 2 2" xfId="4544" xr:uid="{00000000-0005-0000-0000-0000CB030000}"/>
    <cellStyle name="20% - Accent1 3 5 3 2 2 2" xfId="4545" xr:uid="{00000000-0005-0000-0000-0000CC030000}"/>
    <cellStyle name="20% - Accent1 3 5 3 2 2 2 2" xfId="4546" xr:uid="{00000000-0005-0000-0000-0000CD030000}"/>
    <cellStyle name="20% - Accent1 3 5 3 2 2 3" xfId="4547" xr:uid="{00000000-0005-0000-0000-0000CE030000}"/>
    <cellStyle name="20% - Accent1 3 5 3 2 3" xfId="4548" xr:uid="{00000000-0005-0000-0000-0000CF030000}"/>
    <cellStyle name="20% - Accent1 3 5 3 2 3 2" xfId="4549" xr:uid="{00000000-0005-0000-0000-0000D0030000}"/>
    <cellStyle name="20% - Accent1 3 5 3 2 4" xfId="4550" xr:uid="{00000000-0005-0000-0000-0000D1030000}"/>
    <cellStyle name="20% - Accent1 3 5 3 2 5" xfId="4551" xr:uid="{00000000-0005-0000-0000-0000D2030000}"/>
    <cellStyle name="20% - Accent1 3 5 3 2 6" xfId="4552" xr:uid="{00000000-0005-0000-0000-0000D3030000}"/>
    <cellStyle name="20% - Accent1 3 5 3 3" xfId="4553" xr:uid="{00000000-0005-0000-0000-0000D4030000}"/>
    <cellStyle name="20% - Accent1 3 5 3 3 2" xfId="4554" xr:uid="{00000000-0005-0000-0000-0000D5030000}"/>
    <cellStyle name="20% - Accent1 3 5 3 3 2 2" xfId="4555" xr:uid="{00000000-0005-0000-0000-0000D6030000}"/>
    <cellStyle name="20% - Accent1 3 5 3 3 3" xfId="4556" xr:uid="{00000000-0005-0000-0000-0000D7030000}"/>
    <cellStyle name="20% - Accent1 3 5 3 4" xfId="4557" xr:uid="{00000000-0005-0000-0000-0000D8030000}"/>
    <cellStyle name="20% - Accent1 3 5 3 4 2" xfId="4558" xr:uid="{00000000-0005-0000-0000-0000D9030000}"/>
    <cellStyle name="20% - Accent1 3 5 3 5" xfId="4559" xr:uid="{00000000-0005-0000-0000-0000DA030000}"/>
    <cellStyle name="20% - Accent1 3 5 3 6" xfId="4560" xr:uid="{00000000-0005-0000-0000-0000DB030000}"/>
    <cellStyle name="20% - Accent1 3 5 3 7" xfId="4561" xr:uid="{00000000-0005-0000-0000-0000DC030000}"/>
    <cellStyle name="20% - Accent1 3 5 4" xfId="4562" xr:uid="{00000000-0005-0000-0000-0000DD030000}"/>
    <cellStyle name="20% - Accent1 3 5 4 2" xfId="4563" xr:uid="{00000000-0005-0000-0000-0000DE030000}"/>
    <cellStyle name="20% - Accent1 3 5 4 2 2" xfId="4564" xr:uid="{00000000-0005-0000-0000-0000DF030000}"/>
    <cellStyle name="20% - Accent1 3 5 4 2 2 2" xfId="4565" xr:uid="{00000000-0005-0000-0000-0000E0030000}"/>
    <cellStyle name="20% - Accent1 3 5 4 2 3" xfId="4566" xr:uid="{00000000-0005-0000-0000-0000E1030000}"/>
    <cellStyle name="20% - Accent1 3 5 4 3" xfId="4567" xr:uid="{00000000-0005-0000-0000-0000E2030000}"/>
    <cellStyle name="20% - Accent1 3 5 4 3 2" xfId="4568" xr:uid="{00000000-0005-0000-0000-0000E3030000}"/>
    <cellStyle name="20% - Accent1 3 5 4 4" xfId="4569" xr:uid="{00000000-0005-0000-0000-0000E4030000}"/>
    <cellStyle name="20% - Accent1 3 5 4 5" xfId="4570" xr:uid="{00000000-0005-0000-0000-0000E5030000}"/>
    <cellStyle name="20% - Accent1 3 5 4 6" xfId="4571" xr:uid="{00000000-0005-0000-0000-0000E6030000}"/>
    <cellStyle name="20% - Accent1 3 5 5" xfId="4572" xr:uid="{00000000-0005-0000-0000-0000E7030000}"/>
    <cellStyle name="20% - Accent1 3 5 5 2" xfId="4573" xr:uid="{00000000-0005-0000-0000-0000E8030000}"/>
    <cellStyle name="20% - Accent1 3 5 5 2 2" xfId="4574" xr:uid="{00000000-0005-0000-0000-0000E9030000}"/>
    <cellStyle name="20% - Accent1 3 5 5 3" xfId="4575" xr:uid="{00000000-0005-0000-0000-0000EA030000}"/>
    <cellStyle name="20% - Accent1 3 5 6" xfId="4576" xr:uid="{00000000-0005-0000-0000-0000EB030000}"/>
    <cellStyle name="20% - Accent1 3 5 6 2" xfId="4577" xr:uid="{00000000-0005-0000-0000-0000EC030000}"/>
    <cellStyle name="20% - Accent1 3 5 6 2 2" xfId="4578" xr:uid="{00000000-0005-0000-0000-0000ED030000}"/>
    <cellStyle name="20% - Accent1 3 5 6 3" xfId="4579" xr:uid="{00000000-0005-0000-0000-0000EE030000}"/>
    <cellStyle name="20% - Accent1 3 5 7" xfId="4580" xr:uid="{00000000-0005-0000-0000-0000EF030000}"/>
    <cellStyle name="20% - Accent1 3 5 7 2" xfId="4581" xr:uid="{00000000-0005-0000-0000-0000F0030000}"/>
    <cellStyle name="20% - Accent1 3 5 8" xfId="4582" xr:uid="{00000000-0005-0000-0000-0000F1030000}"/>
    <cellStyle name="20% - Accent1 3 5 8 2" xfId="4583" xr:uid="{00000000-0005-0000-0000-0000F2030000}"/>
    <cellStyle name="20% - Accent1 3 5 9" xfId="4584" xr:uid="{00000000-0005-0000-0000-0000F3030000}"/>
    <cellStyle name="20% - Accent1 3 6" xfId="4585" xr:uid="{00000000-0005-0000-0000-0000F4030000}"/>
    <cellStyle name="20% - Accent1 3 6 10" xfId="4586" xr:uid="{00000000-0005-0000-0000-0000F5030000}"/>
    <cellStyle name="20% - Accent1 3 6 11" xfId="4587" xr:uid="{00000000-0005-0000-0000-0000F6030000}"/>
    <cellStyle name="20% - Accent1 3 6 2" xfId="4588" xr:uid="{00000000-0005-0000-0000-0000F7030000}"/>
    <cellStyle name="20% - Accent1 3 6 2 2" xfId="4589" xr:uid="{00000000-0005-0000-0000-0000F8030000}"/>
    <cellStyle name="20% - Accent1 3 6 2 2 2" xfId="4590" xr:uid="{00000000-0005-0000-0000-0000F9030000}"/>
    <cellStyle name="20% - Accent1 3 6 2 2 2 2" xfId="4591" xr:uid="{00000000-0005-0000-0000-0000FA030000}"/>
    <cellStyle name="20% - Accent1 3 6 2 2 2 2 2" xfId="4592" xr:uid="{00000000-0005-0000-0000-0000FB030000}"/>
    <cellStyle name="20% - Accent1 3 6 2 2 2 3" xfId="4593" xr:uid="{00000000-0005-0000-0000-0000FC030000}"/>
    <cellStyle name="20% - Accent1 3 6 2 2 3" xfId="4594" xr:uid="{00000000-0005-0000-0000-0000FD030000}"/>
    <cellStyle name="20% - Accent1 3 6 2 2 3 2" xfId="4595" xr:uid="{00000000-0005-0000-0000-0000FE030000}"/>
    <cellStyle name="20% - Accent1 3 6 2 2 4" xfId="4596" xr:uid="{00000000-0005-0000-0000-0000FF030000}"/>
    <cellStyle name="20% - Accent1 3 6 2 2 5" xfId="4597" xr:uid="{00000000-0005-0000-0000-000000040000}"/>
    <cellStyle name="20% - Accent1 3 6 2 2 6" xfId="4598" xr:uid="{00000000-0005-0000-0000-000001040000}"/>
    <cellStyle name="20% - Accent1 3 6 2 3" xfId="4599" xr:uid="{00000000-0005-0000-0000-000002040000}"/>
    <cellStyle name="20% - Accent1 3 6 2 3 2" xfId="4600" xr:uid="{00000000-0005-0000-0000-000003040000}"/>
    <cellStyle name="20% - Accent1 3 6 2 3 2 2" xfId="4601" xr:uid="{00000000-0005-0000-0000-000004040000}"/>
    <cellStyle name="20% - Accent1 3 6 2 3 3" xfId="4602" xr:uid="{00000000-0005-0000-0000-000005040000}"/>
    <cellStyle name="20% - Accent1 3 6 2 4" xfId="4603" xr:uid="{00000000-0005-0000-0000-000006040000}"/>
    <cellStyle name="20% - Accent1 3 6 2 4 2" xfId="4604" xr:uid="{00000000-0005-0000-0000-000007040000}"/>
    <cellStyle name="20% - Accent1 3 6 2 5" xfId="4605" xr:uid="{00000000-0005-0000-0000-000008040000}"/>
    <cellStyle name="20% - Accent1 3 6 2 5 2" xfId="4606" xr:uid="{00000000-0005-0000-0000-000009040000}"/>
    <cellStyle name="20% - Accent1 3 6 2 6" xfId="4607" xr:uid="{00000000-0005-0000-0000-00000A040000}"/>
    <cellStyle name="20% - Accent1 3 6 2 7" xfId="4608" xr:uid="{00000000-0005-0000-0000-00000B040000}"/>
    <cellStyle name="20% - Accent1 3 6 2 8" xfId="4609" xr:uid="{00000000-0005-0000-0000-00000C040000}"/>
    <cellStyle name="20% - Accent1 3 6 3" xfId="4610" xr:uid="{00000000-0005-0000-0000-00000D040000}"/>
    <cellStyle name="20% - Accent1 3 6 3 2" xfId="4611" xr:uid="{00000000-0005-0000-0000-00000E040000}"/>
    <cellStyle name="20% - Accent1 3 6 3 2 2" xfId="4612" xr:uid="{00000000-0005-0000-0000-00000F040000}"/>
    <cellStyle name="20% - Accent1 3 6 3 2 2 2" xfId="4613" xr:uid="{00000000-0005-0000-0000-000010040000}"/>
    <cellStyle name="20% - Accent1 3 6 3 2 2 2 2" xfId="4614" xr:uid="{00000000-0005-0000-0000-000011040000}"/>
    <cellStyle name="20% - Accent1 3 6 3 2 2 3" xfId="4615" xr:uid="{00000000-0005-0000-0000-000012040000}"/>
    <cellStyle name="20% - Accent1 3 6 3 2 3" xfId="4616" xr:uid="{00000000-0005-0000-0000-000013040000}"/>
    <cellStyle name="20% - Accent1 3 6 3 2 3 2" xfId="4617" xr:uid="{00000000-0005-0000-0000-000014040000}"/>
    <cellStyle name="20% - Accent1 3 6 3 2 4" xfId="4618" xr:uid="{00000000-0005-0000-0000-000015040000}"/>
    <cellStyle name="20% - Accent1 3 6 3 2 5" xfId="4619" xr:uid="{00000000-0005-0000-0000-000016040000}"/>
    <cellStyle name="20% - Accent1 3 6 3 2 6" xfId="4620" xr:uid="{00000000-0005-0000-0000-000017040000}"/>
    <cellStyle name="20% - Accent1 3 6 3 3" xfId="4621" xr:uid="{00000000-0005-0000-0000-000018040000}"/>
    <cellStyle name="20% - Accent1 3 6 3 3 2" xfId="4622" xr:uid="{00000000-0005-0000-0000-000019040000}"/>
    <cellStyle name="20% - Accent1 3 6 3 3 2 2" xfId="4623" xr:uid="{00000000-0005-0000-0000-00001A040000}"/>
    <cellStyle name="20% - Accent1 3 6 3 3 3" xfId="4624" xr:uid="{00000000-0005-0000-0000-00001B040000}"/>
    <cellStyle name="20% - Accent1 3 6 3 4" xfId="4625" xr:uid="{00000000-0005-0000-0000-00001C040000}"/>
    <cellStyle name="20% - Accent1 3 6 3 4 2" xfId="4626" xr:uid="{00000000-0005-0000-0000-00001D040000}"/>
    <cellStyle name="20% - Accent1 3 6 3 5" xfId="4627" xr:uid="{00000000-0005-0000-0000-00001E040000}"/>
    <cellStyle name="20% - Accent1 3 6 3 6" xfId="4628" xr:uid="{00000000-0005-0000-0000-00001F040000}"/>
    <cellStyle name="20% - Accent1 3 6 3 7" xfId="4629" xr:uid="{00000000-0005-0000-0000-000020040000}"/>
    <cellStyle name="20% - Accent1 3 6 4" xfId="4630" xr:uid="{00000000-0005-0000-0000-000021040000}"/>
    <cellStyle name="20% - Accent1 3 6 4 2" xfId="4631" xr:uid="{00000000-0005-0000-0000-000022040000}"/>
    <cellStyle name="20% - Accent1 3 6 4 2 2" xfId="4632" xr:uid="{00000000-0005-0000-0000-000023040000}"/>
    <cellStyle name="20% - Accent1 3 6 4 2 2 2" xfId="4633" xr:uid="{00000000-0005-0000-0000-000024040000}"/>
    <cellStyle name="20% - Accent1 3 6 4 2 3" xfId="4634" xr:uid="{00000000-0005-0000-0000-000025040000}"/>
    <cellStyle name="20% - Accent1 3 6 4 3" xfId="4635" xr:uid="{00000000-0005-0000-0000-000026040000}"/>
    <cellStyle name="20% - Accent1 3 6 4 3 2" xfId="4636" xr:uid="{00000000-0005-0000-0000-000027040000}"/>
    <cellStyle name="20% - Accent1 3 6 4 4" xfId="4637" xr:uid="{00000000-0005-0000-0000-000028040000}"/>
    <cellStyle name="20% - Accent1 3 6 4 5" xfId="4638" xr:uid="{00000000-0005-0000-0000-000029040000}"/>
    <cellStyle name="20% - Accent1 3 6 4 6" xfId="4639" xr:uid="{00000000-0005-0000-0000-00002A040000}"/>
    <cellStyle name="20% - Accent1 3 6 5" xfId="4640" xr:uid="{00000000-0005-0000-0000-00002B040000}"/>
    <cellStyle name="20% - Accent1 3 6 5 2" xfId="4641" xr:uid="{00000000-0005-0000-0000-00002C040000}"/>
    <cellStyle name="20% - Accent1 3 6 5 2 2" xfId="4642" xr:uid="{00000000-0005-0000-0000-00002D040000}"/>
    <cellStyle name="20% - Accent1 3 6 5 3" xfId="4643" xr:uid="{00000000-0005-0000-0000-00002E040000}"/>
    <cellStyle name="20% - Accent1 3 6 6" xfId="4644" xr:uid="{00000000-0005-0000-0000-00002F040000}"/>
    <cellStyle name="20% - Accent1 3 6 6 2" xfId="4645" xr:uid="{00000000-0005-0000-0000-000030040000}"/>
    <cellStyle name="20% - Accent1 3 6 6 2 2" xfId="4646" xr:uid="{00000000-0005-0000-0000-000031040000}"/>
    <cellStyle name="20% - Accent1 3 6 6 3" xfId="4647" xr:uid="{00000000-0005-0000-0000-000032040000}"/>
    <cellStyle name="20% - Accent1 3 6 7" xfId="4648" xr:uid="{00000000-0005-0000-0000-000033040000}"/>
    <cellStyle name="20% - Accent1 3 6 7 2" xfId="4649" xr:uid="{00000000-0005-0000-0000-000034040000}"/>
    <cellStyle name="20% - Accent1 3 6 8" xfId="4650" xr:uid="{00000000-0005-0000-0000-000035040000}"/>
    <cellStyle name="20% - Accent1 3 6 8 2" xfId="4651" xr:uid="{00000000-0005-0000-0000-000036040000}"/>
    <cellStyle name="20% - Accent1 3 6 9" xfId="4652" xr:uid="{00000000-0005-0000-0000-000037040000}"/>
    <cellStyle name="20% - Accent1 3 7" xfId="4653" xr:uid="{00000000-0005-0000-0000-000038040000}"/>
    <cellStyle name="20% - Accent1 3 7 10" xfId="4654" xr:uid="{00000000-0005-0000-0000-000039040000}"/>
    <cellStyle name="20% - Accent1 3 7 11" xfId="4655" xr:uid="{00000000-0005-0000-0000-00003A040000}"/>
    <cellStyle name="20% - Accent1 3 7 2" xfId="4656" xr:uid="{00000000-0005-0000-0000-00003B040000}"/>
    <cellStyle name="20% - Accent1 3 7 2 2" xfId="4657" xr:uid="{00000000-0005-0000-0000-00003C040000}"/>
    <cellStyle name="20% - Accent1 3 7 2 2 2" xfId="4658" xr:uid="{00000000-0005-0000-0000-00003D040000}"/>
    <cellStyle name="20% - Accent1 3 7 2 2 2 2" xfId="4659" xr:uid="{00000000-0005-0000-0000-00003E040000}"/>
    <cellStyle name="20% - Accent1 3 7 2 2 2 2 2" xfId="4660" xr:uid="{00000000-0005-0000-0000-00003F040000}"/>
    <cellStyle name="20% - Accent1 3 7 2 2 2 3" xfId="4661" xr:uid="{00000000-0005-0000-0000-000040040000}"/>
    <cellStyle name="20% - Accent1 3 7 2 2 3" xfId="4662" xr:uid="{00000000-0005-0000-0000-000041040000}"/>
    <cellStyle name="20% - Accent1 3 7 2 2 3 2" xfId="4663" xr:uid="{00000000-0005-0000-0000-000042040000}"/>
    <cellStyle name="20% - Accent1 3 7 2 2 4" xfId="4664" xr:uid="{00000000-0005-0000-0000-000043040000}"/>
    <cellStyle name="20% - Accent1 3 7 2 2 5" xfId="4665" xr:uid="{00000000-0005-0000-0000-000044040000}"/>
    <cellStyle name="20% - Accent1 3 7 2 2 6" xfId="4666" xr:uid="{00000000-0005-0000-0000-000045040000}"/>
    <cellStyle name="20% - Accent1 3 7 2 3" xfId="4667" xr:uid="{00000000-0005-0000-0000-000046040000}"/>
    <cellStyle name="20% - Accent1 3 7 2 3 2" xfId="4668" xr:uid="{00000000-0005-0000-0000-000047040000}"/>
    <cellStyle name="20% - Accent1 3 7 2 3 2 2" xfId="4669" xr:uid="{00000000-0005-0000-0000-000048040000}"/>
    <cellStyle name="20% - Accent1 3 7 2 3 3" xfId="4670" xr:uid="{00000000-0005-0000-0000-000049040000}"/>
    <cellStyle name="20% - Accent1 3 7 2 4" xfId="4671" xr:uid="{00000000-0005-0000-0000-00004A040000}"/>
    <cellStyle name="20% - Accent1 3 7 2 4 2" xfId="4672" xr:uid="{00000000-0005-0000-0000-00004B040000}"/>
    <cellStyle name="20% - Accent1 3 7 2 5" xfId="4673" xr:uid="{00000000-0005-0000-0000-00004C040000}"/>
    <cellStyle name="20% - Accent1 3 7 2 5 2" xfId="4674" xr:uid="{00000000-0005-0000-0000-00004D040000}"/>
    <cellStyle name="20% - Accent1 3 7 2 6" xfId="4675" xr:uid="{00000000-0005-0000-0000-00004E040000}"/>
    <cellStyle name="20% - Accent1 3 7 2 7" xfId="4676" xr:uid="{00000000-0005-0000-0000-00004F040000}"/>
    <cellStyle name="20% - Accent1 3 7 2 8" xfId="4677" xr:uid="{00000000-0005-0000-0000-000050040000}"/>
    <cellStyle name="20% - Accent1 3 7 3" xfId="4678" xr:uid="{00000000-0005-0000-0000-000051040000}"/>
    <cellStyle name="20% - Accent1 3 7 3 2" xfId="4679" xr:uid="{00000000-0005-0000-0000-000052040000}"/>
    <cellStyle name="20% - Accent1 3 7 3 2 2" xfId="4680" xr:uid="{00000000-0005-0000-0000-000053040000}"/>
    <cellStyle name="20% - Accent1 3 7 3 2 2 2" xfId="4681" xr:uid="{00000000-0005-0000-0000-000054040000}"/>
    <cellStyle name="20% - Accent1 3 7 3 2 2 2 2" xfId="4682" xr:uid="{00000000-0005-0000-0000-000055040000}"/>
    <cellStyle name="20% - Accent1 3 7 3 2 2 3" xfId="4683" xr:uid="{00000000-0005-0000-0000-000056040000}"/>
    <cellStyle name="20% - Accent1 3 7 3 2 3" xfId="4684" xr:uid="{00000000-0005-0000-0000-000057040000}"/>
    <cellStyle name="20% - Accent1 3 7 3 2 3 2" xfId="4685" xr:uid="{00000000-0005-0000-0000-000058040000}"/>
    <cellStyle name="20% - Accent1 3 7 3 2 4" xfId="4686" xr:uid="{00000000-0005-0000-0000-000059040000}"/>
    <cellStyle name="20% - Accent1 3 7 3 2 5" xfId="4687" xr:uid="{00000000-0005-0000-0000-00005A040000}"/>
    <cellStyle name="20% - Accent1 3 7 3 2 6" xfId="4688" xr:uid="{00000000-0005-0000-0000-00005B040000}"/>
    <cellStyle name="20% - Accent1 3 7 3 3" xfId="4689" xr:uid="{00000000-0005-0000-0000-00005C040000}"/>
    <cellStyle name="20% - Accent1 3 7 3 3 2" xfId="4690" xr:uid="{00000000-0005-0000-0000-00005D040000}"/>
    <cellStyle name="20% - Accent1 3 7 3 3 2 2" xfId="4691" xr:uid="{00000000-0005-0000-0000-00005E040000}"/>
    <cellStyle name="20% - Accent1 3 7 3 3 3" xfId="4692" xr:uid="{00000000-0005-0000-0000-00005F040000}"/>
    <cellStyle name="20% - Accent1 3 7 3 4" xfId="4693" xr:uid="{00000000-0005-0000-0000-000060040000}"/>
    <cellStyle name="20% - Accent1 3 7 3 4 2" xfId="4694" xr:uid="{00000000-0005-0000-0000-000061040000}"/>
    <cellStyle name="20% - Accent1 3 7 3 5" xfId="4695" xr:uid="{00000000-0005-0000-0000-000062040000}"/>
    <cellStyle name="20% - Accent1 3 7 3 6" xfId="4696" xr:uid="{00000000-0005-0000-0000-000063040000}"/>
    <cellStyle name="20% - Accent1 3 7 3 7" xfId="4697" xr:uid="{00000000-0005-0000-0000-000064040000}"/>
    <cellStyle name="20% - Accent1 3 7 4" xfId="4698" xr:uid="{00000000-0005-0000-0000-000065040000}"/>
    <cellStyle name="20% - Accent1 3 7 4 2" xfId="4699" xr:uid="{00000000-0005-0000-0000-000066040000}"/>
    <cellStyle name="20% - Accent1 3 7 4 2 2" xfId="4700" xr:uid="{00000000-0005-0000-0000-000067040000}"/>
    <cellStyle name="20% - Accent1 3 7 4 2 2 2" xfId="4701" xr:uid="{00000000-0005-0000-0000-000068040000}"/>
    <cellStyle name="20% - Accent1 3 7 4 2 3" xfId="4702" xr:uid="{00000000-0005-0000-0000-000069040000}"/>
    <cellStyle name="20% - Accent1 3 7 4 3" xfId="4703" xr:uid="{00000000-0005-0000-0000-00006A040000}"/>
    <cellStyle name="20% - Accent1 3 7 4 3 2" xfId="4704" xr:uid="{00000000-0005-0000-0000-00006B040000}"/>
    <cellStyle name="20% - Accent1 3 7 4 4" xfId="4705" xr:uid="{00000000-0005-0000-0000-00006C040000}"/>
    <cellStyle name="20% - Accent1 3 7 4 5" xfId="4706" xr:uid="{00000000-0005-0000-0000-00006D040000}"/>
    <cellStyle name="20% - Accent1 3 7 4 6" xfId="4707" xr:uid="{00000000-0005-0000-0000-00006E040000}"/>
    <cellStyle name="20% - Accent1 3 7 5" xfId="4708" xr:uid="{00000000-0005-0000-0000-00006F040000}"/>
    <cellStyle name="20% - Accent1 3 7 5 2" xfId="4709" xr:uid="{00000000-0005-0000-0000-000070040000}"/>
    <cellStyle name="20% - Accent1 3 7 5 2 2" xfId="4710" xr:uid="{00000000-0005-0000-0000-000071040000}"/>
    <cellStyle name="20% - Accent1 3 7 5 3" xfId="4711" xr:uid="{00000000-0005-0000-0000-000072040000}"/>
    <cellStyle name="20% - Accent1 3 7 6" xfId="4712" xr:uid="{00000000-0005-0000-0000-000073040000}"/>
    <cellStyle name="20% - Accent1 3 7 6 2" xfId="4713" xr:uid="{00000000-0005-0000-0000-000074040000}"/>
    <cellStyle name="20% - Accent1 3 7 6 2 2" xfId="4714" xr:uid="{00000000-0005-0000-0000-000075040000}"/>
    <cellStyle name="20% - Accent1 3 7 6 3" xfId="4715" xr:uid="{00000000-0005-0000-0000-000076040000}"/>
    <cellStyle name="20% - Accent1 3 7 7" xfId="4716" xr:uid="{00000000-0005-0000-0000-000077040000}"/>
    <cellStyle name="20% - Accent1 3 7 7 2" xfId="4717" xr:uid="{00000000-0005-0000-0000-000078040000}"/>
    <cellStyle name="20% - Accent1 3 7 8" xfId="4718" xr:uid="{00000000-0005-0000-0000-000079040000}"/>
    <cellStyle name="20% - Accent1 3 7 8 2" xfId="4719" xr:uid="{00000000-0005-0000-0000-00007A040000}"/>
    <cellStyle name="20% - Accent1 3 7 9" xfId="4720" xr:uid="{00000000-0005-0000-0000-00007B040000}"/>
    <cellStyle name="20% - Accent1 3 8" xfId="4721" xr:uid="{00000000-0005-0000-0000-00007C040000}"/>
    <cellStyle name="20% - Accent1 3 8 10" xfId="4722" xr:uid="{00000000-0005-0000-0000-00007D040000}"/>
    <cellStyle name="20% - Accent1 3 8 11" xfId="4723" xr:uid="{00000000-0005-0000-0000-00007E040000}"/>
    <cellStyle name="20% - Accent1 3 8 2" xfId="4724" xr:uid="{00000000-0005-0000-0000-00007F040000}"/>
    <cellStyle name="20% - Accent1 3 8 2 2" xfId="4725" xr:uid="{00000000-0005-0000-0000-000080040000}"/>
    <cellStyle name="20% - Accent1 3 8 2 2 2" xfId="4726" xr:uid="{00000000-0005-0000-0000-000081040000}"/>
    <cellStyle name="20% - Accent1 3 8 2 2 2 2" xfId="4727" xr:uid="{00000000-0005-0000-0000-000082040000}"/>
    <cellStyle name="20% - Accent1 3 8 2 2 2 2 2" xfId="4728" xr:uid="{00000000-0005-0000-0000-000083040000}"/>
    <cellStyle name="20% - Accent1 3 8 2 2 2 3" xfId="4729" xr:uid="{00000000-0005-0000-0000-000084040000}"/>
    <cellStyle name="20% - Accent1 3 8 2 2 3" xfId="4730" xr:uid="{00000000-0005-0000-0000-000085040000}"/>
    <cellStyle name="20% - Accent1 3 8 2 2 3 2" xfId="4731" xr:uid="{00000000-0005-0000-0000-000086040000}"/>
    <cellStyle name="20% - Accent1 3 8 2 2 4" xfId="4732" xr:uid="{00000000-0005-0000-0000-000087040000}"/>
    <cellStyle name="20% - Accent1 3 8 2 2 5" xfId="4733" xr:uid="{00000000-0005-0000-0000-000088040000}"/>
    <cellStyle name="20% - Accent1 3 8 2 2 6" xfId="4734" xr:uid="{00000000-0005-0000-0000-000089040000}"/>
    <cellStyle name="20% - Accent1 3 8 2 3" xfId="4735" xr:uid="{00000000-0005-0000-0000-00008A040000}"/>
    <cellStyle name="20% - Accent1 3 8 2 3 2" xfId="4736" xr:uid="{00000000-0005-0000-0000-00008B040000}"/>
    <cellStyle name="20% - Accent1 3 8 2 3 2 2" xfId="4737" xr:uid="{00000000-0005-0000-0000-00008C040000}"/>
    <cellStyle name="20% - Accent1 3 8 2 3 3" xfId="4738" xr:uid="{00000000-0005-0000-0000-00008D040000}"/>
    <cellStyle name="20% - Accent1 3 8 2 4" xfId="4739" xr:uid="{00000000-0005-0000-0000-00008E040000}"/>
    <cellStyle name="20% - Accent1 3 8 2 4 2" xfId="4740" xr:uid="{00000000-0005-0000-0000-00008F040000}"/>
    <cellStyle name="20% - Accent1 3 8 2 5" xfId="4741" xr:uid="{00000000-0005-0000-0000-000090040000}"/>
    <cellStyle name="20% - Accent1 3 8 2 5 2" xfId="4742" xr:uid="{00000000-0005-0000-0000-000091040000}"/>
    <cellStyle name="20% - Accent1 3 8 2 6" xfId="4743" xr:uid="{00000000-0005-0000-0000-000092040000}"/>
    <cellStyle name="20% - Accent1 3 8 2 7" xfId="4744" xr:uid="{00000000-0005-0000-0000-000093040000}"/>
    <cellStyle name="20% - Accent1 3 8 2 8" xfId="4745" xr:uid="{00000000-0005-0000-0000-000094040000}"/>
    <cellStyle name="20% - Accent1 3 8 3" xfId="4746" xr:uid="{00000000-0005-0000-0000-000095040000}"/>
    <cellStyle name="20% - Accent1 3 8 3 2" xfId="4747" xr:uid="{00000000-0005-0000-0000-000096040000}"/>
    <cellStyle name="20% - Accent1 3 8 3 2 2" xfId="4748" xr:uid="{00000000-0005-0000-0000-000097040000}"/>
    <cellStyle name="20% - Accent1 3 8 3 2 2 2" xfId="4749" xr:uid="{00000000-0005-0000-0000-000098040000}"/>
    <cellStyle name="20% - Accent1 3 8 3 2 2 2 2" xfId="4750" xr:uid="{00000000-0005-0000-0000-000099040000}"/>
    <cellStyle name="20% - Accent1 3 8 3 2 2 3" xfId="4751" xr:uid="{00000000-0005-0000-0000-00009A040000}"/>
    <cellStyle name="20% - Accent1 3 8 3 2 3" xfId="4752" xr:uid="{00000000-0005-0000-0000-00009B040000}"/>
    <cellStyle name="20% - Accent1 3 8 3 2 3 2" xfId="4753" xr:uid="{00000000-0005-0000-0000-00009C040000}"/>
    <cellStyle name="20% - Accent1 3 8 3 2 4" xfId="4754" xr:uid="{00000000-0005-0000-0000-00009D040000}"/>
    <cellStyle name="20% - Accent1 3 8 3 2 5" xfId="4755" xr:uid="{00000000-0005-0000-0000-00009E040000}"/>
    <cellStyle name="20% - Accent1 3 8 3 2 6" xfId="4756" xr:uid="{00000000-0005-0000-0000-00009F040000}"/>
    <cellStyle name="20% - Accent1 3 8 3 3" xfId="4757" xr:uid="{00000000-0005-0000-0000-0000A0040000}"/>
    <cellStyle name="20% - Accent1 3 8 3 3 2" xfId="4758" xr:uid="{00000000-0005-0000-0000-0000A1040000}"/>
    <cellStyle name="20% - Accent1 3 8 3 3 2 2" xfId="4759" xr:uid="{00000000-0005-0000-0000-0000A2040000}"/>
    <cellStyle name="20% - Accent1 3 8 3 3 3" xfId="4760" xr:uid="{00000000-0005-0000-0000-0000A3040000}"/>
    <cellStyle name="20% - Accent1 3 8 3 4" xfId="4761" xr:uid="{00000000-0005-0000-0000-0000A4040000}"/>
    <cellStyle name="20% - Accent1 3 8 3 4 2" xfId="4762" xr:uid="{00000000-0005-0000-0000-0000A5040000}"/>
    <cellStyle name="20% - Accent1 3 8 3 5" xfId="4763" xr:uid="{00000000-0005-0000-0000-0000A6040000}"/>
    <cellStyle name="20% - Accent1 3 8 3 6" xfId="4764" xr:uid="{00000000-0005-0000-0000-0000A7040000}"/>
    <cellStyle name="20% - Accent1 3 8 3 7" xfId="4765" xr:uid="{00000000-0005-0000-0000-0000A8040000}"/>
    <cellStyle name="20% - Accent1 3 8 4" xfId="4766" xr:uid="{00000000-0005-0000-0000-0000A9040000}"/>
    <cellStyle name="20% - Accent1 3 8 4 2" xfId="4767" xr:uid="{00000000-0005-0000-0000-0000AA040000}"/>
    <cellStyle name="20% - Accent1 3 8 4 2 2" xfId="4768" xr:uid="{00000000-0005-0000-0000-0000AB040000}"/>
    <cellStyle name="20% - Accent1 3 8 4 2 2 2" xfId="4769" xr:uid="{00000000-0005-0000-0000-0000AC040000}"/>
    <cellStyle name="20% - Accent1 3 8 4 2 3" xfId="4770" xr:uid="{00000000-0005-0000-0000-0000AD040000}"/>
    <cellStyle name="20% - Accent1 3 8 4 3" xfId="4771" xr:uid="{00000000-0005-0000-0000-0000AE040000}"/>
    <cellStyle name="20% - Accent1 3 8 4 3 2" xfId="4772" xr:uid="{00000000-0005-0000-0000-0000AF040000}"/>
    <cellStyle name="20% - Accent1 3 8 4 4" xfId="4773" xr:uid="{00000000-0005-0000-0000-0000B0040000}"/>
    <cellStyle name="20% - Accent1 3 8 4 5" xfId="4774" xr:uid="{00000000-0005-0000-0000-0000B1040000}"/>
    <cellStyle name="20% - Accent1 3 8 4 6" xfId="4775" xr:uid="{00000000-0005-0000-0000-0000B2040000}"/>
    <cellStyle name="20% - Accent1 3 8 5" xfId="4776" xr:uid="{00000000-0005-0000-0000-0000B3040000}"/>
    <cellStyle name="20% - Accent1 3 8 5 2" xfId="4777" xr:uid="{00000000-0005-0000-0000-0000B4040000}"/>
    <cellStyle name="20% - Accent1 3 8 5 2 2" xfId="4778" xr:uid="{00000000-0005-0000-0000-0000B5040000}"/>
    <cellStyle name="20% - Accent1 3 8 5 3" xfId="4779" xr:uid="{00000000-0005-0000-0000-0000B6040000}"/>
    <cellStyle name="20% - Accent1 3 8 6" xfId="4780" xr:uid="{00000000-0005-0000-0000-0000B7040000}"/>
    <cellStyle name="20% - Accent1 3 8 6 2" xfId="4781" xr:uid="{00000000-0005-0000-0000-0000B8040000}"/>
    <cellStyle name="20% - Accent1 3 8 6 2 2" xfId="4782" xr:uid="{00000000-0005-0000-0000-0000B9040000}"/>
    <cellStyle name="20% - Accent1 3 8 6 3" xfId="4783" xr:uid="{00000000-0005-0000-0000-0000BA040000}"/>
    <cellStyle name="20% - Accent1 3 8 7" xfId="4784" xr:uid="{00000000-0005-0000-0000-0000BB040000}"/>
    <cellStyle name="20% - Accent1 3 8 7 2" xfId="4785" xr:uid="{00000000-0005-0000-0000-0000BC040000}"/>
    <cellStyle name="20% - Accent1 3 8 8" xfId="4786" xr:uid="{00000000-0005-0000-0000-0000BD040000}"/>
    <cellStyle name="20% - Accent1 3 8 8 2" xfId="4787" xr:uid="{00000000-0005-0000-0000-0000BE040000}"/>
    <cellStyle name="20% - Accent1 3 8 9" xfId="4788" xr:uid="{00000000-0005-0000-0000-0000BF040000}"/>
    <cellStyle name="20% - Accent1 3 9" xfId="4789" xr:uid="{00000000-0005-0000-0000-0000C0040000}"/>
    <cellStyle name="20% - Accent1 3 9 2" xfId="4790" xr:uid="{00000000-0005-0000-0000-0000C1040000}"/>
    <cellStyle name="20% - Accent1 3 9 2 2" xfId="4791" xr:uid="{00000000-0005-0000-0000-0000C2040000}"/>
    <cellStyle name="20% - Accent1 4" xfId="163" xr:uid="{00000000-0005-0000-0000-0000C3040000}"/>
    <cellStyle name="20% - Accent1 4 10" xfId="4792" xr:uid="{00000000-0005-0000-0000-0000C4040000}"/>
    <cellStyle name="20% - Accent1 4 10 2" xfId="4793" xr:uid="{00000000-0005-0000-0000-0000C5040000}"/>
    <cellStyle name="20% - Accent1 4 10 2 2" xfId="4794" xr:uid="{00000000-0005-0000-0000-0000C6040000}"/>
    <cellStyle name="20% - Accent1 4 10 2 2 2" xfId="4795" xr:uid="{00000000-0005-0000-0000-0000C7040000}"/>
    <cellStyle name="20% - Accent1 4 10 2 2 2 2" xfId="4796" xr:uid="{00000000-0005-0000-0000-0000C8040000}"/>
    <cellStyle name="20% - Accent1 4 10 2 2 3" xfId="4797" xr:uid="{00000000-0005-0000-0000-0000C9040000}"/>
    <cellStyle name="20% - Accent1 4 10 2 3" xfId="4798" xr:uid="{00000000-0005-0000-0000-0000CA040000}"/>
    <cellStyle name="20% - Accent1 4 10 2 3 2" xfId="4799" xr:uid="{00000000-0005-0000-0000-0000CB040000}"/>
    <cellStyle name="20% - Accent1 4 10 2 4" xfId="4800" xr:uid="{00000000-0005-0000-0000-0000CC040000}"/>
    <cellStyle name="20% - Accent1 4 10 2 5" xfId="4801" xr:uid="{00000000-0005-0000-0000-0000CD040000}"/>
    <cellStyle name="20% - Accent1 4 10 2 6" xfId="4802" xr:uid="{00000000-0005-0000-0000-0000CE040000}"/>
    <cellStyle name="20% - Accent1 4 10 3" xfId="4803" xr:uid="{00000000-0005-0000-0000-0000CF040000}"/>
    <cellStyle name="20% - Accent1 4 10 3 2" xfId="4804" xr:uid="{00000000-0005-0000-0000-0000D0040000}"/>
    <cellStyle name="20% - Accent1 4 10 3 2 2" xfId="4805" xr:uid="{00000000-0005-0000-0000-0000D1040000}"/>
    <cellStyle name="20% - Accent1 4 10 3 3" xfId="4806" xr:uid="{00000000-0005-0000-0000-0000D2040000}"/>
    <cellStyle name="20% - Accent1 4 10 4" xfId="4807" xr:uid="{00000000-0005-0000-0000-0000D3040000}"/>
    <cellStyle name="20% - Accent1 4 10 4 2" xfId="4808" xr:uid="{00000000-0005-0000-0000-0000D4040000}"/>
    <cellStyle name="20% - Accent1 4 10 4 2 2" xfId="4809" xr:uid="{00000000-0005-0000-0000-0000D5040000}"/>
    <cellStyle name="20% - Accent1 4 10 4 3" xfId="4810" xr:uid="{00000000-0005-0000-0000-0000D6040000}"/>
    <cellStyle name="20% - Accent1 4 10 5" xfId="4811" xr:uid="{00000000-0005-0000-0000-0000D7040000}"/>
    <cellStyle name="20% - Accent1 4 10 6" xfId="4812" xr:uid="{00000000-0005-0000-0000-0000D8040000}"/>
    <cellStyle name="20% - Accent1 4 11" xfId="4813" xr:uid="{00000000-0005-0000-0000-0000D9040000}"/>
    <cellStyle name="20% - Accent1 4 11 2" xfId="4814" xr:uid="{00000000-0005-0000-0000-0000DA040000}"/>
    <cellStyle name="20% - Accent1 4 11 2 2" xfId="4815" xr:uid="{00000000-0005-0000-0000-0000DB040000}"/>
    <cellStyle name="20% - Accent1 4 11 2 2 2" xfId="4816" xr:uid="{00000000-0005-0000-0000-0000DC040000}"/>
    <cellStyle name="20% - Accent1 4 11 2 2 2 2" xfId="4817" xr:uid="{00000000-0005-0000-0000-0000DD040000}"/>
    <cellStyle name="20% - Accent1 4 11 2 2 3" xfId="4818" xr:uid="{00000000-0005-0000-0000-0000DE040000}"/>
    <cellStyle name="20% - Accent1 4 11 2 3" xfId="4819" xr:uid="{00000000-0005-0000-0000-0000DF040000}"/>
    <cellStyle name="20% - Accent1 4 11 2 3 2" xfId="4820" xr:uid="{00000000-0005-0000-0000-0000E0040000}"/>
    <cellStyle name="20% - Accent1 4 11 2 4" xfId="4821" xr:uid="{00000000-0005-0000-0000-0000E1040000}"/>
    <cellStyle name="20% - Accent1 4 11 2 5" xfId="4822" xr:uid="{00000000-0005-0000-0000-0000E2040000}"/>
    <cellStyle name="20% - Accent1 4 11 2 6" xfId="4823" xr:uid="{00000000-0005-0000-0000-0000E3040000}"/>
    <cellStyle name="20% - Accent1 4 11 3" xfId="4824" xr:uid="{00000000-0005-0000-0000-0000E4040000}"/>
    <cellStyle name="20% - Accent1 4 11 3 2" xfId="4825" xr:uid="{00000000-0005-0000-0000-0000E5040000}"/>
    <cellStyle name="20% - Accent1 4 11 3 2 2" xfId="4826" xr:uid="{00000000-0005-0000-0000-0000E6040000}"/>
    <cellStyle name="20% - Accent1 4 11 3 3" xfId="4827" xr:uid="{00000000-0005-0000-0000-0000E7040000}"/>
    <cellStyle name="20% - Accent1 4 11 4" xfId="4828" xr:uid="{00000000-0005-0000-0000-0000E8040000}"/>
    <cellStyle name="20% - Accent1 4 11 4 2" xfId="4829" xr:uid="{00000000-0005-0000-0000-0000E9040000}"/>
    <cellStyle name="20% - Accent1 4 11 5" xfId="4830" xr:uid="{00000000-0005-0000-0000-0000EA040000}"/>
    <cellStyle name="20% - Accent1 4 11 6" xfId="4831" xr:uid="{00000000-0005-0000-0000-0000EB040000}"/>
    <cellStyle name="20% - Accent1 4 11 7" xfId="4832" xr:uid="{00000000-0005-0000-0000-0000EC040000}"/>
    <cellStyle name="20% - Accent1 4 12" xfId="4833" xr:uid="{00000000-0005-0000-0000-0000ED040000}"/>
    <cellStyle name="20% - Accent1 4 13" xfId="4834" xr:uid="{00000000-0005-0000-0000-0000EE040000}"/>
    <cellStyle name="20% - Accent1 4 13 2" xfId="4835" xr:uid="{00000000-0005-0000-0000-0000EF040000}"/>
    <cellStyle name="20% - Accent1 4 13 2 2" xfId="4836" xr:uid="{00000000-0005-0000-0000-0000F0040000}"/>
    <cellStyle name="20% - Accent1 4 13 3" xfId="4837" xr:uid="{00000000-0005-0000-0000-0000F1040000}"/>
    <cellStyle name="20% - Accent1 4 14" xfId="4838" xr:uid="{00000000-0005-0000-0000-0000F2040000}"/>
    <cellStyle name="20% - Accent1 4 14 2" xfId="4839" xr:uid="{00000000-0005-0000-0000-0000F3040000}"/>
    <cellStyle name="20% - Accent1 4 15" xfId="4840" xr:uid="{00000000-0005-0000-0000-0000F4040000}"/>
    <cellStyle name="20% - Accent1 4 16" xfId="4841" xr:uid="{00000000-0005-0000-0000-0000F5040000}"/>
    <cellStyle name="20% - Accent1 4 2" xfId="4842" xr:uid="{00000000-0005-0000-0000-0000F6040000}"/>
    <cellStyle name="20% - Accent1 4 2 10" xfId="4843" xr:uid="{00000000-0005-0000-0000-0000F7040000}"/>
    <cellStyle name="20% - Accent1 4 2 11" xfId="4844" xr:uid="{00000000-0005-0000-0000-0000F8040000}"/>
    <cellStyle name="20% - Accent1 4 2 2" xfId="4845" xr:uid="{00000000-0005-0000-0000-0000F9040000}"/>
    <cellStyle name="20% - Accent1 4 2 2 2" xfId="4846" xr:uid="{00000000-0005-0000-0000-0000FA040000}"/>
    <cellStyle name="20% - Accent1 4 2 2 2 2" xfId="4847" xr:uid="{00000000-0005-0000-0000-0000FB040000}"/>
    <cellStyle name="20% - Accent1 4 2 2 2 2 2" xfId="4848" xr:uid="{00000000-0005-0000-0000-0000FC040000}"/>
    <cellStyle name="20% - Accent1 4 2 2 2 2 2 2" xfId="4849" xr:uid="{00000000-0005-0000-0000-0000FD040000}"/>
    <cellStyle name="20% - Accent1 4 2 2 2 2 3" xfId="4850" xr:uid="{00000000-0005-0000-0000-0000FE040000}"/>
    <cellStyle name="20% - Accent1 4 2 2 2 3" xfId="4851" xr:uid="{00000000-0005-0000-0000-0000FF040000}"/>
    <cellStyle name="20% - Accent1 4 2 2 2 3 2" xfId="4852" xr:uid="{00000000-0005-0000-0000-000000050000}"/>
    <cellStyle name="20% - Accent1 4 2 2 2 4" xfId="4853" xr:uid="{00000000-0005-0000-0000-000001050000}"/>
    <cellStyle name="20% - Accent1 4 2 2 2 5" xfId="4854" xr:uid="{00000000-0005-0000-0000-000002050000}"/>
    <cellStyle name="20% - Accent1 4 2 2 2 6" xfId="4855" xr:uid="{00000000-0005-0000-0000-000003050000}"/>
    <cellStyle name="20% - Accent1 4 2 2 3" xfId="4856" xr:uid="{00000000-0005-0000-0000-000004050000}"/>
    <cellStyle name="20% - Accent1 4 2 2 3 2" xfId="4857" xr:uid="{00000000-0005-0000-0000-000005050000}"/>
    <cellStyle name="20% - Accent1 4 2 2 3 2 2" xfId="4858" xr:uid="{00000000-0005-0000-0000-000006050000}"/>
    <cellStyle name="20% - Accent1 4 2 2 3 3" xfId="4859" xr:uid="{00000000-0005-0000-0000-000007050000}"/>
    <cellStyle name="20% - Accent1 4 2 2 4" xfId="4860" xr:uid="{00000000-0005-0000-0000-000008050000}"/>
    <cellStyle name="20% - Accent1 4 2 2 4 2" xfId="4861" xr:uid="{00000000-0005-0000-0000-000009050000}"/>
    <cellStyle name="20% - Accent1 4 2 2 5" xfId="4862" xr:uid="{00000000-0005-0000-0000-00000A050000}"/>
    <cellStyle name="20% - Accent1 4 2 2 5 2" xfId="4863" xr:uid="{00000000-0005-0000-0000-00000B050000}"/>
    <cellStyle name="20% - Accent1 4 2 2 6" xfId="4864" xr:uid="{00000000-0005-0000-0000-00000C050000}"/>
    <cellStyle name="20% - Accent1 4 2 2 7" xfId="4865" xr:uid="{00000000-0005-0000-0000-00000D050000}"/>
    <cellStyle name="20% - Accent1 4 2 2 8" xfId="4866" xr:uid="{00000000-0005-0000-0000-00000E050000}"/>
    <cellStyle name="20% - Accent1 4 2 3" xfId="4867" xr:uid="{00000000-0005-0000-0000-00000F050000}"/>
    <cellStyle name="20% - Accent1 4 2 3 2" xfId="4868" xr:uid="{00000000-0005-0000-0000-000010050000}"/>
    <cellStyle name="20% - Accent1 4 2 3 2 2" xfId="4869" xr:uid="{00000000-0005-0000-0000-000011050000}"/>
    <cellStyle name="20% - Accent1 4 2 3 2 2 2" xfId="4870" xr:uid="{00000000-0005-0000-0000-000012050000}"/>
    <cellStyle name="20% - Accent1 4 2 3 2 2 2 2" xfId="4871" xr:uid="{00000000-0005-0000-0000-000013050000}"/>
    <cellStyle name="20% - Accent1 4 2 3 2 2 3" xfId="4872" xr:uid="{00000000-0005-0000-0000-000014050000}"/>
    <cellStyle name="20% - Accent1 4 2 3 2 3" xfId="4873" xr:uid="{00000000-0005-0000-0000-000015050000}"/>
    <cellStyle name="20% - Accent1 4 2 3 2 3 2" xfId="4874" xr:uid="{00000000-0005-0000-0000-000016050000}"/>
    <cellStyle name="20% - Accent1 4 2 3 2 4" xfId="4875" xr:uid="{00000000-0005-0000-0000-000017050000}"/>
    <cellStyle name="20% - Accent1 4 2 3 2 5" xfId="4876" xr:uid="{00000000-0005-0000-0000-000018050000}"/>
    <cellStyle name="20% - Accent1 4 2 3 2 6" xfId="4877" xr:uid="{00000000-0005-0000-0000-000019050000}"/>
    <cellStyle name="20% - Accent1 4 2 3 3" xfId="4878" xr:uid="{00000000-0005-0000-0000-00001A050000}"/>
    <cellStyle name="20% - Accent1 4 2 3 3 2" xfId="4879" xr:uid="{00000000-0005-0000-0000-00001B050000}"/>
    <cellStyle name="20% - Accent1 4 2 3 3 2 2" xfId="4880" xr:uid="{00000000-0005-0000-0000-00001C050000}"/>
    <cellStyle name="20% - Accent1 4 2 3 3 3" xfId="4881" xr:uid="{00000000-0005-0000-0000-00001D050000}"/>
    <cellStyle name="20% - Accent1 4 2 3 4" xfId="4882" xr:uid="{00000000-0005-0000-0000-00001E050000}"/>
    <cellStyle name="20% - Accent1 4 2 3 4 2" xfId="4883" xr:uid="{00000000-0005-0000-0000-00001F050000}"/>
    <cellStyle name="20% - Accent1 4 2 3 5" xfId="4884" xr:uid="{00000000-0005-0000-0000-000020050000}"/>
    <cellStyle name="20% - Accent1 4 2 3 6" xfId="4885" xr:uid="{00000000-0005-0000-0000-000021050000}"/>
    <cellStyle name="20% - Accent1 4 2 3 7" xfId="4886" xr:uid="{00000000-0005-0000-0000-000022050000}"/>
    <cellStyle name="20% - Accent1 4 2 4" xfId="4887" xr:uid="{00000000-0005-0000-0000-000023050000}"/>
    <cellStyle name="20% - Accent1 4 2 4 2" xfId="4888" xr:uid="{00000000-0005-0000-0000-000024050000}"/>
    <cellStyle name="20% - Accent1 4 2 4 2 2" xfId="4889" xr:uid="{00000000-0005-0000-0000-000025050000}"/>
    <cellStyle name="20% - Accent1 4 2 4 2 2 2" xfId="4890" xr:uid="{00000000-0005-0000-0000-000026050000}"/>
    <cellStyle name="20% - Accent1 4 2 4 2 3" xfId="4891" xr:uid="{00000000-0005-0000-0000-000027050000}"/>
    <cellStyle name="20% - Accent1 4 2 4 3" xfId="4892" xr:uid="{00000000-0005-0000-0000-000028050000}"/>
    <cellStyle name="20% - Accent1 4 2 4 3 2" xfId="4893" xr:uid="{00000000-0005-0000-0000-000029050000}"/>
    <cellStyle name="20% - Accent1 4 2 4 4" xfId="4894" xr:uid="{00000000-0005-0000-0000-00002A050000}"/>
    <cellStyle name="20% - Accent1 4 2 4 5" xfId="4895" xr:uid="{00000000-0005-0000-0000-00002B050000}"/>
    <cellStyle name="20% - Accent1 4 2 4 6" xfId="4896" xr:uid="{00000000-0005-0000-0000-00002C050000}"/>
    <cellStyle name="20% - Accent1 4 2 5" xfId="4897" xr:uid="{00000000-0005-0000-0000-00002D050000}"/>
    <cellStyle name="20% - Accent1 4 2 5 2" xfId="4898" xr:uid="{00000000-0005-0000-0000-00002E050000}"/>
    <cellStyle name="20% - Accent1 4 2 5 2 2" xfId="4899" xr:uid="{00000000-0005-0000-0000-00002F050000}"/>
    <cellStyle name="20% - Accent1 4 2 5 3" xfId="4900" xr:uid="{00000000-0005-0000-0000-000030050000}"/>
    <cellStyle name="20% - Accent1 4 2 6" xfId="4901" xr:uid="{00000000-0005-0000-0000-000031050000}"/>
    <cellStyle name="20% - Accent1 4 2 6 2" xfId="4902" xr:uid="{00000000-0005-0000-0000-000032050000}"/>
    <cellStyle name="20% - Accent1 4 2 6 2 2" xfId="4903" xr:uid="{00000000-0005-0000-0000-000033050000}"/>
    <cellStyle name="20% - Accent1 4 2 6 3" xfId="4904" xr:uid="{00000000-0005-0000-0000-000034050000}"/>
    <cellStyle name="20% - Accent1 4 2 7" xfId="4905" xr:uid="{00000000-0005-0000-0000-000035050000}"/>
    <cellStyle name="20% - Accent1 4 2 7 2" xfId="4906" xr:uid="{00000000-0005-0000-0000-000036050000}"/>
    <cellStyle name="20% - Accent1 4 2 8" xfId="4907" xr:uid="{00000000-0005-0000-0000-000037050000}"/>
    <cellStyle name="20% - Accent1 4 2 8 2" xfId="4908" xr:uid="{00000000-0005-0000-0000-000038050000}"/>
    <cellStyle name="20% - Accent1 4 2 9" xfId="4909" xr:uid="{00000000-0005-0000-0000-000039050000}"/>
    <cellStyle name="20% - Accent1 4 3" xfId="4910" xr:uid="{00000000-0005-0000-0000-00003A050000}"/>
    <cellStyle name="20% - Accent1 4 3 10" xfId="4911" xr:uid="{00000000-0005-0000-0000-00003B050000}"/>
    <cellStyle name="20% - Accent1 4 3 11" xfId="4912" xr:uid="{00000000-0005-0000-0000-00003C050000}"/>
    <cellStyle name="20% - Accent1 4 3 2" xfId="4913" xr:uid="{00000000-0005-0000-0000-00003D050000}"/>
    <cellStyle name="20% - Accent1 4 3 2 2" xfId="4914" xr:uid="{00000000-0005-0000-0000-00003E050000}"/>
    <cellStyle name="20% - Accent1 4 3 2 2 2" xfId="4915" xr:uid="{00000000-0005-0000-0000-00003F050000}"/>
    <cellStyle name="20% - Accent1 4 3 2 2 2 2" xfId="4916" xr:uid="{00000000-0005-0000-0000-000040050000}"/>
    <cellStyle name="20% - Accent1 4 3 2 2 2 2 2" xfId="4917" xr:uid="{00000000-0005-0000-0000-000041050000}"/>
    <cellStyle name="20% - Accent1 4 3 2 2 2 3" xfId="4918" xr:uid="{00000000-0005-0000-0000-000042050000}"/>
    <cellStyle name="20% - Accent1 4 3 2 2 3" xfId="4919" xr:uid="{00000000-0005-0000-0000-000043050000}"/>
    <cellStyle name="20% - Accent1 4 3 2 2 3 2" xfId="4920" xr:uid="{00000000-0005-0000-0000-000044050000}"/>
    <cellStyle name="20% - Accent1 4 3 2 2 4" xfId="4921" xr:uid="{00000000-0005-0000-0000-000045050000}"/>
    <cellStyle name="20% - Accent1 4 3 2 2 5" xfId="4922" xr:uid="{00000000-0005-0000-0000-000046050000}"/>
    <cellStyle name="20% - Accent1 4 3 2 2 6" xfId="4923" xr:uid="{00000000-0005-0000-0000-000047050000}"/>
    <cellStyle name="20% - Accent1 4 3 2 3" xfId="4924" xr:uid="{00000000-0005-0000-0000-000048050000}"/>
    <cellStyle name="20% - Accent1 4 3 2 3 2" xfId="4925" xr:uid="{00000000-0005-0000-0000-000049050000}"/>
    <cellStyle name="20% - Accent1 4 3 2 3 2 2" xfId="4926" xr:uid="{00000000-0005-0000-0000-00004A050000}"/>
    <cellStyle name="20% - Accent1 4 3 2 3 3" xfId="4927" xr:uid="{00000000-0005-0000-0000-00004B050000}"/>
    <cellStyle name="20% - Accent1 4 3 2 4" xfId="4928" xr:uid="{00000000-0005-0000-0000-00004C050000}"/>
    <cellStyle name="20% - Accent1 4 3 2 4 2" xfId="4929" xr:uid="{00000000-0005-0000-0000-00004D050000}"/>
    <cellStyle name="20% - Accent1 4 3 2 5" xfId="4930" xr:uid="{00000000-0005-0000-0000-00004E050000}"/>
    <cellStyle name="20% - Accent1 4 3 2 5 2" xfId="4931" xr:uid="{00000000-0005-0000-0000-00004F050000}"/>
    <cellStyle name="20% - Accent1 4 3 2 6" xfId="4932" xr:uid="{00000000-0005-0000-0000-000050050000}"/>
    <cellStyle name="20% - Accent1 4 3 2 7" xfId="4933" xr:uid="{00000000-0005-0000-0000-000051050000}"/>
    <cellStyle name="20% - Accent1 4 3 2 8" xfId="4934" xr:uid="{00000000-0005-0000-0000-000052050000}"/>
    <cellStyle name="20% - Accent1 4 3 3" xfId="4935" xr:uid="{00000000-0005-0000-0000-000053050000}"/>
    <cellStyle name="20% - Accent1 4 3 3 2" xfId="4936" xr:uid="{00000000-0005-0000-0000-000054050000}"/>
    <cellStyle name="20% - Accent1 4 3 3 2 2" xfId="4937" xr:uid="{00000000-0005-0000-0000-000055050000}"/>
    <cellStyle name="20% - Accent1 4 3 3 2 2 2" xfId="4938" xr:uid="{00000000-0005-0000-0000-000056050000}"/>
    <cellStyle name="20% - Accent1 4 3 3 2 2 2 2" xfId="4939" xr:uid="{00000000-0005-0000-0000-000057050000}"/>
    <cellStyle name="20% - Accent1 4 3 3 2 2 3" xfId="4940" xr:uid="{00000000-0005-0000-0000-000058050000}"/>
    <cellStyle name="20% - Accent1 4 3 3 2 3" xfId="4941" xr:uid="{00000000-0005-0000-0000-000059050000}"/>
    <cellStyle name="20% - Accent1 4 3 3 2 3 2" xfId="4942" xr:uid="{00000000-0005-0000-0000-00005A050000}"/>
    <cellStyle name="20% - Accent1 4 3 3 2 4" xfId="4943" xr:uid="{00000000-0005-0000-0000-00005B050000}"/>
    <cellStyle name="20% - Accent1 4 3 3 2 5" xfId="4944" xr:uid="{00000000-0005-0000-0000-00005C050000}"/>
    <cellStyle name="20% - Accent1 4 3 3 2 6" xfId="4945" xr:uid="{00000000-0005-0000-0000-00005D050000}"/>
    <cellStyle name="20% - Accent1 4 3 3 3" xfId="4946" xr:uid="{00000000-0005-0000-0000-00005E050000}"/>
    <cellStyle name="20% - Accent1 4 3 3 3 2" xfId="4947" xr:uid="{00000000-0005-0000-0000-00005F050000}"/>
    <cellStyle name="20% - Accent1 4 3 3 3 2 2" xfId="4948" xr:uid="{00000000-0005-0000-0000-000060050000}"/>
    <cellStyle name="20% - Accent1 4 3 3 3 3" xfId="4949" xr:uid="{00000000-0005-0000-0000-000061050000}"/>
    <cellStyle name="20% - Accent1 4 3 3 4" xfId="4950" xr:uid="{00000000-0005-0000-0000-000062050000}"/>
    <cellStyle name="20% - Accent1 4 3 3 4 2" xfId="4951" xr:uid="{00000000-0005-0000-0000-000063050000}"/>
    <cellStyle name="20% - Accent1 4 3 3 5" xfId="4952" xr:uid="{00000000-0005-0000-0000-000064050000}"/>
    <cellStyle name="20% - Accent1 4 3 3 6" xfId="4953" xr:uid="{00000000-0005-0000-0000-000065050000}"/>
    <cellStyle name="20% - Accent1 4 3 3 7" xfId="4954" xr:uid="{00000000-0005-0000-0000-000066050000}"/>
    <cellStyle name="20% - Accent1 4 3 4" xfId="4955" xr:uid="{00000000-0005-0000-0000-000067050000}"/>
    <cellStyle name="20% - Accent1 4 3 4 2" xfId="4956" xr:uid="{00000000-0005-0000-0000-000068050000}"/>
    <cellStyle name="20% - Accent1 4 3 4 2 2" xfId="4957" xr:uid="{00000000-0005-0000-0000-000069050000}"/>
    <cellStyle name="20% - Accent1 4 3 4 2 2 2" xfId="4958" xr:uid="{00000000-0005-0000-0000-00006A050000}"/>
    <cellStyle name="20% - Accent1 4 3 4 2 3" xfId="4959" xr:uid="{00000000-0005-0000-0000-00006B050000}"/>
    <cellStyle name="20% - Accent1 4 3 4 3" xfId="4960" xr:uid="{00000000-0005-0000-0000-00006C050000}"/>
    <cellStyle name="20% - Accent1 4 3 4 3 2" xfId="4961" xr:uid="{00000000-0005-0000-0000-00006D050000}"/>
    <cellStyle name="20% - Accent1 4 3 4 4" xfId="4962" xr:uid="{00000000-0005-0000-0000-00006E050000}"/>
    <cellStyle name="20% - Accent1 4 3 4 5" xfId="4963" xr:uid="{00000000-0005-0000-0000-00006F050000}"/>
    <cellStyle name="20% - Accent1 4 3 4 6" xfId="4964" xr:uid="{00000000-0005-0000-0000-000070050000}"/>
    <cellStyle name="20% - Accent1 4 3 5" xfId="4965" xr:uid="{00000000-0005-0000-0000-000071050000}"/>
    <cellStyle name="20% - Accent1 4 3 5 2" xfId="4966" xr:uid="{00000000-0005-0000-0000-000072050000}"/>
    <cellStyle name="20% - Accent1 4 3 5 2 2" xfId="4967" xr:uid="{00000000-0005-0000-0000-000073050000}"/>
    <cellStyle name="20% - Accent1 4 3 5 3" xfId="4968" xr:uid="{00000000-0005-0000-0000-000074050000}"/>
    <cellStyle name="20% - Accent1 4 3 6" xfId="4969" xr:uid="{00000000-0005-0000-0000-000075050000}"/>
    <cellStyle name="20% - Accent1 4 3 6 2" xfId="4970" xr:uid="{00000000-0005-0000-0000-000076050000}"/>
    <cellStyle name="20% - Accent1 4 3 6 2 2" xfId="4971" xr:uid="{00000000-0005-0000-0000-000077050000}"/>
    <cellStyle name="20% - Accent1 4 3 6 3" xfId="4972" xr:uid="{00000000-0005-0000-0000-000078050000}"/>
    <cellStyle name="20% - Accent1 4 3 7" xfId="4973" xr:uid="{00000000-0005-0000-0000-000079050000}"/>
    <cellStyle name="20% - Accent1 4 3 7 2" xfId="4974" xr:uid="{00000000-0005-0000-0000-00007A050000}"/>
    <cellStyle name="20% - Accent1 4 3 8" xfId="4975" xr:uid="{00000000-0005-0000-0000-00007B050000}"/>
    <cellStyle name="20% - Accent1 4 3 8 2" xfId="4976" xr:uid="{00000000-0005-0000-0000-00007C050000}"/>
    <cellStyle name="20% - Accent1 4 3 9" xfId="4977" xr:uid="{00000000-0005-0000-0000-00007D050000}"/>
    <cellStyle name="20% - Accent1 4 4" xfId="4978" xr:uid="{00000000-0005-0000-0000-00007E050000}"/>
    <cellStyle name="20% - Accent1 4 4 10" xfId="4979" xr:uid="{00000000-0005-0000-0000-00007F050000}"/>
    <cellStyle name="20% - Accent1 4 4 11" xfId="4980" xr:uid="{00000000-0005-0000-0000-000080050000}"/>
    <cellStyle name="20% - Accent1 4 4 2" xfId="4981" xr:uid="{00000000-0005-0000-0000-000081050000}"/>
    <cellStyle name="20% - Accent1 4 4 2 2" xfId="4982" xr:uid="{00000000-0005-0000-0000-000082050000}"/>
    <cellStyle name="20% - Accent1 4 4 2 2 2" xfId="4983" xr:uid="{00000000-0005-0000-0000-000083050000}"/>
    <cellStyle name="20% - Accent1 4 4 2 2 2 2" xfId="4984" xr:uid="{00000000-0005-0000-0000-000084050000}"/>
    <cellStyle name="20% - Accent1 4 4 2 2 2 2 2" xfId="4985" xr:uid="{00000000-0005-0000-0000-000085050000}"/>
    <cellStyle name="20% - Accent1 4 4 2 2 2 3" xfId="4986" xr:uid="{00000000-0005-0000-0000-000086050000}"/>
    <cellStyle name="20% - Accent1 4 4 2 2 3" xfId="4987" xr:uid="{00000000-0005-0000-0000-000087050000}"/>
    <cellStyle name="20% - Accent1 4 4 2 2 3 2" xfId="4988" xr:uid="{00000000-0005-0000-0000-000088050000}"/>
    <cellStyle name="20% - Accent1 4 4 2 2 4" xfId="4989" xr:uid="{00000000-0005-0000-0000-000089050000}"/>
    <cellStyle name="20% - Accent1 4 4 2 2 5" xfId="4990" xr:uid="{00000000-0005-0000-0000-00008A050000}"/>
    <cellStyle name="20% - Accent1 4 4 2 2 6" xfId="4991" xr:uid="{00000000-0005-0000-0000-00008B050000}"/>
    <cellStyle name="20% - Accent1 4 4 2 3" xfId="4992" xr:uid="{00000000-0005-0000-0000-00008C050000}"/>
    <cellStyle name="20% - Accent1 4 4 2 3 2" xfId="4993" xr:uid="{00000000-0005-0000-0000-00008D050000}"/>
    <cellStyle name="20% - Accent1 4 4 2 3 2 2" xfId="4994" xr:uid="{00000000-0005-0000-0000-00008E050000}"/>
    <cellStyle name="20% - Accent1 4 4 2 3 3" xfId="4995" xr:uid="{00000000-0005-0000-0000-00008F050000}"/>
    <cellStyle name="20% - Accent1 4 4 2 4" xfId="4996" xr:uid="{00000000-0005-0000-0000-000090050000}"/>
    <cellStyle name="20% - Accent1 4 4 2 4 2" xfId="4997" xr:uid="{00000000-0005-0000-0000-000091050000}"/>
    <cellStyle name="20% - Accent1 4 4 2 5" xfId="4998" xr:uid="{00000000-0005-0000-0000-000092050000}"/>
    <cellStyle name="20% - Accent1 4 4 2 5 2" xfId="4999" xr:uid="{00000000-0005-0000-0000-000093050000}"/>
    <cellStyle name="20% - Accent1 4 4 2 6" xfId="5000" xr:uid="{00000000-0005-0000-0000-000094050000}"/>
    <cellStyle name="20% - Accent1 4 4 2 7" xfId="5001" xr:uid="{00000000-0005-0000-0000-000095050000}"/>
    <cellStyle name="20% - Accent1 4 4 2 8" xfId="5002" xr:uid="{00000000-0005-0000-0000-000096050000}"/>
    <cellStyle name="20% - Accent1 4 4 3" xfId="5003" xr:uid="{00000000-0005-0000-0000-000097050000}"/>
    <cellStyle name="20% - Accent1 4 4 3 2" xfId="5004" xr:uid="{00000000-0005-0000-0000-000098050000}"/>
    <cellStyle name="20% - Accent1 4 4 3 2 2" xfId="5005" xr:uid="{00000000-0005-0000-0000-000099050000}"/>
    <cellStyle name="20% - Accent1 4 4 3 2 2 2" xfId="5006" xr:uid="{00000000-0005-0000-0000-00009A050000}"/>
    <cellStyle name="20% - Accent1 4 4 3 2 2 2 2" xfId="5007" xr:uid="{00000000-0005-0000-0000-00009B050000}"/>
    <cellStyle name="20% - Accent1 4 4 3 2 2 3" xfId="5008" xr:uid="{00000000-0005-0000-0000-00009C050000}"/>
    <cellStyle name="20% - Accent1 4 4 3 2 3" xfId="5009" xr:uid="{00000000-0005-0000-0000-00009D050000}"/>
    <cellStyle name="20% - Accent1 4 4 3 2 3 2" xfId="5010" xr:uid="{00000000-0005-0000-0000-00009E050000}"/>
    <cellStyle name="20% - Accent1 4 4 3 2 4" xfId="5011" xr:uid="{00000000-0005-0000-0000-00009F050000}"/>
    <cellStyle name="20% - Accent1 4 4 3 2 5" xfId="5012" xr:uid="{00000000-0005-0000-0000-0000A0050000}"/>
    <cellStyle name="20% - Accent1 4 4 3 2 6" xfId="5013" xr:uid="{00000000-0005-0000-0000-0000A1050000}"/>
    <cellStyle name="20% - Accent1 4 4 3 3" xfId="5014" xr:uid="{00000000-0005-0000-0000-0000A2050000}"/>
    <cellStyle name="20% - Accent1 4 4 3 3 2" xfId="5015" xr:uid="{00000000-0005-0000-0000-0000A3050000}"/>
    <cellStyle name="20% - Accent1 4 4 3 3 2 2" xfId="5016" xr:uid="{00000000-0005-0000-0000-0000A4050000}"/>
    <cellStyle name="20% - Accent1 4 4 3 3 3" xfId="5017" xr:uid="{00000000-0005-0000-0000-0000A5050000}"/>
    <cellStyle name="20% - Accent1 4 4 3 4" xfId="5018" xr:uid="{00000000-0005-0000-0000-0000A6050000}"/>
    <cellStyle name="20% - Accent1 4 4 3 4 2" xfId="5019" xr:uid="{00000000-0005-0000-0000-0000A7050000}"/>
    <cellStyle name="20% - Accent1 4 4 3 5" xfId="5020" xr:uid="{00000000-0005-0000-0000-0000A8050000}"/>
    <cellStyle name="20% - Accent1 4 4 3 6" xfId="5021" xr:uid="{00000000-0005-0000-0000-0000A9050000}"/>
    <cellStyle name="20% - Accent1 4 4 3 7" xfId="5022" xr:uid="{00000000-0005-0000-0000-0000AA050000}"/>
    <cellStyle name="20% - Accent1 4 4 4" xfId="5023" xr:uid="{00000000-0005-0000-0000-0000AB050000}"/>
    <cellStyle name="20% - Accent1 4 4 4 2" xfId="5024" xr:uid="{00000000-0005-0000-0000-0000AC050000}"/>
    <cellStyle name="20% - Accent1 4 4 4 2 2" xfId="5025" xr:uid="{00000000-0005-0000-0000-0000AD050000}"/>
    <cellStyle name="20% - Accent1 4 4 4 2 2 2" xfId="5026" xr:uid="{00000000-0005-0000-0000-0000AE050000}"/>
    <cellStyle name="20% - Accent1 4 4 4 2 3" xfId="5027" xr:uid="{00000000-0005-0000-0000-0000AF050000}"/>
    <cellStyle name="20% - Accent1 4 4 4 3" xfId="5028" xr:uid="{00000000-0005-0000-0000-0000B0050000}"/>
    <cellStyle name="20% - Accent1 4 4 4 3 2" xfId="5029" xr:uid="{00000000-0005-0000-0000-0000B1050000}"/>
    <cellStyle name="20% - Accent1 4 4 4 4" xfId="5030" xr:uid="{00000000-0005-0000-0000-0000B2050000}"/>
    <cellStyle name="20% - Accent1 4 4 4 5" xfId="5031" xr:uid="{00000000-0005-0000-0000-0000B3050000}"/>
    <cellStyle name="20% - Accent1 4 4 4 6" xfId="5032" xr:uid="{00000000-0005-0000-0000-0000B4050000}"/>
    <cellStyle name="20% - Accent1 4 4 5" xfId="5033" xr:uid="{00000000-0005-0000-0000-0000B5050000}"/>
    <cellStyle name="20% - Accent1 4 4 5 2" xfId="5034" xr:uid="{00000000-0005-0000-0000-0000B6050000}"/>
    <cellStyle name="20% - Accent1 4 4 5 2 2" xfId="5035" xr:uid="{00000000-0005-0000-0000-0000B7050000}"/>
    <cellStyle name="20% - Accent1 4 4 5 3" xfId="5036" xr:uid="{00000000-0005-0000-0000-0000B8050000}"/>
    <cellStyle name="20% - Accent1 4 4 6" xfId="5037" xr:uid="{00000000-0005-0000-0000-0000B9050000}"/>
    <cellStyle name="20% - Accent1 4 4 6 2" xfId="5038" xr:uid="{00000000-0005-0000-0000-0000BA050000}"/>
    <cellStyle name="20% - Accent1 4 4 6 2 2" xfId="5039" xr:uid="{00000000-0005-0000-0000-0000BB050000}"/>
    <cellStyle name="20% - Accent1 4 4 6 3" xfId="5040" xr:uid="{00000000-0005-0000-0000-0000BC050000}"/>
    <cellStyle name="20% - Accent1 4 4 7" xfId="5041" xr:uid="{00000000-0005-0000-0000-0000BD050000}"/>
    <cellStyle name="20% - Accent1 4 4 7 2" xfId="5042" xr:uid="{00000000-0005-0000-0000-0000BE050000}"/>
    <cellStyle name="20% - Accent1 4 4 8" xfId="5043" xr:uid="{00000000-0005-0000-0000-0000BF050000}"/>
    <cellStyle name="20% - Accent1 4 4 8 2" xfId="5044" xr:uid="{00000000-0005-0000-0000-0000C0050000}"/>
    <cellStyle name="20% - Accent1 4 4 9" xfId="5045" xr:uid="{00000000-0005-0000-0000-0000C1050000}"/>
    <cellStyle name="20% - Accent1 4 5" xfId="5046" xr:uid="{00000000-0005-0000-0000-0000C2050000}"/>
    <cellStyle name="20% - Accent1 4 5 10" xfId="5047" xr:uid="{00000000-0005-0000-0000-0000C3050000}"/>
    <cellStyle name="20% - Accent1 4 5 11" xfId="5048" xr:uid="{00000000-0005-0000-0000-0000C4050000}"/>
    <cellStyle name="20% - Accent1 4 5 2" xfId="5049" xr:uid="{00000000-0005-0000-0000-0000C5050000}"/>
    <cellStyle name="20% - Accent1 4 5 2 2" xfId="5050" xr:uid="{00000000-0005-0000-0000-0000C6050000}"/>
    <cellStyle name="20% - Accent1 4 5 2 2 2" xfId="5051" xr:uid="{00000000-0005-0000-0000-0000C7050000}"/>
    <cellStyle name="20% - Accent1 4 5 2 2 2 2" xfId="5052" xr:uid="{00000000-0005-0000-0000-0000C8050000}"/>
    <cellStyle name="20% - Accent1 4 5 2 2 2 2 2" xfId="5053" xr:uid="{00000000-0005-0000-0000-0000C9050000}"/>
    <cellStyle name="20% - Accent1 4 5 2 2 2 3" xfId="5054" xr:uid="{00000000-0005-0000-0000-0000CA050000}"/>
    <cellStyle name="20% - Accent1 4 5 2 2 3" xfId="5055" xr:uid="{00000000-0005-0000-0000-0000CB050000}"/>
    <cellStyle name="20% - Accent1 4 5 2 2 3 2" xfId="5056" xr:uid="{00000000-0005-0000-0000-0000CC050000}"/>
    <cellStyle name="20% - Accent1 4 5 2 2 4" xfId="5057" xr:uid="{00000000-0005-0000-0000-0000CD050000}"/>
    <cellStyle name="20% - Accent1 4 5 2 2 5" xfId="5058" xr:uid="{00000000-0005-0000-0000-0000CE050000}"/>
    <cellStyle name="20% - Accent1 4 5 2 2 6" xfId="5059" xr:uid="{00000000-0005-0000-0000-0000CF050000}"/>
    <cellStyle name="20% - Accent1 4 5 2 3" xfId="5060" xr:uid="{00000000-0005-0000-0000-0000D0050000}"/>
    <cellStyle name="20% - Accent1 4 5 2 3 2" xfId="5061" xr:uid="{00000000-0005-0000-0000-0000D1050000}"/>
    <cellStyle name="20% - Accent1 4 5 2 3 2 2" xfId="5062" xr:uid="{00000000-0005-0000-0000-0000D2050000}"/>
    <cellStyle name="20% - Accent1 4 5 2 3 3" xfId="5063" xr:uid="{00000000-0005-0000-0000-0000D3050000}"/>
    <cellStyle name="20% - Accent1 4 5 2 4" xfId="5064" xr:uid="{00000000-0005-0000-0000-0000D4050000}"/>
    <cellStyle name="20% - Accent1 4 5 2 4 2" xfId="5065" xr:uid="{00000000-0005-0000-0000-0000D5050000}"/>
    <cellStyle name="20% - Accent1 4 5 2 5" xfId="5066" xr:uid="{00000000-0005-0000-0000-0000D6050000}"/>
    <cellStyle name="20% - Accent1 4 5 2 5 2" xfId="5067" xr:uid="{00000000-0005-0000-0000-0000D7050000}"/>
    <cellStyle name="20% - Accent1 4 5 2 6" xfId="5068" xr:uid="{00000000-0005-0000-0000-0000D8050000}"/>
    <cellStyle name="20% - Accent1 4 5 2 7" xfId="5069" xr:uid="{00000000-0005-0000-0000-0000D9050000}"/>
    <cellStyle name="20% - Accent1 4 5 2 8" xfId="5070" xr:uid="{00000000-0005-0000-0000-0000DA050000}"/>
    <cellStyle name="20% - Accent1 4 5 3" xfId="5071" xr:uid="{00000000-0005-0000-0000-0000DB050000}"/>
    <cellStyle name="20% - Accent1 4 5 3 2" xfId="5072" xr:uid="{00000000-0005-0000-0000-0000DC050000}"/>
    <cellStyle name="20% - Accent1 4 5 3 2 2" xfId="5073" xr:uid="{00000000-0005-0000-0000-0000DD050000}"/>
    <cellStyle name="20% - Accent1 4 5 3 2 2 2" xfId="5074" xr:uid="{00000000-0005-0000-0000-0000DE050000}"/>
    <cellStyle name="20% - Accent1 4 5 3 2 2 2 2" xfId="5075" xr:uid="{00000000-0005-0000-0000-0000DF050000}"/>
    <cellStyle name="20% - Accent1 4 5 3 2 2 3" xfId="5076" xr:uid="{00000000-0005-0000-0000-0000E0050000}"/>
    <cellStyle name="20% - Accent1 4 5 3 2 3" xfId="5077" xr:uid="{00000000-0005-0000-0000-0000E1050000}"/>
    <cellStyle name="20% - Accent1 4 5 3 2 3 2" xfId="5078" xr:uid="{00000000-0005-0000-0000-0000E2050000}"/>
    <cellStyle name="20% - Accent1 4 5 3 2 4" xfId="5079" xr:uid="{00000000-0005-0000-0000-0000E3050000}"/>
    <cellStyle name="20% - Accent1 4 5 3 2 5" xfId="5080" xr:uid="{00000000-0005-0000-0000-0000E4050000}"/>
    <cellStyle name="20% - Accent1 4 5 3 2 6" xfId="5081" xr:uid="{00000000-0005-0000-0000-0000E5050000}"/>
    <cellStyle name="20% - Accent1 4 5 3 3" xfId="5082" xr:uid="{00000000-0005-0000-0000-0000E6050000}"/>
    <cellStyle name="20% - Accent1 4 5 3 3 2" xfId="5083" xr:uid="{00000000-0005-0000-0000-0000E7050000}"/>
    <cellStyle name="20% - Accent1 4 5 3 3 2 2" xfId="5084" xr:uid="{00000000-0005-0000-0000-0000E8050000}"/>
    <cellStyle name="20% - Accent1 4 5 3 3 3" xfId="5085" xr:uid="{00000000-0005-0000-0000-0000E9050000}"/>
    <cellStyle name="20% - Accent1 4 5 3 4" xfId="5086" xr:uid="{00000000-0005-0000-0000-0000EA050000}"/>
    <cellStyle name="20% - Accent1 4 5 3 4 2" xfId="5087" xr:uid="{00000000-0005-0000-0000-0000EB050000}"/>
    <cellStyle name="20% - Accent1 4 5 3 5" xfId="5088" xr:uid="{00000000-0005-0000-0000-0000EC050000}"/>
    <cellStyle name="20% - Accent1 4 5 3 6" xfId="5089" xr:uid="{00000000-0005-0000-0000-0000ED050000}"/>
    <cellStyle name="20% - Accent1 4 5 3 7" xfId="5090" xr:uid="{00000000-0005-0000-0000-0000EE050000}"/>
    <cellStyle name="20% - Accent1 4 5 4" xfId="5091" xr:uid="{00000000-0005-0000-0000-0000EF050000}"/>
    <cellStyle name="20% - Accent1 4 5 4 2" xfId="5092" xr:uid="{00000000-0005-0000-0000-0000F0050000}"/>
    <cellStyle name="20% - Accent1 4 5 4 2 2" xfId="5093" xr:uid="{00000000-0005-0000-0000-0000F1050000}"/>
    <cellStyle name="20% - Accent1 4 5 4 2 2 2" xfId="5094" xr:uid="{00000000-0005-0000-0000-0000F2050000}"/>
    <cellStyle name="20% - Accent1 4 5 4 2 3" xfId="5095" xr:uid="{00000000-0005-0000-0000-0000F3050000}"/>
    <cellStyle name="20% - Accent1 4 5 4 3" xfId="5096" xr:uid="{00000000-0005-0000-0000-0000F4050000}"/>
    <cellStyle name="20% - Accent1 4 5 4 3 2" xfId="5097" xr:uid="{00000000-0005-0000-0000-0000F5050000}"/>
    <cellStyle name="20% - Accent1 4 5 4 4" xfId="5098" xr:uid="{00000000-0005-0000-0000-0000F6050000}"/>
    <cellStyle name="20% - Accent1 4 5 4 5" xfId="5099" xr:uid="{00000000-0005-0000-0000-0000F7050000}"/>
    <cellStyle name="20% - Accent1 4 5 4 6" xfId="5100" xr:uid="{00000000-0005-0000-0000-0000F8050000}"/>
    <cellStyle name="20% - Accent1 4 5 5" xfId="5101" xr:uid="{00000000-0005-0000-0000-0000F9050000}"/>
    <cellStyle name="20% - Accent1 4 5 5 2" xfId="5102" xr:uid="{00000000-0005-0000-0000-0000FA050000}"/>
    <cellStyle name="20% - Accent1 4 5 5 2 2" xfId="5103" xr:uid="{00000000-0005-0000-0000-0000FB050000}"/>
    <cellStyle name="20% - Accent1 4 5 5 3" xfId="5104" xr:uid="{00000000-0005-0000-0000-0000FC050000}"/>
    <cellStyle name="20% - Accent1 4 5 6" xfId="5105" xr:uid="{00000000-0005-0000-0000-0000FD050000}"/>
    <cellStyle name="20% - Accent1 4 5 6 2" xfId="5106" xr:uid="{00000000-0005-0000-0000-0000FE050000}"/>
    <cellStyle name="20% - Accent1 4 5 6 2 2" xfId="5107" xr:uid="{00000000-0005-0000-0000-0000FF050000}"/>
    <cellStyle name="20% - Accent1 4 5 6 3" xfId="5108" xr:uid="{00000000-0005-0000-0000-000000060000}"/>
    <cellStyle name="20% - Accent1 4 5 7" xfId="5109" xr:uid="{00000000-0005-0000-0000-000001060000}"/>
    <cellStyle name="20% - Accent1 4 5 7 2" xfId="5110" xr:uid="{00000000-0005-0000-0000-000002060000}"/>
    <cellStyle name="20% - Accent1 4 5 8" xfId="5111" xr:uid="{00000000-0005-0000-0000-000003060000}"/>
    <cellStyle name="20% - Accent1 4 5 8 2" xfId="5112" xr:uid="{00000000-0005-0000-0000-000004060000}"/>
    <cellStyle name="20% - Accent1 4 5 9" xfId="5113" xr:uid="{00000000-0005-0000-0000-000005060000}"/>
    <cellStyle name="20% - Accent1 4 6" xfId="5114" xr:uid="{00000000-0005-0000-0000-000006060000}"/>
    <cellStyle name="20% - Accent1 4 6 10" xfId="5115" xr:uid="{00000000-0005-0000-0000-000007060000}"/>
    <cellStyle name="20% - Accent1 4 6 11" xfId="5116" xr:uid="{00000000-0005-0000-0000-000008060000}"/>
    <cellStyle name="20% - Accent1 4 6 2" xfId="5117" xr:uid="{00000000-0005-0000-0000-000009060000}"/>
    <cellStyle name="20% - Accent1 4 6 2 2" xfId="5118" xr:uid="{00000000-0005-0000-0000-00000A060000}"/>
    <cellStyle name="20% - Accent1 4 6 2 2 2" xfId="5119" xr:uid="{00000000-0005-0000-0000-00000B060000}"/>
    <cellStyle name="20% - Accent1 4 6 2 2 2 2" xfId="5120" xr:uid="{00000000-0005-0000-0000-00000C060000}"/>
    <cellStyle name="20% - Accent1 4 6 2 2 2 2 2" xfId="5121" xr:uid="{00000000-0005-0000-0000-00000D060000}"/>
    <cellStyle name="20% - Accent1 4 6 2 2 2 3" xfId="5122" xr:uid="{00000000-0005-0000-0000-00000E060000}"/>
    <cellStyle name="20% - Accent1 4 6 2 2 3" xfId="5123" xr:uid="{00000000-0005-0000-0000-00000F060000}"/>
    <cellStyle name="20% - Accent1 4 6 2 2 3 2" xfId="5124" xr:uid="{00000000-0005-0000-0000-000010060000}"/>
    <cellStyle name="20% - Accent1 4 6 2 2 4" xfId="5125" xr:uid="{00000000-0005-0000-0000-000011060000}"/>
    <cellStyle name="20% - Accent1 4 6 2 2 5" xfId="5126" xr:uid="{00000000-0005-0000-0000-000012060000}"/>
    <cellStyle name="20% - Accent1 4 6 2 2 6" xfId="5127" xr:uid="{00000000-0005-0000-0000-000013060000}"/>
    <cellStyle name="20% - Accent1 4 6 2 3" xfId="5128" xr:uid="{00000000-0005-0000-0000-000014060000}"/>
    <cellStyle name="20% - Accent1 4 6 2 3 2" xfId="5129" xr:uid="{00000000-0005-0000-0000-000015060000}"/>
    <cellStyle name="20% - Accent1 4 6 2 3 2 2" xfId="5130" xr:uid="{00000000-0005-0000-0000-000016060000}"/>
    <cellStyle name="20% - Accent1 4 6 2 3 3" xfId="5131" xr:uid="{00000000-0005-0000-0000-000017060000}"/>
    <cellStyle name="20% - Accent1 4 6 2 4" xfId="5132" xr:uid="{00000000-0005-0000-0000-000018060000}"/>
    <cellStyle name="20% - Accent1 4 6 2 4 2" xfId="5133" xr:uid="{00000000-0005-0000-0000-000019060000}"/>
    <cellStyle name="20% - Accent1 4 6 2 5" xfId="5134" xr:uid="{00000000-0005-0000-0000-00001A060000}"/>
    <cellStyle name="20% - Accent1 4 6 2 5 2" xfId="5135" xr:uid="{00000000-0005-0000-0000-00001B060000}"/>
    <cellStyle name="20% - Accent1 4 6 2 6" xfId="5136" xr:uid="{00000000-0005-0000-0000-00001C060000}"/>
    <cellStyle name="20% - Accent1 4 6 2 7" xfId="5137" xr:uid="{00000000-0005-0000-0000-00001D060000}"/>
    <cellStyle name="20% - Accent1 4 6 2 8" xfId="5138" xr:uid="{00000000-0005-0000-0000-00001E060000}"/>
    <cellStyle name="20% - Accent1 4 6 3" xfId="5139" xr:uid="{00000000-0005-0000-0000-00001F060000}"/>
    <cellStyle name="20% - Accent1 4 6 3 2" xfId="5140" xr:uid="{00000000-0005-0000-0000-000020060000}"/>
    <cellStyle name="20% - Accent1 4 6 3 2 2" xfId="5141" xr:uid="{00000000-0005-0000-0000-000021060000}"/>
    <cellStyle name="20% - Accent1 4 6 3 2 2 2" xfId="5142" xr:uid="{00000000-0005-0000-0000-000022060000}"/>
    <cellStyle name="20% - Accent1 4 6 3 2 2 2 2" xfId="5143" xr:uid="{00000000-0005-0000-0000-000023060000}"/>
    <cellStyle name="20% - Accent1 4 6 3 2 2 3" xfId="5144" xr:uid="{00000000-0005-0000-0000-000024060000}"/>
    <cellStyle name="20% - Accent1 4 6 3 2 3" xfId="5145" xr:uid="{00000000-0005-0000-0000-000025060000}"/>
    <cellStyle name="20% - Accent1 4 6 3 2 3 2" xfId="5146" xr:uid="{00000000-0005-0000-0000-000026060000}"/>
    <cellStyle name="20% - Accent1 4 6 3 2 4" xfId="5147" xr:uid="{00000000-0005-0000-0000-000027060000}"/>
    <cellStyle name="20% - Accent1 4 6 3 2 5" xfId="5148" xr:uid="{00000000-0005-0000-0000-000028060000}"/>
    <cellStyle name="20% - Accent1 4 6 3 2 6" xfId="5149" xr:uid="{00000000-0005-0000-0000-000029060000}"/>
    <cellStyle name="20% - Accent1 4 6 3 3" xfId="5150" xr:uid="{00000000-0005-0000-0000-00002A060000}"/>
    <cellStyle name="20% - Accent1 4 6 3 3 2" xfId="5151" xr:uid="{00000000-0005-0000-0000-00002B060000}"/>
    <cellStyle name="20% - Accent1 4 6 3 3 2 2" xfId="5152" xr:uid="{00000000-0005-0000-0000-00002C060000}"/>
    <cellStyle name="20% - Accent1 4 6 3 3 3" xfId="5153" xr:uid="{00000000-0005-0000-0000-00002D060000}"/>
    <cellStyle name="20% - Accent1 4 6 3 4" xfId="5154" xr:uid="{00000000-0005-0000-0000-00002E060000}"/>
    <cellStyle name="20% - Accent1 4 6 3 4 2" xfId="5155" xr:uid="{00000000-0005-0000-0000-00002F060000}"/>
    <cellStyle name="20% - Accent1 4 6 3 5" xfId="5156" xr:uid="{00000000-0005-0000-0000-000030060000}"/>
    <cellStyle name="20% - Accent1 4 6 3 6" xfId="5157" xr:uid="{00000000-0005-0000-0000-000031060000}"/>
    <cellStyle name="20% - Accent1 4 6 3 7" xfId="5158" xr:uid="{00000000-0005-0000-0000-000032060000}"/>
    <cellStyle name="20% - Accent1 4 6 4" xfId="5159" xr:uid="{00000000-0005-0000-0000-000033060000}"/>
    <cellStyle name="20% - Accent1 4 6 4 2" xfId="5160" xr:uid="{00000000-0005-0000-0000-000034060000}"/>
    <cellStyle name="20% - Accent1 4 6 4 2 2" xfId="5161" xr:uid="{00000000-0005-0000-0000-000035060000}"/>
    <cellStyle name="20% - Accent1 4 6 4 2 2 2" xfId="5162" xr:uid="{00000000-0005-0000-0000-000036060000}"/>
    <cellStyle name="20% - Accent1 4 6 4 2 3" xfId="5163" xr:uid="{00000000-0005-0000-0000-000037060000}"/>
    <cellStyle name="20% - Accent1 4 6 4 3" xfId="5164" xr:uid="{00000000-0005-0000-0000-000038060000}"/>
    <cellStyle name="20% - Accent1 4 6 4 3 2" xfId="5165" xr:uid="{00000000-0005-0000-0000-000039060000}"/>
    <cellStyle name="20% - Accent1 4 6 4 4" xfId="5166" xr:uid="{00000000-0005-0000-0000-00003A060000}"/>
    <cellStyle name="20% - Accent1 4 6 4 5" xfId="5167" xr:uid="{00000000-0005-0000-0000-00003B060000}"/>
    <cellStyle name="20% - Accent1 4 6 4 6" xfId="5168" xr:uid="{00000000-0005-0000-0000-00003C060000}"/>
    <cellStyle name="20% - Accent1 4 6 5" xfId="5169" xr:uid="{00000000-0005-0000-0000-00003D060000}"/>
    <cellStyle name="20% - Accent1 4 6 5 2" xfId="5170" xr:uid="{00000000-0005-0000-0000-00003E060000}"/>
    <cellStyle name="20% - Accent1 4 6 5 2 2" xfId="5171" xr:uid="{00000000-0005-0000-0000-00003F060000}"/>
    <cellStyle name="20% - Accent1 4 6 5 3" xfId="5172" xr:uid="{00000000-0005-0000-0000-000040060000}"/>
    <cellStyle name="20% - Accent1 4 6 6" xfId="5173" xr:uid="{00000000-0005-0000-0000-000041060000}"/>
    <cellStyle name="20% - Accent1 4 6 6 2" xfId="5174" xr:uid="{00000000-0005-0000-0000-000042060000}"/>
    <cellStyle name="20% - Accent1 4 6 6 2 2" xfId="5175" xr:uid="{00000000-0005-0000-0000-000043060000}"/>
    <cellStyle name="20% - Accent1 4 6 6 3" xfId="5176" xr:uid="{00000000-0005-0000-0000-000044060000}"/>
    <cellStyle name="20% - Accent1 4 6 7" xfId="5177" xr:uid="{00000000-0005-0000-0000-000045060000}"/>
    <cellStyle name="20% - Accent1 4 6 7 2" xfId="5178" xr:uid="{00000000-0005-0000-0000-000046060000}"/>
    <cellStyle name="20% - Accent1 4 6 8" xfId="5179" xr:uid="{00000000-0005-0000-0000-000047060000}"/>
    <cellStyle name="20% - Accent1 4 6 8 2" xfId="5180" xr:uid="{00000000-0005-0000-0000-000048060000}"/>
    <cellStyle name="20% - Accent1 4 6 9" xfId="5181" xr:uid="{00000000-0005-0000-0000-000049060000}"/>
    <cellStyle name="20% - Accent1 4 7" xfId="5182" xr:uid="{00000000-0005-0000-0000-00004A060000}"/>
    <cellStyle name="20% - Accent1 4 7 10" xfId="5183" xr:uid="{00000000-0005-0000-0000-00004B060000}"/>
    <cellStyle name="20% - Accent1 4 7 11" xfId="5184" xr:uid="{00000000-0005-0000-0000-00004C060000}"/>
    <cellStyle name="20% - Accent1 4 7 2" xfId="5185" xr:uid="{00000000-0005-0000-0000-00004D060000}"/>
    <cellStyle name="20% - Accent1 4 7 2 2" xfId="5186" xr:uid="{00000000-0005-0000-0000-00004E060000}"/>
    <cellStyle name="20% - Accent1 4 7 2 2 2" xfId="5187" xr:uid="{00000000-0005-0000-0000-00004F060000}"/>
    <cellStyle name="20% - Accent1 4 7 2 2 2 2" xfId="5188" xr:uid="{00000000-0005-0000-0000-000050060000}"/>
    <cellStyle name="20% - Accent1 4 7 2 2 2 2 2" xfId="5189" xr:uid="{00000000-0005-0000-0000-000051060000}"/>
    <cellStyle name="20% - Accent1 4 7 2 2 2 3" xfId="5190" xr:uid="{00000000-0005-0000-0000-000052060000}"/>
    <cellStyle name="20% - Accent1 4 7 2 2 3" xfId="5191" xr:uid="{00000000-0005-0000-0000-000053060000}"/>
    <cellStyle name="20% - Accent1 4 7 2 2 3 2" xfId="5192" xr:uid="{00000000-0005-0000-0000-000054060000}"/>
    <cellStyle name="20% - Accent1 4 7 2 2 4" xfId="5193" xr:uid="{00000000-0005-0000-0000-000055060000}"/>
    <cellStyle name="20% - Accent1 4 7 2 2 5" xfId="5194" xr:uid="{00000000-0005-0000-0000-000056060000}"/>
    <cellStyle name="20% - Accent1 4 7 2 2 6" xfId="5195" xr:uid="{00000000-0005-0000-0000-000057060000}"/>
    <cellStyle name="20% - Accent1 4 7 2 3" xfId="5196" xr:uid="{00000000-0005-0000-0000-000058060000}"/>
    <cellStyle name="20% - Accent1 4 7 2 3 2" xfId="5197" xr:uid="{00000000-0005-0000-0000-000059060000}"/>
    <cellStyle name="20% - Accent1 4 7 2 3 2 2" xfId="5198" xr:uid="{00000000-0005-0000-0000-00005A060000}"/>
    <cellStyle name="20% - Accent1 4 7 2 3 3" xfId="5199" xr:uid="{00000000-0005-0000-0000-00005B060000}"/>
    <cellStyle name="20% - Accent1 4 7 2 4" xfId="5200" xr:uid="{00000000-0005-0000-0000-00005C060000}"/>
    <cellStyle name="20% - Accent1 4 7 2 4 2" xfId="5201" xr:uid="{00000000-0005-0000-0000-00005D060000}"/>
    <cellStyle name="20% - Accent1 4 7 2 5" xfId="5202" xr:uid="{00000000-0005-0000-0000-00005E060000}"/>
    <cellStyle name="20% - Accent1 4 7 2 5 2" xfId="5203" xr:uid="{00000000-0005-0000-0000-00005F060000}"/>
    <cellStyle name="20% - Accent1 4 7 2 6" xfId="5204" xr:uid="{00000000-0005-0000-0000-000060060000}"/>
    <cellStyle name="20% - Accent1 4 7 2 7" xfId="5205" xr:uid="{00000000-0005-0000-0000-000061060000}"/>
    <cellStyle name="20% - Accent1 4 7 2 8" xfId="5206" xr:uid="{00000000-0005-0000-0000-000062060000}"/>
    <cellStyle name="20% - Accent1 4 7 3" xfId="5207" xr:uid="{00000000-0005-0000-0000-000063060000}"/>
    <cellStyle name="20% - Accent1 4 7 3 2" xfId="5208" xr:uid="{00000000-0005-0000-0000-000064060000}"/>
    <cellStyle name="20% - Accent1 4 7 3 2 2" xfId="5209" xr:uid="{00000000-0005-0000-0000-000065060000}"/>
    <cellStyle name="20% - Accent1 4 7 3 2 2 2" xfId="5210" xr:uid="{00000000-0005-0000-0000-000066060000}"/>
    <cellStyle name="20% - Accent1 4 7 3 2 2 2 2" xfId="5211" xr:uid="{00000000-0005-0000-0000-000067060000}"/>
    <cellStyle name="20% - Accent1 4 7 3 2 2 3" xfId="5212" xr:uid="{00000000-0005-0000-0000-000068060000}"/>
    <cellStyle name="20% - Accent1 4 7 3 2 3" xfId="5213" xr:uid="{00000000-0005-0000-0000-000069060000}"/>
    <cellStyle name="20% - Accent1 4 7 3 2 3 2" xfId="5214" xr:uid="{00000000-0005-0000-0000-00006A060000}"/>
    <cellStyle name="20% - Accent1 4 7 3 2 4" xfId="5215" xr:uid="{00000000-0005-0000-0000-00006B060000}"/>
    <cellStyle name="20% - Accent1 4 7 3 2 5" xfId="5216" xr:uid="{00000000-0005-0000-0000-00006C060000}"/>
    <cellStyle name="20% - Accent1 4 7 3 2 6" xfId="5217" xr:uid="{00000000-0005-0000-0000-00006D060000}"/>
    <cellStyle name="20% - Accent1 4 7 3 3" xfId="5218" xr:uid="{00000000-0005-0000-0000-00006E060000}"/>
    <cellStyle name="20% - Accent1 4 7 3 3 2" xfId="5219" xr:uid="{00000000-0005-0000-0000-00006F060000}"/>
    <cellStyle name="20% - Accent1 4 7 3 3 2 2" xfId="5220" xr:uid="{00000000-0005-0000-0000-000070060000}"/>
    <cellStyle name="20% - Accent1 4 7 3 3 3" xfId="5221" xr:uid="{00000000-0005-0000-0000-000071060000}"/>
    <cellStyle name="20% - Accent1 4 7 3 4" xfId="5222" xr:uid="{00000000-0005-0000-0000-000072060000}"/>
    <cellStyle name="20% - Accent1 4 7 3 4 2" xfId="5223" xr:uid="{00000000-0005-0000-0000-000073060000}"/>
    <cellStyle name="20% - Accent1 4 7 3 5" xfId="5224" xr:uid="{00000000-0005-0000-0000-000074060000}"/>
    <cellStyle name="20% - Accent1 4 7 3 6" xfId="5225" xr:uid="{00000000-0005-0000-0000-000075060000}"/>
    <cellStyle name="20% - Accent1 4 7 3 7" xfId="5226" xr:uid="{00000000-0005-0000-0000-000076060000}"/>
    <cellStyle name="20% - Accent1 4 7 4" xfId="5227" xr:uid="{00000000-0005-0000-0000-000077060000}"/>
    <cellStyle name="20% - Accent1 4 7 4 2" xfId="5228" xr:uid="{00000000-0005-0000-0000-000078060000}"/>
    <cellStyle name="20% - Accent1 4 7 4 2 2" xfId="5229" xr:uid="{00000000-0005-0000-0000-000079060000}"/>
    <cellStyle name="20% - Accent1 4 7 4 2 2 2" xfId="5230" xr:uid="{00000000-0005-0000-0000-00007A060000}"/>
    <cellStyle name="20% - Accent1 4 7 4 2 3" xfId="5231" xr:uid="{00000000-0005-0000-0000-00007B060000}"/>
    <cellStyle name="20% - Accent1 4 7 4 3" xfId="5232" xr:uid="{00000000-0005-0000-0000-00007C060000}"/>
    <cellStyle name="20% - Accent1 4 7 4 3 2" xfId="5233" xr:uid="{00000000-0005-0000-0000-00007D060000}"/>
    <cellStyle name="20% - Accent1 4 7 4 4" xfId="5234" xr:uid="{00000000-0005-0000-0000-00007E060000}"/>
    <cellStyle name="20% - Accent1 4 7 4 5" xfId="5235" xr:uid="{00000000-0005-0000-0000-00007F060000}"/>
    <cellStyle name="20% - Accent1 4 7 4 6" xfId="5236" xr:uid="{00000000-0005-0000-0000-000080060000}"/>
    <cellStyle name="20% - Accent1 4 7 5" xfId="5237" xr:uid="{00000000-0005-0000-0000-000081060000}"/>
    <cellStyle name="20% - Accent1 4 7 5 2" xfId="5238" xr:uid="{00000000-0005-0000-0000-000082060000}"/>
    <cellStyle name="20% - Accent1 4 7 5 2 2" xfId="5239" xr:uid="{00000000-0005-0000-0000-000083060000}"/>
    <cellStyle name="20% - Accent1 4 7 5 3" xfId="5240" xr:uid="{00000000-0005-0000-0000-000084060000}"/>
    <cellStyle name="20% - Accent1 4 7 6" xfId="5241" xr:uid="{00000000-0005-0000-0000-000085060000}"/>
    <cellStyle name="20% - Accent1 4 7 6 2" xfId="5242" xr:uid="{00000000-0005-0000-0000-000086060000}"/>
    <cellStyle name="20% - Accent1 4 7 6 2 2" xfId="5243" xr:uid="{00000000-0005-0000-0000-000087060000}"/>
    <cellStyle name="20% - Accent1 4 7 6 3" xfId="5244" xr:uid="{00000000-0005-0000-0000-000088060000}"/>
    <cellStyle name="20% - Accent1 4 7 7" xfId="5245" xr:uid="{00000000-0005-0000-0000-000089060000}"/>
    <cellStyle name="20% - Accent1 4 7 7 2" xfId="5246" xr:uid="{00000000-0005-0000-0000-00008A060000}"/>
    <cellStyle name="20% - Accent1 4 7 8" xfId="5247" xr:uid="{00000000-0005-0000-0000-00008B060000}"/>
    <cellStyle name="20% - Accent1 4 7 8 2" xfId="5248" xr:uid="{00000000-0005-0000-0000-00008C060000}"/>
    <cellStyle name="20% - Accent1 4 7 9" xfId="5249" xr:uid="{00000000-0005-0000-0000-00008D060000}"/>
    <cellStyle name="20% - Accent1 4 8" xfId="5250" xr:uid="{00000000-0005-0000-0000-00008E060000}"/>
    <cellStyle name="20% - Accent1 4 8 10" xfId="5251" xr:uid="{00000000-0005-0000-0000-00008F060000}"/>
    <cellStyle name="20% - Accent1 4 8 11" xfId="5252" xr:uid="{00000000-0005-0000-0000-000090060000}"/>
    <cellStyle name="20% - Accent1 4 8 2" xfId="5253" xr:uid="{00000000-0005-0000-0000-000091060000}"/>
    <cellStyle name="20% - Accent1 4 8 2 2" xfId="5254" xr:uid="{00000000-0005-0000-0000-000092060000}"/>
    <cellStyle name="20% - Accent1 4 8 2 2 2" xfId="5255" xr:uid="{00000000-0005-0000-0000-000093060000}"/>
    <cellStyle name="20% - Accent1 4 8 2 2 2 2" xfId="5256" xr:uid="{00000000-0005-0000-0000-000094060000}"/>
    <cellStyle name="20% - Accent1 4 8 2 2 2 2 2" xfId="5257" xr:uid="{00000000-0005-0000-0000-000095060000}"/>
    <cellStyle name="20% - Accent1 4 8 2 2 2 3" xfId="5258" xr:uid="{00000000-0005-0000-0000-000096060000}"/>
    <cellStyle name="20% - Accent1 4 8 2 2 3" xfId="5259" xr:uid="{00000000-0005-0000-0000-000097060000}"/>
    <cellStyle name="20% - Accent1 4 8 2 2 3 2" xfId="5260" xr:uid="{00000000-0005-0000-0000-000098060000}"/>
    <cellStyle name="20% - Accent1 4 8 2 2 4" xfId="5261" xr:uid="{00000000-0005-0000-0000-000099060000}"/>
    <cellStyle name="20% - Accent1 4 8 2 2 5" xfId="5262" xr:uid="{00000000-0005-0000-0000-00009A060000}"/>
    <cellStyle name="20% - Accent1 4 8 2 2 6" xfId="5263" xr:uid="{00000000-0005-0000-0000-00009B060000}"/>
    <cellStyle name="20% - Accent1 4 8 2 3" xfId="5264" xr:uid="{00000000-0005-0000-0000-00009C060000}"/>
    <cellStyle name="20% - Accent1 4 8 2 3 2" xfId="5265" xr:uid="{00000000-0005-0000-0000-00009D060000}"/>
    <cellStyle name="20% - Accent1 4 8 2 3 2 2" xfId="5266" xr:uid="{00000000-0005-0000-0000-00009E060000}"/>
    <cellStyle name="20% - Accent1 4 8 2 3 3" xfId="5267" xr:uid="{00000000-0005-0000-0000-00009F060000}"/>
    <cellStyle name="20% - Accent1 4 8 2 4" xfId="5268" xr:uid="{00000000-0005-0000-0000-0000A0060000}"/>
    <cellStyle name="20% - Accent1 4 8 2 4 2" xfId="5269" xr:uid="{00000000-0005-0000-0000-0000A1060000}"/>
    <cellStyle name="20% - Accent1 4 8 2 5" xfId="5270" xr:uid="{00000000-0005-0000-0000-0000A2060000}"/>
    <cellStyle name="20% - Accent1 4 8 2 5 2" xfId="5271" xr:uid="{00000000-0005-0000-0000-0000A3060000}"/>
    <cellStyle name="20% - Accent1 4 8 2 6" xfId="5272" xr:uid="{00000000-0005-0000-0000-0000A4060000}"/>
    <cellStyle name="20% - Accent1 4 8 2 7" xfId="5273" xr:uid="{00000000-0005-0000-0000-0000A5060000}"/>
    <cellStyle name="20% - Accent1 4 8 2 8" xfId="5274" xr:uid="{00000000-0005-0000-0000-0000A6060000}"/>
    <cellStyle name="20% - Accent1 4 8 3" xfId="5275" xr:uid="{00000000-0005-0000-0000-0000A7060000}"/>
    <cellStyle name="20% - Accent1 4 8 3 2" xfId="5276" xr:uid="{00000000-0005-0000-0000-0000A8060000}"/>
    <cellStyle name="20% - Accent1 4 8 3 2 2" xfId="5277" xr:uid="{00000000-0005-0000-0000-0000A9060000}"/>
    <cellStyle name="20% - Accent1 4 8 3 2 2 2" xfId="5278" xr:uid="{00000000-0005-0000-0000-0000AA060000}"/>
    <cellStyle name="20% - Accent1 4 8 3 2 2 2 2" xfId="5279" xr:uid="{00000000-0005-0000-0000-0000AB060000}"/>
    <cellStyle name="20% - Accent1 4 8 3 2 2 3" xfId="5280" xr:uid="{00000000-0005-0000-0000-0000AC060000}"/>
    <cellStyle name="20% - Accent1 4 8 3 2 3" xfId="5281" xr:uid="{00000000-0005-0000-0000-0000AD060000}"/>
    <cellStyle name="20% - Accent1 4 8 3 2 3 2" xfId="5282" xr:uid="{00000000-0005-0000-0000-0000AE060000}"/>
    <cellStyle name="20% - Accent1 4 8 3 2 4" xfId="5283" xr:uid="{00000000-0005-0000-0000-0000AF060000}"/>
    <cellStyle name="20% - Accent1 4 8 3 2 5" xfId="5284" xr:uid="{00000000-0005-0000-0000-0000B0060000}"/>
    <cellStyle name="20% - Accent1 4 8 3 2 6" xfId="5285" xr:uid="{00000000-0005-0000-0000-0000B1060000}"/>
    <cellStyle name="20% - Accent1 4 8 3 3" xfId="5286" xr:uid="{00000000-0005-0000-0000-0000B2060000}"/>
    <cellStyle name="20% - Accent1 4 8 3 3 2" xfId="5287" xr:uid="{00000000-0005-0000-0000-0000B3060000}"/>
    <cellStyle name="20% - Accent1 4 8 3 3 2 2" xfId="5288" xr:uid="{00000000-0005-0000-0000-0000B4060000}"/>
    <cellStyle name="20% - Accent1 4 8 3 3 3" xfId="5289" xr:uid="{00000000-0005-0000-0000-0000B5060000}"/>
    <cellStyle name="20% - Accent1 4 8 3 4" xfId="5290" xr:uid="{00000000-0005-0000-0000-0000B6060000}"/>
    <cellStyle name="20% - Accent1 4 8 3 4 2" xfId="5291" xr:uid="{00000000-0005-0000-0000-0000B7060000}"/>
    <cellStyle name="20% - Accent1 4 8 3 5" xfId="5292" xr:uid="{00000000-0005-0000-0000-0000B8060000}"/>
    <cellStyle name="20% - Accent1 4 8 3 6" xfId="5293" xr:uid="{00000000-0005-0000-0000-0000B9060000}"/>
    <cellStyle name="20% - Accent1 4 8 3 7" xfId="5294" xr:uid="{00000000-0005-0000-0000-0000BA060000}"/>
    <cellStyle name="20% - Accent1 4 8 4" xfId="5295" xr:uid="{00000000-0005-0000-0000-0000BB060000}"/>
    <cellStyle name="20% - Accent1 4 8 4 2" xfId="5296" xr:uid="{00000000-0005-0000-0000-0000BC060000}"/>
    <cellStyle name="20% - Accent1 4 8 4 2 2" xfId="5297" xr:uid="{00000000-0005-0000-0000-0000BD060000}"/>
    <cellStyle name="20% - Accent1 4 8 4 2 2 2" xfId="5298" xr:uid="{00000000-0005-0000-0000-0000BE060000}"/>
    <cellStyle name="20% - Accent1 4 8 4 2 3" xfId="5299" xr:uid="{00000000-0005-0000-0000-0000BF060000}"/>
    <cellStyle name="20% - Accent1 4 8 4 3" xfId="5300" xr:uid="{00000000-0005-0000-0000-0000C0060000}"/>
    <cellStyle name="20% - Accent1 4 8 4 3 2" xfId="5301" xr:uid="{00000000-0005-0000-0000-0000C1060000}"/>
    <cellStyle name="20% - Accent1 4 8 4 4" xfId="5302" xr:uid="{00000000-0005-0000-0000-0000C2060000}"/>
    <cellStyle name="20% - Accent1 4 8 4 5" xfId="5303" xr:uid="{00000000-0005-0000-0000-0000C3060000}"/>
    <cellStyle name="20% - Accent1 4 8 4 6" xfId="5304" xr:uid="{00000000-0005-0000-0000-0000C4060000}"/>
    <cellStyle name="20% - Accent1 4 8 5" xfId="5305" xr:uid="{00000000-0005-0000-0000-0000C5060000}"/>
    <cellStyle name="20% - Accent1 4 8 5 2" xfId="5306" xr:uid="{00000000-0005-0000-0000-0000C6060000}"/>
    <cellStyle name="20% - Accent1 4 8 5 2 2" xfId="5307" xr:uid="{00000000-0005-0000-0000-0000C7060000}"/>
    <cellStyle name="20% - Accent1 4 8 5 3" xfId="5308" xr:uid="{00000000-0005-0000-0000-0000C8060000}"/>
    <cellStyle name="20% - Accent1 4 8 6" xfId="5309" xr:uid="{00000000-0005-0000-0000-0000C9060000}"/>
    <cellStyle name="20% - Accent1 4 8 6 2" xfId="5310" xr:uid="{00000000-0005-0000-0000-0000CA060000}"/>
    <cellStyle name="20% - Accent1 4 8 6 2 2" xfId="5311" xr:uid="{00000000-0005-0000-0000-0000CB060000}"/>
    <cellStyle name="20% - Accent1 4 8 6 3" xfId="5312" xr:uid="{00000000-0005-0000-0000-0000CC060000}"/>
    <cellStyle name="20% - Accent1 4 8 7" xfId="5313" xr:uid="{00000000-0005-0000-0000-0000CD060000}"/>
    <cellStyle name="20% - Accent1 4 8 7 2" xfId="5314" xr:uid="{00000000-0005-0000-0000-0000CE060000}"/>
    <cellStyle name="20% - Accent1 4 8 8" xfId="5315" xr:uid="{00000000-0005-0000-0000-0000CF060000}"/>
    <cellStyle name="20% - Accent1 4 8 8 2" xfId="5316" xr:uid="{00000000-0005-0000-0000-0000D0060000}"/>
    <cellStyle name="20% - Accent1 4 8 9" xfId="5317" xr:uid="{00000000-0005-0000-0000-0000D1060000}"/>
    <cellStyle name="20% - Accent1 4 9" xfId="5318" xr:uid="{00000000-0005-0000-0000-0000D2060000}"/>
    <cellStyle name="20% - Accent1 4 9 10" xfId="5319" xr:uid="{00000000-0005-0000-0000-0000D3060000}"/>
    <cellStyle name="20% - Accent1 4 9 2" xfId="5320" xr:uid="{00000000-0005-0000-0000-0000D4060000}"/>
    <cellStyle name="20% - Accent1 4 9 2 2" xfId="5321" xr:uid="{00000000-0005-0000-0000-0000D5060000}"/>
    <cellStyle name="20% - Accent1 4 9 2 2 2" xfId="5322" xr:uid="{00000000-0005-0000-0000-0000D6060000}"/>
    <cellStyle name="20% - Accent1 4 9 2 2 2 2" xfId="5323" xr:uid="{00000000-0005-0000-0000-0000D7060000}"/>
    <cellStyle name="20% - Accent1 4 9 2 2 2 2 2" xfId="5324" xr:uid="{00000000-0005-0000-0000-0000D8060000}"/>
    <cellStyle name="20% - Accent1 4 9 2 2 2 3" xfId="5325" xr:uid="{00000000-0005-0000-0000-0000D9060000}"/>
    <cellStyle name="20% - Accent1 4 9 2 2 3" xfId="5326" xr:uid="{00000000-0005-0000-0000-0000DA060000}"/>
    <cellStyle name="20% - Accent1 4 9 2 2 3 2" xfId="5327" xr:uid="{00000000-0005-0000-0000-0000DB060000}"/>
    <cellStyle name="20% - Accent1 4 9 2 2 4" xfId="5328" xr:uid="{00000000-0005-0000-0000-0000DC060000}"/>
    <cellStyle name="20% - Accent1 4 9 2 2 5" xfId="5329" xr:uid="{00000000-0005-0000-0000-0000DD060000}"/>
    <cellStyle name="20% - Accent1 4 9 2 2 6" xfId="5330" xr:uid="{00000000-0005-0000-0000-0000DE060000}"/>
    <cellStyle name="20% - Accent1 4 9 2 3" xfId="5331" xr:uid="{00000000-0005-0000-0000-0000DF060000}"/>
    <cellStyle name="20% - Accent1 4 9 2 3 2" xfId="5332" xr:uid="{00000000-0005-0000-0000-0000E0060000}"/>
    <cellStyle name="20% - Accent1 4 9 2 3 2 2" xfId="5333" xr:uid="{00000000-0005-0000-0000-0000E1060000}"/>
    <cellStyle name="20% - Accent1 4 9 2 3 3" xfId="5334" xr:uid="{00000000-0005-0000-0000-0000E2060000}"/>
    <cellStyle name="20% - Accent1 4 9 2 4" xfId="5335" xr:uid="{00000000-0005-0000-0000-0000E3060000}"/>
    <cellStyle name="20% - Accent1 4 9 2 4 2" xfId="5336" xr:uid="{00000000-0005-0000-0000-0000E4060000}"/>
    <cellStyle name="20% - Accent1 4 9 2 5" xfId="5337" xr:uid="{00000000-0005-0000-0000-0000E5060000}"/>
    <cellStyle name="20% - Accent1 4 9 2 6" xfId="5338" xr:uid="{00000000-0005-0000-0000-0000E6060000}"/>
    <cellStyle name="20% - Accent1 4 9 2 7" xfId="5339" xr:uid="{00000000-0005-0000-0000-0000E7060000}"/>
    <cellStyle name="20% - Accent1 4 9 3" xfId="5340" xr:uid="{00000000-0005-0000-0000-0000E8060000}"/>
    <cellStyle name="20% - Accent1 4 9 3 2" xfId="5341" xr:uid="{00000000-0005-0000-0000-0000E9060000}"/>
    <cellStyle name="20% - Accent1 4 9 3 2 2" xfId="5342" xr:uid="{00000000-0005-0000-0000-0000EA060000}"/>
    <cellStyle name="20% - Accent1 4 9 3 2 2 2" xfId="5343" xr:uid="{00000000-0005-0000-0000-0000EB060000}"/>
    <cellStyle name="20% - Accent1 4 9 3 2 3" xfId="5344" xr:uid="{00000000-0005-0000-0000-0000EC060000}"/>
    <cellStyle name="20% - Accent1 4 9 3 3" xfId="5345" xr:uid="{00000000-0005-0000-0000-0000ED060000}"/>
    <cellStyle name="20% - Accent1 4 9 3 3 2" xfId="5346" xr:uid="{00000000-0005-0000-0000-0000EE060000}"/>
    <cellStyle name="20% - Accent1 4 9 3 4" xfId="5347" xr:uid="{00000000-0005-0000-0000-0000EF060000}"/>
    <cellStyle name="20% - Accent1 4 9 3 5" xfId="5348" xr:uid="{00000000-0005-0000-0000-0000F0060000}"/>
    <cellStyle name="20% - Accent1 4 9 3 6" xfId="5349" xr:uid="{00000000-0005-0000-0000-0000F1060000}"/>
    <cellStyle name="20% - Accent1 4 9 4" xfId="5350" xr:uid="{00000000-0005-0000-0000-0000F2060000}"/>
    <cellStyle name="20% - Accent1 4 9 4 2" xfId="5351" xr:uid="{00000000-0005-0000-0000-0000F3060000}"/>
    <cellStyle name="20% - Accent1 4 9 4 2 2" xfId="5352" xr:uid="{00000000-0005-0000-0000-0000F4060000}"/>
    <cellStyle name="20% - Accent1 4 9 4 3" xfId="5353" xr:uid="{00000000-0005-0000-0000-0000F5060000}"/>
    <cellStyle name="20% - Accent1 4 9 5" xfId="5354" xr:uid="{00000000-0005-0000-0000-0000F6060000}"/>
    <cellStyle name="20% - Accent1 4 9 5 2" xfId="5355" xr:uid="{00000000-0005-0000-0000-0000F7060000}"/>
    <cellStyle name="20% - Accent1 4 9 5 2 2" xfId="5356" xr:uid="{00000000-0005-0000-0000-0000F8060000}"/>
    <cellStyle name="20% - Accent1 4 9 5 3" xfId="5357" xr:uid="{00000000-0005-0000-0000-0000F9060000}"/>
    <cellStyle name="20% - Accent1 4 9 6" xfId="5358" xr:uid="{00000000-0005-0000-0000-0000FA060000}"/>
    <cellStyle name="20% - Accent1 4 9 6 2" xfId="5359" xr:uid="{00000000-0005-0000-0000-0000FB060000}"/>
    <cellStyle name="20% - Accent1 4 9 7" xfId="5360" xr:uid="{00000000-0005-0000-0000-0000FC060000}"/>
    <cellStyle name="20% - Accent1 4 9 7 2" xfId="5361" xr:uid="{00000000-0005-0000-0000-0000FD060000}"/>
    <cellStyle name="20% - Accent1 4 9 8" xfId="5362" xr:uid="{00000000-0005-0000-0000-0000FE060000}"/>
    <cellStyle name="20% - Accent1 4 9 9" xfId="5363" xr:uid="{00000000-0005-0000-0000-0000FF060000}"/>
    <cellStyle name="20% - Accent1 5" xfId="164" xr:uid="{00000000-0005-0000-0000-000000070000}"/>
    <cellStyle name="20% - Accent1 5 10" xfId="5364" xr:uid="{00000000-0005-0000-0000-000001070000}"/>
    <cellStyle name="20% - Accent1 5 10 2" xfId="5365" xr:uid="{00000000-0005-0000-0000-000002070000}"/>
    <cellStyle name="20% - Accent1 5 11" xfId="5366" xr:uid="{00000000-0005-0000-0000-000003070000}"/>
    <cellStyle name="20% - Accent1 5 11 2" xfId="5367" xr:uid="{00000000-0005-0000-0000-000004070000}"/>
    <cellStyle name="20% - Accent1 5 11 2 2" xfId="5368" xr:uid="{00000000-0005-0000-0000-000005070000}"/>
    <cellStyle name="20% - Accent1 5 11 2 2 2" xfId="5369" xr:uid="{00000000-0005-0000-0000-000006070000}"/>
    <cellStyle name="20% - Accent1 5 11 2 2 2 2" xfId="5370" xr:uid="{00000000-0005-0000-0000-000007070000}"/>
    <cellStyle name="20% - Accent1 5 11 2 2 3" xfId="5371" xr:uid="{00000000-0005-0000-0000-000008070000}"/>
    <cellStyle name="20% - Accent1 5 11 2 3" xfId="5372" xr:uid="{00000000-0005-0000-0000-000009070000}"/>
    <cellStyle name="20% - Accent1 5 11 2 3 2" xfId="5373" xr:uid="{00000000-0005-0000-0000-00000A070000}"/>
    <cellStyle name="20% - Accent1 5 11 2 4" xfId="5374" xr:uid="{00000000-0005-0000-0000-00000B070000}"/>
    <cellStyle name="20% - Accent1 5 11 2 5" xfId="5375" xr:uid="{00000000-0005-0000-0000-00000C070000}"/>
    <cellStyle name="20% - Accent1 5 11 2 6" xfId="5376" xr:uid="{00000000-0005-0000-0000-00000D070000}"/>
    <cellStyle name="20% - Accent1 5 11 3" xfId="5377" xr:uid="{00000000-0005-0000-0000-00000E070000}"/>
    <cellStyle name="20% - Accent1 5 11 3 2" xfId="5378" xr:uid="{00000000-0005-0000-0000-00000F070000}"/>
    <cellStyle name="20% - Accent1 5 11 3 2 2" xfId="5379" xr:uid="{00000000-0005-0000-0000-000010070000}"/>
    <cellStyle name="20% - Accent1 5 11 3 3" xfId="5380" xr:uid="{00000000-0005-0000-0000-000011070000}"/>
    <cellStyle name="20% - Accent1 5 11 4" xfId="5381" xr:uid="{00000000-0005-0000-0000-000012070000}"/>
    <cellStyle name="20% - Accent1 5 11 4 2" xfId="5382" xr:uid="{00000000-0005-0000-0000-000013070000}"/>
    <cellStyle name="20% - Accent1 5 11 5" xfId="5383" xr:uid="{00000000-0005-0000-0000-000014070000}"/>
    <cellStyle name="20% - Accent1 5 11 6" xfId="5384" xr:uid="{00000000-0005-0000-0000-000015070000}"/>
    <cellStyle name="20% - Accent1 5 11 7" xfId="5385" xr:uid="{00000000-0005-0000-0000-000016070000}"/>
    <cellStyle name="20% - Accent1 5 12" xfId="5386" xr:uid="{00000000-0005-0000-0000-000017070000}"/>
    <cellStyle name="20% - Accent1 5 12 2" xfId="5387" xr:uid="{00000000-0005-0000-0000-000018070000}"/>
    <cellStyle name="20% - Accent1 5 12 2 2" xfId="5388" xr:uid="{00000000-0005-0000-0000-000019070000}"/>
    <cellStyle name="20% - Accent1 5 12 2 2 2" xfId="5389" xr:uid="{00000000-0005-0000-0000-00001A070000}"/>
    <cellStyle name="20% - Accent1 5 12 2 2 2 2" xfId="5390" xr:uid="{00000000-0005-0000-0000-00001B070000}"/>
    <cellStyle name="20% - Accent1 5 12 2 2 3" xfId="5391" xr:uid="{00000000-0005-0000-0000-00001C070000}"/>
    <cellStyle name="20% - Accent1 5 12 2 3" xfId="5392" xr:uid="{00000000-0005-0000-0000-00001D070000}"/>
    <cellStyle name="20% - Accent1 5 12 2 3 2" xfId="5393" xr:uid="{00000000-0005-0000-0000-00001E070000}"/>
    <cellStyle name="20% - Accent1 5 12 2 4" xfId="5394" xr:uid="{00000000-0005-0000-0000-00001F070000}"/>
    <cellStyle name="20% - Accent1 5 12 2 5" xfId="5395" xr:uid="{00000000-0005-0000-0000-000020070000}"/>
    <cellStyle name="20% - Accent1 5 12 2 6" xfId="5396" xr:uid="{00000000-0005-0000-0000-000021070000}"/>
    <cellStyle name="20% - Accent1 5 12 3" xfId="5397" xr:uid="{00000000-0005-0000-0000-000022070000}"/>
    <cellStyle name="20% - Accent1 5 12 3 2" xfId="5398" xr:uid="{00000000-0005-0000-0000-000023070000}"/>
    <cellStyle name="20% - Accent1 5 12 3 2 2" xfId="5399" xr:uid="{00000000-0005-0000-0000-000024070000}"/>
    <cellStyle name="20% - Accent1 5 12 3 3" xfId="5400" xr:uid="{00000000-0005-0000-0000-000025070000}"/>
    <cellStyle name="20% - Accent1 5 12 4" xfId="5401" xr:uid="{00000000-0005-0000-0000-000026070000}"/>
    <cellStyle name="20% - Accent1 5 12 4 2" xfId="5402" xr:uid="{00000000-0005-0000-0000-000027070000}"/>
    <cellStyle name="20% - Accent1 5 12 5" xfId="5403" xr:uid="{00000000-0005-0000-0000-000028070000}"/>
    <cellStyle name="20% - Accent1 5 12 6" xfId="5404" xr:uid="{00000000-0005-0000-0000-000029070000}"/>
    <cellStyle name="20% - Accent1 5 12 7" xfId="5405" xr:uid="{00000000-0005-0000-0000-00002A070000}"/>
    <cellStyle name="20% - Accent1 5 13" xfId="5406" xr:uid="{00000000-0005-0000-0000-00002B070000}"/>
    <cellStyle name="20% - Accent1 5 13 2" xfId="5407" xr:uid="{00000000-0005-0000-0000-00002C070000}"/>
    <cellStyle name="20% - Accent1 5 13 2 2" xfId="5408" xr:uid="{00000000-0005-0000-0000-00002D070000}"/>
    <cellStyle name="20% - Accent1 5 13 2 2 2" xfId="5409" xr:uid="{00000000-0005-0000-0000-00002E070000}"/>
    <cellStyle name="20% - Accent1 5 13 2 3" xfId="5410" xr:uid="{00000000-0005-0000-0000-00002F070000}"/>
    <cellStyle name="20% - Accent1 5 13 3" xfId="5411" xr:uid="{00000000-0005-0000-0000-000030070000}"/>
    <cellStyle name="20% - Accent1 5 13 3 2" xfId="5412" xr:uid="{00000000-0005-0000-0000-000031070000}"/>
    <cellStyle name="20% - Accent1 5 13 4" xfId="5413" xr:uid="{00000000-0005-0000-0000-000032070000}"/>
    <cellStyle name="20% - Accent1 5 13 5" xfId="5414" xr:uid="{00000000-0005-0000-0000-000033070000}"/>
    <cellStyle name="20% - Accent1 5 13 6" xfId="5415" xr:uid="{00000000-0005-0000-0000-000034070000}"/>
    <cellStyle name="20% - Accent1 5 14" xfId="5416" xr:uid="{00000000-0005-0000-0000-000035070000}"/>
    <cellStyle name="20% - Accent1 5 14 2" xfId="5417" xr:uid="{00000000-0005-0000-0000-000036070000}"/>
    <cellStyle name="20% - Accent1 5 14 2 2" xfId="5418" xr:uid="{00000000-0005-0000-0000-000037070000}"/>
    <cellStyle name="20% - Accent1 5 14 3" xfId="5419" xr:uid="{00000000-0005-0000-0000-000038070000}"/>
    <cellStyle name="20% - Accent1 5 15" xfId="5420" xr:uid="{00000000-0005-0000-0000-000039070000}"/>
    <cellStyle name="20% - Accent1 5 15 2" xfId="5421" xr:uid="{00000000-0005-0000-0000-00003A070000}"/>
    <cellStyle name="20% - Accent1 5 15 2 2" xfId="5422" xr:uid="{00000000-0005-0000-0000-00003B070000}"/>
    <cellStyle name="20% - Accent1 5 15 3" xfId="5423" xr:uid="{00000000-0005-0000-0000-00003C070000}"/>
    <cellStyle name="20% - Accent1 5 16" xfId="5424" xr:uid="{00000000-0005-0000-0000-00003D070000}"/>
    <cellStyle name="20% - Accent1 5 16 2" xfId="5425" xr:uid="{00000000-0005-0000-0000-00003E070000}"/>
    <cellStyle name="20% - Accent1 5 17" xfId="5426" xr:uid="{00000000-0005-0000-0000-00003F070000}"/>
    <cellStyle name="20% - Accent1 5 17 2" xfId="5427" xr:uid="{00000000-0005-0000-0000-000040070000}"/>
    <cellStyle name="20% - Accent1 5 18" xfId="5428" xr:uid="{00000000-0005-0000-0000-000041070000}"/>
    <cellStyle name="20% - Accent1 5 19" xfId="5429" xr:uid="{00000000-0005-0000-0000-000042070000}"/>
    <cellStyle name="20% - Accent1 5 2" xfId="5430" xr:uid="{00000000-0005-0000-0000-000043070000}"/>
    <cellStyle name="20% - Accent1 5 2 10" xfId="5431" xr:uid="{00000000-0005-0000-0000-000044070000}"/>
    <cellStyle name="20% - Accent1 5 2 11" xfId="5432" xr:uid="{00000000-0005-0000-0000-000045070000}"/>
    <cellStyle name="20% - Accent1 5 2 2" xfId="5433" xr:uid="{00000000-0005-0000-0000-000046070000}"/>
    <cellStyle name="20% - Accent1 5 2 2 2" xfId="5434" xr:uid="{00000000-0005-0000-0000-000047070000}"/>
    <cellStyle name="20% - Accent1 5 2 2 2 2" xfId="5435" xr:uid="{00000000-0005-0000-0000-000048070000}"/>
    <cellStyle name="20% - Accent1 5 2 2 2 2 2" xfId="5436" xr:uid="{00000000-0005-0000-0000-000049070000}"/>
    <cellStyle name="20% - Accent1 5 2 2 2 2 2 2" xfId="5437" xr:uid="{00000000-0005-0000-0000-00004A070000}"/>
    <cellStyle name="20% - Accent1 5 2 2 2 2 3" xfId="5438" xr:uid="{00000000-0005-0000-0000-00004B070000}"/>
    <cellStyle name="20% - Accent1 5 2 2 2 3" xfId="5439" xr:uid="{00000000-0005-0000-0000-00004C070000}"/>
    <cellStyle name="20% - Accent1 5 2 2 2 3 2" xfId="5440" xr:uid="{00000000-0005-0000-0000-00004D070000}"/>
    <cellStyle name="20% - Accent1 5 2 2 2 4" xfId="5441" xr:uid="{00000000-0005-0000-0000-00004E070000}"/>
    <cellStyle name="20% - Accent1 5 2 2 2 5" xfId="5442" xr:uid="{00000000-0005-0000-0000-00004F070000}"/>
    <cellStyle name="20% - Accent1 5 2 2 2 6" xfId="5443" xr:uid="{00000000-0005-0000-0000-000050070000}"/>
    <cellStyle name="20% - Accent1 5 2 2 3" xfId="5444" xr:uid="{00000000-0005-0000-0000-000051070000}"/>
    <cellStyle name="20% - Accent1 5 2 2 3 2" xfId="5445" xr:uid="{00000000-0005-0000-0000-000052070000}"/>
    <cellStyle name="20% - Accent1 5 2 2 3 2 2" xfId="5446" xr:uid="{00000000-0005-0000-0000-000053070000}"/>
    <cellStyle name="20% - Accent1 5 2 2 3 3" xfId="5447" xr:uid="{00000000-0005-0000-0000-000054070000}"/>
    <cellStyle name="20% - Accent1 5 2 2 4" xfId="5448" xr:uid="{00000000-0005-0000-0000-000055070000}"/>
    <cellStyle name="20% - Accent1 5 2 2 4 2" xfId="5449" xr:uid="{00000000-0005-0000-0000-000056070000}"/>
    <cellStyle name="20% - Accent1 5 2 2 5" xfId="5450" xr:uid="{00000000-0005-0000-0000-000057070000}"/>
    <cellStyle name="20% - Accent1 5 2 2 5 2" xfId="5451" xr:uid="{00000000-0005-0000-0000-000058070000}"/>
    <cellStyle name="20% - Accent1 5 2 2 6" xfId="5452" xr:uid="{00000000-0005-0000-0000-000059070000}"/>
    <cellStyle name="20% - Accent1 5 2 2 7" xfId="5453" xr:uid="{00000000-0005-0000-0000-00005A070000}"/>
    <cellStyle name="20% - Accent1 5 2 2 8" xfId="5454" xr:uid="{00000000-0005-0000-0000-00005B070000}"/>
    <cellStyle name="20% - Accent1 5 2 3" xfId="5455" xr:uid="{00000000-0005-0000-0000-00005C070000}"/>
    <cellStyle name="20% - Accent1 5 2 3 2" xfId="5456" xr:uid="{00000000-0005-0000-0000-00005D070000}"/>
    <cellStyle name="20% - Accent1 5 2 3 2 2" xfId="5457" xr:uid="{00000000-0005-0000-0000-00005E070000}"/>
    <cellStyle name="20% - Accent1 5 2 3 2 2 2" xfId="5458" xr:uid="{00000000-0005-0000-0000-00005F070000}"/>
    <cellStyle name="20% - Accent1 5 2 3 2 2 2 2" xfId="5459" xr:uid="{00000000-0005-0000-0000-000060070000}"/>
    <cellStyle name="20% - Accent1 5 2 3 2 2 3" xfId="5460" xr:uid="{00000000-0005-0000-0000-000061070000}"/>
    <cellStyle name="20% - Accent1 5 2 3 2 3" xfId="5461" xr:uid="{00000000-0005-0000-0000-000062070000}"/>
    <cellStyle name="20% - Accent1 5 2 3 2 3 2" xfId="5462" xr:uid="{00000000-0005-0000-0000-000063070000}"/>
    <cellStyle name="20% - Accent1 5 2 3 2 4" xfId="5463" xr:uid="{00000000-0005-0000-0000-000064070000}"/>
    <cellStyle name="20% - Accent1 5 2 3 2 5" xfId="5464" xr:uid="{00000000-0005-0000-0000-000065070000}"/>
    <cellStyle name="20% - Accent1 5 2 3 2 6" xfId="5465" xr:uid="{00000000-0005-0000-0000-000066070000}"/>
    <cellStyle name="20% - Accent1 5 2 3 3" xfId="5466" xr:uid="{00000000-0005-0000-0000-000067070000}"/>
    <cellStyle name="20% - Accent1 5 2 3 3 2" xfId="5467" xr:uid="{00000000-0005-0000-0000-000068070000}"/>
    <cellStyle name="20% - Accent1 5 2 3 3 2 2" xfId="5468" xr:uid="{00000000-0005-0000-0000-000069070000}"/>
    <cellStyle name="20% - Accent1 5 2 3 3 3" xfId="5469" xr:uid="{00000000-0005-0000-0000-00006A070000}"/>
    <cellStyle name="20% - Accent1 5 2 3 4" xfId="5470" xr:uid="{00000000-0005-0000-0000-00006B070000}"/>
    <cellStyle name="20% - Accent1 5 2 3 4 2" xfId="5471" xr:uid="{00000000-0005-0000-0000-00006C070000}"/>
    <cellStyle name="20% - Accent1 5 2 3 5" xfId="5472" xr:uid="{00000000-0005-0000-0000-00006D070000}"/>
    <cellStyle name="20% - Accent1 5 2 3 6" xfId="5473" xr:uid="{00000000-0005-0000-0000-00006E070000}"/>
    <cellStyle name="20% - Accent1 5 2 3 7" xfId="5474" xr:uid="{00000000-0005-0000-0000-00006F070000}"/>
    <cellStyle name="20% - Accent1 5 2 4" xfId="5475" xr:uid="{00000000-0005-0000-0000-000070070000}"/>
    <cellStyle name="20% - Accent1 5 2 4 2" xfId="5476" xr:uid="{00000000-0005-0000-0000-000071070000}"/>
    <cellStyle name="20% - Accent1 5 2 4 2 2" xfId="5477" xr:uid="{00000000-0005-0000-0000-000072070000}"/>
    <cellStyle name="20% - Accent1 5 2 4 2 2 2" xfId="5478" xr:uid="{00000000-0005-0000-0000-000073070000}"/>
    <cellStyle name="20% - Accent1 5 2 4 2 3" xfId="5479" xr:uid="{00000000-0005-0000-0000-000074070000}"/>
    <cellStyle name="20% - Accent1 5 2 4 3" xfId="5480" xr:uid="{00000000-0005-0000-0000-000075070000}"/>
    <cellStyle name="20% - Accent1 5 2 4 3 2" xfId="5481" xr:uid="{00000000-0005-0000-0000-000076070000}"/>
    <cellStyle name="20% - Accent1 5 2 4 4" xfId="5482" xr:uid="{00000000-0005-0000-0000-000077070000}"/>
    <cellStyle name="20% - Accent1 5 2 4 5" xfId="5483" xr:uid="{00000000-0005-0000-0000-000078070000}"/>
    <cellStyle name="20% - Accent1 5 2 4 6" xfId="5484" xr:uid="{00000000-0005-0000-0000-000079070000}"/>
    <cellStyle name="20% - Accent1 5 2 5" xfId="5485" xr:uid="{00000000-0005-0000-0000-00007A070000}"/>
    <cellStyle name="20% - Accent1 5 2 5 2" xfId="5486" xr:uid="{00000000-0005-0000-0000-00007B070000}"/>
    <cellStyle name="20% - Accent1 5 2 5 2 2" xfId="5487" xr:uid="{00000000-0005-0000-0000-00007C070000}"/>
    <cellStyle name="20% - Accent1 5 2 5 3" xfId="5488" xr:uid="{00000000-0005-0000-0000-00007D070000}"/>
    <cellStyle name="20% - Accent1 5 2 6" xfId="5489" xr:uid="{00000000-0005-0000-0000-00007E070000}"/>
    <cellStyle name="20% - Accent1 5 2 6 2" xfId="5490" xr:uid="{00000000-0005-0000-0000-00007F070000}"/>
    <cellStyle name="20% - Accent1 5 2 6 2 2" xfId="5491" xr:uid="{00000000-0005-0000-0000-000080070000}"/>
    <cellStyle name="20% - Accent1 5 2 6 3" xfId="5492" xr:uid="{00000000-0005-0000-0000-000081070000}"/>
    <cellStyle name="20% - Accent1 5 2 7" xfId="5493" xr:uid="{00000000-0005-0000-0000-000082070000}"/>
    <cellStyle name="20% - Accent1 5 2 7 2" xfId="5494" xr:uid="{00000000-0005-0000-0000-000083070000}"/>
    <cellStyle name="20% - Accent1 5 2 8" xfId="5495" xr:uid="{00000000-0005-0000-0000-000084070000}"/>
    <cellStyle name="20% - Accent1 5 2 8 2" xfId="5496" xr:uid="{00000000-0005-0000-0000-000085070000}"/>
    <cellStyle name="20% - Accent1 5 2 9" xfId="5497" xr:uid="{00000000-0005-0000-0000-000086070000}"/>
    <cellStyle name="20% - Accent1 5 20" xfId="5498" xr:uid="{00000000-0005-0000-0000-000087070000}"/>
    <cellStyle name="20% - Accent1 5 3" xfId="5499" xr:uid="{00000000-0005-0000-0000-000088070000}"/>
    <cellStyle name="20% - Accent1 5 3 10" xfId="5500" xr:uid="{00000000-0005-0000-0000-000089070000}"/>
    <cellStyle name="20% - Accent1 5 3 11" xfId="5501" xr:uid="{00000000-0005-0000-0000-00008A070000}"/>
    <cellStyle name="20% - Accent1 5 3 2" xfId="5502" xr:uid="{00000000-0005-0000-0000-00008B070000}"/>
    <cellStyle name="20% - Accent1 5 3 2 2" xfId="5503" xr:uid="{00000000-0005-0000-0000-00008C070000}"/>
    <cellStyle name="20% - Accent1 5 3 2 2 2" xfId="5504" xr:uid="{00000000-0005-0000-0000-00008D070000}"/>
    <cellStyle name="20% - Accent1 5 3 2 2 2 2" xfId="5505" xr:uid="{00000000-0005-0000-0000-00008E070000}"/>
    <cellStyle name="20% - Accent1 5 3 2 2 2 2 2" xfId="5506" xr:uid="{00000000-0005-0000-0000-00008F070000}"/>
    <cellStyle name="20% - Accent1 5 3 2 2 2 3" xfId="5507" xr:uid="{00000000-0005-0000-0000-000090070000}"/>
    <cellStyle name="20% - Accent1 5 3 2 2 3" xfId="5508" xr:uid="{00000000-0005-0000-0000-000091070000}"/>
    <cellStyle name="20% - Accent1 5 3 2 2 3 2" xfId="5509" xr:uid="{00000000-0005-0000-0000-000092070000}"/>
    <cellStyle name="20% - Accent1 5 3 2 2 4" xfId="5510" xr:uid="{00000000-0005-0000-0000-000093070000}"/>
    <cellStyle name="20% - Accent1 5 3 2 2 5" xfId="5511" xr:uid="{00000000-0005-0000-0000-000094070000}"/>
    <cellStyle name="20% - Accent1 5 3 2 2 6" xfId="5512" xr:uid="{00000000-0005-0000-0000-000095070000}"/>
    <cellStyle name="20% - Accent1 5 3 2 3" xfId="5513" xr:uid="{00000000-0005-0000-0000-000096070000}"/>
    <cellStyle name="20% - Accent1 5 3 2 3 2" xfId="5514" xr:uid="{00000000-0005-0000-0000-000097070000}"/>
    <cellStyle name="20% - Accent1 5 3 2 3 2 2" xfId="5515" xr:uid="{00000000-0005-0000-0000-000098070000}"/>
    <cellStyle name="20% - Accent1 5 3 2 3 3" xfId="5516" xr:uid="{00000000-0005-0000-0000-000099070000}"/>
    <cellStyle name="20% - Accent1 5 3 2 4" xfId="5517" xr:uid="{00000000-0005-0000-0000-00009A070000}"/>
    <cellStyle name="20% - Accent1 5 3 2 4 2" xfId="5518" xr:uid="{00000000-0005-0000-0000-00009B070000}"/>
    <cellStyle name="20% - Accent1 5 3 2 5" xfId="5519" xr:uid="{00000000-0005-0000-0000-00009C070000}"/>
    <cellStyle name="20% - Accent1 5 3 2 5 2" xfId="5520" xr:uid="{00000000-0005-0000-0000-00009D070000}"/>
    <cellStyle name="20% - Accent1 5 3 2 6" xfId="5521" xr:uid="{00000000-0005-0000-0000-00009E070000}"/>
    <cellStyle name="20% - Accent1 5 3 2 7" xfId="5522" xr:uid="{00000000-0005-0000-0000-00009F070000}"/>
    <cellStyle name="20% - Accent1 5 3 2 8" xfId="5523" xr:uid="{00000000-0005-0000-0000-0000A0070000}"/>
    <cellStyle name="20% - Accent1 5 3 3" xfId="5524" xr:uid="{00000000-0005-0000-0000-0000A1070000}"/>
    <cellStyle name="20% - Accent1 5 3 3 2" xfId="5525" xr:uid="{00000000-0005-0000-0000-0000A2070000}"/>
    <cellStyle name="20% - Accent1 5 3 3 2 2" xfId="5526" xr:uid="{00000000-0005-0000-0000-0000A3070000}"/>
    <cellStyle name="20% - Accent1 5 3 3 2 2 2" xfId="5527" xr:uid="{00000000-0005-0000-0000-0000A4070000}"/>
    <cellStyle name="20% - Accent1 5 3 3 2 2 2 2" xfId="5528" xr:uid="{00000000-0005-0000-0000-0000A5070000}"/>
    <cellStyle name="20% - Accent1 5 3 3 2 2 3" xfId="5529" xr:uid="{00000000-0005-0000-0000-0000A6070000}"/>
    <cellStyle name="20% - Accent1 5 3 3 2 3" xfId="5530" xr:uid="{00000000-0005-0000-0000-0000A7070000}"/>
    <cellStyle name="20% - Accent1 5 3 3 2 3 2" xfId="5531" xr:uid="{00000000-0005-0000-0000-0000A8070000}"/>
    <cellStyle name="20% - Accent1 5 3 3 2 4" xfId="5532" xr:uid="{00000000-0005-0000-0000-0000A9070000}"/>
    <cellStyle name="20% - Accent1 5 3 3 2 5" xfId="5533" xr:uid="{00000000-0005-0000-0000-0000AA070000}"/>
    <cellStyle name="20% - Accent1 5 3 3 2 6" xfId="5534" xr:uid="{00000000-0005-0000-0000-0000AB070000}"/>
    <cellStyle name="20% - Accent1 5 3 3 3" xfId="5535" xr:uid="{00000000-0005-0000-0000-0000AC070000}"/>
    <cellStyle name="20% - Accent1 5 3 3 3 2" xfId="5536" xr:uid="{00000000-0005-0000-0000-0000AD070000}"/>
    <cellStyle name="20% - Accent1 5 3 3 3 2 2" xfId="5537" xr:uid="{00000000-0005-0000-0000-0000AE070000}"/>
    <cellStyle name="20% - Accent1 5 3 3 3 3" xfId="5538" xr:uid="{00000000-0005-0000-0000-0000AF070000}"/>
    <cellStyle name="20% - Accent1 5 3 3 4" xfId="5539" xr:uid="{00000000-0005-0000-0000-0000B0070000}"/>
    <cellStyle name="20% - Accent1 5 3 3 4 2" xfId="5540" xr:uid="{00000000-0005-0000-0000-0000B1070000}"/>
    <cellStyle name="20% - Accent1 5 3 3 5" xfId="5541" xr:uid="{00000000-0005-0000-0000-0000B2070000}"/>
    <cellStyle name="20% - Accent1 5 3 3 6" xfId="5542" xr:uid="{00000000-0005-0000-0000-0000B3070000}"/>
    <cellStyle name="20% - Accent1 5 3 3 7" xfId="5543" xr:uid="{00000000-0005-0000-0000-0000B4070000}"/>
    <cellStyle name="20% - Accent1 5 3 4" xfId="5544" xr:uid="{00000000-0005-0000-0000-0000B5070000}"/>
    <cellStyle name="20% - Accent1 5 3 4 2" xfId="5545" xr:uid="{00000000-0005-0000-0000-0000B6070000}"/>
    <cellStyle name="20% - Accent1 5 3 4 2 2" xfId="5546" xr:uid="{00000000-0005-0000-0000-0000B7070000}"/>
    <cellStyle name="20% - Accent1 5 3 4 2 2 2" xfId="5547" xr:uid="{00000000-0005-0000-0000-0000B8070000}"/>
    <cellStyle name="20% - Accent1 5 3 4 2 3" xfId="5548" xr:uid="{00000000-0005-0000-0000-0000B9070000}"/>
    <cellStyle name="20% - Accent1 5 3 4 3" xfId="5549" xr:uid="{00000000-0005-0000-0000-0000BA070000}"/>
    <cellStyle name="20% - Accent1 5 3 4 3 2" xfId="5550" xr:uid="{00000000-0005-0000-0000-0000BB070000}"/>
    <cellStyle name="20% - Accent1 5 3 4 4" xfId="5551" xr:uid="{00000000-0005-0000-0000-0000BC070000}"/>
    <cellStyle name="20% - Accent1 5 3 4 5" xfId="5552" xr:uid="{00000000-0005-0000-0000-0000BD070000}"/>
    <cellStyle name="20% - Accent1 5 3 4 6" xfId="5553" xr:uid="{00000000-0005-0000-0000-0000BE070000}"/>
    <cellStyle name="20% - Accent1 5 3 5" xfId="5554" xr:uid="{00000000-0005-0000-0000-0000BF070000}"/>
    <cellStyle name="20% - Accent1 5 3 5 2" xfId="5555" xr:uid="{00000000-0005-0000-0000-0000C0070000}"/>
    <cellStyle name="20% - Accent1 5 3 5 2 2" xfId="5556" xr:uid="{00000000-0005-0000-0000-0000C1070000}"/>
    <cellStyle name="20% - Accent1 5 3 5 3" xfId="5557" xr:uid="{00000000-0005-0000-0000-0000C2070000}"/>
    <cellStyle name="20% - Accent1 5 3 6" xfId="5558" xr:uid="{00000000-0005-0000-0000-0000C3070000}"/>
    <cellStyle name="20% - Accent1 5 3 6 2" xfId="5559" xr:uid="{00000000-0005-0000-0000-0000C4070000}"/>
    <cellStyle name="20% - Accent1 5 3 6 2 2" xfId="5560" xr:uid="{00000000-0005-0000-0000-0000C5070000}"/>
    <cellStyle name="20% - Accent1 5 3 6 3" xfId="5561" xr:uid="{00000000-0005-0000-0000-0000C6070000}"/>
    <cellStyle name="20% - Accent1 5 3 7" xfId="5562" xr:uid="{00000000-0005-0000-0000-0000C7070000}"/>
    <cellStyle name="20% - Accent1 5 3 7 2" xfId="5563" xr:uid="{00000000-0005-0000-0000-0000C8070000}"/>
    <cellStyle name="20% - Accent1 5 3 8" xfId="5564" xr:uid="{00000000-0005-0000-0000-0000C9070000}"/>
    <cellStyle name="20% - Accent1 5 3 8 2" xfId="5565" xr:uid="{00000000-0005-0000-0000-0000CA070000}"/>
    <cellStyle name="20% - Accent1 5 3 9" xfId="5566" xr:uid="{00000000-0005-0000-0000-0000CB070000}"/>
    <cellStyle name="20% - Accent1 5 4" xfId="5567" xr:uid="{00000000-0005-0000-0000-0000CC070000}"/>
    <cellStyle name="20% - Accent1 5 4 10" xfId="5568" xr:uid="{00000000-0005-0000-0000-0000CD070000}"/>
    <cellStyle name="20% - Accent1 5 4 11" xfId="5569" xr:uid="{00000000-0005-0000-0000-0000CE070000}"/>
    <cellStyle name="20% - Accent1 5 4 2" xfId="5570" xr:uid="{00000000-0005-0000-0000-0000CF070000}"/>
    <cellStyle name="20% - Accent1 5 4 2 2" xfId="5571" xr:uid="{00000000-0005-0000-0000-0000D0070000}"/>
    <cellStyle name="20% - Accent1 5 4 2 2 2" xfId="5572" xr:uid="{00000000-0005-0000-0000-0000D1070000}"/>
    <cellStyle name="20% - Accent1 5 4 2 2 2 2" xfId="5573" xr:uid="{00000000-0005-0000-0000-0000D2070000}"/>
    <cellStyle name="20% - Accent1 5 4 2 2 2 2 2" xfId="5574" xr:uid="{00000000-0005-0000-0000-0000D3070000}"/>
    <cellStyle name="20% - Accent1 5 4 2 2 2 3" xfId="5575" xr:uid="{00000000-0005-0000-0000-0000D4070000}"/>
    <cellStyle name="20% - Accent1 5 4 2 2 3" xfId="5576" xr:uid="{00000000-0005-0000-0000-0000D5070000}"/>
    <cellStyle name="20% - Accent1 5 4 2 2 3 2" xfId="5577" xr:uid="{00000000-0005-0000-0000-0000D6070000}"/>
    <cellStyle name="20% - Accent1 5 4 2 2 4" xfId="5578" xr:uid="{00000000-0005-0000-0000-0000D7070000}"/>
    <cellStyle name="20% - Accent1 5 4 2 2 5" xfId="5579" xr:uid="{00000000-0005-0000-0000-0000D8070000}"/>
    <cellStyle name="20% - Accent1 5 4 2 2 6" xfId="5580" xr:uid="{00000000-0005-0000-0000-0000D9070000}"/>
    <cellStyle name="20% - Accent1 5 4 2 3" xfId="5581" xr:uid="{00000000-0005-0000-0000-0000DA070000}"/>
    <cellStyle name="20% - Accent1 5 4 2 3 2" xfId="5582" xr:uid="{00000000-0005-0000-0000-0000DB070000}"/>
    <cellStyle name="20% - Accent1 5 4 2 3 2 2" xfId="5583" xr:uid="{00000000-0005-0000-0000-0000DC070000}"/>
    <cellStyle name="20% - Accent1 5 4 2 3 3" xfId="5584" xr:uid="{00000000-0005-0000-0000-0000DD070000}"/>
    <cellStyle name="20% - Accent1 5 4 2 4" xfId="5585" xr:uid="{00000000-0005-0000-0000-0000DE070000}"/>
    <cellStyle name="20% - Accent1 5 4 2 4 2" xfId="5586" xr:uid="{00000000-0005-0000-0000-0000DF070000}"/>
    <cellStyle name="20% - Accent1 5 4 2 5" xfId="5587" xr:uid="{00000000-0005-0000-0000-0000E0070000}"/>
    <cellStyle name="20% - Accent1 5 4 2 5 2" xfId="5588" xr:uid="{00000000-0005-0000-0000-0000E1070000}"/>
    <cellStyle name="20% - Accent1 5 4 2 6" xfId="5589" xr:uid="{00000000-0005-0000-0000-0000E2070000}"/>
    <cellStyle name="20% - Accent1 5 4 2 7" xfId="5590" xr:uid="{00000000-0005-0000-0000-0000E3070000}"/>
    <cellStyle name="20% - Accent1 5 4 2 8" xfId="5591" xr:uid="{00000000-0005-0000-0000-0000E4070000}"/>
    <cellStyle name="20% - Accent1 5 4 3" xfId="5592" xr:uid="{00000000-0005-0000-0000-0000E5070000}"/>
    <cellStyle name="20% - Accent1 5 4 3 2" xfId="5593" xr:uid="{00000000-0005-0000-0000-0000E6070000}"/>
    <cellStyle name="20% - Accent1 5 4 3 2 2" xfId="5594" xr:uid="{00000000-0005-0000-0000-0000E7070000}"/>
    <cellStyle name="20% - Accent1 5 4 3 2 2 2" xfId="5595" xr:uid="{00000000-0005-0000-0000-0000E8070000}"/>
    <cellStyle name="20% - Accent1 5 4 3 2 2 2 2" xfId="5596" xr:uid="{00000000-0005-0000-0000-0000E9070000}"/>
    <cellStyle name="20% - Accent1 5 4 3 2 2 3" xfId="5597" xr:uid="{00000000-0005-0000-0000-0000EA070000}"/>
    <cellStyle name="20% - Accent1 5 4 3 2 3" xfId="5598" xr:uid="{00000000-0005-0000-0000-0000EB070000}"/>
    <cellStyle name="20% - Accent1 5 4 3 2 3 2" xfId="5599" xr:uid="{00000000-0005-0000-0000-0000EC070000}"/>
    <cellStyle name="20% - Accent1 5 4 3 2 4" xfId="5600" xr:uid="{00000000-0005-0000-0000-0000ED070000}"/>
    <cellStyle name="20% - Accent1 5 4 3 2 5" xfId="5601" xr:uid="{00000000-0005-0000-0000-0000EE070000}"/>
    <cellStyle name="20% - Accent1 5 4 3 2 6" xfId="5602" xr:uid="{00000000-0005-0000-0000-0000EF070000}"/>
    <cellStyle name="20% - Accent1 5 4 3 3" xfId="5603" xr:uid="{00000000-0005-0000-0000-0000F0070000}"/>
    <cellStyle name="20% - Accent1 5 4 3 3 2" xfId="5604" xr:uid="{00000000-0005-0000-0000-0000F1070000}"/>
    <cellStyle name="20% - Accent1 5 4 3 3 2 2" xfId="5605" xr:uid="{00000000-0005-0000-0000-0000F2070000}"/>
    <cellStyle name="20% - Accent1 5 4 3 3 3" xfId="5606" xr:uid="{00000000-0005-0000-0000-0000F3070000}"/>
    <cellStyle name="20% - Accent1 5 4 3 4" xfId="5607" xr:uid="{00000000-0005-0000-0000-0000F4070000}"/>
    <cellStyle name="20% - Accent1 5 4 3 4 2" xfId="5608" xr:uid="{00000000-0005-0000-0000-0000F5070000}"/>
    <cellStyle name="20% - Accent1 5 4 3 5" xfId="5609" xr:uid="{00000000-0005-0000-0000-0000F6070000}"/>
    <cellStyle name="20% - Accent1 5 4 3 6" xfId="5610" xr:uid="{00000000-0005-0000-0000-0000F7070000}"/>
    <cellStyle name="20% - Accent1 5 4 3 7" xfId="5611" xr:uid="{00000000-0005-0000-0000-0000F8070000}"/>
    <cellStyle name="20% - Accent1 5 4 4" xfId="5612" xr:uid="{00000000-0005-0000-0000-0000F9070000}"/>
    <cellStyle name="20% - Accent1 5 4 4 2" xfId="5613" xr:uid="{00000000-0005-0000-0000-0000FA070000}"/>
    <cellStyle name="20% - Accent1 5 4 4 2 2" xfId="5614" xr:uid="{00000000-0005-0000-0000-0000FB070000}"/>
    <cellStyle name="20% - Accent1 5 4 4 2 2 2" xfId="5615" xr:uid="{00000000-0005-0000-0000-0000FC070000}"/>
    <cellStyle name="20% - Accent1 5 4 4 2 3" xfId="5616" xr:uid="{00000000-0005-0000-0000-0000FD070000}"/>
    <cellStyle name="20% - Accent1 5 4 4 3" xfId="5617" xr:uid="{00000000-0005-0000-0000-0000FE070000}"/>
    <cellStyle name="20% - Accent1 5 4 4 3 2" xfId="5618" xr:uid="{00000000-0005-0000-0000-0000FF070000}"/>
    <cellStyle name="20% - Accent1 5 4 4 4" xfId="5619" xr:uid="{00000000-0005-0000-0000-000000080000}"/>
    <cellStyle name="20% - Accent1 5 4 4 5" xfId="5620" xr:uid="{00000000-0005-0000-0000-000001080000}"/>
    <cellStyle name="20% - Accent1 5 4 4 6" xfId="5621" xr:uid="{00000000-0005-0000-0000-000002080000}"/>
    <cellStyle name="20% - Accent1 5 4 5" xfId="5622" xr:uid="{00000000-0005-0000-0000-000003080000}"/>
    <cellStyle name="20% - Accent1 5 4 5 2" xfId="5623" xr:uid="{00000000-0005-0000-0000-000004080000}"/>
    <cellStyle name="20% - Accent1 5 4 5 2 2" xfId="5624" xr:uid="{00000000-0005-0000-0000-000005080000}"/>
    <cellStyle name="20% - Accent1 5 4 5 3" xfId="5625" xr:uid="{00000000-0005-0000-0000-000006080000}"/>
    <cellStyle name="20% - Accent1 5 4 6" xfId="5626" xr:uid="{00000000-0005-0000-0000-000007080000}"/>
    <cellStyle name="20% - Accent1 5 4 6 2" xfId="5627" xr:uid="{00000000-0005-0000-0000-000008080000}"/>
    <cellStyle name="20% - Accent1 5 4 6 2 2" xfId="5628" xr:uid="{00000000-0005-0000-0000-000009080000}"/>
    <cellStyle name="20% - Accent1 5 4 6 3" xfId="5629" xr:uid="{00000000-0005-0000-0000-00000A080000}"/>
    <cellStyle name="20% - Accent1 5 4 7" xfId="5630" xr:uid="{00000000-0005-0000-0000-00000B080000}"/>
    <cellStyle name="20% - Accent1 5 4 7 2" xfId="5631" xr:uid="{00000000-0005-0000-0000-00000C080000}"/>
    <cellStyle name="20% - Accent1 5 4 8" xfId="5632" xr:uid="{00000000-0005-0000-0000-00000D080000}"/>
    <cellStyle name="20% - Accent1 5 4 8 2" xfId="5633" xr:uid="{00000000-0005-0000-0000-00000E080000}"/>
    <cellStyle name="20% - Accent1 5 4 9" xfId="5634" xr:uid="{00000000-0005-0000-0000-00000F080000}"/>
    <cellStyle name="20% - Accent1 5 5" xfId="5635" xr:uid="{00000000-0005-0000-0000-000010080000}"/>
    <cellStyle name="20% - Accent1 5 5 10" xfId="5636" xr:uid="{00000000-0005-0000-0000-000011080000}"/>
    <cellStyle name="20% - Accent1 5 5 11" xfId="5637" xr:uid="{00000000-0005-0000-0000-000012080000}"/>
    <cellStyle name="20% - Accent1 5 5 2" xfId="5638" xr:uid="{00000000-0005-0000-0000-000013080000}"/>
    <cellStyle name="20% - Accent1 5 5 2 2" xfId="5639" xr:uid="{00000000-0005-0000-0000-000014080000}"/>
    <cellStyle name="20% - Accent1 5 5 2 2 2" xfId="5640" xr:uid="{00000000-0005-0000-0000-000015080000}"/>
    <cellStyle name="20% - Accent1 5 5 2 2 2 2" xfId="5641" xr:uid="{00000000-0005-0000-0000-000016080000}"/>
    <cellStyle name="20% - Accent1 5 5 2 2 2 2 2" xfId="5642" xr:uid="{00000000-0005-0000-0000-000017080000}"/>
    <cellStyle name="20% - Accent1 5 5 2 2 2 3" xfId="5643" xr:uid="{00000000-0005-0000-0000-000018080000}"/>
    <cellStyle name="20% - Accent1 5 5 2 2 3" xfId="5644" xr:uid="{00000000-0005-0000-0000-000019080000}"/>
    <cellStyle name="20% - Accent1 5 5 2 2 3 2" xfId="5645" xr:uid="{00000000-0005-0000-0000-00001A080000}"/>
    <cellStyle name="20% - Accent1 5 5 2 2 4" xfId="5646" xr:uid="{00000000-0005-0000-0000-00001B080000}"/>
    <cellStyle name="20% - Accent1 5 5 2 2 5" xfId="5647" xr:uid="{00000000-0005-0000-0000-00001C080000}"/>
    <cellStyle name="20% - Accent1 5 5 2 2 6" xfId="5648" xr:uid="{00000000-0005-0000-0000-00001D080000}"/>
    <cellStyle name="20% - Accent1 5 5 2 3" xfId="5649" xr:uid="{00000000-0005-0000-0000-00001E080000}"/>
    <cellStyle name="20% - Accent1 5 5 2 3 2" xfId="5650" xr:uid="{00000000-0005-0000-0000-00001F080000}"/>
    <cellStyle name="20% - Accent1 5 5 2 3 2 2" xfId="5651" xr:uid="{00000000-0005-0000-0000-000020080000}"/>
    <cellStyle name="20% - Accent1 5 5 2 3 3" xfId="5652" xr:uid="{00000000-0005-0000-0000-000021080000}"/>
    <cellStyle name="20% - Accent1 5 5 2 4" xfId="5653" xr:uid="{00000000-0005-0000-0000-000022080000}"/>
    <cellStyle name="20% - Accent1 5 5 2 4 2" xfId="5654" xr:uid="{00000000-0005-0000-0000-000023080000}"/>
    <cellStyle name="20% - Accent1 5 5 2 5" xfId="5655" xr:uid="{00000000-0005-0000-0000-000024080000}"/>
    <cellStyle name="20% - Accent1 5 5 2 5 2" xfId="5656" xr:uid="{00000000-0005-0000-0000-000025080000}"/>
    <cellStyle name="20% - Accent1 5 5 2 6" xfId="5657" xr:uid="{00000000-0005-0000-0000-000026080000}"/>
    <cellStyle name="20% - Accent1 5 5 2 7" xfId="5658" xr:uid="{00000000-0005-0000-0000-000027080000}"/>
    <cellStyle name="20% - Accent1 5 5 2 8" xfId="5659" xr:uid="{00000000-0005-0000-0000-000028080000}"/>
    <cellStyle name="20% - Accent1 5 5 3" xfId="5660" xr:uid="{00000000-0005-0000-0000-000029080000}"/>
    <cellStyle name="20% - Accent1 5 5 3 2" xfId="5661" xr:uid="{00000000-0005-0000-0000-00002A080000}"/>
    <cellStyle name="20% - Accent1 5 5 3 2 2" xfId="5662" xr:uid="{00000000-0005-0000-0000-00002B080000}"/>
    <cellStyle name="20% - Accent1 5 5 3 2 2 2" xfId="5663" xr:uid="{00000000-0005-0000-0000-00002C080000}"/>
    <cellStyle name="20% - Accent1 5 5 3 2 2 2 2" xfId="5664" xr:uid="{00000000-0005-0000-0000-00002D080000}"/>
    <cellStyle name="20% - Accent1 5 5 3 2 2 3" xfId="5665" xr:uid="{00000000-0005-0000-0000-00002E080000}"/>
    <cellStyle name="20% - Accent1 5 5 3 2 3" xfId="5666" xr:uid="{00000000-0005-0000-0000-00002F080000}"/>
    <cellStyle name="20% - Accent1 5 5 3 2 3 2" xfId="5667" xr:uid="{00000000-0005-0000-0000-000030080000}"/>
    <cellStyle name="20% - Accent1 5 5 3 2 4" xfId="5668" xr:uid="{00000000-0005-0000-0000-000031080000}"/>
    <cellStyle name="20% - Accent1 5 5 3 2 5" xfId="5669" xr:uid="{00000000-0005-0000-0000-000032080000}"/>
    <cellStyle name="20% - Accent1 5 5 3 2 6" xfId="5670" xr:uid="{00000000-0005-0000-0000-000033080000}"/>
    <cellStyle name="20% - Accent1 5 5 3 3" xfId="5671" xr:uid="{00000000-0005-0000-0000-000034080000}"/>
    <cellStyle name="20% - Accent1 5 5 3 3 2" xfId="5672" xr:uid="{00000000-0005-0000-0000-000035080000}"/>
    <cellStyle name="20% - Accent1 5 5 3 3 2 2" xfId="5673" xr:uid="{00000000-0005-0000-0000-000036080000}"/>
    <cellStyle name="20% - Accent1 5 5 3 3 3" xfId="5674" xr:uid="{00000000-0005-0000-0000-000037080000}"/>
    <cellStyle name="20% - Accent1 5 5 3 4" xfId="5675" xr:uid="{00000000-0005-0000-0000-000038080000}"/>
    <cellStyle name="20% - Accent1 5 5 3 4 2" xfId="5676" xr:uid="{00000000-0005-0000-0000-000039080000}"/>
    <cellStyle name="20% - Accent1 5 5 3 5" xfId="5677" xr:uid="{00000000-0005-0000-0000-00003A080000}"/>
    <cellStyle name="20% - Accent1 5 5 3 6" xfId="5678" xr:uid="{00000000-0005-0000-0000-00003B080000}"/>
    <cellStyle name="20% - Accent1 5 5 3 7" xfId="5679" xr:uid="{00000000-0005-0000-0000-00003C080000}"/>
    <cellStyle name="20% - Accent1 5 5 4" xfId="5680" xr:uid="{00000000-0005-0000-0000-00003D080000}"/>
    <cellStyle name="20% - Accent1 5 5 4 2" xfId="5681" xr:uid="{00000000-0005-0000-0000-00003E080000}"/>
    <cellStyle name="20% - Accent1 5 5 4 2 2" xfId="5682" xr:uid="{00000000-0005-0000-0000-00003F080000}"/>
    <cellStyle name="20% - Accent1 5 5 4 2 2 2" xfId="5683" xr:uid="{00000000-0005-0000-0000-000040080000}"/>
    <cellStyle name="20% - Accent1 5 5 4 2 3" xfId="5684" xr:uid="{00000000-0005-0000-0000-000041080000}"/>
    <cellStyle name="20% - Accent1 5 5 4 3" xfId="5685" xr:uid="{00000000-0005-0000-0000-000042080000}"/>
    <cellStyle name="20% - Accent1 5 5 4 3 2" xfId="5686" xr:uid="{00000000-0005-0000-0000-000043080000}"/>
    <cellStyle name="20% - Accent1 5 5 4 4" xfId="5687" xr:uid="{00000000-0005-0000-0000-000044080000}"/>
    <cellStyle name="20% - Accent1 5 5 4 5" xfId="5688" xr:uid="{00000000-0005-0000-0000-000045080000}"/>
    <cellStyle name="20% - Accent1 5 5 4 6" xfId="5689" xr:uid="{00000000-0005-0000-0000-000046080000}"/>
    <cellStyle name="20% - Accent1 5 5 5" xfId="5690" xr:uid="{00000000-0005-0000-0000-000047080000}"/>
    <cellStyle name="20% - Accent1 5 5 5 2" xfId="5691" xr:uid="{00000000-0005-0000-0000-000048080000}"/>
    <cellStyle name="20% - Accent1 5 5 5 2 2" xfId="5692" xr:uid="{00000000-0005-0000-0000-000049080000}"/>
    <cellStyle name="20% - Accent1 5 5 5 3" xfId="5693" xr:uid="{00000000-0005-0000-0000-00004A080000}"/>
    <cellStyle name="20% - Accent1 5 5 6" xfId="5694" xr:uid="{00000000-0005-0000-0000-00004B080000}"/>
    <cellStyle name="20% - Accent1 5 5 6 2" xfId="5695" xr:uid="{00000000-0005-0000-0000-00004C080000}"/>
    <cellStyle name="20% - Accent1 5 5 6 2 2" xfId="5696" xr:uid="{00000000-0005-0000-0000-00004D080000}"/>
    <cellStyle name="20% - Accent1 5 5 6 3" xfId="5697" xr:uid="{00000000-0005-0000-0000-00004E080000}"/>
    <cellStyle name="20% - Accent1 5 5 7" xfId="5698" xr:uid="{00000000-0005-0000-0000-00004F080000}"/>
    <cellStyle name="20% - Accent1 5 5 7 2" xfId="5699" xr:uid="{00000000-0005-0000-0000-000050080000}"/>
    <cellStyle name="20% - Accent1 5 5 8" xfId="5700" xr:uid="{00000000-0005-0000-0000-000051080000}"/>
    <cellStyle name="20% - Accent1 5 5 8 2" xfId="5701" xr:uid="{00000000-0005-0000-0000-000052080000}"/>
    <cellStyle name="20% - Accent1 5 5 9" xfId="5702" xr:uid="{00000000-0005-0000-0000-000053080000}"/>
    <cellStyle name="20% - Accent1 5 6" xfId="5703" xr:uid="{00000000-0005-0000-0000-000054080000}"/>
    <cellStyle name="20% - Accent1 5 6 10" xfId="5704" xr:uid="{00000000-0005-0000-0000-000055080000}"/>
    <cellStyle name="20% - Accent1 5 6 11" xfId="5705" xr:uid="{00000000-0005-0000-0000-000056080000}"/>
    <cellStyle name="20% - Accent1 5 6 2" xfId="5706" xr:uid="{00000000-0005-0000-0000-000057080000}"/>
    <cellStyle name="20% - Accent1 5 6 2 2" xfId="5707" xr:uid="{00000000-0005-0000-0000-000058080000}"/>
    <cellStyle name="20% - Accent1 5 6 2 2 2" xfId="5708" xr:uid="{00000000-0005-0000-0000-000059080000}"/>
    <cellStyle name="20% - Accent1 5 6 2 2 2 2" xfId="5709" xr:uid="{00000000-0005-0000-0000-00005A080000}"/>
    <cellStyle name="20% - Accent1 5 6 2 2 2 2 2" xfId="5710" xr:uid="{00000000-0005-0000-0000-00005B080000}"/>
    <cellStyle name="20% - Accent1 5 6 2 2 2 3" xfId="5711" xr:uid="{00000000-0005-0000-0000-00005C080000}"/>
    <cellStyle name="20% - Accent1 5 6 2 2 3" xfId="5712" xr:uid="{00000000-0005-0000-0000-00005D080000}"/>
    <cellStyle name="20% - Accent1 5 6 2 2 3 2" xfId="5713" xr:uid="{00000000-0005-0000-0000-00005E080000}"/>
    <cellStyle name="20% - Accent1 5 6 2 2 4" xfId="5714" xr:uid="{00000000-0005-0000-0000-00005F080000}"/>
    <cellStyle name="20% - Accent1 5 6 2 2 5" xfId="5715" xr:uid="{00000000-0005-0000-0000-000060080000}"/>
    <cellStyle name="20% - Accent1 5 6 2 2 6" xfId="5716" xr:uid="{00000000-0005-0000-0000-000061080000}"/>
    <cellStyle name="20% - Accent1 5 6 2 3" xfId="5717" xr:uid="{00000000-0005-0000-0000-000062080000}"/>
    <cellStyle name="20% - Accent1 5 6 2 3 2" xfId="5718" xr:uid="{00000000-0005-0000-0000-000063080000}"/>
    <cellStyle name="20% - Accent1 5 6 2 3 2 2" xfId="5719" xr:uid="{00000000-0005-0000-0000-000064080000}"/>
    <cellStyle name="20% - Accent1 5 6 2 3 3" xfId="5720" xr:uid="{00000000-0005-0000-0000-000065080000}"/>
    <cellStyle name="20% - Accent1 5 6 2 4" xfId="5721" xr:uid="{00000000-0005-0000-0000-000066080000}"/>
    <cellStyle name="20% - Accent1 5 6 2 4 2" xfId="5722" xr:uid="{00000000-0005-0000-0000-000067080000}"/>
    <cellStyle name="20% - Accent1 5 6 2 5" xfId="5723" xr:uid="{00000000-0005-0000-0000-000068080000}"/>
    <cellStyle name="20% - Accent1 5 6 2 5 2" xfId="5724" xr:uid="{00000000-0005-0000-0000-000069080000}"/>
    <cellStyle name="20% - Accent1 5 6 2 6" xfId="5725" xr:uid="{00000000-0005-0000-0000-00006A080000}"/>
    <cellStyle name="20% - Accent1 5 6 2 7" xfId="5726" xr:uid="{00000000-0005-0000-0000-00006B080000}"/>
    <cellStyle name="20% - Accent1 5 6 2 8" xfId="5727" xr:uid="{00000000-0005-0000-0000-00006C080000}"/>
    <cellStyle name="20% - Accent1 5 6 3" xfId="5728" xr:uid="{00000000-0005-0000-0000-00006D080000}"/>
    <cellStyle name="20% - Accent1 5 6 3 2" xfId="5729" xr:uid="{00000000-0005-0000-0000-00006E080000}"/>
    <cellStyle name="20% - Accent1 5 6 3 2 2" xfId="5730" xr:uid="{00000000-0005-0000-0000-00006F080000}"/>
    <cellStyle name="20% - Accent1 5 6 3 2 2 2" xfId="5731" xr:uid="{00000000-0005-0000-0000-000070080000}"/>
    <cellStyle name="20% - Accent1 5 6 3 2 2 2 2" xfId="5732" xr:uid="{00000000-0005-0000-0000-000071080000}"/>
    <cellStyle name="20% - Accent1 5 6 3 2 2 3" xfId="5733" xr:uid="{00000000-0005-0000-0000-000072080000}"/>
    <cellStyle name="20% - Accent1 5 6 3 2 3" xfId="5734" xr:uid="{00000000-0005-0000-0000-000073080000}"/>
    <cellStyle name="20% - Accent1 5 6 3 2 3 2" xfId="5735" xr:uid="{00000000-0005-0000-0000-000074080000}"/>
    <cellStyle name="20% - Accent1 5 6 3 2 4" xfId="5736" xr:uid="{00000000-0005-0000-0000-000075080000}"/>
    <cellStyle name="20% - Accent1 5 6 3 2 5" xfId="5737" xr:uid="{00000000-0005-0000-0000-000076080000}"/>
    <cellStyle name="20% - Accent1 5 6 3 2 6" xfId="5738" xr:uid="{00000000-0005-0000-0000-000077080000}"/>
    <cellStyle name="20% - Accent1 5 6 3 3" xfId="5739" xr:uid="{00000000-0005-0000-0000-000078080000}"/>
    <cellStyle name="20% - Accent1 5 6 3 3 2" xfId="5740" xr:uid="{00000000-0005-0000-0000-000079080000}"/>
    <cellStyle name="20% - Accent1 5 6 3 3 2 2" xfId="5741" xr:uid="{00000000-0005-0000-0000-00007A080000}"/>
    <cellStyle name="20% - Accent1 5 6 3 3 3" xfId="5742" xr:uid="{00000000-0005-0000-0000-00007B080000}"/>
    <cellStyle name="20% - Accent1 5 6 3 4" xfId="5743" xr:uid="{00000000-0005-0000-0000-00007C080000}"/>
    <cellStyle name="20% - Accent1 5 6 3 4 2" xfId="5744" xr:uid="{00000000-0005-0000-0000-00007D080000}"/>
    <cellStyle name="20% - Accent1 5 6 3 5" xfId="5745" xr:uid="{00000000-0005-0000-0000-00007E080000}"/>
    <cellStyle name="20% - Accent1 5 6 3 6" xfId="5746" xr:uid="{00000000-0005-0000-0000-00007F080000}"/>
    <cellStyle name="20% - Accent1 5 6 3 7" xfId="5747" xr:uid="{00000000-0005-0000-0000-000080080000}"/>
    <cellStyle name="20% - Accent1 5 6 4" xfId="5748" xr:uid="{00000000-0005-0000-0000-000081080000}"/>
    <cellStyle name="20% - Accent1 5 6 4 2" xfId="5749" xr:uid="{00000000-0005-0000-0000-000082080000}"/>
    <cellStyle name="20% - Accent1 5 6 4 2 2" xfId="5750" xr:uid="{00000000-0005-0000-0000-000083080000}"/>
    <cellStyle name="20% - Accent1 5 6 4 2 2 2" xfId="5751" xr:uid="{00000000-0005-0000-0000-000084080000}"/>
    <cellStyle name="20% - Accent1 5 6 4 2 3" xfId="5752" xr:uid="{00000000-0005-0000-0000-000085080000}"/>
    <cellStyle name="20% - Accent1 5 6 4 3" xfId="5753" xr:uid="{00000000-0005-0000-0000-000086080000}"/>
    <cellStyle name="20% - Accent1 5 6 4 3 2" xfId="5754" xr:uid="{00000000-0005-0000-0000-000087080000}"/>
    <cellStyle name="20% - Accent1 5 6 4 4" xfId="5755" xr:uid="{00000000-0005-0000-0000-000088080000}"/>
    <cellStyle name="20% - Accent1 5 6 4 5" xfId="5756" xr:uid="{00000000-0005-0000-0000-000089080000}"/>
    <cellStyle name="20% - Accent1 5 6 4 6" xfId="5757" xr:uid="{00000000-0005-0000-0000-00008A080000}"/>
    <cellStyle name="20% - Accent1 5 6 5" xfId="5758" xr:uid="{00000000-0005-0000-0000-00008B080000}"/>
    <cellStyle name="20% - Accent1 5 6 5 2" xfId="5759" xr:uid="{00000000-0005-0000-0000-00008C080000}"/>
    <cellStyle name="20% - Accent1 5 6 5 2 2" xfId="5760" xr:uid="{00000000-0005-0000-0000-00008D080000}"/>
    <cellStyle name="20% - Accent1 5 6 5 3" xfId="5761" xr:uid="{00000000-0005-0000-0000-00008E080000}"/>
    <cellStyle name="20% - Accent1 5 6 6" xfId="5762" xr:uid="{00000000-0005-0000-0000-00008F080000}"/>
    <cellStyle name="20% - Accent1 5 6 6 2" xfId="5763" xr:uid="{00000000-0005-0000-0000-000090080000}"/>
    <cellStyle name="20% - Accent1 5 6 6 2 2" xfId="5764" xr:uid="{00000000-0005-0000-0000-000091080000}"/>
    <cellStyle name="20% - Accent1 5 6 6 3" xfId="5765" xr:uid="{00000000-0005-0000-0000-000092080000}"/>
    <cellStyle name="20% - Accent1 5 6 7" xfId="5766" xr:uid="{00000000-0005-0000-0000-000093080000}"/>
    <cellStyle name="20% - Accent1 5 6 7 2" xfId="5767" xr:uid="{00000000-0005-0000-0000-000094080000}"/>
    <cellStyle name="20% - Accent1 5 6 8" xfId="5768" xr:uid="{00000000-0005-0000-0000-000095080000}"/>
    <cellStyle name="20% - Accent1 5 6 8 2" xfId="5769" xr:uid="{00000000-0005-0000-0000-000096080000}"/>
    <cellStyle name="20% - Accent1 5 6 9" xfId="5770" xr:uid="{00000000-0005-0000-0000-000097080000}"/>
    <cellStyle name="20% - Accent1 5 7" xfId="5771" xr:uid="{00000000-0005-0000-0000-000098080000}"/>
    <cellStyle name="20% - Accent1 5 7 10" xfId="5772" xr:uid="{00000000-0005-0000-0000-000099080000}"/>
    <cellStyle name="20% - Accent1 5 7 11" xfId="5773" xr:uid="{00000000-0005-0000-0000-00009A080000}"/>
    <cellStyle name="20% - Accent1 5 7 2" xfId="5774" xr:uid="{00000000-0005-0000-0000-00009B080000}"/>
    <cellStyle name="20% - Accent1 5 7 2 2" xfId="5775" xr:uid="{00000000-0005-0000-0000-00009C080000}"/>
    <cellStyle name="20% - Accent1 5 7 2 2 2" xfId="5776" xr:uid="{00000000-0005-0000-0000-00009D080000}"/>
    <cellStyle name="20% - Accent1 5 7 2 2 2 2" xfId="5777" xr:uid="{00000000-0005-0000-0000-00009E080000}"/>
    <cellStyle name="20% - Accent1 5 7 2 2 2 2 2" xfId="5778" xr:uid="{00000000-0005-0000-0000-00009F080000}"/>
    <cellStyle name="20% - Accent1 5 7 2 2 2 3" xfId="5779" xr:uid="{00000000-0005-0000-0000-0000A0080000}"/>
    <cellStyle name="20% - Accent1 5 7 2 2 3" xfId="5780" xr:uid="{00000000-0005-0000-0000-0000A1080000}"/>
    <cellStyle name="20% - Accent1 5 7 2 2 3 2" xfId="5781" xr:uid="{00000000-0005-0000-0000-0000A2080000}"/>
    <cellStyle name="20% - Accent1 5 7 2 2 4" xfId="5782" xr:uid="{00000000-0005-0000-0000-0000A3080000}"/>
    <cellStyle name="20% - Accent1 5 7 2 2 5" xfId="5783" xr:uid="{00000000-0005-0000-0000-0000A4080000}"/>
    <cellStyle name="20% - Accent1 5 7 2 2 6" xfId="5784" xr:uid="{00000000-0005-0000-0000-0000A5080000}"/>
    <cellStyle name="20% - Accent1 5 7 2 3" xfId="5785" xr:uid="{00000000-0005-0000-0000-0000A6080000}"/>
    <cellStyle name="20% - Accent1 5 7 2 3 2" xfId="5786" xr:uid="{00000000-0005-0000-0000-0000A7080000}"/>
    <cellStyle name="20% - Accent1 5 7 2 3 2 2" xfId="5787" xr:uid="{00000000-0005-0000-0000-0000A8080000}"/>
    <cellStyle name="20% - Accent1 5 7 2 3 3" xfId="5788" xr:uid="{00000000-0005-0000-0000-0000A9080000}"/>
    <cellStyle name="20% - Accent1 5 7 2 4" xfId="5789" xr:uid="{00000000-0005-0000-0000-0000AA080000}"/>
    <cellStyle name="20% - Accent1 5 7 2 4 2" xfId="5790" xr:uid="{00000000-0005-0000-0000-0000AB080000}"/>
    <cellStyle name="20% - Accent1 5 7 2 5" xfId="5791" xr:uid="{00000000-0005-0000-0000-0000AC080000}"/>
    <cellStyle name="20% - Accent1 5 7 2 5 2" xfId="5792" xr:uid="{00000000-0005-0000-0000-0000AD080000}"/>
    <cellStyle name="20% - Accent1 5 7 2 6" xfId="5793" xr:uid="{00000000-0005-0000-0000-0000AE080000}"/>
    <cellStyle name="20% - Accent1 5 7 2 7" xfId="5794" xr:uid="{00000000-0005-0000-0000-0000AF080000}"/>
    <cellStyle name="20% - Accent1 5 7 2 8" xfId="5795" xr:uid="{00000000-0005-0000-0000-0000B0080000}"/>
    <cellStyle name="20% - Accent1 5 7 3" xfId="5796" xr:uid="{00000000-0005-0000-0000-0000B1080000}"/>
    <cellStyle name="20% - Accent1 5 7 3 2" xfId="5797" xr:uid="{00000000-0005-0000-0000-0000B2080000}"/>
    <cellStyle name="20% - Accent1 5 7 3 2 2" xfId="5798" xr:uid="{00000000-0005-0000-0000-0000B3080000}"/>
    <cellStyle name="20% - Accent1 5 7 3 2 2 2" xfId="5799" xr:uid="{00000000-0005-0000-0000-0000B4080000}"/>
    <cellStyle name="20% - Accent1 5 7 3 2 2 2 2" xfId="5800" xr:uid="{00000000-0005-0000-0000-0000B5080000}"/>
    <cellStyle name="20% - Accent1 5 7 3 2 2 3" xfId="5801" xr:uid="{00000000-0005-0000-0000-0000B6080000}"/>
    <cellStyle name="20% - Accent1 5 7 3 2 3" xfId="5802" xr:uid="{00000000-0005-0000-0000-0000B7080000}"/>
    <cellStyle name="20% - Accent1 5 7 3 2 3 2" xfId="5803" xr:uid="{00000000-0005-0000-0000-0000B8080000}"/>
    <cellStyle name="20% - Accent1 5 7 3 2 4" xfId="5804" xr:uid="{00000000-0005-0000-0000-0000B9080000}"/>
    <cellStyle name="20% - Accent1 5 7 3 2 5" xfId="5805" xr:uid="{00000000-0005-0000-0000-0000BA080000}"/>
    <cellStyle name="20% - Accent1 5 7 3 2 6" xfId="5806" xr:uid="{00000000-0005-0000-0000-0000BB080000}"/>
    <cellStyle name="20% - Accent1 5 7 3 3" xfId="5807" xr:uid="{00000000-0005-0000-0000-0000BC080000}"/>
    <cellStyle name="20% - Accent1 5 7 3 3 2" xfId="5808" xr:uid="{00000000-0005-0000-0000-0000BD080000}"/>
    <cellStyle name="20% - Accent1 5 7 3 3 2 2" xfId="5809" xr:uid="{00000000-0005-0000-0000-0000BE080000}"/>
    <cellStyle name="20% - Accent1 5 7 3 3 3" xfId="5810" xr:uid="{00000000-0005-0000-0000-0000BF080000}"/>
    <cellStyle name="20% - Accent1 5 7 3 4" xfId="5811" xr:uid="{00000000-0005-0000-0000-0000C0080000}"/>
    <cellStyle name="20% - Accent1 5 7 3 4 2" xfId="5812" xr:uid="{00000000-0005-0000-0000-0000C1080000}"/>
    <cellStyle name="20% - Accent1 5 7 3 5" xfId="5813" xr:uid="{00000000-0005-0000-0000-0000C2080000}"/>
    <cellStyle name="20% - Accent1 5 7 3 6" xfId="5814" xr:uid="{00000000-0005-0000-0000-0000C3080000}"/>
    <cellStyle name="20% - Accent1 5 7 3 7" xfId="5815" xr:uid="{00000000-0005-0000-0000-0000C4080000}"/>
    <cellStyle name="20% - Accent1 5 7 4" xfId="5816" xr:uid="{00000000-0005-0000-0000-0000C5080000}"/>
    <cellStyle name="20% - Accent1 5 7 4 2" xfId="5817" xr:uid="{00000000-0005-0000-0000-0000C6080000}"/>
    <cellStyle name="20% - Accent1 5 7 4 2 2" xfId="5818" xr:uid="{00000000-0005-0000-0000-0000C7080000}"/>
    <cellStyle name="20% - Accent1 5 7 4 2 2 2" xfId="5819" xr:uid="{00000000-0005-0000-0000-0000C8080000}"/>
    <cellStyle name="20% - Accent1 5 7 4 2 3" xfId="5820" xr:uid="{00000000-0005-0000-0000-0000C9080000}"/>
    <cellStyle name="20% - Accent1 5 7 4 3" xfId="5821" xr:uid="{00000000-0005-0000-0000-0000CA080000}"/>
    <cellStyle name="20% - Accent1 5 7 4 3 2" xfId="5822" xr:uid="{00000000-0005-0000-0000-0000CB080000}"/>
    <cellStyle name="20% - Accent1 5 7 4 4" xfId="5823" xr:uid="{00000000-0005-0000-0000-0000CC080000}"/>
    <cellStyle name="20% - Accent1 5 7 4 5" xfId="5824" xr:uid="{00000000-0005-0000-0000-0000CD080000}"/>
    <cellStyle name="20% - Accent1 5 7 4 6" xfId="5825" xr:uid="{00000000-0005-0000-0000-0000CE080000}"/>
    <cellStyle name="20% - Accent1 5 7 5" xfId="5826" xr:uid="{00000000-0005-0000-0000-0000CF080000}"/>
    <cellStyle name="20% - Accent1 5 7 5 2" xfId="5827" xr:uid="{00000000-0005-0000-0000-0000D0080000}"/>
    <cellStyle name="20% - Accent1 5 7 5 2 2" xfId="5828" xr:uid="{00000000-0005-0000-0000-0000D1080000}"/>
    <cellStyle name="20% - Accent1 5 7 5 3" xfId="5829" xr:uid="{00000000-0005-0000-0000-0000D2080000}"/>
    <cellStyle name="20% - Accent1 5 7 6" xfId="5830" xr:uid="{00000000-0005-0000-0000-0000D3080000}"/>
    <cellStyle name="20% - Accent1 5 7 6 2" xfId="5831" xr:uid="{00000000-0005-0000-0000-0000D4080000}"/>
    <cellStyle name="20% - Accent1 5 7 6 2 2" xfId="5832" xr:uid="{00000000-0005-0000-0000-0000D5080000}"/>
    <cellStyle name="20% - Accent1 5 7 6 3" xfId="5833" xr:uid="{00000000-0005-0000-0000-0000D6080000}"/>
    <cellStyle name="20% - Accent1 5 7 7" xfId="5834" xr:uid="{00000000-0005-0000-0000-0000D7080000}"/>
    <cellStyle name="20% - Accent1 5 7 7 2" xfId="5835" xr:uid="{00000000-0005-0000-0000-0000D8080000}"/>
    <cellStyle name="20% - Accent1 5 7 8" xfId="5836" xr:uid="{00000000-0005-0000-0000-0000D9080000}"/>
    <cellStyle name="20% - Accent1 5 7 8 2" xfId="5837" xr:uid="{00000000-0005-0000-0000-0000DA080000}"/>
    <cellStyle name="20% - Accent1 5 7 9" xfId="5838" xr:uid="{00000000-0005-0000-0000-0000DB080000}"/>
    <cellStyle name="20% - Accent1 5 8" xfId="5839" xr:uid="{00000000-0005-0000-0000-0000DC080000}"/>
    <cellStyle name="20% - Accent1 5 8 10" xfId="5840" xr:uid="{00000000-0005-0000-0000-0000DD080000}"/>
    <cellStyle name="20% - Accent1 5 8 11" xfId="5841" xr:uid="{00000000-0005-0000-0000-0000DE080000}"/>
    <cellStyle name="20% - Accent1 5 8 2" xfId="5842" xr:uid="{00000000-0005-0000-0000-0000DF080000}"/>
    <cellStyle name="20% - Accent1 5 8 2 2" xfId="5843" xr:uid="{00000000-0005-0000-0000-0000E0080000}"/>
    <cellStyle name="20% - Accent1 5 8 2 2 2" xfId="5844" xr:uid="{00000000-0005-0000-0000-0000E1080000}"/>
    <cellStyle name="20% - Accent1 5 8 2 2 2 2" xfId="5845" xr:uid="{00000000-0005-0000-0000-0000E2080000}"/>
    <cellStyle name="20% - Accent1 5 8 2 2 2 2 2" xfId="5846" xr:uid="{00000000-0005-0000-0000-0000E3080000}"/>
    <cellStyle name="20% - Accent1 5 8 2 2 2 3" xfId="5847" xr:uid="{00000000-0005-0000-0000-0000E4080000}"/>
    <cellStyle name="20% - Accent1 5 8 2 2 3" xfId="5848" xr:uid="{00000000-0005-0000-0000-0000E5080000}"/>
    <cellStyle name="20% - Accent1 5 8 2 2 3 2" xfId="5849" xr:uid="{00000000-0005-0000-0000-0000E6080000}"/>
    <cellStyle name="20% - Accent1 5 8 2 2 4" xfId="5850" xr:uid="{00000000-0005-0000-0000-0000E7080000}"/>
    <cellStyle name="20% - Accent1 5 8 2 2 5" xfId="5851" xr:uid="{00000000-0005-0000-0000-0000E8080000}"/>
    <cellStyle name="20% - Accent1 5 8 2 2 6" xfId="5852" xr:uid="{00000000-0005-0000-0000-0000E9080000}"/>
    <cellStyle name="20% - Accent1 5 8 2 3" xfId="5853" xr:uid="{00000000-0005-0000-0000-0000EA080000}"/>
    <cellStyle name="20% - Accent1 5 8 2 3 2" xfId="5854" xr:uid="{00000000-0005-0000-0000-0000EB080000}"/>
    <cellStyle name="20% - Accent1 5 8 2 3 2 2" xfId="5855" xr:uid="{00000000-0005-0000-0000-0000EC080000}"/>
    <cellStyle name="20% - Accent1 5 8 2 3 3" xfId="5856" xr:uid="{00000000-0005-0000-0000-0000ED080000}"/>
    <cellStyle name="20% - Accent1 5 8 2 4" xfId="5857" xr:uid="{00000000-0005-0000-0000-0000EE080000}"/>
    <cellStyle name="20% - Accent1 5 8 2 4 2" xfId="5858" xr:uid="{00000000-0005-0000-0000-0000EF080000}"/>
    <cellStyle name="20% - Accent1 5 8 2 5" xfId="5859" xr:uid="{00000000-0005-0000-0000-0000F0080000}"/>
    <cellStyle name="20% - Accent1 5 8 2 5 2" xfId="5860" xr:uid="{00000000-0005-0000-0000-0000F1080000}"/>
    <cellStyle name="20% - Accent1 5 8 2 6" xfId="5861" xr:uid="{00000000-0005-0000-0000-0000F2080000}"/>
    <cellStyle name="20% - Accent1 5 8 2 7" xfId="5862" xr:uid="{00000000-0005-0000-0000-0000F3080000}"/>
    <cellStyle name="20% - Accent1 5 8 2 8" xfId="5863" xr:uid="{00000000-0005-0000-0000-0000F4080000}"/>
    <cellStyle name="20% - Accent1 5 8 3" xfId="5864" xr:uid="{00000000-0005-0000-0000-0000F5080000}"/>
    <cellStyle name="20% - Accent1 5 8 3 2" xfId="5865" xr:uid="{00000000-0005-0000-0000-0000F6080000}"/>
    <cellStyle name="20% - Accent1 5 8 3 2 2" xfId="5866" xr:uid="{00000000-0005-0000-0000-0000F7080000}"/>
    <cellStyle name="20% - Accent1 5 8 3 2 2 2" xfId="5867" xr:uid="{00000000-0005-0000-0000-0000F8080000}"/>
    <cellStyle name="20% - Accent1 5 8 3 2 2 2 2" xfId="5868" xr:uid="{00000000-0005-0000-0000-0000F9080000}"/>
    <cellStyle name="20% - Accent1 5 8 3 2 2 3" xfId="5869" xr:uid="{00000000-0005-0000-0000-0000FA080000}"/>
    <cellStyle name="20% - Accent1 5 8 3 2 3" xfId="5870" xr:uid="{00000000-0005-0000-0000-0000FB080000}"/>
    <cellStyle name="20% - Accent1 5 8 3 2 3 2" xfId="5871" xr:uid="{00000000-0005-0000-0000-0000FC080000}"/>
    <cellStyle name="20% - Accent1 5 8 3 2 4" xfId="5872" xr:uid="{00000000-0005-0000-0000-0000FD080000}"/>
    <cellStyle name="20% - Accent1 5 8 3 2 5" xfId="5873" xr:uid="{00000000-0005-0000-0000-0000FE080000}"/>
    <cellStyle name="20% - Accent1 5 8 3 2 6" xfId="5874" xr:uid="{00000000-0005-0000-0000-0000FF080000}"/>
    <cellStyle name="20% - Accent1 5 8 3 3" xfId="5875" xr:uid="{00000000-0005-0000-0000-000000090000}"/>
    <cellStyle name="20% - Accent1 5 8 3 3 2" xfId="5876" xr:uid="{00000000-0005-0000-0000-000001090000}"/>
    <cellStyle name="20% - Accent1 5 8 3 3 2 2" xfId="5877" xr:uid="{00000000-0005-0000-0000-000002090000}"/>
    <cellStyle name="20% - Accent1 5 8 3 3 3" xfId="5878" xr:uid="{00000000-0005-0000-0000-000003090000}"/>
    <cellStyle name="20% - Accent1 5 8 3 4" xfId="5879" xr:uid="{00000000-0005-0000-0000-000004090000}"/>
    <cellStyle name="20% - Accent1 5 8 3 4 2" xfId="5880" xr:uid="{00000000-0005-0000-0000-000005090000}"/>
    <cellStyle name="20% - Accent1 5 8 3 5" xfId="5881" xr:uid="{00000000-0005-0000-0000-000006090000}"/>
    <cellStyle name="20% - Accent1 5 8 3 6" xfId="5882" xr:uid="{00000000-0005-0000-0000-000007090000}"/>
    <cellStyle name="20% - Accent1 5 8 3 7" xfId="5883" xr:uid="{00000000-0005-0000-0000-000008090000}"/>
    <cellStyle name="20% - Accent1 5 8 4" xfId="5884" xr:uid="{00000000-0005-0000-0000-000009090000}"/>
    <cellStyle name="20% - Accent1 5 8 4 2" xfId="5885" xr:uid="{00000000-0005-0000-0000-00000A090000}"/>
    <cellStyle name="20% - Accent1 5 8 4 2 2" xfId="5886" xr:uid="{00000000-0005-0000-0000-00000B090000}"/>
    <cellStyle name="20% - Accent1 5 8 4 2 2 2" xfId="5887" xr:uid="{00000000-0005-0000-0000-00000C090000}"/>
    <cellStyle name="20% - Accent1 5 8 4 2 3" xfId="5888" xr:uid="{00000000-0005-0000-0000-00000D090000}"/>
    <cellStyle name="20% - Accent1 5 8 4 3" xfId="5889" xr:uid="{00000000-0005-0000-0000-00000E090000}"/>
    <cellStyle name="20% - Accent1 5 8 4 3 2" xfId="5890" xr:uid="{00000000-0005-0000-0000-00000F090000}"/>
    <cellStyle name="20% - Accent1 5 8 4 4" xfId="5891" xr:uid="{00000000-0005-0000-0000-000010090000}"/>
    <cellStyle name="20% - Accent1 5 8 4 5" xfId="5892" xr:uid="{00000000-0005-0000-0000-000011090000}"/>
    <cellStyle name="20% - Accent1 5 8 4 6" xfId="5893" xr:uid="{00000000-0005-0000-0000-000012090000}"/>
    <cellStyle name="20% - Accent1 5 8 5" xfId="5894" xr:uid="{00000000-0005-0000-0000-000013090000}"/>
    <cellStyle name="20% - Accent1 5 8 5 2" xfId="5895" xr:uid="{00000000-0005-0000-0000-000014090000}"/>
    <cellStyle name="20% - Accent1 5 8 5 2 2" xfId="5896" xr:uid="{00000000-0005-0000-0000-000015090000}"/>
    <cellStyle name="20% - Accent1 5 8 5 3" xfId="5897" xr:uid="{00000000-0005-0000-0000-000016090000}"/>
    <cellStyle name="20% - Accent1 5 8 6" xfId="5898" xr:uid="{00000000-0005-0000-0000-000017090000}"/>
    <cellStyle name="20% - Accent1 5 8 6 2" xfId="5899" xr:uid="{00000000-0005-0000-0000-000018090000}"/>
    <cellStyle name="20% - Accent1 5 8 6 2 2" xfId="5900" xr:uid="{00000000-0005-0000-0000-000019090000}"/>
    <cellStyle name="20% - Accent1 5 8 6 3" xfId="5901" xr:uid="{00000000-0005-0000-0000-00001A090000}"/>
    <cellStyle name="20% - Accent1 5 8 7" xfId="5902" xr:uid="{00000000-0005-0000-0000-00001B090000}"/>
    <cellStyle name="20% - Accent1 5 8 7 2" xfId="5903" xr:uid="{00000000-0005-0000-0000-00001C090000}"/>
    <cellStyle name="20% - Accent1 5 8 8" xfId="5904" xr:uid="{00000000-0005-0000-0000-00001D090000}"/>
    <cellStyle name="20% - Accent1 5 8 8 2" xfId="5905" xr:uid="{00000000-0005-0000-0000-00001E090000}"/>
    <cellStyle name="20% - Accent1 5 8 9" xfId="5906" xr:uid="{00000000-0005-0000-0000-00001F090000}"/>
    <cellStyle name="20% - Accent1 5 9" xfId="5907" xr:uid="{00000000-0005-0000-0000-000020090000}"/>
    <cellStyle name="20% - Accent1 5 9 10" xfId="5908" xr:uid="{00000000-0005-0000-0000-000021090000}"/>
    <cellStyle name="20% - Accent1 5 9 11" xfId="5909" xr:uid="{00000000-0005-0000-0000-000022090000}"/>
    <cellStyle name="20% - Accent1 5 9 2" xfId="5910" xr:uid="{00000000-0005-0000-0000-000023090000}"/>
    <cellStyle name="20% - Accent1 5 9 2 2" xfId="5911" xr:uid="{00000000-0005-0000-0000-000024090000}"/>
    <cellStyle name="20% - Accent1 5 9 2 2 2" xfId="5912" xr:uid="{00000000-0005-0000-0000-000025090000}"/>
    <cellStyle name="20% - Accent1 5 9 2 2 2 2" xfId="5913" xr:uid="{00000000-0005-0000-0000-000026090000}"/>
    <cellStyle name="20% - Accent1 5 9 2 2 2 2 2" xfId="5914" xr:uid="{00000000-0005-0000-0000-000027090000}"/>
    <cellStyle name="20% - Accent1 5 9 2 2 2 3" xfId="5915" xr:uid="{00000000-0005-0000-0000-000028090000}"/>
    <cellStyle name="20% - Accent1 5 9 2 2 3" xfId="5916" xr:uid="{00000000-0005-0000-0000-000029090000}"/>
    <cellStyle name="20% - Accent1 5 9 2 2 3 2" xfId="5917" xr:uid="{00000000-0005-0000-0000-00002A090000}"/>
    <cellStyle name="20% - Accent1 5 9 2 2 4" xfId="5918" xr:uid="{00000000-0005-0000-0000-00002B090000}"/>
    <cellStyle name="20% - Accent1 5 9 2 2 5" xfId="5919" xr:uid="{00000000-0005-0000-0000-00002C090000}"/>
    <cellStyle name="20% - Accent1 5 9 2 2 6" xfId="5920" xr:uid="{00000000-0005-0000-0000-00002D090000}"/>
    <cellStyle name="20% - Accent1 5 9 2 3" xfId="5921" xr:uid="{00000000-0005-0000-0000-00002E090000}"/>
    <cellStyle name="20% - Accent1 5 9 2 3 2" xfId="5922" xr:uid="{00000000-0005-0000-0000-00002F090000}"/>
    <cellStyle name="20% - Accent1 5 9 2 3 2 2" xfId="5923" xr:uid="{00000000-0005-0000-0000-000030090000}"/>
    <cellStyle name="20% - Accent1 5 9 2 3 3" xfId="5924" xr:uid="{00000000-0005-0000-0000-000031090000}"/>
    <cellStyle name="20% - Accent1 5 9 2 4" xfId="5925" xr:uid="{00000000-0005-0000-0000-000032090000}"/>
    <cellStyle name="20% - Accent1 5 9 2 4 2" xfId="5926" xr:uid="{00000000-0005-0000-0000-000033090000}"/>
    <cellStyle name="20% - Accent1 5 9 2 5" xfId="5927" xr:uid="{00000000-0005-0000-0000-000034090000}"/>
    <cellStyle name="20% - Accent1 5 9 2 6" xfId="5928" xr:uid="{00000000-0005-0000-0000-000035090000}"/>
    <cellStyle name="20% - Accent1 5 9 2 7" xfId="5929" xr:uid="{00000000-0005-0000-0000-000036090000}"/>
    <cellStyle name="20% - Accent1 5 9 3" xfId="5930" xr:uid="{00000000-0005-0000-0000-000037090000}"/>
    <cellStyle name="20% - Accent1 5 9 3 2" xfId="5931" xr:uid="{00000000-0005-0000-0000-000038090000}"/>
    <cellStyle name="20% - Accent1 5 9 3 2 2" xfId="5932" xr:uid="{00000000-0005-0000-0000-000039090000}"/>
    <cellStyle name="20% - Accent1 5 9 3 2 2 2" xfId="5933" xr:uid="{00000000-0005-0000-0000-00003A090000}"/>
    <cellStyle name="20% - Accent1 5 9 3 2 2 2 2" xfId="5934" xr:uid="{00000000-0005-0000-0000-00003B090000}"/>
    <cellStyle name="20% - Accent1 5 9 3 2 2 3" xfId="5935" xr:uid="{00000000-0005-0000-0000-00003C090000}"/>
    <cellStyle name="20% - Accent1 5 9 3 2 3" xfId="5936" xr:uid="{00000000-0005-0000-0000-00003D090000}"/>
    <cellStyle name="20% - Accent1 5 9 3 2 3 2" xfId="5937" xr:uid="{00000000-0005-0000-0000-00003E090000}"/>
    <cellStyle name="20% - Accent1 5 9 3 2 4" xfId="5938" xr:uid="{00000000-0005-0000-0000-00003F090000}"/>
    <cellStyle name="20% - Accent1 5 9 3 2 5" xfId="5939" xr:uid="{00000000-0005-0000-0000-000040090000}"/>
    <cellStyle name="20% - Accent1 5 9 3 2 6" xfId="5940" xr:uid="{00000000-0005-0000-0000-000041090000}"/>
    <cellStyle name="20% - Accent1 5 9 3 3" xfId="5941" xr:uid="{00000000-0005-0000-0000-000042090000}"/>
    <cellStyle name="20% - Accent1 5 9 3 3 2" xfId="5942" xr:uid="{00000000-0005-0000-0000-000043090000}"/>
    <cellStyle name="20% - Accent1 5 9 3 3 2 2" xfId="5943" xr:uid="{00000000-0005-0000-0000-000044090000}"/>
    <cellStyle name="20% - Accent1 5 9 3 3 3" xfId="5944" xr:uid="{00000000-0005-0000-0000-000045090000}"/>
    <cellStyle name="20% - Accent1 5 9 3 4" xfId="5945" xr:uid="{00000000-0005-0000-0000-000046090000}"/>
    <cellStyle name="20% - Accent1 5 9 3 4 2" xfId="5946" xr:uid="{00000000-0005-0000-0000-000047090000}"/>
    <cellStyle name="20% - Accent1 5 9 3 5" xfId="5947" xr:uid="{00000000-0005-0000-0000-000048090000}"/>
    <cellStyle name="20% - Accent1 5 9 3 6" xfId="5948" xr:uid="{00000000-0005-0000-0000-000049090000}"/>
    <cellStyle name="20% - Accent1 5 9 3 7" xfId="5949" xr:uid="{00000000-0005-0000-0000-00004A090000}"/>
    <cellStyle name="20% - Accent1 5 9 4" xfId="5950" xr:uid="{00000000-0005-0000-0000-00004B090000}"/>
    <cellStyle name="20% - Accent1 5 9 4 2" xfId="5951" xr:uid="{00000000-0005-0000-0000-00004C090000}"/>
    <cellStyle name="20% - Accent1 5 9 4 2 2" xfId="5952" xr:uid="{00000000-0005-0000-0000-00004D090000}"/>
    <cellStyle name="20% - Accent1 5 9 4 2 2 2" xfId="5953" xr:uid="{00000000-0005-0000-0000-00004E090000}"/>
    <cellStyle name="20% - Accent1 5 9 4 2 3" xfId="5954" xr:uid="{00000000-0005-0000-0000-00004F090000}"/>
    <cellStyle name="20% - Accent1 5 9 4 3" xfId="5955" xr:uid="{00000000-0005-0000-0000-000050090000}"/>
    <cellStyle name="20% - Accent1 5 9 4 3 2" xfId="5956" xr:uid="{00000000-0005-0000-0000-000051090000}"/>
    <cellStyle name="20% - Accent1 5 9 4 4" xfId="5957" xr:uid="{00000000-0005-0000-0000-000052090000}"/>
    <cellStyle name="20% - Accent1 5 9 4 5" xfId="5958" xr:uid="{00000000-0005-0000-0000-000053090000}"/>
    <cellStyle name="20% - Accent1 5 9 4 6" xfId="5959" xr:uid="{00000000-0005-0000-0000-000054090000}"/>
    <cellStyle name="20% - Accent1 5 9 5" xfId="5960" xr:uid="{00000000-0005-0000-0000-000055090000}"/>
    <cellStyle name="20% - Accent1 5 9 5 2" xfId="5961" xr:uid="{00000000-0005-0000-0000-000056090000}"/>
    <cellStyle name="20% - Accent1 5 9 5 2 2" xfId="5962" xr:uid="{00000000-0005-0000-0000-000057090000}"/>
    <cellStyle name="20% - Accent1 5 9 5 3" xfId="5963" xr:uid="{00000000-0005-0000-0000-000058090000}"/>
    <cellStyle name="20% - Accent1 5 9 6" xfId="5964" xr:uid="{00000000-0005-0000-0000-000059090000}"/>
    <cellStyle name="20% - Accent1 5 9 6 2" xfId="5965" xr:uid="{00000000-0005-0000-0000-00005A090000}"/>
    <cellStyle name="20% - Accent1 5 9 6 2 2" xfId="5966" xr:uid="{00000000-0005-0000-0000-00005B090000}"/>
    <cellStyle name="20% - Accent1 5 9 6 3" xfId="5967" xr:uid="{00000000-0005-0000-0000-00005C090000}"/>
    <cellStyle name="20% - Accent1 5 9 7" xfId="5968" xr:uid="{00000000-0005-0000-0000-00005D090000}"/>
    <cellStyle name="20% - Accent1 5 9 7 2" xfId="5969" xr:uid="{00000000-0005-0000-0000-00005E090000}"/>
    <cellStyle name="20% - Accent1 5 9 8" xfId="5970" xr:uid="{00000000-0005-0000-0000-00005F090000}"/>
    <cellStyle name="20% - Accent1 5 9 8 2" xfId="5971" xr:uid="{00000000-0005-0000-0000-000060090000}"/>
    <cellStyle name="20% - Accent1 5 9 9" xfId="5972" xr:uid="{00000000-0005-0000-0000-000061090000}"/>
    <cellStyle name="20% - Accent1 6" xfId="165" xr:uid="{00000000-0005-0000-0000-000062090000}"/>
    <cellStyle name="20% - Accent1 6 10" xfId="5973" xr:uid="{00000000-0005-0000-0000-000063090000}"/>
    <cellStyle name="20% - Accent1 6 11" xfId="5974" xr:uid="{00000000-0005-0000-0000-000064090000}"/>
    <cellStyle name="20% - Accent1 6 12" xfId="5975" xr:uid="{00000000-0005-0000-0000-000065090000}"/>
    <cellStyle name="20% - Accent1 6 2" xfId="5976" xr:uid="{00000000-0005-0000-0000-000066090000}"/>
    <cellStyle name="20% - Accent1 6 2 10" xfId="5977" xr:uid="{00000000-0005-0000-0000-000067090000}"/>
    <cellStyle name="20% - Accent1 6 2 2" xfId="5978" xr:uid="{00000000-0005-0000-0000-000068090000}"/>
    <cellStyle name="20% - Accent1 6 2 2 2" xfId="5979" xr:uid="{00000000-0005-0000-0000-000069090000}"/>
    <cellStyle name="20% - Accent1 6 2 2 2 2" xfId="5980" xr:uid="{00000000-0005-0000-0000-00006A090000}"/>
    <cellStyle name="20% - Accent1 6 2 2 2 2 2" xfId="5981" xr:uid="{00000000-0005-0000-0000-00006B090000}"/>
    <cellStyle name="20% - Accent1 6 2 2 2 2 2 2" xfId="5982" xr:uid="{00000000-0005-0000-0000-00006C090000}"/>
    <cellStyle name="20% - Accent1 6 2 2 2 2 3" xfId="5983" xr:uid="{00000000-0005-0000-0000-00006D090000}"/>
    <cellStyle name="20% - Accent1 6 2 2 2 3" xfId="5984" xr:uid="{00000000-0005-0000-0000-00006E090000}"/>
    <cellStyle name="20% - Accent1 6 2 2 2 3 2" xfId="5985" xr:uid="{00000000-0005-0000-0000-00006F090000}"/>
    <cellStyle name="20% - Accent1 6 2 2 2 4" xfId="5986" xr:uid="{00000000-0005-0000-0000-000070090000}"/>
    <cellStyle name="20% - Accent1 6 2 2 2 5" xfId="5987" xr:uid="{00000000-0005-0000-0000-000071090000}"/>
    <cellStyle name="20% - Accent1 6 2 2 2 6" xfId="5988" xr:uid="{00000000-0005-0000-0000-000072090000}"/>
    <cellStyle name="20% - Accent1 6 2 2 3" xfId="5989" xr:uid="{00000000-0005-0000-0000-000073090000}"/>
    <cellStyle name="20% - Accent1 6 2 2 3 2" xfId="5990" xr:uid="{00000000-0005-0000-0000-000074090000}"/>
    <cellStyle name="20% - Accent1 6 2 2 3 2 2" xfId="5991" xr:uid="{00000000-0005-0000-0000-000075090000}"/>
    <cellStyle name="20% - Accent1 6 2 2 3 3" xfId="5992" xr:uid="{00000000-0005-0000-0000-000076090000}"/>
    <cellStyle name="20% - Accent1 6 2 2 4" xfId="5993" xr:uid="{00000000-0005-0000-0000-000077090000}"/>
    <cellStyle name="20% - Accent1 6 2 2 4 2" xfId="5994" xr:uid="{00000000-0005-0000-0000-000078090000}"/>
    <cellStyle name="20% - Accent1 6 2 2 5" xfId="5995" xr:uid="{00000000-0005-0000-0000-000079090000}"/>
    <cellStyle name="20% - Accent1 6 2 2 6" xfId="5996" xr:uid="{00000000-0005-0000-0000-00007A090000}"/>
    <cellStyle name="20% - Accent1 6 2 2 7" xfId="5997" xr:uid="{00000000-0005-0000-0000-00007B090000}"/>
    <cellStyle name="20% - Accent1 6 2 3" xfId="5998" xr:uid="{00000000-0005-0000-0000-00007C090000}"/>
    <cellStyle name="20% - Accent1 6 2 3 2" xfId="5999" xr:uid="{00000000-0005-0000-0000-00007D090000}"/>
    <cellStyle name="20% - Accent1 6 2 3 2 2" xfId="6000" xr:uid="{00000000-0005-0000-0000-00007E090000}"/>
    <cellStyle name="20% - Accent1 6 2 3 2 2 2" xfId="6001" xr:uid="{00000000-0005-0000-0000-00007F090000}"/>
    <cellStyle name="20% - Accent1 6 2 3 2 3" xfId="6002" xr:uid="{00000000-0005-0000-0000-000080090000}"/>
    <cellStyle name="20% - Accent1 6 2 3 3" xfId="6003" xr:uid="{00000000-0005-0000-0000-000081090000}"/>
    <cellStyle name="20% - Accent1 6 2 3 3 2" xfId="6004" xr:uid="{00000000-0005-0000-0000-000082090000}"/>
    <cellStyle name="20% - Accent1 6 2 3 4" xfId="6005" xr:uid="{00000000-0005-0000-0000-000083090000}"/>
    <cellStyle name="20% - Accent1 6 2 3 5" xfId="6006" xr:uid="{00000000-0005-0000-0000-000084090000}"/>
    <cellStyle name="20% - Accent1 6 2 3 6" xfId="6007" xr:uid="{00000000-0005-0000-0000-000085090000}"/>
    <cellStyle name="20% - Accent1 6 2 4" xfId="6008" xr:uid="{00000000-0005-0000-0000-000086090000}"/>
    <cellStyle name="20% - Accent1 6 2 4 2" xfId="6009" xr:uid="{00000000-0005-0000-0000-000087090000}"/>
    <cellStyle name="20% - Accent1 6 2 4 2 2" xfId="6010" xr:uid="{00000000-0005-0000-0000-000088090000}"/>
    <cellStyle name="20% - Accent1 6 2 4 3" xfId="6011" xr:uid="{00000000-0005-0000-0000-000089090000}"/>
    <cellStyle name="20% - Accent1 6 2 5" xfId="6012" xr:uid="{00000000-0005-0000-0000-00008A090000}"/>
    <cellStyle name="20% - Accent1 6 2 5 2" xfId="6013" xr:uid="{00000000-0005-0000-0000-00008B090000}"/>
    <cellStyle name="20% - Accent1 6 2 5 2 2" xfId="6014" xr:uid="{00000000-0005-0000-0000-00008C090000}"/>
    <cellStyle name="20% - Accent1 6 2 5 3" xfId="6015" xr:uid="{00000000-0005-0000-0000-00008D090000}"/>
    <cellStyle name="20% - Accent1 6 2 6" xfId="6016" xr:uid="{00000000-0005-0000-0000-00008E090000}"/>
    <cellStyle name="20% - Accent1 6 2 6 2" xfId="6017" xr:uid="{00000000-0005-0000-0000-00008F090000}"/>
    <cellStyle name="20% - Accent1 6 2 7" xfId="6018" xr:uid="{00000000-0005-0000-0000-000090090000}"/>
    <cellStyle name="20% - Accent1 6 2 7 2" xfId="6019" xr:uid="{00000000-0005-0000-0000-000091090000}"/>
    <cellStyle name="20% - Accent1 6 2 8" xfId="6020" xr:uid="{00000000-0005-0000-0000-000092090000}"/>
    <cellStyle name="20% - Accent1 6 2 9" xfId="6021" xr:uid="{00000000-0005-0000-0000-000093090000}"/>
    <cellStyle name="20% - Accent1 6 3" xfId="6022" xr:uid="{00000000-0005-0000-0000-000094090000}"/>
    <cellStyle name="20% - Accent1 6 3 2" xfId="6023" xr:uid="{00000000-0005-0000-0000-000095090000}"/>
    <cellStyle name="20% - Accent1 6 3 2 2" xfId="6024" xr:uid="{00000000-0005-0000-0000-000096090000}"/>
    <cellStyle name="20% - Accent1 6 3 2 2 2" xfId="6025" xr:uid="{00000000-0005-0000-0000-000097090000}"/>
    <cellStyle name="20% - Accent1 6 3 2 2 2 2" xfId="6026" xr:uid="{00000000-0005-0000-0000-000098090000}"/>
    <cellStyle name="20% - Accent1 6 3 2 2 3" xfId="6027" xr:uid="{00000000-0005-0000-0000-000099090000}"/>
    <cellStyle name="20% - Accent1 6 3 2 3" xfId="6028" xr:uid="{00000000-0005-0000-0000-00009A090000}"/>
    <cellStyle name="20% - Accent1 6 3 2 3 2" xfId="6029" xr:uid="{00000000-0005-0000-0000-00009B090000}"/>
    <cellStyle name="20% - Accent1 6 3 2 4" xfId="6030" xr:uid="{00000000-0005-0000-0000-00009C090000}"/>
    <cellStyle name="20% - Accent1 6 3 2 5" xfId="6031" xr:uid="{00000000-0005-0000-0000-00009D090000}"/>
    <cellStyle name="20% - Accent1 6 3 2 6" xfId="6032" xr:uid="{00000000-0005-0000-0000-00009E090000}"/>
    <cellStyle name="20% - Accent1 6 3 3" xfId="6033" xr:uid="{00000000-0005-0000-0000-00009F090000}"/>
    <cellStyle name="20% - Accent1 6 3 3 2" xfId="6034" xr:uid="{00000000-0005-0000-0000-0000A0090000}"/>
    <cellStyle name="20% - Accent1 6 3 3 2 2" xfId="6035" xr:uid="{00000000-0005-0000-0000-0000A1090000}"/>
    <cellStyle name="20% - Accent1 6 3 3 3" xfId="6036" xr:uid="{00000000-0005-0000-0000-0000A2090000}"/>
    <cellStyle name="20% - Accent1 6 3 4" xfId="6037" xr:uid="{00000000-0005-0000-0000-0000A3090000}"/>
    <cellStyle name="20% - Accent1 6 3 4 2" xfId="6038" xr:uid="{00000000-0005-0000-0000-0000A4090000}"/>
    <cellStyle name="20% - Accent1 6 3 5" xfId="6039" xr:uid="{00000000-0005-0000-0000-0000A5090000}"/>
    <cellStyle name="20% - Accent1 6 3 6" xfId="6040" xr:uid="{00000000-0005-0000-0000-0000A6090000}"/>
    <cellStyle name="20% - Accent1 6 3 7" xfId="6041" xr:uid="{00000000-0005-0000-0000-0000A7090000}"/>
    <cellStyle name="20% - Accent1 6 4" xfId="6042" xr:uid="{00000000-0005-0000-0000-0000A8090000}"/>
    <cellStyle name="20% - Accent1 6 4 2" xfId="6043" xr:uid="{00000000-0005-0000-0000-0000A9090000}"/>
    <cellStyle name="20% - Accent1 6 4 2 2" xfId="6044" xr:uid="{00000000-0005-0000-0000-0000AA090000}"/>
    <cellStyle name="20% - Accent1 6 4 2 2 2" xfId="6045" xr:uid="{00000000-0005-0000-0000-0000AB090000}"/>
    <cellStyle name="20% - Accent1 6 4 2 2 2 2" xfId="6046" xr:uid="{00000000-0005-0000-0000-0000AC090000}"/>
    <cellStyle name="20% - Accent1 6 4 2 2 3" xfId="6047" xr:uid="{00000000-0005-0000-0000-0000AD090000}"/>
    <cellStyle name="20% - Accent1 6 4 2 3" xfId="6048" xr:uid="{00000000-0005-0000-0000-0000AE090000}"/>
    <cellStyle name="20% - Accent1 6 4 2 3 2" xfId="6049" xr:uid="{00000000-0005-0000-0000-0000AF090000}"/>
    <cellStyle name="20% - Accent1 6 4 2 4" xfId="6050" xr:uid="{00000000-0005-0000-0000-0000B0090000}"/>
    <cellStyle name="20% - Accent1 6 4 2 5" xfId="6051" xr:uid="{00000000-0005-0000-0000-0000B1090000}"/>
    <cellStyle name="20% - Accent1 6 4 2 6" xfId="6052" xr:uid="{00000000-0005-0000-0000-0000B2090000}"/>
    <cellStyle name="20% - Accent1 6 4 3" xfId="6053" xr:uid="{00000000-0005-0000-0000-0000B3090000}"/>
    <cellStyle name="20% - Accent1 6 4 3 2" xfId="6054" xr:uid="{00000000-0005-0000-0000-0000B4090000}"/>
    <cellStyle name="20% - Accent1 6 4 3 2 2" xfId="6055" xr:uid="{00000000-0005-0000-0000-0000B5090000}"/>
    <cellStyle name="20% - Accent1 6 4 3 3" xfId="6056" xr:uid="{00000000-0005-0000-0000-0000B6090000}"/>
    <cellStyle name="20% - Accent1 6 4 4" xfId="6057" xr:uid="{00000000-0005-0000-0000-0000B7090000}"/>
    <cellStyle name="20% - Accent1 6 4 4 2" xfId="6058" xr:uid="{00000000-0005-0000-0000-0000B8090000}"/>
    <cellStyle name="20% - Accent1 6 4 5" xfId="6059" xr:uid="{00000000-0005-0000-0000-0000B9090000}"/>
    <cellStyle name="20% - Accent1 6 4 6" xfId="6060" xr:uid="{00000000-0005-0000-0000-0000BA090000}"/>
    <cellStyle name="20% - Accent1 6 4 7" xfId="6061" xr:uid="{00000000-0005-0000-0000-0000BB090000}"/>
    <cellStyle name="20% - Accent1 6 5" xfId="6062" xr:uid="{00000000-0005-0000-0000-0000BC090000}"/>
    <cellStyle name="20% - Accent1 6 5 2" xfId="6063" xr:uid="{00000000-0005-0000-0000-0000BD090000}"/>
    <cellStyle name="20% - Accent1 6 5 2 2" xfId="6064" xr:uid="{00000000-0005-0000-0000-0000BE090000}"/>
    <cellStyle name="20% - Accent1 6 5 2 2 2" xfId="6065" xr:uid="{00000000-0005-0000-0000-0000BF090000}"/>
    <cellStyle name="20% - Accent1 6 5 2 3" xfId="6066" xr:uid="{00000000-0005-0000-0000-0000C0090000}"/>
    <cellStyle name="20% - Accent1 6 5 3" xfId="6067" xr:uid="{00000000-0005-0000-0000-0000C1090000}"/>
    <cellStyle name="20% - Accent1 6 5 3 2" xfId="6068" xr:uid="{00000000-0005-0000-0000-0000C2090000}"/>
    <cellStyle name="20% - Accent1 6 5 4" xfId="6069" xr:uid="{00000000-0005-0000-0000-0000C3090000}"/>
    <cellStyle name="20% - Accent1 6 5 5" xfId="6070" xr:uid="{00000000-0005-0000-0000-0000C4090000}"/>
    <cellStyle name="20% - Accent1 6 5 6" xfId="6071" xr:uid="{00000000-0005-0000-0000-0000C5090000}"/>
    <cellStyle name="20% - Accent1 6 6" xfId="6072" xr:uid="{00000000-0005-0000-0000-0000C6090000}"/>
    <cellStyle name="20% - Accent1 6 6 2" xfId="6073" xr:uid="{00000000-0005-0000-0000-0000C7090000}"/>
    <cellStyle name="20% - Accent1 6 6 2 2" xfId="6074" xr:uid="{00000000-0005-0000-0000-0000C8090000}"/>
    <cellStyle name="20% - Accent1 6 6 3" xfId="6075" xr:uid="{00000000-0005-0000-0000-0000C9090000}"/>
    <cellStyle name="20% - Accent1 6 7" xfId="6076" xr:uid="{00000000-0005-0000-0000-0000CA090000}"/>
    <cellStyle name="20% - Accent1 6 7 2" xfId="6077" xr:uid="{00000000-0005-0000-0000-0000CB090000}"/>
    <cellStyle name="20% - Accent1 6 7 2 2" xfId="6078" xr:uid="{00000000-0005-0000-0000-0000CC090000}"/>
    <cellStyle name="20% - Accent1 6 7 3" xfId="6079" xr:uid="{00000000-0005-0000-0000-0000CD090000}"/>
    <cellStyle name="20% - Accent1 6 8" xfId="6080" xr:uid="{00000000-0005-0000-0000-0000CE090000}"/>
    <cellStyle name="20% - Accent1 6 8 2" xfId="6081" xr:uid="{00000000-0005-0000-0000-0000CF090000}"/>
    <cellStyle name="20% - Accent1 6 9" xfId="6082" xr:uid="{00000000-0005-0000-0000-0000D0090000}"/>
    <cellStyle name="20% - Accent1 6 9 2" xfId="6083" xr:uid="{00000000-0005-0000-0000-0000D1090000}"/>
    <cellStyle name="20% - Accent1 7" xfId="6084" xr:uid="{00000000-0005-0000-0000-0000D2090000}"/>
    <cellStyle name="20% - Accent1 7 10" xfId="6085" xr:uid="{00000000-0005-0000-0000-0000D3090000}"/>
    <cellStyle name="20% - Accent1 7 11" xfId="6086" xr:uid="{00000000-0005-0000-0000-0000D4090000}"/>
    <cellStyle name="20% - Accent1 7 12" xfId="6087" xr:uid="{00000000-0005-0000-0000-0000D5090000}"/>
    <cellStyle name="20% - Accent1 7 2" xfId="6088" xr:uid="{00000000-0005-0000-0000-0000D6090000}"/>
    <cellStyle name="20% - Accent1 7 2 10" xfId="6089" xr:uid="{00000000-0005-0000-0000-0000D7090000}"/>
    <cellStyle name="20% - Accent1 7 2 2" xfId="6090" xr:uid="{00000000-0005-0000-0000-0000D8090000}"/>
    <cellStyle name="20% - Accent1 7 2 2 2" xfId="6091" xr:uid="{00000000-0005-0000-0000-0000D9090000}"/>
    <cellStyle name="20% - Accent1 7 2 2 2 2" xfId="6092" xr:uid="{00000000-0005-0000-0000-0000DA090000}"/>
    <cellStyle name="20% - Accent1 7 2 2 2 2 2" xfId="6093" xr:uid="{00000000-0005-0000-0000-0000DB090000}"/>
    <cellStyle name="20% - Accent1 7 2 2 2 2 2 2" xfId="6094" xr:uid="{00000000-0005-0000-0000-0000DC090000}"/>
    <cellStyle name="20% - Accent1 7 2 2 2 2 3" xfId="6095" xr:uid="{00000000-0005-0000-0000-0000DD090000}"/>
    <cellStyle name="20% - Accent1 7 2 2 2 3" xfId="6096" xr:uid="{00000000-0005-0000-0000-0000DE090000}"/>
    <cellStyle name="20% - Accent1 7 2 2 2 3 2" xfId="6097" xr:uid="{00000000-0005-0000-0000-0000DF090000}"/>
    <cellStyle name="20% - Accent1 7 2 2 2 4" xfId="6098" xr:uid="{00000000-0005-0000-0000-0000E0090000}"/>
    <cellStyle name="20% - Accent1 7 2 2 2 5" xfId="6099" xr:uid="{00000000-0005-0000-0000-0000E1090000}"/>
    <cellStyle name="20% - Accent1 7 2 2 2 6" xfId="6100" xr:uid="{00000000-0005-0000-0000-0000E2090000}"/>
    <cellStyle name="20% - Accent1 7 2 2 3" xfId="6101" xr:uid="{00000000-0005-0000-0000-0000E3090000}"/>
    <cellStyle name="20% - Accent1 7 2 2 3 2" xfId="6102" xr:uid="{00000000-0005-0000-0000-0000E4090000}"/>
    <cellStyle name="20% - Accent1 7 2 2 3 2 2" xfId="6103" xr:uid="{00000000-0005-0000-0000-0000E5090000}"/>
    <cellStyle name="20% - Accent1 7 2 2 3 3" xfId="6104" xr:uid="{00000000-0005-0000-0000-0000E6090000}"/>
    <cellStyle name="20% - Accent1 7 2 2 4" xfId="6105" xr:uid="{00000000-0005-0000-0000-0000E7090000}"/>
    <cellStyle name="20% - Accent1 7 2 2 4 2" xfId="6106" xr:uid="{00000000-0005-0000-0000-0000E8090000}"/>
    <cellStyle name="20% - Accent1 7 2 2 5" xfId="6107" xr:uid="{00000000-0005-0000-0000-0000E9090000}"/>
    <cellStyle name="20% - Accent1 7 2 2 6" xfId="6108" xr:uid="{00000000-0005-0000-0000-0000EA090000}"/>
    <cellStyle name="20% - Accent1 7 2 2 7" xfId="6109" xr:uid="{00000000-0005-0000-0000-0000EB090000}"/>
    <cellStyle name="20% - Accent1 7 2 3" xfId="6110" xr:uid="{00000000-0005-0000-0000-0000EC090000}"/>
    <cellStyle name="20% - Accent1 7 2 3 2" xfId="6111" xr:uid="{00000000-0005-0000-0000-0000ED090000}"/>
    <cellStyle name="20% - Accent1 7 2 3 2 2" xfId="6112" xr:uid="{00000000-0005-0000-0000-0000EE090000}"/>
    <cellStyle name="20% - Accent1 7 2 3 2 2 2" xfId="6113" xr:uid="{00000000-0005-0000-0000-0000EF090000}"/>
    <cellStyle name="20% - Accent1 7 2 3 2 3" xfId="6114" xr:uid="{00000000-0005-0000-0000-0000F0090000}"/>
    <cellStyle name="20% - Accent1 7 2 3 3" xfId="6115" xr:uid="{00000000-0005-0000-0000-0000F1090000}"/>
    <cellStyle name="20% - Accent1 7 2 3 3 2" xfId="6116" xr:uid="{00000000-0005-0000-0000-0000F2090000}"/>
    <cellStyle name="20% - Accent1 7 2 3 4" xfId="6117" xr:uid="{00000000-0005-0000-0000-0000F3090000}"/>
    <cellStyle name="20% - Accent1 7 2 3 5" xfId="6118" xr:uid="{00000000-0005-0000-0000-0000F4090000}"/>
    <cellStyle name="20% - Accent1 7 2 3 6" xfId="6119" xr:uid="{00000000-0005-0000-0000-0000F5090000}"/>
    <cellStyle name="20% - Accent1 7 2 4" xfId="6120" xr:uid="{00000000-0005-0000-0000-0000F6090000}"/>
    <cellStyle name="20% - Accent1 7 2 4 2" xfId="6121" xr:uid="{00000000-0005-0000-0000-0000F7090000}"/>
    <cellStyle name="20% - Accent1 7 2 4 2 2" xfId="6122" xr:uid="{00000000-0005-0000-0000-0000F8090000}"/>
    <cellStyle name="20% - Accent1 7 2 4 3" xfId="6123" xr:uid="{00000000-0005-0000-0000-0000F9090000}"/>
    <cellStyle name="20% - Accent1 7 2 5" xfId="6124" xr:uid="{00000000-0005-0000-0000-0000FA090000}"/>
    <cellStyle name="20% - Accent1 7 2 5 2" xfId="6125" xr:uid="{00000000-0005-0000-0000-0000FB090000}"/>
    <cellStyle name="20% - Accent1 7 2 5 2 2" xfId="6126" xr:uid="{00000000-0005-0000-0000-0000FC090000}"/>
    <cellStyle name="20% - Accent1 7 2 5 3" xfId="6127" xr:uid="{00000000-0005-0000-0000-0000FD090000}"/>
    <cellStyle name="20% - Accent1 7 2 6" xfId="6128" xr:uid="{00000000-0005-0000-0000-0000FE090000}"/>
    <cellStyle name="20% - Accent1 7 2 6 2" xfId="6129" xr:uid="{00000000-0005-0000-0000-0000FF090000}"/>
    <cellStyle name="20% - Accent1 7 2 7" xfId="6130" xr:uid="{00000000-0005-0000-0000-0000000A0000}"/>
    <cellStyle name="20% - Accent1 7 2 7 2" xfId="6131" xr:uid="{00000000-0005-0000-0000-0000010A0000}"/>
    <cellStyle name="20% - Accent1 7 2 8" xfId="6132" xr:uid="{00000000-0005-0000-0000-0000020A0000}"/>
    <cellStyle name="20% - Accent1 7 2 9" xfId="6133" xr:uid="{00000000-0005-0000-0000-0000030A0000}"/>
    <cellStyle name="20% - Accent1 7 3" xfId="6134" xr:uid="{00000000-0005-0000-0000-0000040A0000}"/>
    <cellStyle name="20% - Accent1 7 3 2" xfId="6135" xr:uid="{00000000-0005-0000-0000-0000050A0000}"/>
    <cellStyle name="20% - Accent1 7 3 2 2" xfId="6136" xr:uid="{00000000-0005-0000-0000-0000060A0000}"/>
    <cellStyle name="20% - Accent1 7 3 2 2 2" xfId="6137" xr:uid="{00000000-0005-0000-0000-0000070A0000}"/>
    <cellStyle name="20% - Accent1 7 3 2 2 2 2" xfId="6138" xr:uid="{00000000-0005-0000-0000-0000080A0000}"/>
    <cellStyle name="20% - Accent1 7 3 2 2 3" xfId="6139" xr:uid="{00000000-0005-0000-0000-0000090A0000}"/>
    <cellStyle name="20% - Accent1 7 3 2 3" xfId="6140" xr:uid="{00000000-0005-0000-0000-00000A0A0000}"/>
    <cellStyle name="20% - Accent1 7 3 2 3 2" xfId="6141" xr:uid="{00000000-0005-0000-0000-00000B0A0000}"/>
    <cellStyle name="20% - Accent1 7 3 2 4" xfId="6142" xr:uid="{00000000-0005-0000-0000-00000C0A0000}"/>
    <cellStyle name="20% - Accent1 7 3 2 5" xfId="6143" xr:uid="{00000000-0005-0000-0000-00000D0A0000}"/>
    <cellStyle name="20% - Accent1 7 3 2 6" xfId="6144" xr:uid="{00000000-0005-0000-0000-00000E0A0000}"/>
    <cellStyle name="20% - Accent1 7 3 3" xfId="6145" xr:uid="{00000000-0005-0000-0000-00000F0A0000}"/>
    <cellStyle name="20% - Accent1 7 3 3 2" xfId="6146" xr:uid="{00000000-0005-0000-0000-0000100A0000}"/>
    <cellStyle name="20% - Accent1 7 3 3 2 2" xfId="6147" xr:uid="{00000000-0005-0000-0000-0000110A0000}"/>
    <cellStyle name="20% - Accent1 7 3 3 3" xfId="6148" xr:uid="{00000000-0005-0000-0000-0000120A0000}"/>
    <cellStyle name="20% - Accent1 7 3 4" xfId="6149" xr:uid="{00000000-0005-0000-0000-0000130A0000}"/>
    <cellStyle name="20% - Accent1 7 3 4 2" xfId="6150" xr:uid="{00000000-0005-0000-0000-0000140A0000}"/>
    <cellStyle name="20% - Accent1 7 3 5" xfId="6151" xr:uid="{00000000-0005-0000-0000-0000150A0000}"/>
    <cellStyle name="20% - Accent1 7 3 6" xfId="6152" xr:uid="{00000000-0005-0000-0000-0000160A0000}"/>
    <cellStyle name="20% - Accent1 7 3 7" xfId="6153" xr:uid="{00000000-0005-0000-0000-0000170A0000}"/>
    <cellStyle name="20% - Accent1 7 4" xfId="6154" xr:uid="{00000000-0005-0000-0000-0000180A0000}"/>
    <cellStyle name="20% - Accent1 7 4 2" xfId="6155" xr:uid="{00000000-0005-0000-0000-0000190A0000}"/>
    <cellStyle name="20% - Accent1 7 4 2 2" xfId="6156" xr:uid="{00000000-0005-0000-0000-00001A0A0000}"/>
    <cellStyle name="20% - Accent1 7 4 2 2 2" xfId="6157" xr:uid="{00000000-0005-0000-0000-00001B0A0000}"/>
    <cellStyle name="20% - Accent1 7 4 2 2 2 2" xfId="6158" xr:uid="{00000000-0005-0000-0000-00001C0A0000}"/>
    <cellStyle name="20% - Accent1 7 4 2 2 3" xfId="6159" xr:uid="{00000000-0005-0000-0000-00001D0A0000}"/>
    <cellStyle name="20% - Accent1 7 4 2 3" xfId="6160" xr:uid="{00000000-0005-0000-0000-00001E0A0000}"/>
    <cellStyle name="20% - Accent1 7 4 2 3 2" xfId="6161" xr:uid="{00000000-0005-0000-0000-00001F0A0000}"/>
    <cellStyle name="20% - Accent1 7 4 2 4" xfId="6162" xr:uid="{00000000-0005-0000-0000-0000200A0000}"/>
    <cellStyle name="20% - Accent1 7 4 2 5" xfId="6163" xr:uid="{00000000-0005-0000-0000-0000210A0000}"/>
    <cellStyle name="20% - Accent1 7 4 2 6" xfId="6164" xr:uid="{00000000-0005-0000-0000-0000220A0000}"/>
    <cellStyle name="20% - Accent1 7 4 3" xfId="6165" xr:uid="{00000000-0005-0000-0000-0000230A0000}"/>
    <cellStyle name="20% - Accent1 7 4 3 2" xfId="6166" xr:uid="{00000000-0005-0000-0000-0000240A0000}"/>
    <cellStyle name="20% - Accent1 7 4 3 2 2" xfId="6167" xr:uid="{00000000-0005-0000-0000-0000250A0000}"/>
    <cellStyle name="20% - Accent1 7 4 3 3" xfId="6168" xr:uid="{00000000-0005-0000-0000-0000260A0000}"/>
    <cellStyle name="20% - Accent1 7 4 4" xfId="6169" xr:uid="{00000000-0005-0000-0000-0000270A0000}"/>
    <cellStyle name="20% - Accent1 7 4 4 2" xfId="6170" xr:uid="{00000000-0005-0000-0000-0000280A0000}"/>
    <cellStyle name="20% - Accent1 7 4 5" xfId="6171" xr:uid="{00000000-0005-0000-0000-0000290A0000}"/>
    <cellStyle name="20% - Accent1 7 4 6" xfId="6172" xr:uid="{00000000-0005-0000-0000-00002A0A0000}"/>
    <cellStyle name="20% - Accent1 7 4 7" xfId="6173" xr:uid="{00000000-0005-0000-0000-00002B0A0000}"/>
    <cellStyle name="20% - Accent1 7 5" xfId="6174" xr:uid="{00000000-0005-0000-0000-00002C0A0000}"/>
    <cellStyle name="20% - Accent1 7 5 2" xfId="6175" xr:uid="{00000000-0005-0000-0000-00002D0A0000}"/>
    <cellStyle name="20% - Accent1 7 5 2 2" xfId="6176" xr:uid="{00000000-0005-0000-0000-00002E0A0000}"/>
    <cellStyle name="20% - Accent1 7 5 2 2 2" xfId="6177" xr:uid="{00000000-0005-0000-0000-00002F0A0000}"/>
    <cellStyle name="20% - Accent1 7 5 2 3" xfId="6178" xr:uid="{00000000-0005-0000-0000-0000300A0000}"/>
    <cellStyle name="20% - Accent1 7 5 3" xfId="6179" xr:uid="{00000000-0005-0000-0000-0000310A0000}"/>
    <cellStyle name="20% - Accent1 7 5 3 2" xfId="6180" xr:uid="{00000000-0005-0000-0000-0000320A0000}"/>
    <cellStyle name="20% - Accent1 7 5 4" xfId="6181" xr:uid="{00000000-0005-0000-0000-0000330A0000}"/>
    <cellStyle name="20% - Accent1 7 5 5" xfId="6182" xr:uid="{00000000-0005-0000-0000-0000340A0000}"/>
    <cellStyle name="20% - Accent1 7 5 6" xfId="6183" xr:uid="{00000000-0005-0000-0000-0000350A0000}"/>
    <cellStyle name="20% - Accent1 7 6" xfId="6184" xr:uid="{00000000-0005-0000-0000-0000360A0000}"/>
    <cellStyle name="20% - Accent1 7 6 2" xfId="6185" xr:uid="{00000000-0005-0000-0000-0000370A0000}"/>
    <cellStyle name="20% - Accent1 7 6 2 2" xfId="6186" xr:uid="{00000000-0005-0000-0000-0000380A0000}"/>
    <cellStyle name="20% - Accent1 7 6 3" xfId="6187" xr:uid="{00000000-0005-0000-0000-0000390A0000}"/>
    <cellStyle name="20% - Accent1 7 7" xfId="6188" xr:uid="{00000000-0005-0000-0000-00003A0A0000}"/>
    <cellStyle name="20% - Accent1 7 7 2" xfId="6189" xr:uid="{00000000-0005-0000-0000-00003B0A0000}"/>
    <cellStyle name="20% - Accent1 7 7 2 2" xfId="6190" xr:uid="{00000000-0005-0000-0000-00003C0A0000}"/>
    <cellStyle name="20% - Accent1 7 7 3" xfId="6191" xr:uid="{00000000-0005-0000-0000-00003D0A0000}"/>
    <cellStyle name="20% - Accent1 7 8" xfId="6192" xr:uid="{00000000-0005-0000-0000-00003E0A0000}"/>
    <cellStyle name="20% - Accent1 7 8 2" xfId="6193" xr:uid="{00000000-0005-0000-0000-00003F0A0000}"/>
    <cellStyle name="20% - Accent1 7 9" xfId="6194" xr:uid="{00000000-0005-0000-0000-0000400A0000}"/>
    <cellStyle name="20% - Accent1 7 9 2" xfId="6195" xr:uid="{00000000-0005-0000-0000-0000410A0000}"/>
    <cellStyle name="20% - Accent1 8" xfId="6196" xr:uid="{00000000-0005-0000-0000-0000420A0000}"/>
    <cellStyle name="20% - Accent1 8 10" xfId="6197" xr:uid="{00000000-0005-0000-0000-0000430A0000}"/>
    <cellStyle name="20% - Accent1 8 11" xfId="6198" xr:uid="{00000000-0005-0000-0000-0000440A0000}"/>
    <cellStyle name="20% - Accent1 8 12" xfId="6199" xr:uid="{00000000-0005-0000-0000-0000450A0000}"/>
    <cellStyle name="20% - Accent1 8 2" xfId="6200" xr:uid="{00000000-0005-0000-0000-0000460A0000}"/>
    <cellStyle name="20% - Accent1 8 2 10" xfId="6201" xr:uid="{00000000-0005-0000-0000-0000470A0000}"/>
    <cellStyle name="20% - Accent1 8 2 2" xfId="6202" xr:uid="{00000000-0005-0000-0000-0000480A0000}"/>
    <cellStyle name="20% - Accent1 8 2 2 2" xfId="6203" xr:uid="{00000000-0005-0000-0000-0000490A0000}"/>
    <cellStyle name="20% - Accent1 8 2 2 2 2" xfId="6204" xr:uid="{00000000-0005-0000-0000-00004A0A0000}"/>
    <cellStyle name="20% - Accent1 8 2 2 2 2 2" xfId="6205" xr:uid="{00000000-0005-0000-0000-00004B0A0000}"/>
    <cellStyle name="20% - Accent1 8 2 2 2 2 2 2" xfId="6206" xr:uid="{00000000-0005-0000-0000-00004C0A0000}"/>
    <cellStyle name="20% - Accent1 8 2 2 2 2 3" xfId="6207" xr:uid="{00000000-0005-0000-0000-00004D0A0000}"/>
    <cellStyle name="20% - Accent1 8 2 2 2 3" xfId="6208" xr:uid="{00000000-0005-0000-0000-00004E0A0000}"/>
    <cellStyle name="20% - Accent1 8 2 2 2 3 2" xfId="6209" xr:uid="{00000000-0005-0000-0000-00004F0A0000}"/>
    <cellStyle name="20% - Accent1 8 2 2 2 4" xfId="6210" xr:uid="{00000000-0005-0000-0000-0000500A0000}"/>
    <cellStyle name="20% - Accent1 8 2 2 2 5" xfId="6211" xr:uid="{00000000-0005-0000-0000-0000510A0000}"/>
    <cellStyle name="20% - Accent1 8 2 2 2 6" xfId="6212" xr:uid="{00000000-0005-0000-0000-0000520A0000}"/>
    <cellStyle name="20% - Accent1 8 2 2 3" xfId="6213" xr:uid="{00000000-0005-0000-0000-0000530A0000}"/>
    <cellStyle name="20% - Accent1 8 2 2 3 2" xfId="6214" xr:uid="{00000000-0005-0000-0000-0000540A0000}"/>
    <cellStyle name="20% - Accent1 8 2 2 3 2 2" xfId="6215" xr:uid="{00000000-0005-0000-0000-0000550A0000}"/>
    <cellStyle name="20% - Accent1 8 2 2 3 3" xfId="6216" xr:uid="{00000000-0005-0000-0000-0000560A0000}"/>
    <cellStyle name="20% - Accent1 8 2 2 4" xfId="6217" xr:uid="{00000000-0005-0000-0000-0000570A0000}"/>
    <cellStyle name="20% - Accent1 8 2 2 4 2" xfId="6218" xr:uid="{00000000-0005-0000-0000-0000580A0000}"/>
    <cellStyle name="20% - Accent1 8 2 2 5" xfId="6219" xr:uid="{00000000-0005-0000-0000-0000590A0000}"/>
    <cellStyle name="20% - Accent1 8 2 2 6" xfId="6220" xr:uid="{00000000-0005-0000-0000-00005A0A0000}"/>
    <cellStyle name="20% - Accent1 8 2 2 7" xfId="6221" xr:uid="{00000000-0005-0000-0000-00005B0A0000}"/>
    <cellStyle name="20% - Accent1 8 2 3" xfId="6222" xr:uid="{00000000-0005-0000-0000-00005C0A0000}"/>
    <cellStyle name="20% - Accent1 8 2 3 2" xfId="6223" xr:uid="{00000000-0005-0000-0000-00005D0A0000}"/>
    <cellStyle name="20% - Accent1 8 2 3 2 2" xfId="6224" xr:uid="{00000000-0005-0000-0000-00005E0A0000}"/>
    <cellStyle name="20% - Accent1 8 2 3 2 2 2" xfId="6225" xr:uid="{00000000-0005-0000-0000-00005F0A0000}"/>
    <cellStyle name="20% - Accent1 8 2 3 2 3" xfId="6226" xr:uid="{00000000-0005-0000-0000-0000600A0000}"/>
    <cellStyle name="20% - Accent1 8 2 3 3" xfId="6227" xr:uid="{00000000-0005-0000-0000-0000610A0000}"/>
    <cellStyle name="20% - Accent1 8 2 3 3 2" xfId="6228" xr:uid="{00000000-0005-0000-0000-0000620A0000}"/>
    <cellStyle name="20% - Accent1 8 2 3 4" xfId="6229" xr:uid="{00000000-0005-0000-0000-0000630A0000}"/>
    <cellStyle name="20% - Accent1 8 2 3 5" xfId="6230" xr:uid="{00000000-0005-0000-0000-0000640A0000}"/>
    <cellStyle name="20% - Accent1 8 2 3 6" xfId="6231" xr:uid="{00000000-0005-0000-0000-0000650A0000}"/>
    <cellStyle name="20% - Accent1 8 2 4" xfId="6232" xr:uid="{00000000-0005-0000-0000-0000660A0000}"/>
    <cellStyle name="20% - Accent1 8 2 4 2" xfId="6233" xr:uid="{00000000-0005-0000-0000-0000670A0000}"/>
    <cellStyle name="20% - Accent1 8 2 4 2 2" xfId="6234" xr:uid="{00000000-0005-0000-0000-0000680A0000}"/>
    <cellStyle name="20% - Accent1 8 2 4 3" xfId="6235" xr:uid="{00000000-0005-0000-0000-0000690A0000}"/>
    <cellStyle name="20% - Accent1 8 2 5" xfId="6236" xr:uid="{00000000-0005-0000-0000-00006A0A0000}"/>
    <cellStyle name="20% - Accent1 8 2 5 2" xfId="6237" xr:uid="{00000000-0005-0000-0000-00006B0A0000}"/>
    <cellStyle name="20% - Accent1 8 2 5 2 2" xfId="6238" xr:uid="{00000000-0005-0000-0000-00006C0A0000}"/>
    <cellStyle name="20% - Accent1 8 2 5 3" xfId="6239" xr:uid="{00000000-0005-0000-0000-00006D0A0000}"/>
    <cellStyle name="20% - Accent1 8 2 6" xfId="6240" xr:uid="{00000000-0005-0000-0000-00006E0A0000}"/>
    <cellStyle name="20% - Accent1 8 2 6 2" xfId="6241" xr:uid="{00000000-0005-0000-0000-00006F0A0000}"/>
    <cellStyle name="20% - Accent1 8 2 7" xfId="6242" xr:uid="{00000000-0005-0000-0000-0000700A0000}"/>
    <cellStyle name="20% - Accent1 8 2 7 2" xfId="6243" xr:uid="{00000000-0005-0000-0000-0000710A0000}"/>
    <cellStyle name="20% - Accent1 8 2 8" xfId="6244" xr:uid="{00000000-0005-0000-0000-0000720A0000}"/>
    <cellStyle name="20% - Accent1 8 2 9" xfId="6245" xr:uid="{00000000-0005-0000-0000-0000730A0000}"/>
    <cellStyle name="20% - Accent1 8 3" xfId="6246" xr:uid="{00000000-0005-0000-0000-0000740A0000}"/>
    <cellStyle name="20% - Accent1 8 3 2" xfId="6247" xr:uid="{00000000-0005-0000-0000-0000750A0000}"/>
    <cellStyle name="20% - Accent1 8 3 2 2" xfId="6248" xr:uid="{00000000-0005-0000-0000-0000760A0000}"/>
    <cellStyle name="20% - Accent1 8 3 2 2 2" xfId="6249" xr:uid="{00000000-0005-0000-0000-0000770A0000}"/>
    <cellStyle name="20% - Accent1 8 3 2 2 2 2" xfId="6250" xr:uid="{00000000-0005-0000-0000-0000780A0000}"/>
    <cellStyle name="20% - Accent1 8 3 2 2 3" xfId="6251" xr:uid="{00000000-0005-0000-0000-0000790A0000}"/>
    <cellStyle name="20% - Accent1 8 3 2 3" xfId="6252" xr:uid="{00000000-0005-0000-0000-00007A0A0000}"/>
    <cellStyle name="20% - Accent1 8 3 2 3 2" xfId="6253" xr:uid="{00000000-0005-0000-0000-00007B0A0000}"/>
    <cellStyle name="20% - Accent1 8 3 2 4" xfId="6254" xr:uid="{00000000-0005-0000-0000-00007C0A0000}"/>
    <cellStyle name="20% - Accent1 8 3 2 5" xfId="6255" xr:uid="{00000000-0005-0000-0000-00007D0A0000}"/>
    <cellStyle name="20% - Accent1 8 3 2 6" xfId="6256" xr:uid="{00000000-0005-0000-0000-00007E0A0000}"/>
    <cellStyle name="20% - Accent1 8 3 3" xfId="6257" xr:uid="{00000000-0005-0000-0000-00007F0A0000}"/>
    <cellStyle name="20% - Accent1 8 3 3 2" xfId="6258" xr:uid="{00000000-0005-0000-0000-0000800A0000}"/>
    <cellStyle name="20% - Accent1 8 3 3 2 2" xfId="6259" xr:uid="{00000000-0005-0000-0000-0000810A0000}"/>
    <cellStyle name="20% - Accent1 8 3 3 3" xfId="6260" xr:uid="{00000000-0005-0000-0000-0000820A0000}"/>
    <cellStyle name="20% - Accent1 8 3 4" xfId="6261" xr:uid="{00000000-0005-0000-0000-0000830A0000}"/>
    <cellStyle name="20% - Accent1 8 3 4 2" xfId="6262" xr:uid="{00000000-0005-0000-0000-0000840A0000}"/>
    <cellStyle name="20% - Accent1 8 3 5" xfId="6263" xr:uid="{00000000-0005-0000-0000-0000850A0000}"/>
    <cellStyle name="20% - Accent1 8 3 6" xfId="6264" xr:uid="{00000000-0005-0000-0000-0000860A0000}"/>
    <cellStyle name="20% - Accent1 8 3 7" xfId="6265" xr:uid="{00000000-0005-0000-0000-0000870A0000}"/>
    <cellStyle name="20% - Accent1 8 4" xfId="6266" xr:uid="{00000000-0005-0000-0000-0000880A0000}"/>
    <cellStyle name="20% - Accent1 8 4 2" xfId="6267" xr:uid="{00000000-0005-0000-0000-0000890A0000}"/>
    <cellStyle name="20% - Accent1 8 4 2 2" xfId="6268" xr:uid="{00000000-0005-0000-0000-00008A0A0000}"/>
    <cellStyle name="20% - Accent1 8 4 2 2 2" xfId="6269" xr:uid="{00000000-0005-0000-0000-00008B0A0000}"/>
    <cellStyle name="20% - Accent1 8 4 2 2 2 2" xfId="6270" xr:uid="{00000000-0005-0000-0000-00008C0A0000}"/>
    <cellStyle name="20% - Accent1 8 4 2 2 3" xfId="6271" xr:uid="{00000000-0005-0000-0000-00008D0A0000}"/>
    <cellStyle name="20% - Accent1 8 4 2 3" xfId="6272" xr:uid="{00000000-0005-0000-0000-00008E0A0000}"/>
    <cellStyle name="20% - Accent1 8 4 2 3 2" xfId="6273" xr:uid="{00000000-0005-0000-0000-00008F0A0000}"/>
    <cellStyle name="20% - Accent1 8 4 2 4" xfId="6274" xr:uid="{00000000-0005-0000-0000-0000900A0000}"/>
    <cellStyle name="20% - Accent1 8 4 2 5" xfId="6275" xr:uid="{00000000-0005-0000-0000-0000910A0000}"/>
    <cellStyle name="20% - Accent1 8 4 2 6" xfId="6276" xr:uid="{00000000-0005-0000-0000-0000920A0000}"/>
    <cellStyle name="20% - Accent1 8 4 3" xfId="6277" xr:uid="{00000000-0005-0000-0000-0000930A0000}"/>
    <cellStyle name="20% - Accent1 8 4 3 2" xfId="6278" xr:uid="{00000000-0005-0000-0000-0000940A0000}"/>
    <cellStyle name="20% - Accent1 8 4 3 2 2" xfId="6279" xr:uid="{00000000-0005-0000-0000-0000950A0000}"/>
    <cellStyle name="20% - Accent1 8 4 3 3" xfId="6280" xr:uid="{00000000-0005-0000-0000-0000960A0000}"/>
    <cellStyle name="20% - Accent1 8 4 4" xfId="6281" xr:uid="{00000000-0005-0000-0000-0000970A0000}"/>
    <cellStyle name="20% - Accent1 8 4 4 2" xfId="6282" xr:uid="{00000000-0005-0000-0000-0000980A0000}"/>
    <cellStyle name="20% - Accent1 8 4 5" xfId="6283" xr:uid="{00000000-0005-0000-0000-0000990A0000}"/>
    <cellStyle name="20% - Accent1 8 4 6" xfId="6284" xr:uid="{00000000-0005-0000-0000-00009A0A0000}"/>
    <cellStyle name="20% - Accent1 8 4 7" xfId="6285" xr:uid="{00000000-0005-0000-0000-00009B0A0000}"/>
    <cellStyle name="20% - Accent1 8 5" xfId="6286" xr:uid="{00000000-0005-0000-0000-00009C0A0000}"/>
    <cellStyle name="20% - Accent1 8 5 2" xfId="6287" xr:uid="{00000000-0005-0000-0000-00009D0A0000}"/>
    <cellStyle name="20% - Accent1 8 5 2 2" xfId="6288" xr:uid="{00000000-0005-0000-0000-00009E0A0000}"/>
    <cellStyle name="20% - Accent1 8 5 2 2 2" xfId="6289" xr:uid="{00000000-0005-0000-0000-00009F0A0000}"/>
    <cellStyle name="20% - Accent1 8 5 2 3" xfId="6290" xr:uid="{00000000-0005-0000-0000-0000A00A0000}"/>
    <cellStyle name="20% - Accent1 8 5 3" xfId="6291" xr:uid="{00000000-0005-0000-0000-0000A10A0000}"/>
    <cellStyle name="20% - Accent1 8 5 3 2" xfId="6292" xr:uid="{00000000-0005-0000-0000-0000A20A0000}"/>
    <cellStyle name="20% - Accent1 8 5 4" xfId="6293" xr:uid="{00000000-0005-0000-0000-0000A30A0000}"/>
    <cellStyle name="20% - Accent1 8 5 5" xfId="6294" xr:uid="{00000000-0005-0000-0000-0000A40A0000}"/>
    <cellStyle name="20% - Accent1 8 5 6" xfId="6295" xr:uid="{00000000-0005-0000-0000-0000A50A0000}"/>
    <cellStyle name="20% - Accent1 8 6" xfId="6296" xr:uid="{00000000-0005-0000-0000-0000A60A0000}"/>
    <cellStyle name="20% - Accent1 8 6 2" xfId="6297" xr:uid="{00000000-0005-0000-0000-0000A70A0000}"/>
    <cellStyle name="20% - Accent1 8 6 2 2" xfId="6298" xr:uid="{00000000-0005-0000-0000-0000A80A0000}"/>
    <cellStyle name="20% - Accent1 8 6 3" xfId="6299" xr:uid="{00000000-0005-0000-0000-0000A90A0000}"/>
    <cellStyle name="20% - Accent1 8 7" xfId="6300" xr:uid="{00000000-0005-0000-0000-0000AA0A0000}"/>
    <cellStyle name="20% - Accent1 8 7 2" xfId="6301" xr:uid="{00000000-0005-0000-0000-0000AB0A0000}"/>
    <cellStyle name="20% - Accent1 8 7 2 2" xfId="6302" xr:uid="{00000000-0005-0000-0000-0000AC0A0000}"/>
    <cellStyle name="20% - Accent1 8 7 3" xfId="6303" xr:uid="{00000000-0005-0000-0000-0000AD0A0000}"/>
    <cellStyle name="20% - Accent1 8 8" xfId="6304" xr:uid="{00000000-0005-0000-0000-0000AE0A0000}"/>
    <cellStyle name="20% - Accent1 8 8 2" xfId="6305" xr:uid="{00000000-0005-0000-0000-0000AF0A0000}"/>
    <cellStyle name="20% - Accent1 8 9" xfId="6306" xr:uid="{00000000-0005-0000-0000-0000B00A0000}"/>
    <cellStyle name="20% - Accent1 8 9 2" xfId="6307" xr:uid="{00000000-0005-0000-0000-0000B10A0000}"/>
    <cellStyle name="20% - Accent1 9" xfId="6308" xr:uid="{00000000-0005-0000-0000-0000B20A0000}"/>
    <cellStyle name="20% - Accent1 9 10" xfId="6309" xr:uid="{00000000-0005-0000-0000-0000B30A0000}"/>
    <cellStyle name="20% - Accent1 9 11" xfId="6310" xr:uid="{00000000-0005-0000-0000-0000B40A0000}"/>
    <cellStyle name="20% - Accent1 9 12" xfId="6311" xr:uid="{00000000-0005-0000-0000-0000B50A0000}"/>
    <cellStyle name="20% - Accent1 9 2" xfId="6312" xr:uid="{00000000-0005-0000-0000-0000B60A0000}"/>
    <cellStyle name="20% - Accent1 9 2 10" xfId="6313" xr:uid="{00000000-0005-0000-0000-0000B70A0000}"/>
    <cellStyle name="20% - Accent1 9 2 2" xfId="6314" xr:uid="{00000000-0005-0000-0000-0000B80A0000}"/>
    <cellStyle name="20% - Accent1 9 2 2 2" xfId="6315" xr:uid="{00000000-0005-0000-0000-0000B90A0000}"/>
    <cellStyle name="20% - Accent1 9 2 2 2 2" xfId="6316" xr:uid="{00000000-0005-0000-0000-0000BA0A0000}"/>
    <cellStyle name="20% - Accent1 9 2 2 2 2 2" xfId="6317" xr:uid="{00000000-0005-0000-0000-0000BB0A0000}"/>
    <cellStyle name="20% - Accent1 9 2 2 2 2 2 2" xfId="6318" xr:uid="{00000000-0005-0000-0000-0000BC0A0000}"/>
    <cellStyle name="20% - Accent1 9 2 2 2 2 3" xfId="6319" xr:uid="{00000000-0005-0000-0000-0000BD0A0000}"/>
    <cellStyle name="20% - Accent1 9 2 2 2 3" xfId="6320" xr:uid="{00000000-0005-0000-0000-0000BE0A0000}"/>
    <cellStyle name="20% - Accent1 9 2 2 2 3 2" xfId="6321" xr:uid="{00000000-0005-0000-0000-0000BF0A0000}"/>
    <cellStyle name="20% - Accent1 9 2 2 2 4" xfId="6322" xr:uid="{00000000-0005-0000-0000-0000C00A0000}"/>
    <cellStyle name="20% - Accent1 9 2 2 2 5" xfId="6323" xr:uid="{00000000-0005-0000-0000-0000C10A0000}"/>
    <cellStyle name="20% - Accent1 9 2 2 2 6" xfId="6324" xr:uid="{00000000-0005-0000-0000-0000C20A0000}"/>
    <cellStyle name="20% - Accent1 9 2 2 3" xfId="6325" xr:uid="{00000000-0005-0000-0000-0000C30A0000}"/>
    <cellStyle name="20% - Accent1 9 2 2 3 2" xfId="6326" xr:uid="{00000000-0005-0000-0000-0000C40A0000}"/>
    <cellStyle name="20% - Accent1 9 2 2 3 2 2" xfId="6327" xr:uid="{00000000-0005-0000-0000-0000C50A0000}"/>
    <cellStyle name="20% - Accent1 9 2 2 3 3" xfId="6328" xr:uid="{00000000-0005-0000-0000-0000C60A0000}"/>
    <cellStyle name="20% - Accent1 9 2 2 4" xfId="6329" xr:uid="{00000000-0005-0000-0000-0000C70A0000}"/>
    <cellStyle name="20% - Accent1 9 2 2 4 2" xfId="6330" xr:uid="{00000000-0005-0000-0000-0000C80A0000}"/>
    <cellStyle name="20% - Accent1 9 2 2 5" xfId="6331" xr:uid="{00000000-0005-0000-0000-0000C90A0000}"/>
    <cellStyle name="20% - Accent1 9 2 2 6" xfId="6332" xr:uid="{00000000-0005-0000-0000-0000CA0A0000}"/>
    <cellStyle name="20% - Accent1 9 2 2 7" xfId="6333" xr:uid="{00000000-0005-0000-0000-0000CB0A0000}"/>
    <cellStyle name="20% - Accent1 9 2 3" xfId="6334" xr:uid="{00000000-0005-0000-0000-0000CC0A0000}"/>
    <cellStyle name="20% - Accent1 9 2 3 2" xfId="6335" xr:uid="{00000000-0005-0000-0000-0000CD0A0000}"/>
    <cellStyle name="20% - Accent1 9 2 3 2 2" xfId="6336" xr:uid="{00000000-0005-0000-0000-0000CE0A0000}"/>
    <cellStyle name="20% - Accent1 9 2 3 2 2 2" xfId="6337" xr:uid="{00000000-0005-0000-0000-0000CF0A0000}"/>
    <cellStyle name="20% - Accent1 9 2 3 2 3" xfId="6338" xr:uid="{00000000-0005-0000-0000-0000D00A0000}"/>
    <cellStyle name="20% - Accent1 9 2 3 3" xfId="6339" xr:uid="{00000000-0005-0000-0000-0000D10A0000}"/>
    <cellStyle name="20% - Accent1 9 2 3 3 2" xfId="6340" xr:uid="{00000000-0005-0000-0000-0000D20A0000}"/>
    <cellStyle name="20% - Accent1 9 2 3 4" xfId="6341" xr:uid="{00000000-0005-0000-0000-0000D30A0000}"/>
    <cellStyle name="20% - Accent1 9 2 3 5" xfId="6342" xr:uid="{00000000-0005-0000-0000-0000D40A0000}"/>
    <cellStyle name="20% - Accent1 9 2 3 6" xfId="6343" xr:uid="{00000000-0005-0000-0000-0000D50A0000}"/>
    <cellStyle name="20% - Accent1 9 2 4" xfId="6344" xr:uid="{00000000-0005-0000-0000-0000D60A0000}"/>
    <cellStyle name="20% - Accent1 9 2 4 2" xfId="6345" xr:uid="{00000000-0005-0000-0000-0000D70A0000}"/>
    <cellStyle name="20% - Accent1 9 2 4 2 2" xfId="6346" xr:uid="{00000000-0005-0000-0000-0000D80A0000}"/>
    <cellStyle name="20% - Accent1 9 2 4 3" xfId="6347" xr:uid="{00000000-0005-0000-0000-0000D90A0000}"/>
    <cellStyle name="20% - Accent1 9 2 5" xfId="6348" xr:uid="{00000000-0005-0000-0000-0000DA0A0000}"/>
    <cellStyle name="20% - Accent1 9 2 5 2" xfId="6349" xr:uid="{00000000-0005-0000-0000-0000DB0A0000}"/>
    <cellStyle name="20% - Accent1 9 2 5 2 2" xfId="6350" xr:uid="{00000000-0005-0000-0000-0000DC0A0000}"/>
    <cellStyle name="20% - Accent1 9 2 5 3" xfId="6351" xr:uid="{00000000-0005-0000-0000-0000DD0A0000}"/>
    <cellStyle name="20% - Accent1 9 2 6" xfId="6352" xr:uid="{00000000-0005-0000-0000-0000DE0A0000}"/>
    <cellStyle name="20% - Accent1 9 2 6 2" xfId="6353" xr:uid="{00000000-0005-0000-0000-0000DF0A0000}"/>
    <cellStyle name="20% - Accent1 9 2 7" xfId="6354" xr:uid="{00000000-0005-0000-0000-0000E00A0000}"/>
    <cellStyle name="20% - Accent1 9 2 7 2" xfId="6355" xr:uid="{00000000-0005-0000-0000-0000E10A0000}"/>
    <cellStyle name="20% - Accent1 9 2 8" xfId="6356" xr:uid="{00000000-0005-0000-0000-0000E20A0000}"/>
    <cellStyle name="20% - Accent1 9 2 9" xfId="6357" xr:uid="{00000000-0005-0000-0000-0000E30A0000}"/>
    <cellStyle name="20% - Accent1 9 3" xfId="6358" xr:uid="{00000000-0005-0000-0000-0000E40A0000}"/>
    <cellStyle name="20% - Accent1 9 3 2" xfId="6359" xr:uid="{00000000-0005-0000-0000-0000E50A0000}"/>
    <cellStyle name="20% - Accent1 9 3 2 2" xfId="6360" xr:uid="{00000000-0005-0000-0000-0000E60A0000}"/>
    <cellStyle name="20% - Accent1 9 3 2 2 2" xfId="6361" xr:uid="{00000000-0005-0000-0000-0000E70A0000}"/>
    <cellStyle name="20% - Accent1 9 3 2 2 2 2" xfId="6362" xr:uid="{00000000-0005-0000-0000-0000E80A0000}"/>
    <cellStyle name="20% - Accent1 9 3 2 2 3" xfId="6363" xr:uid="{00000000-0005-0000-0000-0000E90A0000}"/>
    <cellStyle name="20% - Accent1 9 3 2 3" xfId="6364" xr:uid="{00000000-0005-0000-0000-0000EA0A0000}"/>
    <cellStyle name="20% - Accent1 9 3 2 3 2" xfId="6365" xr:uid="{00000000-0005-0000-0000-0000EB0A0000}"/>
    <cellStyle name="20% - Accent1 9 3 2 4" xfId="6366" xr:uid="{00000000-0005-0000-0000-0000EC0A0000}"/>
    <cellStyle name="20% - Accent1 9 3 2 5" xfId="6367" xr:uid="{00000000-0005-0000-0000-0000ED0A0000}"/>
    <cellStyle name="20% - Accent1 9 3 2 6" xfId="6368" xr:uid="{00000000-0005-0000-0000-0000EE0A0000}"/>
    <cellStyle name="20% - Accent1 9 3 3" xfId="6369" xr:uid="{00000000-0005-0000-0000-0000EF0A0000}"/>
    <cellStyle name="20% - Accent1 9 3 3 2" xfId="6370" xr:uid="{00000000-0005-0000-0000-0000F00A0000}"/>
    <cellStyle name="20% - Accent1 9 3 3 2 2" xfId="6371" xr:uid="{00000000-0005-0000-0000-0000F10A0000}"/>
    <cellStyle name="20% - Accent1 9 3 3 3" xfId="6372" xr:uid="{00000000-0005-0000-0000-0000F20A0000}"/>
    <cellStyle name="20% - Accent1 9 3 4" xfId="6373" xr:uid="{00000000-0005-0000-0000-0000F30A0000}"/>
    <cellStyle name="20% - Accent1 9 3 4 2" xfId="6374" xr:uid="{00000000-0005-0000-0000-0000F40A0000}"/>
    <cellStyle name="20% - Accent1 9 3 5" xfId="6375" xr:uid="{00000000-0005-0000-0000-0000F50A0000}"/>
    <cellStyle name="20% - Accent1 9 3 6" xfId="6376" xr:uid="{00000000-0005-0000-0000-0000F60A0000}"/>
    <cellStyle name="20% - Accent1 9 3 7" xfId="6377" xr:uid="{00000000-0005-0000-0000-0000F70A0000}"/>
    <cellStyle name="20% - Accent1 9 4" xfId="6378" xr:uid="{00000000-0005-0000-0000-0000F80A0000}"/>
    <cellStyle name="20% - Accent1 9 4 2" xfId="6379" xr:uid="{00000000-0005-0000-0000-0000F90A0000}"/>
    <cellStyle name="20% - Accent1 9 4 2 2" xfId="6380" xr:uid="{00000000-0005-0000-0000-0000FA0A0000}"/>
    <cellStyle name="20% - Accent1 9 4 2 2 2" xfId="6381" xr:uid="{00000000-0005-0000-0000-0000FB0A0000}"/>
    <cellStyle name="20% - Accent1 9 4 2 2 2 2" xfId="6382" xr:uid="{00000000-0005-0000-0000-0000FC0A0000}"/>
    <cellStyle name="20% - Accent1 9 4 2 2 3" xfId="6383" xr:uid="{00000000-0005-0000-0000-0000FD0A0000}"/>
    <cellStyle name="20% - Accent1 9 4 2 3" xfId="6384" xr:uid="{00000000-0005-0000-0000-0000FE0A0000}"/>
    <cellStyle name="20% - Accent1 9 4 2 3 2" xfId="6385" xr:uid="{00000000-0005-0000-0000-0000FF0A0000}"/>
    <cellStyle name="20% - Accent1 9 4 2 4" xfId="6386" xr:uid="{00000000-0005-0000-0000-0000000B0000}"/>
    <cellStyle name="20% - Accent1 9 4 2 5" xfId="6387" xr:uid="{00000000-0005-0000-0000-0000010B0000}"/>
    <cellStyle name="20% - Accent1 9 4 2 6" xfId="6388" xr:uid="{00000000-0005-0000-0000-0000020B0000}"/>
    <cellStyle name="20% - Accent1 9 4 3" xfId="6389" xr:uid="{00000000-0005-0000-0000-0000030B0000}"/>
    <cellStyle name="20% - Accent1 9 4 3 2" xfId="6390" xr:uid="{00000000-0005-0000-0000-0000040B0000}"/>
    <cellStyle name="20% - Accent1 9 4 3 2 2" xfId="6391" xr:uid="{00000000-0005-0000-0000-0000050B0000}"/>
    <cellStyle name="20% - Accent1 9 4 3 3" xfId="6392" xr:uid="{00000000-0005-0000-0000-0000060B0000}"/>
    <cellStyle name="20% - Accent1 9 4 4" xfId="6393" xr:uid="{00000000-0005-0000-0000-0000070B0000}"/>
    <cellStyle name="20% - Accent1 9 4 4 2" xfId="6394" xr:uid="{00000000-0005-0000-0000-0000080B0000}"/>
    <cellStyle name="20% - Accent1 9 4 5" xfId="6395" xr:uid="{00000000-0005-0000-0000-0000090B0000}"/>
    <cellStyle name="20% - Accent1 9 4 6" xfId="6396" xr:uid="{00000000-0005-0000-0000-00000A0B0000}"/>
    <cellStyle name="20% - Accent1 9 4 7" xfId="6397" xr:uid="{00000000-0005-0000-0000-00000B0B0000}"/>
    <cellStyle name="20% - Accent1 9 5" xfId="6398" xr:uid="{00000000-0005-0000-0000-00000C0B0000}"/>
    <cellStyle name="20% - Accent1 9 5 2" xfId="6399" xr:uid="{00000000-0005-0000-0000-00000D0B0000}"/>
    <cellStyle name="20% - Accent1 9 5 2 2" xfId="6400" xr:uid="{00000000-0005-0000-0000-00000E0B0000}"/>
    <cellStyle name="20% - Accent1 9 5 2 2 2" xfId="6401" xr:uid="{00000000-0005-0000-0000-00000F0B0000}"/>
    <cellStyle name="20% - Accent1 9 5 2 3" xfId="6402" xr:uid="{00000000-0005-0000-0000-0000100B0000}"/>
    <cellStyle name="20% - Accent1 9 5 3" xfId="6403" xr:uid="{00000000-0005-0000-0000-0000110B0000}"/>
    <cellStyle name="20% - Accent1 9 5 3 2" xfId="6404" xr:uid="{00000000-0005-0000-0000-0000120B0000}"/>
    <cellStyle name="20% - Accent1 9 5 4" xfId="6405" xr:uid="{00000000-0005-0000-0000-0000130B0000}"/>
    <cellStyle name="20% - Accent1 9 5 5" xfId="6406" xr:uid="{00000000-0005-0000-0000-0000140B0000}"/>
    <cellStyle name="20% - Accent1 9 5 6" xfId="6407" xr:uid="{00000000-0005-0000-0000-0000150B0000}"/>
    <cellStyle name="20% - Accent1 9 6" xfId="6408" xr:uid="{00000000-0005-0000-0000-0000160B0000}"/>
    <cellStyle name="20% - Accent1 9 6 2" xfId="6409" xr:uid="{00000000-0005-0000-0000-0000170B0000}"/>
    <cellStyle name="20% - Accent1 9 6 2 2" xfId="6410" xr:uid="{00000000-0005-0000-0000-0000180B0000}"/>
    <cellStyle name="20% - Accent1 9 6 3" xfId="6411" xr:uid="{00000000-0005-0000-0000-0000190B0000}"/>
    <cellStyle name="20% - Accent1 9 7" xfId="6412" xr:uid="{00000000-0005-0000-0000-00001A0B0000}"/>
    <cellStyle name="20% - Accent1 9 7 2" xfId="6413" xr:uid="{00000000-0005-0000-0000-00001B0B0000}"/>
    <cellStyle name="20% - Accent1 9 7 2 2" xfId="6414" xr:uid="{00000000-0005-0000-0000-00001C0B0000}"/>
    <cellStyle name="20% - Accent1 9 7 3" xfId="6415" xr:uid="{00000000-0005-0000-0000-00001D0B0000}"/>
    <cellStyle name="20% - Accent1 9 8" xfId="6416" xr:uid="{00000000-0005-0000-0000-00001E0B0000}"/>
    <cellStyle name="20% - Accent1 9 8 2" xfId="6417" xr:uid="{00000000-0005-0000-0000-00001F0B0000}"/>
    <cellStyle name="20% - Accent1 9 9" xfId="6418" xr:uid="{00000000-0005-0000-0000-0000200B0000}"/>
    <cellStyle name="20% - Accent1 9 9 2" xfId="6419" xr:uid="{00000000-0005-0000-0000-0000210B0000}"/>
    <cellStyle name="20% - Accent2" xfId="123" builtinId="34" customBuiltin="1"/>
    <cellStyle name="20% - Accent2 10" xfId="6420" xr:uid="{00000000-0005-0000-0000-0000220B0000}"/>
    <cellStyle name="20% - Accent2 10 10" xfId="6421" xr:uid="{00000000-0005-0000-0000-0000230B0000}"/>
    <cellStyle name="20% - Accent2 10 11" xfId="6422" xr:uid="{00000000-0005-0000-0000-0000240B0000}"/>
    <cellStyle name="20% - Accent2 10 2" xfId="6423" xr:uid="{00000000-0005-0000-0000-0000250B0000}"/>
    <cellStyle name="20% - Accent2 10 2 2" xfId="6424" xr:uid="{00000000-0005-0000-0000-0000260B0000}"/>
    <cellStyle name="20% - Accent2 10 2 2 2" xfId="6425" xr:uid="{00000000-0005-0000-0000-0000270B0000}"/>
    <cellStyle name="20% - Accent2 10 2 2 2 2" xfId="6426" xr:uid="{00000000-0005-0000-0000-0000280B0000}"/>
    <cellStyle name="20% - Accent2 10 2 2 2 2 2" xfId="6427" xr:uid="{00000000-0005-0000-0000-0000290B0000}"/>
    <cellStyle name="20% - Accent2 10 2 2 2 3" xfId="6428" xr:uid="{00000000-0005-0000-0000-00002A0B0000}"/>
    <cellStyle name="20% - Accent2 10 2 2 3" xfId="6429" xr:uid="{00000000-0005-0000-0000-00002B0B0000}"/>
    <cellStyle name="20% - Accent2 10 2 2 3 2" xfId="6430" xr:uid="{00000000-0005-0000-0000-00002C0B0000}"/>
    <cellStyle name="20% - Accent2 10 2 2 4" xfId="6431" xr:uid="{00000000-0005-0000-0000-00002D0B0000}"/>
    <cellStyle name="20% - Accent2 10 2 2 5" xfId="6432" xr:uid="{00000000-0005-0000-0000-00002E0B0000}"/>
    <cellStyle name="20% - Accent2 10 2 2 6" xfId="6433" xr:uid="{00000000-0005-0000-0000-00002F0B0000}"/>
    <cellStyle name="20% - Accent2 10 2 3" xfId="6434" xr:uid="{00000000-0005-0000-0000-0000300B0000}"/>
    <cellStyle name="20% - Accent2 10 2 3 2" xfId="6435" xr:uid="{00000000-0005-0000-0000-0000310B0000}"/>
    <cellStyle name="20% - Accent2 10 2 3 2 2" xfId="6436" xr:uid="{00000000-0005-0000-0000-0000320B0000}"/>
    <cellStyle name="20% - Accent2 10 2 3 3" xfId="6437" xr:uid="{00000000-0005-0000-0000-0000330B0000}"/>
    <cellStyle name="20% - Accent2 10 2 4" xfId="6438" xr:uid="{00000000-0005-0000-0000-0000340B0000}"/>
    <cellStyle name="20% - Accent2 10 2 4 2" xfId="6439" xr:uid="{00000000-0005-0000-0000-0000350B0000}"/>
    <cellStyle name="20% - Accent2 10 2 5" xfId="6440" xr:uid="{00000000-0005-0000-0000-0000360B0000}"/>
    <cellStyle name="20% - Accent2 10 2 5 2" xfId="6441" xr:uid="{00000000-0005-0000-0000-0000370B0000}"/>
    <cellStyle name="20% - Accent2 10 2 6" xfId="6442" xr:uid="{00000000-0005-0000-0000-0000380B0000}"/>
    <cellStyle name="20% - Accent2 10 2 7" xfId="6443" xr:uid="{00000000-0005-0000-0000-0000390B0000}"/>
    <cellStyle name="20% - Accent2 10 2 8" xfId="6444" xr:uid="{00000000-0005-0000-0000-00003A0B0000}"/>
    <cellStyle name="20% - Accent2 10 3" xfId="6445" xr:uid="{00000000-0005-0000-0000-00003B0B0000}"/>
    <cellStyle name="20% - Accent2 10 3 2" xfId="6446" xr:uid="{00000000-0005-0000-0000-00003C0B0000}"/>
    <cellStyle name="20% - Accent2 10 3 2 2" xfId="6447" xr:uid="{00000000-0005-0000-0000-00003D0B0000}"/>
    <cellStyle name="20% - Accent2 10 3 2 2 2" xfId="6448" xr:uid="{00000000-0005-0000-0000-00003E0B0000}"/>
    <cellStyle name="20% - Accent2 10 3 2 2 2 2" xfId="6449" xr:uid="{00000000-0005-0000-0000-00003F0B0000}"/>
    <cellStyle name="20% - Accent2 10 3 2 2 3" xfId="6450" xr:uid="{00000000-0005-0000-0000-0000400B0000}"/>
    <cellStyle name="20% - Accent2 10 3 2 3" xfId="6451" xr:uid="{00000000-0005-0000-0000-0000410B0000}"/>
    <cellStyle name="20% - Accent2 10 3 2 3 2" xfId="6452" xr:uid="{00000000-0005-0000-0000-0000420B0000}"/>
    <cellStyle name="20% - Accent2 10 3 2 4" xfId="6453" xr:uid="{00000000-0005-0000-0000-0000430B0000}"/>
    <cellStyle name="20% - Accent2 10 3 2 5" xfId="6454" xr:uid="{00000000-0005-0000-0000-0000440B0000}"/>
    <cellStyle name="20% - Accent2 10 3 2 6" xfId="6455" xr:uid="{00000000-0005-0000-0000-0000450B0000}"/>
    <cellStyle name="20% - Accent2 10 3 3" xfId="6456" xr:uid="{00000000-0005-0000-0000-0000460B0000}"/>
    <cellStyle name="20% - Accent2 10 3 3 2" xfId="6457" xr:uid="{00000000-0005-0000-0000-0000470B0000}"/>
    <cellStyle name="20% - Accent2 10 3 3 2 2" xfId="6458" xr:uid="{00000000-0005-0000-0000-0000480B0000}"/>
    <cellStyle name="20% - Accent2 10 3 3 3" xfId="6459" xr:uid="{00000000-0005-0000-0000-0000490B0000}"/>
    <cellStyle name="20% - Accent2 10 3 4" xfId="6460" xr:uid="{00000000-0005-0000-0000-00004A0B0000}"/>
    <cellStyle name="20% - Accent2 10 3 4 2" xfId="6461" xr:uid="{00000000-0005-0000-0000-00004B0B0000}"/>
    <cellStyle name="20% - Accent2 10 3 5" xfId="6462" xr:uid="{00000000-0005-0000-0000-00004C0B0000}"/>
    <cellStyle name="20% - Accent2 10 3 6" xfId="6463" xr:uid="{00000000-0005-0000-0000-00004D0B0000}"/>
    <cellStyle name="20% - Accent2 10 3 7" xfId="6464" xr:uid="{00000000-0005-0000-0000-00004E0B0000}"/>
    <cellStyle name="20% - Accent2 10 4" xfId="6465" xr:uid="{00000000-0005-0000-0000-00004F0B0000}"/>
    <cellStyle name="20% - Accent2 10 4 2" xfId="6466" xr:uid="{00000000-0005-0000-0000-0000500B0000}"/>
    <cellStyle name="20% - Accent2 10 4 2 2" xfId="6467" xr:uid="{00000000-0005-0000-0000-0000510B0000}"/>
    <cellStyle name="20% - Accent2 10 4 2 2 2" xfId="6468" xr:uid="{00000000-0005-0000-0000-0000520B0000}"/>
    <cellStyle name="20% - Accent2 10 4 2 3" xfId="6469" xr:uid="{00000000-0005-0000-0000-0000530B0000}"/>
    <cellStyle name="20% - Accent2 10 4 3" xfId="6470" xr:uid="{00000000-0005-0000-0000-0000540B0000}"/>
    <cellStyle name="20% - Accent2 10 4 3 2" xfId="6471" xr:uid="{00000000-0005-0000-0000-0000550B0000}"/>
    <cellStyle name="20% - Accent2 10 4 4" xfId="6472" xr:uid="{00000000-0005-0000-0000-0000560B0000}"/>
    <cellStyle name="20% - Accent2 10 4 5" xfId="6473" xr:uid="{00000000-0005-0000-0000-0000570B0000}"/>
    <cellStyle name="20% - Accent2 10 4 6" xfId="6474" xr:uid="{00000000-0005-0000-0000-0000580B0000}"/>
    <cellStyle name="20% - Accent2 10 5" xfId="6475" xr:uid="{00000000-0005-0000-0000-0000590B0000}"/>
    <cellStyle name="20% - Accent2 10 5 2" xfId="6476" xr:uid="{00000000-0005-0000-0000-00005A0B0000}"/>
    <cellStyle name="20% - Accent2 10 5 2 2" xfId="6477" xr:uid="{00000000-0005-0000-0000-00005B0B0000}"/>
    <cellStyle name="20% - Accent2 10 5 3" xfId="6478" xr:uid="{00000000-0005-0000-0000-00005C0B0000}"/>
    <cellStyle name="20% - Accent2 10 6" xfId="6479" xr:uid="{00000000-0005-0000-0000-00005D0B0000}"/>
    <cellStyle name="20% - Accent2 10 6 2" xfId="6480" xr:uid="{00000000-0005-0000-0000-00005E0B0000}"/>
    <cellStyle name="20% - Accent2 10 6 2 2" xfId="6481" xr:uid="{00000000-0005-0000-0000-00005F0B0000}"/>
    <cellStyle name="20% - Accent2 10 6 3" xfId="6482" xr:uid="{00000000-0005-0000-0000-0000600B0000}"/>
    <cellStyle name="20% - Accent2 10 7" xfId="6483" xr:uid="{00000000-0005-0000-0000-0000610B0000}"/>
    <cellStyle name="20% - Accent2 10 7 2" xfId="6484" xr:uid="{00000000-0005-0000-0000-0000620B0000}"/>
    <cellStyle name="20% - Accent2 10 8" xfId="6485" xr:uid="{00000000-0005-0000-0000-0000630B0000}"/>
    <cellStyle name="20% - Accent2 10 8 2" xfId="6486" xr:uid="{00000000-0005-0000-0000-0000640B0000}"/>
    <cellStyle name="20% - Accent2 10 9" xfId="6487" xr:uid="{00000000-0005-0000-0000-0000650B0000}"/>
    <cellStyle name="20% - Accent2 11" xfId="6488" xr:uid="{00000000-0005-0000-0000-0000660B0000}"/>
    <cellStyle name="20% - Accent2 11 10" xfId="6489" xr:uid="{00000000-0005-0000-0000-0000670B0000}"/>
    <cellStyle name="20% - Accent2 11 11" xfId="6490" xr:uid="{00000000-0005-0000-0000-0000680B0000}"/>
    <cellStyle name="20% - Accent2 11 2" xfId="6491" xr:uid="{00000000-0005-0000-0000-0000690B0000}"/>
    <cellStyle name="20% - Accent2 11 2 2" xfId="6492" xr:uid="{00000000-0005-0000-0000-00006A0B0000}"/>
    <cellStyle name="20% - Accent2 11 2 2 2" xfId="6493" xr:uid="{00000000-0005-0000-0000-00006B0B0000}"/>
    <cellStyle name="20% - Accent2 11 2 2 2 2" xfId="6494" xr:uid="{00000000-0005-0000-0000-00006C0B0000}"/>
    <cellStyle name="20% - Accent2 11 2 2 2 2 2" xfId="6495" xr:uid="{00000000-0005-0000-0000-00006D0B0000}"/>
    <cellStyle name="20% - Accent2 11 2 2 2 3" xfId="6496" xr:uid="{00000000-0005-0000-0000-00006E0B0000}"/>
    <cellStyle name="20% - Accent2 11 2 2 3" xfId="6497" xr:uid="{00000000-0005-0000-0000-00006F0B0000}"/>
    <cellStyle name="20% - Accent2 11 2 2 3 2" xfId="6498" xr:uid="{00000000-0005-0000-0000-0000700B0000}"/>
    <cellStyle name="20% - Accent2 11 2 2 4" xfId="6499" xr:uid="{00000000-0005-0000-0000-0000710B0000}"/>
    <cellStyle name="20% - Accent2 11 2 2 5" xfId="6500" xr:uid="{00000000-0005-0000-0000-0000720B0000}"/>
    <cellStyle name="20% - Accent2 11 2 2 6" xfId="6501" xr:uid="{00000000-0005-0000-0000-0000730B0000}"/>
    <cellStyle name="20% - Accent2 11 2 3" xfId="6502" xr:uid="{00000000-0005-0000-0000-0000740B0000}"/>
    <cellStyle name="20% - Accent2 11 2 3 2" xfId="6503" xr:uid="{00000000-0005-0000-0000-0000750B0000}"/>
    <cellStyle name="20% - Accent2 11 2 3 2 2" xfId="6504" xr:uid="{00000000-0005-0000-0000-0000760B0000}"/>
    <cellStyle name="20% - Accent2 11 2 3 3" xfId="6505" xr:uid="{00000000-0005-0000-0000-0000770B0000}"/>
    <cellStyle name="20% - Accent2 11 2 4" xfId="6506" xr:uid="{00000000-0005-0000-0000-0000780B0000}"/>
    <cellStyle name="20% - Accent2 11 2 4 2" xfId="6507" xr:uid="{00000000-0005-0000-0000-0000790B0000}"/>
    <cellStyle name="20% - Accent2 11 2 5" xfId="6508" xr:uid="{00000000-0005-0000-0000-00007A0B0000}"/>
    <cellStyle name="20% - Accent2 11 2 5 2" xfId="6509" xr:uid="{00000000-0005-0000-0000-00007B0B0000}"/>
    <cellStyle name="20% - Accent2 11 2 6" xfId="6510" xr:uid="{00000000-0005-0000-0000-00007C0B0000}"/>
    <cellStyle name="20% - Accent2 11 2 7" xfId="6511" xr:uid="{00000000-0005-0000-0000-00007D0B0000}"/>
    <cellStyle name="20% - Accent2 11 2 8" xfId="6512" xr:uid="{00000000-0005-0000-0000-00007E0B0000}"/>
    <cellStyle name="20% - Accent2 11 3" xfId="6513" xr:uid="{00000000-0005-0000-0000-00007F0B0000}"/>
    <cellStyle name="20% - Accent2 11 3 2" xfId="6514" xr:uid="{00000000-0005-0000-0000-0000800B0000}"/>
    <cellStyle name="20% - Accent2 11 3 2 2" xfId="6515" xr:uid="{00000000-0005-0000-0000-0000810B0000}"/>
    <cellStyle name="20% - Accent2 11 3 2 2 2" xfId="6516" xr:uid="{00000000-0005-0000-0000-0000820B0000}"/>
    <cellStyle name="20% - Accent2 11 3 2 2 2 2" xfId="6517" xr:uid="{00000000-0005-0000-0000-0000830B0000}"/>
    <cellStyle name="20% - Accent2 11 3 2 2 3" xfId="6518" xr:uid="{00000000-0005-0000-0000-0000840B0000}"/>
    <cellStyle name="20% - Accent2 11 3 2 3" xfId="6519" xr:uid="{00000000-0005-0000-0000-0000850B0000}"/>
    <cellStyle name="20% - Accent2 11 3 2 3 2" xfId="6520" xr:uid="{00000000-0005-0000-0000-0000860B0000}"/>
    <cellStyle name="20% - Accent2 11 3 2 4" xfId="6521" xr:uid="{00000000-0005-0000-0000-0000870B0000}"/>
    <cellStyle name="20% - Accent2 11 3 2 5" xfId="6522" xr:uid="{00000000-0005-0000-0000-0000880B0000}"/>
    <cellStyle name="20% - Accent2 11 3 2 6" xfId="6523" xr:uid="{00000000-0005-0000-0000-0000890B0000}"/>
    <cellStyle name="20% - Accent2 11 3 3" xfId="6524" xr:uid="{00000000-0005-0000-0000-00008A0B0000}"/>
    <cellStyle name="20% - Accent2 11 3 3 2" xfId="6525" xr:uid="{00000000-0005-0000-0000-00008B0B0000}"/>
    <cellStyle name="20% - Accent2 11 3 3 2 2" xfId="6526" xr:uid="{00000000-0005-0000-0000-00008C0B0000}"/>
    <cellStyle name="20% - Accent2 11 3 3 3" xfId="6527" xr:uid="{00000000-0005-0000-0000-00008D0B0000}"/>
    <cellStyle name="20% - Accent2 11 3 4" xfId="6528" xr:uid="{00000000-0005-0000-0000-00008E0B0000}"/>
    <cellStyle name="20% - Accent2 11 3 4 2" xfId="6529" xr:uid="{00000000-0005-0000-0000-00008F0B0000}"/>
    <cellStyle name="20% - Accent2 11 3 5" xfId="6530" xr:uid="{00000000-0005-0000-0000-0000900B0000}"/>
    <cellStyle name="20% - Accent2 11 3 6" xfId="6531" xr:uid="{00000000-0005-0000-0000-0000910B0000}"/>
    <cellStyle name="20% - Accent2 11 3 7" xfId="6532" xr:uid="{00000000-0005-0000-0000-0000920B0000}"/>
    <cellStyle name="20% - Accent2 11 4" xfId="6533" xr:uid="{00000000-0005-0000-0000-0000930B0000}"/>
    <cellStyle name="20% - Accent2 11 4 2" xfId="6534" xr:uid="{00000000-0005-0000-0000-0000940B0000}"/>
    <cellStyle name="20% - Accent2 11 4 2 2" xfId="6535" xr:uid="{00000000-0005-0000-0000-0000950B0000}"/>
    <cellStyle name="20% - Accent2 11 4 2 2 2" xfId="6536" xr:uid="{00000000-0005-0000-0000-0000960B0000}"/>
    <cellStyle name="20% - Accent2 11 4 2 3" xfId="6537" xr:uid="{00000000-0005-0000-0000-0000970B0000}"/>
    <cellStyle name="20% - Accent2 11 4 3" xfId="6538" xr:uid="{00000000-0005-0000-0000-0000980B0000}"/>
    <cellStyle name="20% - Accent2 11 4 3 2" xfId="6539" xr:uid="{00000000-0005-0000-0000-0000990B0000}"/>
    <cellStyle name="20% - Accent2 11 4 4" xfId="6540" xr:uid="{00000000-0005-0000-0000-00009A0B0000}"/>
    <cellStyle name="20% - Accent2 11 4 5" xfId="6541" xr:uid="{00000000-0005-0000-0000-00009B0B0000}"/>
    <cellStyle name="20% - Accent2 11 4 6" xfId="6542" xr:uid="{00000000-0005-0000-0000-00009C0B0000}"/>
    <cellStyle name="20% - Accent2 11 5" xfId="6543" xr:uid="{00000000-0005-0000-0000-00009D0B0000}"/>
    <cellStyle name="20% - Accent2 11 5 2" xfId="6544" xr:uid="{00000000-0005-0000-0000-00009E0B0000}"/>
    <cellStyle name="20% - Accent2 11 5 2 2" xfId="6545" xr:uid="{00000000-0005-0000-0000-00009F0B0000}"/>
    <cellStyle name="20% - Accent2 11 5 3" xfId="6546" xr:uid="{00000000-0005-0000-0000-0000A00B0000}"/>
    <cellStyle name="20% - Accent2 11 6" xfId="6547" xr:uid="{00000000-0005-0000-0000-0000A10B0000}"/>
    <cellStyle name="20% - Accent2 11 6 2" xfId="6548" xr:uid="{00000000-0005-0000-0000-0000A20B0000}"/>
    <cellStyle name="20% - Accent2 11 6 2 2" xfId="6549" xr:uid="{00000000-0005-0000-0000-0000A30B0000}"/>
    <cellStyle name="20% - Accent2 11 6 3" xfId="6550" xr:uid="{00000000-0005-0000-0000-0000A40B0000}"/>
    <cellStyle name="20% - Accent2 11 7" xfId="6551" xr:uid="{00000000-0005-0000-0000-0000A50B0000}"/>
    <cellStyle name="20% - Accent2 11 7 2" xfId="6552" xr:uid="{00000000-0005-0000-0000-0000A60B0000}"/>
    <cellStyle name="20% - Accent2 11 8" xfId="6553" xr:uid="{00000000-0005-0000-0000-0000A70B0000}"/>
    <cellStyle name="20% - Accent2 11 8 2" xfId="6554" xr:uid="{00000000-0005-0000-0000-0000A80B0000}"/>
    <cellStyle name="20% - Accent2 11 9" xfId="6555" xr:uid="{00000000-0005-0000-0000-0000A90B0000}"/>
    <cellStyle name="20% - Accent2 12" xfId="6556" xr:uid="{00000000-0005-0000-0000-0000AA0B0000}"/>
    <cellStyle name="20% - Accent2 12 2" xfId="6557" xr:uid="{00000000-0005-0000-0000-0000AB0B0000}"/>
    <cellStyle name="20% - Accent2 12 2 2" xfId="6558" xr:uid="{00000000-0005-0000-0000-0000AC0B0000}"/>
    <cellStyle name="20% - Accent2 12 2 2 2" xfId="6559" xr:uid="{00000000-0005-0000-0000-0000AD0B0000}"/>
    <cellStyle name="20% - Accent2 12 2 2 2 2" xfId="6560" xr:uid="{00000000-0005-0000-0000-0000AE0B0000}"/>
    <cellStyle name="20% - Accent2 12 2 2 2 2 2" xfId="6561" xr:uid="{00000000-0005-0000-0000-0000AF0B0000}"/>
    <cellStyle name="20% - Accent2 12 2 2 2 3" xfId="6562" xr:uid="{00000000-0005-0000-0000-0000B00B0000}"/>
    <cellStyle name="20% - Accent2 12 2 2 3" xfId="6563" xr:uid="{00000000-0005-0000-0000-0000B10B0000}"/>
    <cellStyle name="20% - Accent2 12 2 2 3 2" xfId="6564" xr:uid="{00000000-0005-0000-0000-0000B20B0000}"/>
    <cellStyle name="20% - Accent2 12 2 2 4" xfId="6565" xr:uid="{00000000-0005-0000-0000-0000B30B0000}"/>
    <cellStyle name="20% - Accent2 12 2 2 5" xfId="6566" xr:uid="{00000000-0005-0000-0000-0000B40B0000}"/>
    <cellStyle name="20% - Accent2 12 2 2 6" xfId="6567" xr:uid="{00000000-0005-0000-0000-0000B50B0000}"/>
    <cellStyle name="20% - Accent2 12 2 3" xfId="6568" xr:uid="{00000000-0005-0000-0000-0000B60B0000}"/>
    <cellStyle name="20% - Accent2 12 2 3 2" xfId="6569" xr:uid="{00000000-0005-0000-0000-0000B70B0000}"/>
    <cellStyle name="20% - Accent2 12 2 3 2 2" xfId="6570" xr:uid="{00000000-0005-0000-0000-0000B80B0000}"/>
    <cellStyle name="20% - Accent2 12 2 3 3" xfId="6571" xr:uid="{00000000-0005-0000-0000-0000B90B0000}"/>
    <cellStyle name="20% - Accent2 12 2 4" xfId="6572" xr:uid="{00000000-0005-0000-0000-0000BA0B0000}"/>
    <cellStyle name="20% - Accent2 12 2 4 2" xfId="6573" xr:uid="{00000000-0005-0000-0000-0000BB0B0000}"/>
    <cellStyle name="20% - Accent2 12 2 5" xfId="6574" xr:uid="{00000000-0005-0000-0000-0000BC0B0000}"/>
    <cellStyle name="20% - Accent2 12 2 6" xfId="6575" xr:uid="{00000000-0005-0000-0000-0000BD0B0000}"/>
    <cellStyle name="20% - Accent2 12 2 7" xfId="6576" xr:uid="{00000000-0005-0000-0000-0000BE0B0000}"/>
    <cellStyle name="20% - Accent2 12 3" xfId="6577" xr:uid="{00000000-0005-0000-0000-0000BF0B0000}"/>
    <cellStyle name="20% - Accent2 12 3 2" xfId="6578" xr:uid="{00000000-0005-0000-0000-0000C00B0000}"/>
    <cellStyle name="20% - Accent2 12 3 2 2" xfId="6579" xr:uid="{00000000-0005-0000-0000-0000C10B0000}"/>
    <cellStyle name="20% - Accent2 12 3 2 2 2" xfId="6580" xr:uid="{00000000-0005-0000-0000-0000C20B0000}"/>
    <cellStyle name="20% - Accent2 12 3 2 2 2 2" xfId="6581" xr:uid="{00000000-0005-0000-0000-0000C30B0000}"/>
    <cellStyle name="20% - Accent2 12 3 2 2 3" xfId="6582" xr:uid="{00000000-0005-0000-0000-0000C40B0000}"/>
    <cellStyle name="20% - Accent2 12 3 2 3" xfId="6583" xr:uid="{00000000-0005-0000-0000-0000C50B0000}"/>
    <cellStyle name="20% - Accent2 12 3 2 3 2" xfId="6584" xr:uid="{00000000-0005-0000-0000-0000C60B0000}"/>
    <cellStyle name="20% - Accent2 12 3 2 4" xfId="6585" xr:uid="{00000000-0005-0000-0000-0000C70B0000}"/>
    <cellStyle name="20% - Accent2 12 3 2 5" xfId="6586" xr:uid="{00000000-0005-0000-0000-0000C80B0000}"/>
    <cellStyle name="20% - Accent2 12 3 2 6" xfId="6587" xr:uid="{00000000-0005-0000-0000-0000C90B0000}"/>
    <cellStyle name="20% - Accent2 12 3 3" xfId="6588" xr:uid="{00000000-0005-0000-0000-0000CA0B0000}"/>
    <cellStyle name="20% - Accent2 12 3 3 2" xfId="6589" xr:uid="{00000000-0005-0000-0000-0000CB0B0000}"/>
    <cellStyle name="20% - Accent2 12 3 3 2 2" xfId="6590" xr:uid="{00000000-0005-0000-0000-0000CC0B0000}"/>
    <cellStyle name="20% - Accent2 12 3 3 3" xfId="6591" xr:uid="{00000000-0005-0000-0000-0000CD0B0000}"/>
    <cellStyle name="20% - Accent2 12 3 4" xfId="6592" xr:uid="{00000000-0005-0000-0000-0000CE0B0000}"/>
    <cellStyle name="20% - Accent2 12 3 4 2" xfId="6593" xr:uid="{00000000-0005-0000-0000-0000CF0B0000}"/>
    <cellStyle name="20% - Accent2 12 3 5" xfId="6594" xr:uid="{00000000-0005-0000-0000-0000D00B0000}"/>
    <cellStyle name="20% - Accent2 12 3 6" xfId="6595" xr:uid="{00000000-0005-0000-0000-0000D10B0000}"/>
    <cellStyle name="20% - Accent2 12 3 7" xfId="6596" xr:uid="{00000000-0005-0000-0000-0000D20B0000}"/>
    <cellStyle name="20% - Accent2 12 4" xfId="6597" xr:uid="{00000000-0005-0000-0000-0000D30B0000}"/>
    <cellStyle name="20% - Accent2 12 5" xfId="6598" xr:uid="{00000000-0005-0000-0000-0000D40B0000}"/>
    <cellStyle name="20% - Accent2 12 6" xfId="6599" xr:uid="{00000000-0005-0000-0000-0000D50B0000}"/>
    <cellStyle name="20% - Accent2 12 6 2" xfId="6600" xr:uid="{00000000-0005-0000-0000-0000D60B0000}"/>
    <cellStyle name="20% - Accent2 12 7" xfId="6601" xr:uid="{00000000-0005-0000-0000-0000D70B0000}"/>
    <cellStyle name="20% - Accent2 12 8" xfId="6602" xr:uid="{00000000-0005-0000-0000-0000D80B0000}"/>
    <cellStyle name="20% - Accent2 13" xfId="6603" xr:uid="{00000000-0005-0000-0000-0000D90B0000}"/>
    <cellStyle name="20% - Accent2 13 2" xfId="6604" xr:uid="{00000000-0005-0000-0000-0000DA0B0000}"/>
    <cellStyle name="20% - Accent2 13 2 2" xfId="6605" xr:uid="{00000000-0005-0000-0000-0000DB0B0000}"/>
    <cellStyle name="20% - Accent2 13 2 2 2" xfId="6606" xr:uid="{00000000-0005-0000-0000-0000DC0B0000}"/>
    <cellStyle name="20% - Accent2 13 2 3" xfId="6607" xr:uid="{00000000-0005-0000-0000-0000DD0B0000}"/>
    <cellStyle name="20% - Accent2 13 3" xfId="6608" xr:uid="{00000000-0005-0000-0000-0000DE0B0000}"/>
    <cellStyle name="20% - Accent2 13 3 2" xfId="6609" xr:uid="{00000000-0005-0000-0000-0000DF0B0000}"/>
    <cellStyle name="20% - Accent2 13 4" xfId="6610" xr:uid="{00000000-0005-0000-0000-0000E00B0000}"/>
    <cellStyle name="20% - Accent2 13 5" xfId="6611" xr:uid="{00000000-0005-0000-0000-0000E10B0000}"/>
    <cellStyle name="20% - Accent2 13 6" xfId="6612" xr:uid="{00000000-0005-0000-0000-0000E20B0000}"/>
    <cellStyle name="20% - Accent2 14" xfId="6613" xr:uid="{00000000-0005-0000-0000-0000E30B0000}"/>
    <cellStyle name="20% - Accent2 14 2" xfId="6614" xr:uid="{00000000-0005-0000-0000-0000E40B0000}"/>
    <cellStyle name="20% - Accent2 14 2 2" xfId="6615" xr:uid="{00000000-0005-0000-0000-0000E50B0000}"/>
    <cellStyle name="20% - Accent2 14 2 2 2" xfId="6616" xr:uid="{00000000-0005-0000-0000-0000E60B0000}"/>
    <cellStyle name="20% - Accent2 14 2 3" xfId="6617" xr:uid="{00000000-0005-0000-0000-0000E70B0000}"/>
    <cellStyle name="20% - Accent2 14 3" xfId="6618" xr:uid="{00000000-0005-0000-0000-0000E80B0000}"/>
    <cellStyle name="20% - Accent2 14 3 2" xfId="6619" xr:uid="{00000000-0005-0000-0000-0000E90B0000}"/>
    <cellStyle name="20% - Accent2 14 4" xfId="6620" xr:uid="{00000000-0005-0000-0000-0000EA0B0000}"/>
    <cellStyle name="20% - Accent2 15" xfId="6621" xr:uid="{00000000-0005-0000-0000-0000EB0B0000}"/>
    <cellStyle name="20% - Accent2 15 2" xfId="6622" xr:uid="{00000000-0005-0000-0000-0000EC0B0000}"/>
    <cellStyle name="20% - Accent2 15 2 2" xfId="6623" xr:uid="{00000000-0005-0000-0000-0000ED0B0000}"/>
    <cellStyle name="20% - Accent2 15 2 2 2" xfId="6624" xr:uid="{00000000-0005-0000-0000-0000EE0B0000}"/>
    <cellStyle name="20% - Accent2 15 2 3" xfId="6625" xr:uid="{00000000-0005-0000-0000-0000EF0B0000}"/>
    <cellStyle name="20% - Accent2 15 3" xfId="6626" xr:uid="{00000000-0005-0000-0000-0000F00B0000}"/>
    <cellStyle name="20% - Accent2 15 3 2" xfId="6627" xr:uid="{00000000-0005-0000-0000-0000F10B0000}"/>
    <cellStyle name="20% - Accent2 15 4" xfId="6628" xr:uid="{00000000-0005-0000-0000-0000F20B0000}"/>
    <cellStyle name="20% - Accent2 16" xfId="6629" xr:uid="{00000000-0005-0000-0000-0000F30B0000}"/>
    <cellStyle name="20% - Accent2 16 2" xfId="6630" xr:uid="{00000000-0005-0000-0000-0000F40B0000}"/>
    <cellStyle name="20% - Accent2 16 2 2" xfId="6631" xr:uid="{00000000-0005-0000-0000-0000F50B0000}"/>
    <cellStyle name="20% - Accent2 16 3" xfId="6632" xr:uid="{00000000-0005-0000-0000-0000F60B0000}"/>
    <cellStyle name="20% - Accent2 17" xfId="6633" xr:uid="{00000000-0005-0000-0000-0000F70B0000}"/>
    <cellStyle name="20% - Accent2 18" xfId="6634" xr:uid="{00000000-0005-0000-0000-0000F80B0000}"/>
    <cellStyle name="20% - Accent2 19" xfId="6635" xr:uid="{00000000-0005-0000-0000-0000F90B0000}"/>
    <cellStyle name="20% - Accent2 2" xfId="166" xr:uid="{00000000-0005-0000-0000-0000FA0B0000}"/>
    <cellStyle name="20% - Accent2 2 2" xfId="6636" xr:uid="{00000000-0005-0000-0000-0000FB0B0000}"/>
    <cellStyle name="20% - Accent2 2 2 10" xfId="6637" xr:uid="{00000000-0005-0000-0000-0000FC0B0000}"/>
    <cellStyle name="20% - Accent2 2 2 10 2" xfId="6638" xr:uid="{00000000-0005-0000-0000-0000FD0B0000}"/>
    <cellStyle name="20% - Accent2 2 2 10 2 2" xfId="6639" xr:uid="{00000000-0005-0000-0000-0000FE0B0000}"/>
    <cellStyle name="20% - Accent2 2 2 10 3" xfId="6640" xr:uid="{00000000-0005-0000-0000-0000FF0B0000}"/>
    <cellStyle name="20% - Accent2 2 2 11" xfId="6641" xr:uid="{00000000-0005-0000-0000-0000000C0000}"/>
    <cellStyle name="20% - Accent2 2 2 11 2" xfId="6642" xr:uid="{00000000-0005-0000-0000-0000010C0000}"/>
    <cellStyle name="20% - Accent2 2 2 11 2 2" xfId="6643" xr:uid="{00000000-0005-0000-0000-0000020C0000}"/>
    <cellStyle name="20% - Accent2 2 2 11 3" xfId="6644" xr:uid="{00000000-0005-0000-0000-0000030C0000}"/>
    <cellStyle name="20% - Accent2 2 2 12" xfId="6645" xr:uid="{00000000-0005-0000-0000-0000040C0000}"/>
    <cellStyle name="20% - Accent2 2 2 12 2" xfId="6646" xr:uid="{00000000-0005-0000-0000-0000050C0000}"/>
    <cellStyle name="20% - Accent2 2 2 12 2 2" xfId="6647" xr:uid="{00000000-0005-0000-0000-0000060C0000}"/>
    <cellStyle name="20% - Accent2 2 2 12 3" xfId="6648" xr:uid="{00000000-0005-0000-0000-0000070C0000}"/>
    <cellStyle name="20% - Accent2 2 2 13" xfId="6649" xr:uid="{00000000-0005-0000-0000-0000080C0000}"/>
    <cellStyle name="20% - Accent2 2 2 13 2" xfId="6650" xr:uid="{00000000-0005-0000-0000-0000090C0000}"/>
    <cellStyle name="20% - Accent2 2 2 14" xfId="6651" xr:uid="{00000000-0005-0000-0000-00000A0C0000}"/>
    <cellStyle name="20% - Accent2 2 2 15" xfId="6652" xr:uid="{00000000-0005-0000-0000-00000B0C0000}"/>
    <cellStyle name="20% - Accent2 2 2 16" xfId="6653" xr:uid="{00000000-0005-0000-0000-00000C0C0000}"/>
    <cellStyle name="20% - Accent2 2 2 2" xfId="6654" xr:uid="{00000000-0005-0000-0000-00000D0C0000}"/>
    <cellStyle name="20% - Accent2 2 2 2 10" xfId="6655" xr:uid="{00000000-0005-0000-0000-00000E0C0000}"/>
    <cellStyle name="20% - Accent2 2 2 2 11" xfId="6656" xr:uid="{00000000-0005-0000-0000-00000F0C0000}"/>
    <cellStyle name="20% - Accent2 2 2 2 2" xfId="6657" xr:uid="{00000000-0005-0000-0000-0000100C0000}"/>
    <cellStyle name="20% - Accent2 2 2 2 2 2" xfId="6658" xr:uid="{00000000-0005-0000-0000-0000110C0000}"/>
    <cellStyle name="20% - Accent2 2 2 2 2 2 2" xfId="6659" xr:uid="{00000000-0005-0000-0000-0000120C0000}"/>
    <cellStyle name="20% - Accent2 2 2 2 2 2 2 2" xfId="6660" xr:uid="{00000000-0005-0000-0000-0000130C0000}"/>
    <cellStyle name="20% - Accent2 2 2 2 2 2 2 2 2" xfId="6661" xr:uid="{00000000-0005-0000-0000-0000140C0000}"/>
    <cellStyle name="20% - Accent2 2 2 2 2 2 2 3" xfId="6662" xr:uid="{00000000-0005-0000-0000-0000150C0000}"/>
    <cellStyle name="20% - Accent2 2 2 2 2 2 3" xfId="6663" xr:uid="{00000000-0005-0000-0000-0000160C0000}"/>
    <cellStyle name="20% - Accent2 2 2 2 2 2 3 2" xfId="6664" xr:uid="{00000000-0005-0000-0000-0000170C0000}"/>
    <cellStyle name="20% - Accent2 2 2 2 2 2 4" xfId="6665" xr:uid="{00000000-0005-0000-0000-0000180C0000}"/>
    <cellStyle name="20% - Accent2 2 2 2 2 2 5" xfId="6666" xr:uid="{00000000-0005-0000-0000-0000190C0000}"/>
    <cellStyle name="20% - Accent2 2 2 2 2 2 6" xfId="6667" xr:uid="{00000000-0005-0000-0000-00001A0C0000}"/>
    <cellStyle name="20% - Accent2 2 2 2 2 3" xfId="6668" xr:uid="{00000000-0005-0000-0000-00001B0C0000}"/>
    <cellStyle name="20% - Accent2 2 2 2 2 3 2" xfId="6669" xr:uid="{00000000-0005-0000-0000-00001C0C0000}"/>
    <cellStyle name="20% - Accent2 2 2 2 2 3 2 2" xfId="6670" xr:uid="{00000000-0005-0000-0000-00001D0C0000}"/>
    <cellStyle name="20% - Accent2 2 2 2 2 3 3" xfId="6671" xr:uid="{00000000-0005-0000-0000-00001E0C0000}"/>
    <cellStyle name="20% - Accent2 2 2 2 2 4" xfId="6672" xr:uid="{00000000-0005-0000-0000-00001F0C0000}"/>
    <cellStyle name="20% - Accent2 2 2 2 2 4 2" xfId="6673" xr:uid="{00000000-0005-0000-0000-0000200C0000}"/>
    <cellStyle name="20% - Accent2 2 2 2 2 5" xfId="6674" xr:uid="{00000000-0005-0000-0000-0000210C0000}"/>
    <cellStyle name="20% - Accent2 2 2 2 2 5 2" xfId="6675" xr:uid="{00000000-0005-0000-0000-0000220C0000}"/>
    <cellStyle name="20% - Accent2 2 2 2 2 6" xfId="6676" xr:uid="{00000000-0005-0000-0000-0000230C0000}"/>
    <cellStyle name="20% - Accent2 2 2 2 2 7" xfId="6677" xr:uid="{00000000-0005-0000-0000-0000240C0000}"/>
    <cellStyle name="20% - Accent2 2 2 2 2 8" xfId="6678" xr:uid="{00000000-0005-0000-0000-0000250C0000}"/>
    <cellStyle name="20% - Accent2 2 2 2 3" xfId="6679" xr:uid="{00000000-0005-0000-0000-0000260C0000}"/>
    <cellStyle name="20% - Accent2 2 2 2 3 2" xfId="6680" xr:uid="{00000000-0005-0000-0000-0000270C0000}"/>
    <cellStyle name="20% - Accent2 2 2 2 3 2 2" xfId="6681" xr:uid="{00000000-0005-0000-0000-0000280C0000}"/>
    <cellStyle name="20% - Accent2 2 2 2 3 2 2 2" xfId="6682" xr:uid="{00000000-0005-0000-0000-0000290C0000}"/>
    <cellStyle name="20% - Accent2 2 2 2 3 2 2 2 2" xfId="6683" xr:uid="{00000000-0005-0000-0000-00002A0C0000}"/>
    <cellStyle name="20% - Accent2 2 2 2 3 2 2 3" xfId="6684" xr:uid="{00000000-0005-0000-0000-00002B0C0000}"/>
    <cellStyle name="20% - Accent2 2 2 2 3 2 3" xfId="6685" xr:uid="{00000000-0005-0000-0000-00002C0C0000}"/>
    <cellStyle name="20% - Accent2 2 2 2 3 2 3 2" xfId="6686" xr:uid="{00000000-0005-0000-0000-00002D0C0000}"/>
    <cellStyle name="20% - Accent2 2 2 2 3 2 4" xfId="6687" xr:uid="{00000000-0005-0000-0000-00002E0C0000}"/>
    <cellStyle name="20% - Accent2 2 2 2 3 2 5" xfId="6688" xr:uid="{00000000-0005-0000-0000-00002F0C0000}"/>
    <cellStyle name="20% - Accent2 2 2 2 3 2 6" xfId="6689" xr:uid="{00000000-0005-0000-0000-0000300C0000}"/>
    <cellStyle name="20% - Accent2 2 2 2 3 3" xfId="6690" xr:uid="{00000000-0005-0000-0000-0000310C0000}"/>
    <cellStyle name="20% - Accent2 2 2 2 3 3 2" xfId="6691" xr:uid="{00000000-0005-0000-0000-0000320C0000}"/>
    <cellStyle name="20% - Accent2 2 2 2 3 3 2 2" xfId="6692" xr:uid="{00000000-0005-0000-0000-0000330C0000}"/>
    <cellStyle name="20% - Accent2 2 2 2 3 3 3" xfId="6693" xr:uid="{00000000-0005-0000-0000-0000340C0000}"/>
    <cellStyle name="20% - Accent2 2 2 2 3 4" xfId="6694" xr:uid="{00000000-0005-0000-0000-0000350C0000}"/>
    <cellStyle name="20% - Accent2 2 2 2 3 4 2" xfId="6695" xr:uid="{00000000-0005-0000-0000-0000360C0000}"/>
    <cellStyle name="20% - Accent2 2 2 2 3 5" xfId="6696" xr:uid="{00000000-0005-0000-0000-0000370C0000}"/>
    <cellStyle name="20% - Accent2 2 2 2 3 6" xfId="6697" xr:uid="{00000000-0005-0000-0000-0000380C0000}"/>
    <cellStyle name="20% - Accent2 2 2 2 3 7" xfId="6698" xr:uid="{00000000-0005-0000-0000-0000390C0000}"/>
    <cellStyle name="20% - Accent2 2 2 2 4" xfId="6699" xr:uid="{00000000-0005-0000-0000-00003A0C0000}"/>
    <cellStyle name="20% - Accent2 2 2 2 4 2" xfId="6700" xr:uid="{00000000-0005-0000-0000-00003B0C0000}"/>
    <cellStyle name="20% - Accent2 2 2 2 4 2 2" xfId="6701" xr:uid="{00000000-0005-0000-0000-00003C0C0000}"/>
    <cellStyle name="20% - Accent2 2 2 2 4 2 2 2" xfId="6702" xr:uid="{00000000-0005-0000-0000-00003D0C0000}"/>
    <cellStyle name="20% - Accent2 2 2 2 4 2 3" xfId="6703" xr:uid="{00000000-0005-0000-0000-00003E0C0000}"/>
    <cellStyle name="20% - Accent2 2 2 2 4 3" xfId="6704" xr:uid="{00000000-0005-0000-0000-00003F0C0000}"/>
    <cellStyle name="20% - Accent2 2 2 2 4 3 2" xfId="6705" xr:uid="{00000000-0005-0000-0000-0000400C0000}"/>
    <cellStyle name="20% - Accent2 2 2 2 4 4" xfId="6706" xr:uid="{00000000-0005-0000-0000-0000410C0000}"/>
    <cellStyle name="20% - Accent2 2 2 2 4 5" xfId="6707" xr:uid="{00000000-0005-0000-0000-0000420C0000}"/>
    <cellStyle name="20% - Accent2 2 2 2 4 6" xfId="6708" xr:uid="{00000000-0005-0000-0000-0000430C0000}"/>
    <cellStyle name="20% - Accent2 2 2 2 5" xfId="6709" xr:uid="{00000000-0005-0000-0000-0000440C0000}"/>
    <cellStyle name="20% - Accent2 2 2 2 5 2" xfId="6710" xr:uid="{00000000-0005-0000-0000-0000450C0000}"/>
    <cellStyle name="20% - Accent2 2 2 2 5 2 2" xfId="6711" xr:uid="{00000000-0005-0000-0000-0000460C0000}"/>
    <cellStyle name="20% - Accent2 2 2 2 5 3" xfId="6712" xr:uid="{00000000-0005-0000-0000-0000470C0000}"/>
    <cellStyle name="20% - Accent2 2 2 2 6" xfId="6713" xr:uid="{00000000-0005-0000-0000-0000480C0000}"/>
    <cellStyle name="20% - Accent2 2 2 2 6 2" xfId="6714" xr:uid="{00000000-0005-0000-0000-0000490C0000}"/>
    <cellStyle name="20% - Accent2 2 2 2 6 2 2" xfId="6715" xr:uid="{00000000-0005-0000-0000-00004A0C0000}"/>
    <cellStyle name="20% - Accent2 2 2 2 6 3" xfId="6716" xr:uid="{00000000-0005-0000-0000-00004B0C0000}"/>
    <cellStyle name="20% - Accent2 2 2 2 7" xfId="6717" xr:uid="{00000000-0005-0000-0000-00004C0C0000}"/>
    <cellStyle name="20% - Accent2 2 2 2 7 2" xfId="6718" xr:uid="{00000000-0005-0000-0000-00004D0C0000}"/>
    <cellStyle name="20% - Accent2 2 2 2 8" xfId="6719" xr:uid="{00000000-0005-0000-0000-00004E0C0000}"/>
    <cellStyle name="20% - Accent2 2 2 2 8 2" xfId="6720" xr:uid="{00000000-0005-0000-0000-00004F0C0000}"/>
    <cellStyle name="20% - Accent2 2 2 2 9" xfId="6721" xr:uid="{00000000-0005-0000-0000-0000500C0000}"/>
    <cellStyle name="20% - Accent2 2 2 3" xfId="6722" xr:uid="{00000000-0005-0000-0000-0000510C0000}"/>
    <cellStyle name="20% - Accent2 2 2 3 10" xfId="6723" xr:uid="{00000000-0005-0000-0000-0000520C0000}"/>
    <cellStyle name="20% - Accent2 2 2 3 11" xfId="6724" xr:uid="{00000000-0005-0000-0000-0000530C0000}"/>
    <cellStyle name="20% - Accent2 2 2 3 2" xfId="6725" xr:uid="{00000000-0005-0000-0000-0000540C0000}"/>
    <cellStyle name="20% - Accent2 2 2 3 2 2" xfId="6726" xr:uid="{00000000-0005-0000-0000-0000550C0000}"/>
    <cellStyle name="20% - Accent2 2 2 3 2 2 2" xfId="6727" xr:uid="{00000000-0005-0000-0000-0000560C0000}"/>
    <cellStyle name="20% - Accent2 2 2 3 2 2 2 2" xfId="6728" xr:uid="{00000000-0005-0000-0000-0000570C0000}"/>
    <cellStyle name="20% - Accent2 2 2 3 2 2 2 2 2" xfId="6729" xr:uid="{00000000-0005-0000-0000-0000580C0000}"/>
    <cellStyle name="20% - Accent2 2 2 3 2 2 2 3" xfId="6730" xr:uid="{00000000-0005-0000-0000-0000590C0000}"/>
    <cellStyle name="20% - Accent2 2 2 3 2 2 3" xfId="6731" xr:uid="{00000000-0005-0000-0000-00005A0C0000}"/>
    <cellStyle name="20% - Accent2 2 2 3 2 2 3 2" xfId="6732" xr:uid="{00000000-0005-0000-0000-00005B0C0000}"/>
    <cellStyle name="20% - Accent2 2 2 3 2 2 4" xfId="6733" xr:uid="{00000000-0005-0000-0000-00005C0C0000}"/>
    <cellStyle name="20% - Accent2 2 2 3 2 2 5" xfId="6734" xr:uid="{00000000-0005-0000-0000-00005D0C0000}"/>
    <cellStyle name="20% - Accent2 2 2 3 2 2 6" xfId="6735" xr:uid="{00000000-0005-0000-0000-00005E0C0000}"/>
    <cellStyle name="20% - Accent2 2 2 3 2 3" xfId="6736" xr:uid="{00000000-0005-0000-0000-00005F0C0000}"/>
    <cellStyle name="20% - Accent2 2 2 3 2 3 2" xfId="6737" xr:uid="{00000000-0005-0000-0000-0000600C0000}"/>
    <cellStyle name="20% - Accent2 2 2 3 2 3 2 2" xfId="6738" xr:uid="{00000000-0005-0000-0000-0000610C0000}"/>
    <cellStyle name="20% - Accent2 2 2 3 2 3 3" xfId="6739" xr:uid="{00000000-0005-0000-0000-0000620C0000}"/>
    <cellStyle name="20% - Accent2 2 2 3 2 4" xfId="6740" xr:uid="{00000000-0005-0000-0000-0000630C0000}"/>
    <cellStyle name="20% - Accent2 2 2 3 2 4 2" xfId="6741" xr:uid="{00000000-0005-0000-0000-0000640C0000}"/>
    <cellStyle name="20% - Accent2 2 2 3 2 5" xfId="6742" xr:uid="{00000000-0005-0000-0000-0000650C0000}"/>
    <cellStyle name="20% - Accent2 2 2 3 2 5 2" xfId="6743" xr:uid="{00000000-0005-0000-0000-0000660C0000}"/>
    <cellStyle name="20% - Accent2 2 2 3 2 6" xfId="6744" xr:uid="{00000000-0005-0000-0000-0000670C0000}"/>
    <cellStyle name="20% - Accent2 2 2 3 2 7" xfId="6745" xr:uid="{00000000-0005-0000-0000-0000680C0000}"/>
    <cellStyle name="20% - Accent2 2 2 3 2 8" xfId="6746" xr:uid="{00000000-0005-0000-0000-0000690C0000}"/>
    <cellStyle name="20% - Accent2 2 2 3 3" xfId="6747" xr:uid="{00000000-0005-0000-0000-00006A0C0000}"/>
    <cellStyle name="20% - Accent2 2 2 3 3 2" xfId="6748" xr:uid="{00000000-0005-0000-0000-00006B0C0000}"/>
    <cellStyle name="20% - Accent2 2 2 3 3 2 2" xfId="6749" xr:uid="{00000000-0005-0000-0000-00006C0C0000}"/>
    <cellStyle name="20% - Accent2 2 2 3 3 2 2 2" xfId="6750" xr:uid="{00000000-0005-0000-0000-00006D0C0000}"/>
    <cellStyle name="20% - Accent2 2 2 3 3 2 2 2 2" xfId="6751" xr:uid="{00000000-0005-0000-0000-00006E0C0000}"/>
    <cellStyle name="20% - Accent2 2 2 3 3 2 2 3" xfId="6752" xr:uid="{00000000-0005-0000-0000-00006F0C0000}"/>
    <cellStyle name="20% - Accent2 2 2 3 3 2 3" xfId="6753" xr:uid="{00000000-0005-0000-0000-0000700C0000}"/>
    <cellStyle name="20% - Accent2 2 2 3 3 2 3 2" xfId="6754" xr:uid="{00000000-0005-0000-0000-0000710C0000}"/>
    <cellStyle name="20% - Accent2 2 2 3 3 2 4" xfId="6755" xr:uid="{00000000-0005-0000-0000-0000720C0000}"/>
    <cellStyle name="20% - Accent2 2 2 3 3 2 5" xfId="6756" xr:uid="{00000000-0005-0000-0000-0000730C0000}"/>
    <cellStyle name="20% - Accent2 2 2 3 3 2 6" xfId="6757" xr:uid="{00000000-0005-0000-0000-0000740C0000}"/>
    <cellStyle name="20% - Accent2 2 2 3 3 3" xfId="6758" xr:uid="{00000000-0005-0000-0000-0000750C0000}"/>
    <cellStyle name="20% - Accent2 2 2 3 3 3 2" xfId="6759" xr:uid="{00000000-0005-0000-0000-0000760C0000}"/>
    <cellStyle name="20% - Accent2 2 2 3 3 3 2 2" xfId="6760" xr:uid="{00000000-0005-0000-0000-0000770C0000}"/>
    <cellStyle name="20% - Accent2 2 2 3 3 3 3" xfId="6761" xr:uid="{00000000-0005-0000-0000-0000780C0000}"/>
    <cellStyle name="20% - Accent2 2 2 3 3 4" xfId="6762" xr:uid="{00000000-0005-0000-0000-0000790C0000}"/>
    <cellStyle name="20% - Accent2 2 2 3 3 4 2" xfId="6763" xr:uid="{00000000-0005-0000-0000-00007A0C0000}"/>
    <cellStyle name="20% - Accent2 2 2 3 3 5" xfId="6764" xr:uid="{00000000-0005-0000-0000-00007B0C0000}"/>
    <cellStyle name="20% - Accent2 2 2 3 3 6" xfId="6765" xr:uid="{00000000-0005-0000-0000-00007C0C0000}"/>
    <cellStyle name="20% - Accent2 2 2 3 3 7" xfId="6766" xr:uid="{00000000-0005-0000-0000-00007D0C0000}"/>
    <cellStyle name="20% - Accent2 2 2 3 4" xfId="6767" xr:uid="{00000000-0005-0000-0000-00007E0C0000}"/>
    <cellStyle name="20% - Accent2 2 2 3 4 2" xfId="6768" xr:uid="{00000000-0005-0000-0000-00007F0C0000}"/>
    <cellStyle name="20% - Accent2 2 2 3 4 2 2" xfId="6769" xr:uid="{00000000-0005-0000-0000-0000800C0000}"/>
    <cellStyle name="20% - Accent2 2 2 3 4 2 2 2" xfId="6770" xr:uid="{00000000-0005-0000-0000-0000810C0000}"/>
    <cellStyle name="20% - Accent2 2 2 3 4 2 3" xfId="6771" xr:uid="{00000000-0005-0000-0000-0000820C0000}"/>
    <cellStyle name="20% - Accent2 2 2 3 4 3" xfId="6772" xr:uid="{00000000-0005-0000-0000-0000830C0000}"/>
    <cellStyle name="20% - Accent2 2 2 3 4 3 2" xfId="6773" xr:uid="{00000000-0005-0000-0000-0000840C0000}"/>
    <cellStyle name="20% - Accent2 2 2 3 4 4" xfId="6774" xr:uid="{00000000-0005-0000-0000-0000850C0000}"/>
    <cellStyle name="20% - Accent2 2 2 3 4 5" xfId="6775" xr:uid="{00000000-0005-0000-0000-0000860C0000}"/>
    <cellStyle name="20% - Accent2 2 2 3 4 6" xfId="6776" xr:uid="{00000000-0005-0000-0000-0000870C0000}"/>
    <cellStyle name="20% - Accent2 2 2 3 5" xfId="6777" xr:uid="{00000000-0005-0000-0000-0000880C0000}"/>
    <cellStyle name="20% - Accent2 2 2 3 5 2" xfId="6778" xr:uid="{00000000-0005-0000-0000-0000890C0000}"/>
    <cellStyle name="20% - Accent2 2 2 3 5 2 2" xfId="6779" xr:uid="{00000000-0005-0000-0000-00008A0C0000}"/>
    <cellStyle name="20% - Accent2 2 2 3 5 3" xfId="6780" xr:uid="{00000000-0005-0000-0000-00008B0C0000}"/>
    <cellStyle name="20% - Accent2 2 2 3 6" xfId="6781" xr:uid="{00000000-0005-0000-0000-00008C0C0000}"/>
    <cellStyle name="20% - Accent2 2 2 3 6 2" xfId="6782" xr:uid="{00000000-0005-0000-0000-00008D0C0000}"/>
    <cellStyle name="20% - Accent2 2 2 3 6 2 2" xfId="6783" xr:uid="{00000000-0005-0000-0000-00008E0C0000}"/>
    <cellStyle name="20% - Accent2 2 2 3 6 3" xfId="6784" xr:uid="{00000000-0005-0000-0000-00008F0C0000}"/>
    <cellStyle name="20% - Accent2 2 2 3 7" xfId="6785" xr:uid="{00000000-0005-0000-0000-0000900C0000}"/>
    <cellStyle name="20% - Accent2 2 2 3 7 2" xfId="6786" xr:uid="{00000000-0005-0000-0000-0000910C0000}"/>
    <cellStyle name="20% - Accent2 2 2 3 8" xfId="6787" xr:uid="{00000000-0005-0000-0000-0000920C0000}"/>
    <cellStyle name="20% - Accent2 2 2 3 8 2" xfId="6788" xr:uid="{00000000-0005-0000-0000-0000930C0000}"/>
    <cellStyle name="20% - Accent2 2 2 3 9" xfId="6789" xr:uid="{00000000-0005-0000-0000-0000940C0000}"/>
    <cellStyle name="20% - Accent2 2 2 4" xfId="6790" xr:uid="{00000000-0005-0000-0000-0000950C0000}"/>
    <cellStyle name="20% - Accent2 2 2 4 10" xfId="6791" xr:uid="{00000000-0005-0000-0000-0000960C0000}"/>
    <cellStyle name="20% - Accent2 2 2 4 11" xfId="6792" xr:uid="{00000000-0005-0000-0000-0000970C0000}"/>
    <cellStyle name="20% - Accent2 2 2 4 2" xfId="6793" xr:uid="{00000000-0005-0000-0000-0000980C0000}"/>
    <cellStyle name="20% - Accent2 2 2 4 2 2" xfId="6794" xr:uid="{00000000-0005-0000-0000-0000990C0000}"/>
    <cellStyle name="20% - Accent2 2 2 4 2 2 2" xfId="6795" xr:uid="{00000000-0005-0000-0000-00009A0C0000}"/>
    <cellStyle name="20% - Accent2 2 2 4 2 2 2 2" xfId="6796" xr:uid="{00000000-0005-0000-0000-00009B0C0000}"/>
    <cellStyle name="20% - Accent2 2 2 4 2 2 2 2 2" xfId="6797" xr:uid="{00000000-0005-0000-0000-00009C0C0000}"/>
    <cellStyle name="20% - Accent2 2 2 4 2 2 2 3" xfId="6798" xr:uid="{00000000-0005-0000-0000-00009D0C0000}"/>
    <cellStyle name="20% - Accent2 2 2 4 2 2 3" xfId="6799" xr:uid="{00000000-0005-0000-0000-00009E0C0000}"/>
    <cellStyle name="20% - Accent2 2 2 4 2 2 3 2" xfId="6800" xr:uid="{00000000-0005-0000-0000-00009F0C0000}"/>
    <cellStyle name="20% - Accent2 2 2 4 2 2 4" xfId="6801" xr:uid="{00000000-0005-0000-0000-0000A00C0000}"/>
    <cellStyle name="20% - Accent2 2 2 4 2 2 5" xfId="6802" xr:uid="{00000000-0005-0000-0000-0000A10C0000}"/>
    <cellStyle name="20% - Accent2 2 2 4 2 2 6" xfId="6803" xr:uid="{00000000-0005-0000-0000-0000A20C0000}"/>
    <cellStyle name="20% - Accent2 2 2 4 2 3" xfId="6804" xr:uid="{00000000-0005-0000-0000-0000A30C0000}"/>
    <cellStyle name="20% - Accent2 2 2 4 2 3 2" xfId="6805" xr:uid="{00000000-0005-0000-0000-0000A40C0000}"/>
    <cellStyle name="20% - Accent2 2 2 4 2 3 2 2" xfId="6806" xr:uid="{00000000-0005-0000-0000-0000A50C0000}"/>
    <cellStyle name="20% - Accent2 2 2 4 2 3 3" xfId="6807" xr:uid="{00000000-0005-0000-0000-0000A60C0000}"/>
    <cellStyle name="20% - Accent2 2 2 4 2 4" xfId="6808" xr:uid="{00000000-0005-0000-0000-0000A70C0000}"/>
    <cellStyle name="20% - Accent2 2 2 4 2 4 2" xfId="6809" xr:uid="{00000000-0005-0000-0000-0000A80C0000}"/>
    <cellStyle name="20% - Accent2 2 2 4 2 5" xfId="6810" xr:uid="{00000000-0005-0000-0000-0000A90C0000}"/>
    <cellStyle name="20% - Accent2 2 2 4 2 5 2" xfId="6811" xr:uid="{00000000-0005-0000-0000-0000AA0C0000}"/>
    <cellStyle name="20% - Accent2 2 2 4 2 6" xfId="6812" xr:uid="{00000000-0005-0000-0000-0000AB0C0000}"/>
    <cellStyle name="20% - Accent2 2 2 4 2 7" xfId="6813" xr:uid="{00000000-0005-0000-0000-0000AC0C0000}"/>
    <cellStyle name="20% - Accent2 2 2 4 2 8" xfId="6814" xr:uid="{00000000-0005-0000-0000-0000AD0C0000}"/>
    <cellStyle name="20% - Accent2 2 2 4 3" xfId="6815" xr:uid="{00000000-0005-0000-0000-0000AE0C0000}"/>
    <cellStyle name="20% - Accent2 2 2 4 3 2" xfId="6816" xr:uid="{00000000-0005-0000-0000-0000AF0C0000}"/>
    <cellStyle name="20% - Accent2 2 2 4 3 2 2" xfId="6817" xr:uid="{00000000-0005-0000-0000-0000B00C0000}"/>
    <cellStyle name="20% - Accent2 2 2 4 3 2 2 2" xfId="6818" xr:uid="{00000000-0005-0000-0000-0000B10C0000}"/>
    <cellStyle name="20% - Accent2 2 2 4 3 2 2 2 2" xfId="6819" xr:uid="{00000000-0005-0000-0000-0000B20C0000}"/>
    <cellStyle name="20% - Accent2 2 2 4 3 2 2 3" xfId="6820" xr:uid="{00000000-0005-0000-0000-0000B30C0000}"/>
    <cellStyle name="20% - Accent2 2 2 4 3 2 3" xfId="6821" xr:uid="{00000000-0005-0000-0000-0000B40C0000}"/>
    <cellStyle name="20% - Accent2 2 2 4 3 2 3 2" xfId="6822" xr:uid="{00000000-0005-0000-0000-0000B50C0000}"/>
    <cellStyle name="20% - Accent2 2 2 4 3 2 4" xfId="6823" xr:uid="{00000000-0005-0000-0000-0000B60C0000}"/>
    <cellStyle name="20% - Accent2 2 2 4 3 2 5" xfId="6824" xr:uid="{00000000-0005-0000-0000-0000B70C0000}"/>
    <cellStyle name="20% - Accent2 2 2 4 3 2 6" xfId="6825" xr:uid="{00000000-0005-0000-0000-0000B80C0000}"/>
    <cellStyle name="20% - Accent2 2 2 4 3 3" xfId="6826" xr:uid="{00000000-0005-0000-0000-0000B90C0000}"/>
    <cellStyle name="20% - Accent2 2 2 4 3 3 2" xfId="6827" xr:uid="{00000000-0005-0000-0000-0000BA0C0000}"/>
    <cellStyle name="20% - Accent2 2 2 4 3 3 2 2" xfId="6828" xr:uid="{00000000-0005-0000-0000-0000BB0C0000}"/>
    <cellStyle name="20% - Accent2 2 2 4 3 3 3" xfId="6829" xr:uid="{00000000-0005-0000-0000-0000BC0C0000}"/>
    <cellStyle name="20% - Accent2 2 2 4 3 4" xfId="6830" xr:uid="{00000000-0005-0000-0000-0000BD0C0000}"/>
    <cellStyle name="20% - Accent2 2 2 4 3 4 2" xfId="6831" xr:uid="{00000000-0005-0000-0000-0000BE0C0000}"/>
    <cellStyle name="20% - Accent2 2 2 4 3 5" xfId="6832" xr:uid="{00000000-0005-0000-0000-0000BF0C0000}"/>
    <cellStyle name="20% - Accent2 2 2 4 3 6" xfId="6833" xr:uid="{00000000-0005-0000-0000-0000C00C0000}"/>
    <cellStyle name="20% - Accent2 2 2 4 3 7" xfId="6834" xr:uid="{00000000-0005-0000-0000-0000C10C0000}"/>
    <cellStyle name="20% - Accent2 2 2 4 4" xfId="6835" xr:uid="{00000000-0005-0000-0000-0000C20C0000}"/>
    <cellStyle name="20% - Accent2 2 2 4 4 2" xfId="6836" xr:uid="{00000000-0005-0000-0000-0000C30C0000}"/>
    <cellStyle name="20% - Accent2 2 2 4 4 2 2" xfId="6837" xr:uid="{00000000-0005-0000-0000-0000C40C0000}"/>
    <cellStyle name="20% - Accent2 2 2 4 4 2 2 2" xfId="6838" xr:uid="{00000000-0005-0000-0000-0000C50C0000}"/>
    <cellStyle name="20% - Accent2 2 2 4 4 2 3" xfId="6839" xr:uid="{00000000-0005-0000-0000-0000C60C0000}"/>
    <cellStyle name="20% - Accent2 2 2 4 4 3" xfId="6840" xr:uid="{00000000-0005-0000-0000-0000C70C0000}"/>
    <cellStyle name="20% - Accent2 2 2 4 4 3 2" xfId="6841" xr:uid="{00000000-0005-0000-0000-0000C80C0000}"/>
    <cellStyle name="20% - Accent2 2 2 4 4 4" xfId="6842" xr:uid="{00000000-0005-0000-0000-0000C90C0000}"/>
    <cellStyle name="20% - Accent2 2 2 4 4 5" xfId="6843" xr:uid="{00000000-0005-0000-0000-0000CA0C0000}"/>
    <cellStyle name="20% - Accent2 2 2 4 4 6" xfId="6844" xr:uid="{00000000-0005-0000-0000-0000CB0C0000}"/>
    <cellStyle name="20% - Accent2 2 2 4 5" xfId="6845" xr:uid="{00000000-0005-0000-0000-0000CC0C0000}"/>
    <cellStyle name="20% - Accent2 2 2 4 5 2" xfId="6846" xr:uid="{00000000-0005-0000-0000-0000CD0C0000}"/>
    <cellStyle name="20% - Accent2 2 2 4 5 2 2" xfId="6847" xr:uid="{00000000-0005-0000-0000-0000CE0C0000}"/>
    <cellStyle name="20% - Accent2 2 2 4 5 3" xfId="6848" xr:uid="{00000000-0005-0000-0000-0000CF0C0000}"/>
    <cellStyle name="20% - Accent2 2 2 4 6" xfId="6849" xr:uid="{00000000-0005-0000-0000-0000D00C0000}"/>
    <cellStyle name="20% - Accent2 2 2 4 6 2" xfId="6850" xr:uid="{00000000-0005-0000-0000-0000D10C0000}"/>
    <cellStyle name="20% - Accent2 2 2 4 6 2 2" xfId="6851" xr:uid="{00000000-0005-0000-0000-0000D20C0000}"/>
    <cellStyle name="20% - Accent2 2 2 4 6 3" xfId="6852" xr:uid="{00000000-0005-0000-0000-0000D30C0000}"/>
    <cellStyle name="20% - Accent2 2 2 4 7" xfId="6853" xr:uid="{00000000-0005-0000-0000-0000D40C0000}"/>
    <cellStyle name="20% - Accent2 2 2 4 7 2" xfId="6854" xr:uid="{00000000-0005-0000-0000-0000D50C0000}"/>
    <cellStyle name="20% - Accent2 2 2 4 8" xfId="6855" xr:uid="{00000000-0005-0000-0000-0000D60C0000}"/>
    <cellStyle name="20% - Accent2 2 2 4 8 2" xfId="6856" xr:uid="{00000000-0005-0000-0000-0000D70C0000}"/>
    <cellStyle name="20% - Accent2 2 2 4 9" xfId="6857" xr:uid="{00000000-0005-0000-0000-0000D80C0000}"/>
    <cellStyle name="20% - Accent2 2 2 5" xfId="6858" xr:uid="{00000000-0005-0000-0000-0000D90C0000}"/>
    <cellStyle name="20% - Accent2 2 2 5 10" xfId="6859" xr:uid="{00000000-0005-0000-0000-0000DA0C0000}"/>
    <cellStyle name="20% - Accent2 2 2 5 11" xfId="6860" xr:uid="{00000000-0005-0000-0000-0000DB0C0000}"/>
    <cellStyle name="20% - Accent2 2 2 5 2" xfId="6861" xr:uid="{00000000-0005-0000-0000-0000DC0C0000}"/>
    <cellStyle name="20% - Accent2 2 2 5 2 2" xfId="6862" xr:uid="{00000000-0005-0000-0000-0000DD0C0000}"/>
    <cellStyle name="20% - Accent2 2 2 5 2 2 2" xfId="6863" xr:uid="{00000000-0005-0000-0000-0000DE0C0000}"/>
    <cellStyle name="20% - Accent2 2 2 5 2 2 2 2" xfId="6864" xr:uid="{00000000-0005-0000-0000-0000DF0C0000}"/>
    <cellStyle name="20% - Accent2 2 2 5 2 2 2 2 2" xfId="6865" xr:uid="{00000000-0005-0000-0000-0000E00C0000}"/>
    <cellStyle name="20% - Accent2 2 2 5 2 2 2 3" xfId="6866" xr:uid="{00000000-0005-0000-0000-0000E10C0000}"/>
    <cellStyle name="20% - Accent2 2 2 5 2 2 3" xfId="6867" xr:uid="{00000000-0005-0000-0000-0000E20C0000}"/>
    <cellStyle name="20% - Accent2 2 2 5 2 2 3 2" xfId="6868" xr:uid="{00000000-0005-0000-0000-0000E30C0000}"/>
    <cellStyle name="20% - Accent2 2 2 5 2 2 4" xfId="6869" xr:uid="{00000000-0005-0000-0000-0000E40C0000}"/>
    <cellStyle name="20% - Accent2 2 2 5 2 2 5" xfId="6870" xr:uid="{00000000-0005-0000-0000-0000E50C0000}"/>
    <cellStyle name="20% - Accent2 2 2 5 2 2 6" xfId="6871" xr:uid="{00000000-0005-0000-0000-0000E60C0000}"/>
    <cellStyle name="20% - Accent2 2 2 5 2 3" xfId="6872" xr:uid="{00000000-0005-0000-0000-0000E70C0000}"/>
    <cellStyle name="20% - Accent2 2 2 5 2 3 2" xfId="6873" xr:uid="{00000000-0005-0000-0000-0000E80C0000}"/>
    <cellStyle name="20% - Accent2 2 2 5 2 3 2 2" xfId="6874" xr:uid="{00000000-0005-0000-0000-0000E90C0000}"/>
    <cellStyle name="20% - Accent2 2 2 5 2 3 3" xfId="6875" xr:uid="{00000000-0005-0000-0000-0000EA0C0000}"/>
    <cellStyle name="20% - Accent2 2 2 5 2 4" xfId="6876" xr:uid="{00000000-0005-0000-0000-0000EB0C0000}"/>
    <cellStyle name="20% - Accent2 2 2 5 2 4 2" xfId="6877" xr:uid="{00000000-0005-0000-0000-0000EC0C0000}"/>
    <cellStyle name="20% - Accent2 2 2 5 2 5" xfId="6878" xr:uid="{00000000-0005-0000-0000-0000ED0C0000}"/>
    <cellStyle name="20% - Accent2 2 2 5 2 5 2" xfId="6879" xr:uid="{00000000-0005-0000-0000-0000EE0C0000}"/>
    <cellStyle name="20% - Accent2 2 2 5 2 6" xfId="6880" xr:uid="{00000000-0005-0000-0000-0000EF0C0000}"/>
    <cellStyle name="20% - Accent2 2 2 5 2 7" xfId="6881" xr:uid="{00000000-0005-0000-0000-0000F00C0000}"/>
    <cellStyle name="20% - Accent2 2 2 5 2 8" xfId="6882" xr:uid="{00000000-0005-0000-0000-0000F10C0000}"/>
    <cellStyle name="20% - Accent2 2 2 5 3" xfId="6883" xr:uid="{00000000-0005-0000-0000-0000F20C0000}"/>
    <cellStyle name="20% - Accent2 2 2 5 3 2" xfId="6884" xr:uid="{00000000-0005-0000-0000-0000F30C0000}"/>
    <cellStyle name="20% - Accent2 2 2 5 3 2 2" xfId="6885" xr:uid="{00000000-0005-0000-0000-0000F40C0000}"/>
    <cellStyle name="20% - Accent2 2 2 5 3 2 2 2" xfId="6886" xr:uid="{00000000-0005-0000-0000-0000F50C0000}"/>
    <cellStyle name="20% - Accent2 2 2 5 3 2 2 2 2" xfId="6887" xr:uid="{00000000-0005-0000-0000-0000F60C0000}"/>
    <cellStyle name="20% - Accent2 2 2 5 3 2 2 3" xfId="6888" xr:uid="{00000000-0005-0000-0000-0000F70C0000}"/>
    <cellStyle name="20% - Accent2 2 2 5 3 2 3" xfId="6889" xr:uid="{00000000-0005-0000-0000-0000F80C0000}"/>
    <cellStyle name="20% - Accent2 2 2 5 3 2 3 2" xfId="6890" xr:uid="{00000000-0005-0000-0000-0000F90C0000}"/>
    <cellStyle name="20% - Accent2 2 2 5 3 2 4" xfId="6891" xr:uid="{00000000-0005-0000-0000-0000FA0C0000}"/>
    <cellStyle name="20% - Accent2 2 2 5 3 2 5" xfId="6892" xr:uid="{00000000-0005-0000-0000-0000FB0C0000}"/>
    <cellStyle name="20% - Accent2 2 2 5 3 2 6" xfId="6893" xr:uid="{00000000-0005-0000-0000-0000FC0C0000}"/>
    <cellStyle name="20% - Accent2 2 2 5 3 3" xfId="6894" xr:uid="{00000000-0005-0000-0000-0000FD0C0000}"/>
    <cellStyle name="20% - Accent2 2 2 5 3 3 2" xfId="6895" xr:uid="{00000000-0005-0000-0000-0000FE0C0000}"/>
    <cellStyle name="20% - Accent2 2 2 5 3 3 2 2" xfId="6896" xr:uid="{00000000-0005-0000-0000-0000FF0C0000}"/>
    <cellStyle name="20% - Accent2 2 2 5 3 3 3" xfId="6897" xr:uid="{00000000-0005-0000-0000-0000000D0000}"/>
    <cellStyle name="20% - Accent2 2 2 5 3 4" xfId="6898" xr:uid="{00000000-0005-0000-0000-0000010D0000}"/>
    <cellStyle name="20% - Accent2 2 2 5 3 4 2" xfId="6899" xr:uid="{00000000-0005-0000-0000-0000020D0000}"/>
    <cellStyle name="20% - Accent2 2 2 5 3 5" xfId="6900" xr:uid="{00000000-0005-0000-0000-0000030D0000}"/>
    <cellStyle name="20% - Accent2 2 2 5 3 6" xfId="6901" xr:uid="{00000000-0005-0000-0000-0000040D0000}"/>
    <cellStyle name="20% - Accent2 2 2 5 3 7" xfId="6902" xr:uid="{00000000-0005-0000-0000-0000050D0000}"/>
    <cellStyle name="20% - Accent2 2 2 5 4" xfId="6903" xr:uid="{00000000-0005-0000-0000-0000060D0000}"/>
    <cellStyle name="20% - Accent2 2 2 5 4 2" xfId="6904" xr:uid="{00000000-0005-0000-0000-0000070D0000}"/>
    <cellStyle name="20% - Accent2 2 2 5 4 2 2" xfId="6905" xr:uid="{00000000-0005-0000-0000-0000080D0000}"/>
    <cellStyle name="20% - Accent2 2 2 5 4 2 2 2" xfId="6906" xr:uid="{00000000-0005-0000-0000-0000090D0000}"/>
    <cellStyle name="20% - Accent2 2 2 5 4 2 3" xfId="6907" xr:uid="{00000000-0005-0000-0000-00000A0D0000}"/>
    <cellStyle name="20% - Accent2 2 2 5 4 3" xfId="6908" xr:uid="{00000000-0005-0000-0000-00000B0D0000}"/>
    <cellStyle name="20% - Accent2 2 2 5 4 3 2" xfId="6909" xr:uid="{00000000-0005-0000-0000-00000C0D0000}"/>
    <cellStyle name="20% - Accent2 2 2 5 4 4" xfId="6910" xr:uid="{00000000-0005-0000-0000-00000D0D0000}"/>
    <cellStyle name="20% - Accent2 2 2 5 4 5" xfId="6911" xr:uid="{00000000-0005-0000-0000-00000E0D0000}"/>
    <cellStyle name="20% - Accent2 2 2 5 4 6" xfId="6912" xr:uid="{00000000-0005-0000-0000-00000F0D0000}"/>
    <cellStyle name="20% - Accent2 2 2 5 5" xfId="6913" xr:uid="{00000000-0005-0000-0000-0000100D0000}"/>
    <cellStyle name="20% - Accent2 2 2 5 5 2" xfId="6914" xr:uid="{00000000-0005-0000-0000-0000110D0000}"/>
    <cellStyle name="20% - Accent2 2 2 5 5 2 2" xfId="6915" xr:uid="{00000000-0005-0000-0000-0000120D0000}"/>
    <cellStyle name="20% - Accent2 2 2 5 5 3" xfId="6916" xr:uid="{00000000-0005-0000-0000-0000130D0000}"/>
    <cellStyle name="20% - Accent2 2 2 5 6" xfId="6917" xr:uid="{00000000-0005-0000-0000-0000140D0000}"/>
    <cellStyle name="20% - Accent2 2 2 5 6 2" xfId="6918" xr:uid="{00000000-0005-0000-0000-0000150D0000}"/>
    <cellStyle name="20% - Accent2 2 2 5 6 2 2" xfId="6919" xr:uid="{00000000-0005-0000-0000-0000160D0000}"/>
    <cellStyle name="20% - Accent2 2 2 5 6 3" xfId="6920" xr:uid="{00000000-0005-0000-0000-0000170D0000}"/>
    <cellStyle name="20% - Accent2 2 2 5 7" xfId="6921" xr:uid="{00000000-0005-0000-0000-0000180D0000}"/>
    <cellStyle name="20% - Accent2 2 2 5 7 2" xfId="6922" xr:uid="{00000000-0005-0000-0000-0000190D0000}"/>
    <cellStyle name="20% - Accent2 2 2 5 8" xfId="6923" xr:uid="{00000000-0005-0000-0000-00001A0D0000}"/>
    <cellStyle name="20% - Accent2 2 2 5 8 2" xfId="6924" xr:uid="{00000000-0005-0000-0000-00001B0D0000}"/>
    <cellStyle name="20% - Accent2 2 2 5 9" xfId="6925" xr:uid="{00000000-0005-0000-0000-00001C0D0000}"/>
    <cellStyle name="20% - Accent2 2 2 6" xfId="6926" xr:uid="{00000000-0005-0000-0000-00001D0D0000}"/>
    <cellStyle name="20% - Accent2 2 2 6 10" xfId="6927" xr:uid="{00000000-0005-0000-0000-00001E0D0000}"/>
    <cellStyle name="20% - Accent2 2 2 6 11" xfId="6928" xr:uid="{00000000-0005-0000-0000-00001F0D0000}"/>
    <cellStyle name="20% - Accent2 2 2 6 2" xfId="6929" xr:uid="{00000000-0005-0000-0000-0000200D0000}"/>
    <cellStyle name="20% - Accent2 2 2 6 2 2" xfId="6930" xr:uid="{00000000-0005-0000-0000-0000210D0000}"/>
    <cellStyle name="20% - Accent2 2 2 6 2 2 2" xfId="6931" xr:uid="{00000000-0005-0000-0000-0000220D0000}"/>
    <cellStyle name="20% - Accent2 2 2 6 2 2 2 2" xfId="6932" xr:uid="{00000000-0005-0000-0000-0000230D0000}"/>
    <cellStyle name="20% - Accent2 2 2 6 2 2 2 2 2" xfId="6933" xr:uid="{00000000-0005-0000-0000-0000240D0000}"/>
    <cellStyle name="20% - Accent2 2 2 6 2 2 2 3" xfId="6934" xr:uid="{00000000-0005-0000-0000-0000250D0000}"/>
    <cellStyle name="20% - Accent2 2 2 6 2 2 3" xfId="6935" xr:uid="{00000000-0005-0000-0000-0000260D0000}"/>
    <cellStyle name="20% - Accent2 2 2 6 2 2 3 2" xfId="6936" xr:uid="{00000000-0005-0000-0000-0000270D0000}"/>
    <cellStyle name="20% - Accent2 2 2 6 2 2 4" xfId="6937" xr:uid="{00000000-0005-0000-0000-0000280D0000}"/>
    <cellStyle name="20% - Accent2 2 2 6 2 2 5" xfId="6938" xr:uid="{00000000-0005-0000-0000-0000290D0000}"/>
    <cellStyle name="20% - Accent2 2 2 6 2 2 6" xfId="6939" xr:uid="{00000000-0005-0000-0000-00002A0D0000}"/>
    <cellStyle name="20% - Accent2 2 2 6 2 3" xfId="6940" xr:uid="{00000000-0005-0000-0000-00002B0D0000}"/>
    <cellStyle name="20% - Accent2 2 2 6 2 3 2" xfId="6941" xr:uid="{00000000-0005-0000-0000-00002C0D0000}"/>
    <cellStyle name="20% - Accent2 2 2 6 2 3 2 2" xfId="6942" xr:uid="{00000000-0005-0000-0000-00002D0D0000}"/>
    <cellStyle name="20% - Accent2 2 2 6 2 3 3" xfId="6943" xr:uid="{00000000-0005-0000-0000-00002E0D0000}"/>
    <cellStyle name="20% - Accent2 2 2 6 2 4" xfId="6944" xr:uid="{00000000-0005-0000-0000-00002F0D0000}"/>
    <cellStyle name="20% - Accent2 2 2 6 2 4 2" xfId="6945" xr:uid="{00000000-0005-0000-0000-0000300D0000}"/>
    <cellStyle name="20% - Accent2 2 2 6 2 5" xfId="6946" xr:uid="{00000000-0005-0000-0000-0000310D0000}"/>
    <cellStyle name="20% - Accent2 2 2 6 2 5 2" xfId="6947" xr:uid="{00000000-0005-0000-0000-0000320D0000}"/>
    <cellStyle name="20% - Accent2 2 2 6 2 6" xfId="6948" xr:uid="{00000000-0005-0000-0000-0000330D0000}"/>
    <cellStyle name="20% - Accent2 2 2 6 2 7" xfId="6949" xr:uid="{00000000-0005-0000-0000-0000340D0000}"/>
    <cellStyle name="20% - Accent2 2 2 6 2 8" xfId="6950" xr:uid="{00000000-0005-0000-0000-0000350D0000}"/>
    <cellStyle name="20% - Accent2 2 2 6 3" xfId="6951" xr:uid="{00000000-0005-0000-0000-0000360D0000}"/>
    <cellStyle name="20% - Accent2 2 2 6 3 2" xfId="6952" xr:uid="{00000000-0005-0000-0000-0000370D0000}"/>
    <cellStyle name="20% - Accent2 2 2 6 3 2 2" xfId="6953" xr:uid="{00000000-0005-0000-0000-0000380D0000}"/>
    <cellStyle name="20% - Accent2 2 2 6 3 2 2 2" xfId="6954" xr:uid="{00000000-0005-0000-0000-0000390D0000}"/>
    <cellStyle name="20% - Accent2 2 2 6 3 2 2 2 2" xfId="6955" xr:uid="{00000000-0005-0000-0000-00003A0D0000}"/>
    <cellStyle name="20% - Accent2 2 2 6 3 2 2 3" xfId="6956" xr:uid="{00000000-0005-0000-0000-00003B0D0000}"/>
    <cellStyle name="20% - Accent2 2 2 6 3 2 3" xfId="6957" xr:uid="{00000000-0005-0000-0000-00003C0D0000}"/>
    <cellStyle name="20% - Accent2 2 2 6 3 2 3 2" xfId="6958" xr:uid="{00000000-0005-0000-0000-00003D0D0000}"/>
    <cellStyle name="20% - Accent2 2 2 6 3 2 4" xfId="6959" xr:uid="{00000000-0005-0000-0000-00003E0D0000}"/>
    <cellStyle name="20% - Accent2 2 2 6 3 2 5" xfId="6960" xr:uid="{00000000-0005-0000-0000-00003F0D0000}"/>
    <cellStyle name="20% - Accent2 2 2 6 3 2 6" xfId="6961" xr:uid="{00000000-0005-0000-0000-0000400D0000}"/>
    <cellStyle name="20% - Accent2 2 2 6 3 3" xfId="6962" xr:uid="{00000000-0005-0000-0000-0000410D0000}"/>
    <cellStyle name="20% - Accent2 2 2 6 3 3 2" xfId="6963" xr:uid="{00000000-0005-0000-0000-0000420D0000}"/>
    <cellStyle name="20% - Accent2 2 2 6 3 3 2 2" xfId="6964" xr:uid="{00000000-0005-0000-0000-0000430D0000}"/>
    <cellStyle name="20% - Accent2 2 2 6 3 3 3" xfId="6965" xr:uid="{00000000-0005-0000-0000-0000440D0000}"/>
    <cellStyle name="20% - Accent2 2 2 6 3 4" xfId="6966" xr:uid="{00000000-0005-0000-0000-0000450D0000}"/>
    <cellStyle name="20% - Accent2 2 2 6 3 4 2" xfId="6967" xr:uid="{00000000-0005-0000-0000-0000460D0000}"/>
    <cellStyle name="20% - Accent2 2 2 6 3 5" xfId="6968" xr:uid="{00000000-0005-0000-0000-0000470D0000}"/>
    <cellStyle name="20% - Accent2 2 2 6 3 6" xfId="6969" xr:uid="{00000000-0005-0000-0000-0000480D0000}"/>
    <cellStyle name="20% - Accent2 2 2 6 3 7" xfId="6970" xr:uid="{00000000-0005-0000-0000-0000490D0000}"/>
    <cellStyle name="20% - Accent2 2 2 6 4" xfId="6971" xr:uid="{00000000-0005-0000-0000-00004A0D0000}"/>
    <cellStyle name="20% - Accent2 2 2 6 4 2" xfId="6972" xr:uid="{00000000-0005-0000-0000-00004B0D0000}"/>
    <cellStyle name="20% - Accent2 2 2 6 4 2 2" xfId="6973" xr:uid="{00000000-0005-0000-0000-00004C0D0000}"/>
    <cellStyle name="20% - Accent2 2 2 6 4 2 2 2" xfId="6974" xr:uid="{00000000-0005-0000-0000-00004D0D0000}"/>
    <cellStyle name="20% - Accent2 2 2 6 4 2 3" xfId="6975" xr:uid="{00000000-0005-0000-0000-00004E0D0000}"/>
    <cellStyle name="20% - Accent2 2 2 6 4 3" xfId="6976" xr:uid="{00000000-0005-0000-0000-00004F0D0000}"/>
    <cellStyle name="20% - Accent2 2 2 6 4 3 2" xfId="6977" xr:uid="{00000000-0005-0000-0000-0000500D0000}"/>
    <cellStyle name="20% - Accent2 2 2 6 4 4" xfId="6978" xr:uid="{00000000-0005-0000-0000-0000510D0000}"/>
    <cellStyle name="20% - Accent2 2 2 6 4 5" xfId="6979" xr:uid="{00000000-0005-0000-0000-0000520D0000}"/>
    <cellStyle name="20% - Accent2 2 2 6 4 6" xfId="6980" xr:uid="{00000000-0005-0000-0000-0000530D0000}"/>
    <cellStyle name="20% - Accent2 2 2 6 5" xfId="6981" xr:uid="{00000000-0005-0000-0000-0000540D0000}"/>
    <cellStyle name="20% - Accent2 2 2 6 5 2" xfId="6982" xr:uid="{00000000-0005-0000-0000-0000550D0000}"/>
    <cellStyle name="20% - Accent2 2 2 6 5 2 2" xfId="6983" xr:uid="{00000000-0005-0000-0000-0000560D0000}"/>
    <cellStyle name="20% - Accent2 2 2 6 5 3" xfId="6984" xr:uid="{00000000-0005-0000-0000-0000570D0000}"/>
    <cellStyle name="20% - Accent2 2 2 6 6" xfId="6985" xr:uid="{00000000-0005-0000-0000-0000580D0000}"/>
    <cellStyle name="20% - Accent2 2 2 6 6 2" xfId="6986" xr:uid="{00000000-0005-0000-0000-0000590D0000}"/>
    <cellStyle name="20% - Accent2 2 2 6 6 2 2" xfId="6987" xr:uid="{00000000-0005-0000-0000-00005A0D0000}"/>
    <cellStyle name="20% - Accent2 2 2 6 6 3" xfId="6988" xr:uid="{00000000-0005-0000-0000-00005B0D0000}"/>
    <cellStyle name="20% - Accent2 2 2 6 7" xfId="6989" xr:uid="{00000000-0005-0000-0000-00005C0D0000}"/>
    <cellStyle name="20% - Accent2 2 2 6 7 2" xfId="6990" xr:uid="{00000000-0005-0000-0000-00005D0D0000}"/>
    <cellStyle name="20% - Accent2 2 2 6 8" xfId="6991" xr:uid="{00000000-0005-0000-0000-00005E0D0000}"/>
    <cellStyle name="20% - Accent2 2 2 6 8 2" xfId="6992" xr:uid="{00000000-0005-0000-0000-00005F0D0000}"/>
    <cellStyle name="20% - Accent2 2 2 6 9" xfId="6993" xr:uid="{00000000-0005-0000-0000-0000600D0000}"/>
    <cellStyle name="20% - Accent2 2 2 7" xfId="6994" xr:uid="{00000000-0005-0000-0000-0000610D0000}"/>
    <cellStyle name="20% - Accent2 2 2 7 2" xfId="6995" xr:uid="{00000000-0005-0000-0000-0000620D0000}"/>
    <cellStyle name="20% - Accent2 2 2 7 2 2" xfId="6996" xr:uid="{00000000-0005-0000-0000-0000630D0000}"/>
    <cellStyle name="20% - Accent2 2 2 7 2 2 2" xfId="6997" xr:uid="{00000000-0005-0000-0000-0000640D0000}"/>
    <cellStyle name="20% - Accent2 2 2 7 2 2 2 2" xfId="6998" xr:uid="{00000000-0005-0000-0000-0000650D0000}"/>
    <cellStyle name="20% - Accent2 2 2 7 2 2 3" xfId="6999" xr:uid="{00000000-0005-0000-0000-0000660D0000}"/>
    <cellStyle name="20% - Accent2 2 2 7 2 3" xfId="7000" xr:uid="{00000000-0005-0000-0000-0000670D0000}"/>
    <cellStyle name="20% - Accent2 2 2 7 2 3 2" xfId="7001" xr:uid="{00000000-0005-0000-0000-0000680D0000}"/>
    <cellStyle name="20% - Accent2 2 2 7 2 4" xfId="7002" xr:uid="{00000000-0005-0000-0000-0000690D0000}"/>
    <cellStyle name="20% - Accent2 2 2 7 2 5" xfId="7003" xr:uid="{00000000-0005-0000-0000-00006A0D0000}"/>
    <cellStyle name="20% - Accent2 2 2 7 2 6" xfId="7004" xr:uid="{00000000-0005-0000-0000-00006B0D0000}"/>
    <cellStyle name="20% - Accent2 2 2 7 3" xfId="7005" xr:uid="{00000000-0005-0000-0000-00006C0D0000}"/>
    <cellStyle name="20% - Accent2 2 2 7 3 2" xfId="7006" xr:uid="{00000000-0005-0000-0000-00006D0D0000}"/>
    <cellStyle name="20% - Accent2 2 2 7 3 2 2" xfId="7007" xr:uid="{00000000-0005-0000-0000-00006E0D0000}"/>
    <cellStyle name="20% - Accent2 2 2 7 3 3" xfId="7008" xr:uid="{00000000-0005-0000-0000-00006F0D0000}"/>
    <cellStyle name="20% - Accent2 2 2 7 4" xfId="7009" xr:uid="{00000000-0005-0000-0000-0000700D0000}"/>
    <cellStyle name="20% - Accent2 2 2 7 4 2" xfId="7010" xr:uid="{00000000-0005-0000-0000-0000710D0000}"/>
    <cellStyle name="20% - Accent2 2 2 7 5" xfId="7011" xr:uid="{00000000-0005-0000-0000-0000720D0000}"/>
    <cellStyle name="20% - Accent2 2 2 7 5 2" xfId="7012" xr:uid="{00000000-0005-0000-0000-0000730D0000}"/>
    <cellStyle name="20% - Accent2 2 2 7 6" xfId="7013" xr:uid="{00000000-0005-0000-0000-0000740D0000}"/>
    <cellStyle name="20% - Accent2 2 2 7 7" xfId="7014" xr:uid="{00000000-0005-0000-0000-0000750D0000}"/>
    <cellStyle name="20% - Accent2 2 2 7 8" xfId="7015" xr:uid="{00000000-0005-0000-0000-0000760D0000}"/>
    <cellStyle name="20% - Accent2 2 2 8" xfId="7016" xr:uid="{00000000-0005-0000-0000-0000770D0000}"/>
    <cellStyle name="20% - Accent2 2 2 8 2" xfId="7017" xr:uid="{00000000-0005-0000-0000-0000780D0000}"/>
    <cellStyle name="20% - Accent2 2 2 8 2 2" xfId="7018" xr:uid="{00000000-0005-0000-0000-0000790D0000}"/>
    <cellStyle name="20% - Accent2 2 2 8 2 2 2" xfId="7019" xr:uid="{00000000-0005-0000-0000-00007A0D0000}"/>
    <cellStyle name="20% - Accent2 2 2 8 2 2 2 2" xfId="7020" xr:uid="{00000000-0005-0000-0000-00007B0D0000}"/>
    <cellStyle name="20% - Accent2 2 2 8 2 2 3" xfId="7021" xr:uid="{00000000-0005-0000-0000-00007C0D0000}"/>
    <cellStyle name="20% - Accent2 2 2 8 2 3" xfId="7022" xr:uid="{00000000-0005-0000-0000-00007D0D0000}"/>
    <cellStyle name="20% - Accent2 2 2 8 2 3 2" xfId="7023" xr:uid="{00000000-0005-0000-0000-00007E0D0000}"/>
    <cellStyle name="20% - Accent2 2 2 8 2 4" xfId="7024" xr:uid="{00000000-0005-0000-0000-00007F0D0000}"/>
    <cellStyle name="20% - Accent2 2 2 8 2 5" xfId="7025" xr:uid="{00000000-0005-0000-0000-0000800D0000}"/>
    <cellStyle name="20% - Accent2 2 2 8 2 6" xfId="7026" xr:uid="{00000000-0005-0000-0000-0000810D0000}"/>
    <cellStyle name="20% - Accent2 2 2 8 3" xfId="7027" xr:uid="{00000000-0005-0000-0000-0000820D0000}"/>
    <cellStyle name="20% - Accent2 2 2 8 3 2" xfId="7028" xr:uid="{00000000-0005-0000-0000-0000830D0000}"/>
    <cellStyle name="20% - Accent2 2 2 8 3 2 2" xfId="7029" xr:uid="{00000000-0005-0000-0000-0000840D0000}"/>
    <cellStyle name="20% - Accent2 2 2 8 3 3" xfId="7030" xr:uid="{00000000-0005-0000-0000-0000850D0000}"/>
    <cellStyle name="20% - Accent2 2 2 8 4" xfId="7031" xr:uid="{00000000-0005-0000-0000-0000860D0000}"/>
    <cellStyle name="20% - Accent2 2 2 8 4 2" xfId="7032" xr:uid="{00000000-0005-0000-0000-0000870D0000}"/>
    <cellStyle name="20% - Accent2 2 2 8 5" xfId="7033" xr:uid="{00000000-0005-0000-0000-0000880D0000}"/>
    <cellStyle name="20% - Accent2 2 2 8 6" xfId="7034" xr:uid="{00000000-0005-0000-0000-0000890D0000}"/>
    <cellStyle name="20% - Accent2 2 2 8 7" xfId="7035" xr:uid="{00000000-0005-0000-0000-00008A0D0000}"/>
    <cellStyle name="20% - Accent2 2 2 9" xfId="7036" xr:uid="{00000000-0005-0000-0000-00008B0D0000}"/>
    <cellStyle name="20% - Accent2 2 2 9 2" xfId="7037" xr:uid="{00000000-0005-0000-0000-00008C0D0000}"/>
    <cellStyle name="20% - Accent2 2 2 9 2 2" xfId="7038" xr:uid="{00000000-0005-0000-0000-00008D0D0000}"/>
    <cellStyle name="20% - Accent2 2 2 9 2 2 2" xfId="7039" xr:uid="{00000000-0005-0000-0000-00008E0D0000}"/>
    <cellStyle name="20% - Accent2 2 2 9 2 3" xfId="7040" xr:uid="{00000000-0005-0000-0000-00008F0D0000}"/>
    <cellStyle name="20% - Accent2 2 2 9 3" xfId="7041" xr:uid="{00000000-0005-0000-0000-0000900D0000}"/>
    <cellStyle name="20% - Accent2 2 2 9 3 2" xfId="7042" xr:uid="{00000000-0005-0000-0000-0000910D0000}"/>
    <cellStyle name="20% - Accent2 2 2 9 4" xfId="7043" xr:uid="{00000000-0005-0000-0000-0000920D0000}"/>
    <cellStyle name="20% - Accent2 2 2 9 5" xfId="7044" xr:uid="{00000000-0005-0000-0000-0000930D0000}"/>
    <cellStyle name="20% - Accent2 2 2 9 6" xfId="7045" xr:uid="{00000000-0005-0000-0000-0000940D0000}"/>
    <cellStyle name="20% - Accent2 2 3" xfId="7046" xr:uid="{00000000-0005-0000-0000-0000950D0000}"/>
    <cellStyle name="20% - Accent2 2 3 2" xfId="7047" xr:uid="{00000000-0005-0000-0000-0000960D0000}"/>
    <cellStyle name="20% - Accent2 2 3 2 2" xfId="7048" xr:uid="{00000000-0005-0000-0000-0000970D0000}"/>
    <cellStyle name="20% - Accent2 2 3 2 2 2" xfId="7049" xr:uid="{00000000-0005-0000-0000-0000980D0000}"/>
    <cellStyle name="20% - Accent2 2 3 2 2 2 2" xfId="7050" xr:uid="{00000000-0005-0000-0000-0000990D0000}"/>
    <cellStyle name="20% - Accent2 2 3 2 2 3" xfId="7051" xr:uid="{00000000-0005-0000-0000-00009A0D0000}"/>
    <cellStyle name="20% - Accent2 2 3 2 3" xfId="7052" xr:uid="{00000000-0005-0000-0000-00009B0D0000}"/>
    <cellStyle name="20% - Accent2 2 3 2 3 2" xfId="7053" xr:uid="{00000000-0005-0000-0000-00009C0D0000}"/>
    <cellStyle name="20% - Accent2 2 3 2 4" xfId="7054" xr:uid="{00000000-0005-0000-0000-00009D0D0000}"/>
    <cellStyle name="20% - Accent2 2 3 3" xfId="7055" xr:uid="{00000000-0005-0000-0000-00009E0D0000}"/>
    <cellStyle name="20% - Accent2 2 3 3 2" xfId="7056" xr:uid="{00000000-0005-0000-0000-00009F0D0000}"/>
    <cellStyle name="20% - Accent2 2 3 3 2 2" xfId="7057" xr:uid="{00000000-0005-0000-0000-0000A00D0000}"/>
    <cellStyle name="20% - Accent2 2 3 3 2 2 2" xfId="7058" xr:uid="{00000000-0005-0000-0000-0000A10D0000}"/>
    <cellStyle name="20% - Accent2 2 3 3 2 3" xfId="7059" xr:uid="{00000000-0005-0000-0000-0000A20D0000}"/>
    <cellStyle name="20% - Accent2 2 3 3 3" xfId="7060" xr:uid="{00000000-0005-0000-0000-0000A30D0000}"/>
    <cellStyle name="20% - Accent2 2 3 3 3 2" xfId="7061" xr:uid="{00000000-0005-0000-0000-0000A40D0000}"/>
    <cellStyle name="20% - Accent2 2 3 3 4" xfId="7062" xr:uid="{00000000-0005-0000-0000-0000A50D0000}"/>
    <cellStyle name="20% - Accent2 2 3 4" xfId="7063" xr:uid="{00000000-0005-0000-0000-0000A60D0000}"/>
    <cellStyle name="20% - Accent2 2 3 4 2" xfId="7064" xr:uid="{00000000-0005-0000-0000-0000A70D0000}"/>
    <cellStyle name="20% - Accent2 2 3 4 2 2" xfId="7065" xr:uid="{00000000-0005-0000-0000-0000A80D0000}"/>
    <cellStyle name="20% - Accent2 2 3 4 2 2 2" xfId="7066" xr:uid="{00000000-0005-0000-0000-0000A90D0000}"/>
    <cellStyle name="20% - Accent2 2 3 4 2 3" xfId="7067" xr:uid="{00000000-0005-0000-0000-0000AA0D0000}"/>
    <cellStyle name="20% - Accent2 2 3 4 3" xfId="7068" xr:uid="{00000000-0005-0000-0000-0000AB0D0000}"/>
    <cellStyle name="20% - Accent2 2 3 4 3 2" xfId="7069" xr:uid="{00000000-0005-0000-0000-0000AC0D0000}"/>
    <cellStyle name="20% - Accent2 2 3 4 4" xfId="7070" xr:uid="{00000000-0005-0000-0000-0000AD0D0000}"/>
    <cellStyle name="20% - Accent2 2 4" xfId="7071" xr:uid="{00000000-0005-0000-0000-0000AE0D0000}"/>
    <cellStyle name="20% - Accent2 2 4 2" xfId="7072" xr:uid="{00000000-0005-0000-0000-0000AF0D0000}"/>
    <cellStyle name="20% - Accent2 2 5" xfId="7073" xr:uid="{00000000-0005-0000-0000-0000B00D0000}"/>
    <cellStyle name="20% - Accent2 2 5 2" xfId="7074" xr:uid="{00000000-0005-0000-0000-0000B10D0000}"/>
    <cellStyle name="20% - Accent2 2 6" xfId="7075" xr:uid="{00000000-0005-0000-0000-0000B20D0000}"/>
    <cellStyle name="20% - Accent2 2 6 2" xfId="7076" xr:uid="{00000000-0005-0000-0000-0000B30D0000}"/>
    <cellStyle name="20% - Accent2 2 7" xfId="7077" xr:uid="{00000000-0005-0000-0000-0000B40D0000}"/>
    <cellStyle name="20% - Accent2 2 7 2" xfId="7078" xr:uid="{00000000-0005-0000-0000-0000B50D0000}"/>
    <cellStyle name="20% - Accent2 2 7 2 2" xfId="7079" xr:uid="{00000000-0005-0000-0000-0000B60D0000}"/>
    <cellStyle name="20% - Accent2 2 7 3" xfId="7080" xr:uid="{00000000-0005-0000-0000-0000B70D0000}"/>
    <cellStyle name="20% - Accent2 3" xfId="167" xr:uid="{00000000-0005-0000-0000-0000B80D0000}"/>
    <cellStyle name="20% - Accent2 3 10" xfId="7081" xr:uid="{00000000-0005-0000-0000-0000B90D0000}"/>
    <cellStyle name="20% - Accent2 3 10 2" xfId="7082" xr:uid="{00000000-0005-0000-0000-0000BA0D0000}"/>
    <cellStyle name="20% - Accent2 3 10 2 2" xfId="7083" xr:uid="{00000000-0005-0000-0000-0000BB0D0000}"/>
    <cellStyle name="20% - Accent2 3 10 2 2 2" xfId="7084" xr:uid="{00000000-0005-0000-0000-0000BC0D0000}"/>
    <cellStyle name="20% - Accent2 3 10 2 2 2 2" xfId="7085" xr:uid="{00000000-0005-0000-0000-0000BD0D0000}"/>
    <cellStyle name="20% - Accent2 3 10 2 2 3" xfId="7086" xr:uid="{00000000-0005-0000-0000-0000BE0D0000}"/>
    <cellStyle name="20% - Accent2 3 10 2 3" xfId="7087" xr:uid="{00000000-0005-0000-0000-0000BF0D0000}"/>
    <cellStyle name="20% - Accent2 3 10 2 3 2" xfId="7088" xr:uid="{00000000-0005-0000-0000-0000C00D0000}"/>
    <cellStyle name="20% - Accent2 3 10 2 4" xfId="7089" xr:uid="{00000000-0005-0000-0000-0000C10D0000}"/>
    <cellStyle name="20% - Accent2 3 10 2 5" xfId="7090" xr:uid="{00000000-0005-0000-0000-0000C20D0000}"/>
    <cellStyle name="20% - Accent2 3 10 2 6" xfId="7091" xr:uid="{00000000-0005-0000-0000-0000C30D0000}"/>
    <cellStyle name="20% - Accent2 3 10 3" xfId="7092" xr:uid="{00000000-0005-0000-0000-0000C40D0000}"/>
    <cellStyle name="20% - Accent2 3 10 3 2" xfId="7093" xr:uid="{00000000-0005-0000-0000-0000C50D0000}"/>
    <cellStyle name="20% - Accent2 3 10 3 2 2" xfId="7094" xr:uid="{00000000-0005-0000-0000-0000C60D0000}"/>
    <cellStyle name="20% - Accent2 3 10 3 3" xfId="7095" xr:uid="{00000000-0005-0000-0000-0000C70D0000}"/>
    <cellStyle name="20% - Accent2 3 10 4" xfId="7096" xr:uid="{00000000-0005-0000-0000-0000C80D0000}"/>
    <cellStyle name="20% - Accent2 3 10 4 2" xfId="7097" xr:uid="{00000000-0005-0000-0000-0000C90D0000}"/>
    <cellStyle name="20% - Accent2 3 10 4 2 2" xfId="7098" xr:uid="{00000000-0005-0000-0000-0000CA0D0000}"/>
    <cellStyle name="20% - Accent2 3 10 4 3" xfId="7099" xr:uid="{00000000-0005-0000-0000-0000CB0D0000}"/>
    <cellStyle name="20% - Accent2 3 10 5" xfId="7100" xr:uid="{00000000-0005-0000-0000-0000CC0D0000}"/>
    <cellStyle name="20% - Accent2 3 10 6" xfId="7101" xr:uid="{00000000-0005-0000-0000-0000CD0D0000}"/>
    <cellStyle name="20% - Accent2 3 11" xfId="7102" xr:uid="{00000000-0005-0000-0000-0000CE0D0000}"/>
    <cellStyle name="20% - Accent2 3 11 2" xfId="7103" xr:uid="{00000000-0005-0000-0000-0000CF0D0000}"/>
    <cellStyle name="20% - Accent2 3 11 2 2" xfId="7104" xr:uid="{00000000-0005-0000-0000-0000D00D0000}"/>
    <cellStyle name="20% - Accent2 3 11 2 2 2" xfId="7105" xr:uid="{00000000-0005-0000-0000-0000D10D0000}"/>
    <cellStyle name="20% - Accent2 3 11 2 2 2 2" xfId="7106" xr:uid="{00000000-0005-0000-0000-0000D20D0000}"/>
    <cellStyle name="20% - Accent2 3 11 2 2 3" xfId="7107" xr:uid="{00000000-0005-0000-0000-0000D30D0000}"/>
    <cellStyle name="20% - Accent2 3 11 2 3" xfId="7108" xr:uid="{00000000-0005-0000-0000-0000D40D0000}"/>
    <cellStyle name="20% - Accent2 3 11 2 3 2" xfId="7109" xr:uid="{00000000-0005-0000-0000-0000D50D0000}"/>
    <cellStyle name="20% - Accent2 3 11 2 4" xfId="7110" xr:uid="{00000000-0005-0000-0000-0000D60D0000}"/>
    <cellStyle name="20% - Accent2 3 11 2 5" xfId="7111" xr:uid="{00000000-0005-0000-0000-0000D70D0000}"/>
    <cellStyle name="20% - Accent2 3 11 2 6" xfId="7112" xr:uid="{00000000-0005-0000-0000-0000D80D0000}"/>
    <cellStyle name="20% - Accent2 3 11 3" xfId="7113" xr:uid="{00000000-0005-0000-0000-0000D90D0000}"/>
    <cellStyle name="20% - Accent2 3 11 3 2" xfId="7114" xr:uid="{00000000-0005-0000-0000-0000DA0D0000}"/>
    <cellStyle name="20% - Accent2 3 11 3 2 2" xfId="7115" xr:uid="{00000000-0005-0000-0000-0000DB0D0000}"/>
    <cellStyle name="20% - Accent2 3 11 3 3" xfId="7116" xr:uid="{00000000-0005-0000-0000-0000DC0D0000}"/>
    <cellStyle name="20% - Accent2 3 11 4" xfId="7117" xr:uid="{00000000-0005-0000-0000-0000DD0D0000}"/>
    <cellStyle name="20% - Accent2 3 11 4 2" xfId="7118" xr:uid="{00000000-0005-0000-0000-0000DE0D0000}"/>
    <cellStyle name="20% - Accent2 3 11 5" xfId="7119" xr:uid="{00000000-0005-0000-0000-0000DF0D0000}"/>
    <cellStyle name="20% - Accent2 3 11 6" xfId="7120" xr:uid="{00000000-0005-0000-0000-0000E00D0000}"/>
    <cellStyle name="20% - Accent2 3 11 7" xfId="7121" xr:uid="{00000000-0005-0000-0000-0000E10D0000}"/>
    <cellStyle name="20% - Accent2 3 12" xfId="7122" xr:uid="{00000000-0005-0000-0000-0000E20D0000}"/>
    <cellStyle name="20% - Accent2 3 13" xfId="7123" xr:uid="{00000000-0005-0000-0000-0000E30D0000}"/>
    <cellStyle name="20% - Accent2 3 13 2" xfId="7124" xr:uid="{00000000-0005-0000-0000-0000E40D0000}"/>
    <cellStyle name="20% - Accent2 3 13 2 2" xfId="7125" xr:uid="{00000000-0005-0000-0000-0000E50D0000}"/>
    <cellStyle name="20% - Accent2 3 13 2 2 2" xfId="7126" xr:uid="{00000000-0005-0000-0000-0000E60D0000}"/>
    <cellStyle name="20% - Accent2 3 13 2 3" xfId="7127" xr:uid="{00000000-0005-0000-0000-0000E70D0000}"/>
    <cellStyle name="20% - Accent2 3 13 3" xfId="7128" xr:uid="{00000000-0005-0000-0000-0000E80D0000}"/>
    <cellStyle name="20% - Accent2 3 13 3 2" xfId="7129" xr:uid="{00000000-0005-0000-0000-0000E90D0000}"/>
    <cellStyle name="20% - Accent2 3 13 4" xfId="7130" xr:uid="{00000000-0005-0000-0000-0000EA0D0000}"/>
    <cellStyle name="20% - Accent2 3 14" xfId="7131" xr:uid="{00000000-0005-0000-0000-0000EB0D0000}"/>
    <cellStyle name="20% - Accent2 3 14 2" xfId="7132" xr:uid="{00000000-0005-0000-0000-0000EC0D0000}"/>
    <cellStyle name="20% - Accent2 3 14 2 2" xfId="7133" xr:uid="{00000000-0005-0000-0000-0000ED0D0000}"/>
    <cellStyle name="20% - Accent2 3 14 2 2 2" xfId="7134" xr:uid="{00000000-0005-0000-0000-0000EE0D0000}"/>
    <cellStyle name="20% - Accent2 3 14 2 3" xfId="7135" xr:uid="{00000000-0005-0000-0000-0000EF0D0000}"/>
    <cellStyle name="20% - Accent2 3 14 3" xfId="7136" xr:uid="{00000000-0005-0000-0000-0000F00D0000}"/>
    <cellStyle name="20% - Accent2 3 14 3 2" xfId="7137" xr:uid="{00000000-0005-0000-0000-0000F10D0000}"/>
    <cellStyle name="20% - Accent2 3 14 4" xfId="7138" xr:uid="{00000000-0005-0000-0000-0000F20D0000}"/>
    <cellStyle name="20% - Accent2 3 15" xfId="7139" xr:uid="{00000000-0005-0000-0000-0000F30D0000}"/>
    <cellStyle name="20% - Accent2 3 15 2" xfId="7140" xr:uid="{00000000-0005-0000-0000-0000F40D0000}"/>
    <cellStyle name="20% - Accent2 3 15 2 2" xfId="7141" xr:uid="{00000000-0005-0000-0000-0000F50D0000}"/>
    <cellStyle name="20% - Accent2 3 15 2 2 2" xfId="7142" xr:uid="{00000000-0005-0000-0000-0000F60D0000}"/>
    <cellStyle name="20% - Accent2 3 15 2 3" xfId="7143" xr:uid="{00000000-0005-0000-0000-0000F70D0000}"/>
    <cellStyle name="20% - Accent2 3 15 3" xfId="7144" xr:uid="{00000000-0005-0000-0000-0000F80D0000}"/>
    <cellStyle name="20% - Accent2 3 15 3 2" xfId="7145" xr:uid="{00000000-0005-0000-0000-0000F90D0000}"/>
    <cellStyle name="20% - Accent2 3 15 4" xfId="7146" xr:uid="{00000000-0005-0000-0000-0000FA0D0000}"/>
    <cellStyle name="20% - Accent2 3 16" xfId="7147" xr:uid="{00000000-0005-0000-0000-0000FB0D0000}"/>
    <cellStyle name="20% - Accent2 3 16 2" xfId="7148" xr:uid="{00000000-0005-0000-0000-0000FC0D0000}"/>
    <cellStyle name="20% - Accent2 3 16 2 2" xfId="7149" xr:uid="{00000000-0005-0000-0000-0000FD0D0000}"/>
    <cellStyle name="20% - Accent2 3 16 3" xfId="7150" xr:uid="{00000000-0005-0000-0000-0000FE0D0000}"/>
    <cellStyle name="20% - Accent2 3 2" xfId="7151" xr:uid="{00000000-0005-0000-0000-0000FF0D0000}"/>
    <cellStyle name="20% - Accent2 3 2 10" xfId="7152" xr:uid="{00000000-0005-0000-0000-0000000E0000}"/>
    <cellStyle name="20% - Accent2 3 2 11" xfId="7153" xr:uid="{00000000-0005-0000-0000-0000010E0000}"/>
    <cellStyle name="20% - Accent2 3 2 2" xfId="7154" xr:uid="{00000000-0005-0000-0000-0000020E0000}"/>
    <cellStyle name="20% - Accent2 3 2 2 2" xfId="7155" xr:uid="{00000000-0005-0000-0000-0000030E0000}"/>
    <cellStyle name="20% - Accent2 3 2 2 2 2" xfId="7156" xr:uid="{00000000-0005-0000-0000-0000040E0000}"/>
    <cellStyle name="20% - Accent2 3 2 2 2 2 2" xfId="7157" xr:uid="{00000000-0005-0000-0000-0000050E0000}"/>
    <cellStyle name="20% - Accent2 3 2 2 2 2 2 2" xfId="7158" xr:uid="{00000000-0005-0000-0000-0000060E0000}"/>
    <cellStyle name="20% - Accent2 3 2 2 2 2 3" xfId="7159" xr:uid="{00000000-0005-0000-0000-0000070E0000}"/>
    <cellStyle name="20% - Accent2 3 2 2 2 3" xfId="7160" xr:uid="{00000000-0005-0000-0000-0000080E0000}"/>
    <cellStyle name="20% - Accent2 3 2 2 2 3 2" xfId="7161" xr:uid="{00000000-0005-0000-0000-0000090E0000}"/>
    <cellStyle name="20% - Accent2 3 2 2 2 4" xfId="7162" xr:uid="{00000000-0005-0000-0000-00000A0E0000}"/>
    <cellStyle name="20% - Accent2 3 2 2 2 5" xfId="7163" xr:uid="{00000000-0005-0000-0000-00000B0E0000}"/>
    <cellStyle name="20% - Accent2 3 2 2 2 6" xfId="7164" xr:uid="{00000000-0005-0000-0000-00000C0E0000}"/>
    <cellStyle name="20% - Accent2 3 2 2 3" xfId="7165" xr:uid="{00000000-0005-0000-0000-00000D0E0000}"/>
    <cellStyle name="20% - Accent2 3 2 2 3 2" xfId="7166" xr:uid="{00000000-0005-0000-0000-00000E0E0000}"/>
    <cellStyle name="20% - Accent2 3 2 2 3 2 2" xfId="7167" xr:uid="{00000000-0005-0000-0000-00000F0E0000}"/>
    <cellStyle name="20% - Accent2 3 2 2 3 3" xfId="7168" xr:uid="{00000000-0005-0000-0000-0000100E0000}"/>
    <cellStyle name="20% - Accent2 3 2 2 4" xfId="7169" xr:uid="{00000000-0005-0000-0000-0000110E0000}"/>
    <cellStyle name="20% - Accent2 3 2 2 4 2" xfId="7170" xr:uid="{00000000-0005-0000-0000-0000120E0000}"/>
    <cellStyle name="20% - Accent2 3 2 2 5" xfId="7171" xr:uid="{00000000-0005-0000-0000-0000130E0000}"/>
    <cellStyle name="20% - Accent2 3 2 2 5 2" xfId="7172" xr:uid="{00000000-0005-0000-0000-0000140E0000}"/>
    <cellStyle name="20% - Accent2 3 2 2 6" xfId="7173" xr:uid="{00000000-0005-0000-0000-0000150E0000}"/>
    <cellStyle name="20% - Accent2 3 2 2 7" xfId="7174" xr:uid="{00000000-0005-0000-0000-0000160E0000}"/>
    <cellStyle name="20% - Accent2 3 2 2 8" xfId="7175" xr:uid="{00000000-0005-0000-0000-0000170E0000}"/>
    <cellStyle name="20% - Accent2 3 2 3" xfId="7176" xr:uid="{00000000-0005-0000-0000-0000180E0000}"/>
    <cellStyle name="20% - Accent2 3 2 3 2" xfId="7177" xr:uid="{00000000-0005-0000-0000-0000190E0000}"/>
    <cellStyle name="20% - Accent2 3 2 3 2 2" xfId="7178" xr:uid="{00000000-0005-0000-0000-00001A0E0000}"/>
    <cellStyle name="20% - Accent2 3 2 3 2 2 2" xfId="7179" xr:uid="{00000000-0005-0000-0000-00001B0E0000}"/>
    <cellStyle name="20% - Accent2 3 2 3 2 2 2 2" xfId="7180" xr:uid="{00000000-0005-0000-0000-00001C0E0000}"/>
    <cellStyle name="20% - Accent2 3 2 3 2 2 3" xfId="7181" xr:uid="{00000000-0005-0000-0000-00001D0E0000}"/>
    <cellStyle name="20% - Accent2 3 2 3 2 3" xfId="7182" xr:uid="{00000000-0005-0000-0000-00001E0E0000}"/>
    <cellStyle name="20% - Accent2 3 2 3 2 3 2" xfId="7183" xr:uid="{00000000-0005-0000-0000-00001F0E0000}"/>
    <cellStyle name="20% - Accent2 3 2 3 2 4" xfId="7184" xr:uid="{00000000-0005-0000-0000-0000200E0000}"/>
    <cellStyle name="20% - Accent2 3 2 3 2 5" xfId="7185" xr:uid="{00000000-0005-0000-0000-0000210E0000}"/>
    <cellStyle name="20% - Accent2 3 2 3 2 6" xfId="7186" xr:uid="{00000000-0005-0000-0000-0000220E0000}"/>
    <cellStyle name="20% - Accent2 3 2 3 3" xfId="7187" xr:uid="{00000000-0005-0000-0000-0000230E0000}"/>
    <cellStyle name="20% - Accent2 3 2 3 3 2" xfId="7188" xr:uid="{00000000-0005-0000-0000-0000240E0000}"/>
    <cellStyle name="20% - Accent2 3 2 3 3 2 2" xfId="7189" xr:uid="{00000000-0005-0000-0000-0000250E0000}"/>
    <cellStyle name="20% - Accent2 3 2 3 3 3" xfId="7190" xr:uid="{00000000-0005-0000-0000-0000260E0000}"/>
    <cellStyle name="20% - Accent2 3 2 3 4" xfId="7191" xr:uid="{00000000-0005-0000-0000-0000270E0000}"/>
    <cellStyle name="20% - Accent2 3 2 3 4 2" xfId="7192" xr:uid="{00000000-0005-0000-0000-0000280E0000}"/>
    <cellStyle name="20% - Accent2 3 2 3 5" xfId="7193" xr:uid="{00000000-0005-0000-0000-0000290E0000}"/>
    <cellStyle name="20% - Accent2 3 2 3 6" xfId="7194" xr:uid="{00000000-0005-0000-0000-00002A0E0000}"/>
    <cellStyle name="20% - Accent2 3 2 3 7" xfId="7195" xr:uid="{00000000-0005-0000-0000-00002B0E0000}"/>
    <cellStyle name="20% - Accent2 3 2 4" xfId="7196" xr:uid="{00000000-0005-0000-0000-00002C0E0000}"/>
    <cellStyle name="20% - Accent2 3 2 4 2" xfId="7197" xr:uid="{00000000-0005-0000-0000-00002D0E0000}"/>
    <cellStyle name="20% - Accent2 3 2 4 2 2" xfId="7198" xr:uid="{00000000-0005-0000-0000-00002E0E0000}"/>
    <cellStyle name="20% - Accent2 3 2 4 2 2 2" xfId="7199" xr:uid="{00000000-0005-0000-0000-00002F0E0000}"/>
    <cellStyle name="20% - Accent2 3 2 4 2 3" xfId="7200" xr:uid="{00000000-0005-0000-0000-0000300E0000}"/>
    <cellStyle name="20% - Accent2 3 2 4 3" xfId="7201" xr:uid="{00000000-0005-0000-0000-0000310E0000}"/>
    <cellStyle name="20% - Accent2 3 2 4 3 2" xfId="7202" xr:uid="{00000000-0005-0000-0000-0000320E0000}"/>
    <cellStyle name="20% - Accent2 3 2 4 4" xfId="7203" xr:uid="{00000000-0005-0000-0000-0000330E0000}"/>
    <cellStyle name="20% - Accent2 3 2 4 5" xfId="7204" xr:uid="{00000000-0005-0000-0000-0000340E0000}"/>
    <cellStyle name="20% - Accent2 3 2 4 6" xfId="7205" xr:uid="{00000000-0005-0000-0000-0000350E0000}"/>
    <cellStyle name="20% - Accent2 3 2 5" xfId="7206" xr:uid="{00000000-0005-0000-0000-0000360E0000}"/>
    <cellStyle name="20% - Accent2 3 2 5 2" xfId="7207" xr:uid="{00000000-0005-0000-0000-0000370E0000}"/>
    <cellStyle name="20% - Accent2 3 2 5 2 2" xfId="7208" xr:uid="{00000000-0005-0000-0000-0000380E0000}"/>
    <cellStyle name="20% - Accent2 3 2 5 3" xfId="7209" xr:uid="{00000000-0005-0000-0000-0000390E0000}"/>
    <cellStyle name="20% - Accent2 3 2 6" xfId="7210" xr:uid="{00000000-0005-0000-0000-00003A0E0000}"/>
    <cellStyle name="20% - Accent2 3 2 6 2" xfId="7211" xr:uid="{00000000-0005-0000-0000-00003B0E0000}"/>
    <cellStyle name="20% - Accent2 3 2 6 2 2" xfId="7212" xr:uid="{00000000-0005-0000-0000-00003C0E0000}"/>
    <cellStyle name="20% - Accent2 3 2 6 3" xfId="7213" xr:uid="{00000000-0005-0000-0000-00003D0E0000}"/>
    <cellStyle name="20% - Accent2 3 2 7" xfId="7214" xr:uid="{00000000-0005-0000-0000-00003E0E0000}"/>
    <cellStyle name="20% - Accent2 3 2 7 2" xfId="7215" xr:uid="{00000000-0005-0000-0000-00003F0E0000}"/>
    <cellStyle name="20% - Accent2 3 2 8" xfId="7216" xr:uid="{00000000-0005-0000-0000-0000400E0000}"/>
    <cellStyle name="20% - Accent2 3 2 8 2" xfId="7217" xr:uid="{00000000-0005-0000-0000-0000410E0000}"/>
    <cellStyle name="20% - Accent2 3 2 9" xfId="7218" xr:uid="{00000000-0005-0000-0000-0000420E0000}"/>
    <cellStyle name="20% - Accent2 3 3" xfId="7219" xr:uid="{00000000-0005-0000-0000-0000430E0000}"/>
    <cellStyle name="20% - Accent2 3 3 10" xfId="7220" xr:uid="{00000000-0005-0000-0000-0000440E0000}"/>
    <cellStyle name="20% - Accent2 3 3 11" xfId="7221" xr:uid="{00000000-0005-0000-0000-0000450E0000}"/>
    <cellStyle name="20% - Accent2 3 3 2" xfId="7222" xr:uid="{00000000-0005-0000-0000-0000460E0000}"/>
    <cellStyle name="20% - Accent2 3 3 2 2" xfId="7223" xr:uid="{00000000-0005-0000-0000-0000470E0000}"/>
    <cellStyle name="20% - Accent2 3 3 2 2 2" xfId="7224" xr:uid="{00000000-0005-0000-0000-0000480E0000}"/>
    <cellStyle name="20% - Accent2 3 3 2 2 2 2" xfId="7225" xr:uid="{00000000-0005-0000-0000-0000490E0000}"/>
    <cellStyle name="20% - Accent2 3 3 2 2 2 2 2" xfId="7226" xr:uid="{00000000-0005-0000-0000-00004A0E0000}"/>
    <cellStyle name="20% - Accent2 3 3 2 2 2 3" xfId="7227" xr:uid="{00000000-0005-0000-0000-00004B0E0000}"/>
    <cellStyle name="20% - Accent2 3 3 2 2 3" xfId="7228" xr:uid="{00000000-0005-0000-0000-00004C0E0000}"/>
    <cellStyle name="20% - Accent2 3 3 2 2 3 2" xfId="7229" xr:uid="{00000000-0005-0000-0000-00004D0E0000}"/>
    <cellStyle name="20% - Accent2 3 3 2 2 4" xfId="7230" xr:uid="{00000000-0005-0000-0000-00004E0E0000}"/>
    <cellStyle name="20% - Accent2 3 3 2 2 5" xfId="7231" xr:uid="{00000000-0005-0000-0000-00004F0E0000}"/>
    <cellStyle name="20% - Accent2 3 3 2 2 6" xfId="7232" xr:uid="{00000000-0005-0000-0000-0000500E0000}"/>
    <cellStyle name="20% - Accent2 3 3 2 3" xfId="7233" xr:uid="{00000000-0005-0000-0000-0000510E0000}"/>
    <cellStyle name="20% - Accent2 3 3 2 3 2" xfId="7234" xr:uid="{00000000-0005-0000-0000-0000520E0000}"/>
    <cellStyle name="20% - Accent2 3 3 2 3 2 2" xfId="7235" xr:uid="{00000000-0005-0000-0000-0000530E0000}"/>
    <cellStyle name="20% - Accent2 3 3 2 3 3" xfId="7236" xr:uid="{00000000-0005-0000-0000-0000540E0000}"/>
    <cellStyle name="20% - Accent2 3 3 2 4" xfId="7237" xr:uid="{00000000-0005-0000-0000-0000550E0000}"/>
    <cellStyle name="20% - Accent2 3 3 2 4 2" xfId="7238" xr:uid="{00000000-0005-0000-0000-0000560E0000}"/>
    <cellStyle name="20% - Accent2 3 3 2 5" xfId="7239" xr:uid="{00000000-0005-0000-0000-0000570E0000}"/>
    <cellStyle name="20% - Accent2 3 3 2 5 2" xfId="7240" xr:uid="{00000000-0005-0000-0000-0000580E0000}"/>
    <cellStyle name="20% - Accent2 3 3 2 6" xfId="7241" xr:uid="{00000000-0005-0000-0000-0000590E0000}"/>
    <cellStyle name="20% - Accent2 3 3 2 7" xfId="7242" xr:uid="{00000000-0005-0000-0000-00005A0E0000}"/>
    <cellStyle name="20% - Accent2 3 3 2 8" xfId="7243" xr:uid="{00000000-0005-0000-0000-00005B0E0000}"/>
    <cellStyle name="20% - Accent2 3 3 3" xfId="7244" xr:uid="{00000000-0005-0000-0000-00005C0E0000}"/>
    <cellStyle name="20% - Accent2 3 3 3 2" xfId="7245" xr:uid="{00000000-0005-0000-0000-00005D0E0000}"/>
    <cellStyle name="20% - Accent2 3 3 3 2 2" xfId="7246" xr:uid="{00000000-0005-0000-0000-00005E0E0000}"/>
    <cellStyle name="20% - Accent2 3 3 3 2 2 2" xfId="7247" xr:uid="{00000000-0005-0000-0000-00005F0E0000}"/>
    <cellStyle name="20% - Accent2 3 3 3 2 2 2 2" xfId="7248" xr:uid="{00000000-0005-0000-0000-0000600E0000}"/>
    <cellStyle name="20% - Accent2 3 3 3 2 2 3" xfId="7249" xr:uid="{00000000-0005-0000-0000-0000610E0000}"/>
    <cellStyle name="20% - Accent2 3 3 3 2 3" xfId="7250" xr:uid="{00000000-0005-0000-0000-0000620E0000}"/>
    <cellStyle name="20% - Accent2 3 3 3 2 3 2" xfId="7251" xr:uid="{00000000-0005-0000-0000-0000630E0000}"/>
    <cellStyle name="20% - Accent2 3 3 3 2 4" xfId="7252" xr:uid="{00000000-0005-0000-0000-0000640E0000}"/>
    <cellStyle name="20% - Accent2 3 3 3 2 5" xfId="7253" xr:uid="{00000000-0005-0000-0000-0000650E0000}"/>
    <cellStyle name="20% - Accent2 3 3 3 2 6" xfId="7254" xr:uid="{00000000-0005-0000-0000-0000660E0000}"/>
    <cellStyle name="20% - Accent2 3 3 3 3" xfId="7255" xr:uid="{00000000-0005-0000-0000-0000670E0000}"/>
    <cellStyle name="20% - Accent2 3 3 3 3 2" xfId="7256" xr:uid="{00000000-0005-0000-0000-0000680E0000}"/>
    <cellStyle name="20% - Accent2 3 3 3 3 2 2" xfId="7257" xr:uid="{00000000-0005-0000-0000-0000690E0000}"/>
    <cellStyle name="20% - Accent2 3 3 3 3 3" xfId="7258" xr:uid="{00000000-0005-0000-0000-00006A0E0000}"/>
    <cellStyle name="20% - Accent2 3 3 3 4" xfId="7259" xr:uid="{00000000-0005-0000-0000-00006B0E0000}"/>
    <cellStyle name="20% - Accent2 3 3 3 4 2" xfId="7260" xr:uid="{00000000-0005-0000-0000-00006C0E0000}"/>
    <cellStyle name="20% - Accent2 3 3 3 5" xfId="7261" xr:uid="{00000000-0005-0000-0000-00006D0E0000}"/>
    <cellStyle name="20% - Accent2 3 3 3 6" xfId="7262" xr:uid="{00000000-0005-0000-0000-00006E0E0000}"/>
    <cellStyle name="20% - Accent2 3 3 3 7" xfId="7263" xr:uid="{00000000-0005-0000-0000-00006F0E0000}"/>
    <cellStyle name="20% - Accent2 3 3 4" xfId="7264" xr:uid="{00000000-0005-0000-0000-0000700E0000}"/>
    <cellStyle name="20% - Accent2 3 3 4 2" xfId="7265" xr:uid="{00000000-0005-0000-0000-0000710E0000}"/>
    <cellStyle name="20% - Accent2 3 3 4 2 2" xfId="7266" xr:uid="{00000000-0005-0000-0000-0000720E0000}"/>
    <cellStyle name="20% - Accent2 3 3 4 2 2 2" xfId="7267" xr:uid="{00000000-0005-0000-0000-0000730E0000}"/>
    <cellStyle name="20% - Accent2 3 3 4 2 3" xfId="7268" xr:uid="{00000000-0005-0000-0000-0000740E0000}"/>
    <cellStyle name="20% - Accent2 3 3 4 3" xfId="7269" xr:uid="{00000000-0005-0000-0000-0000750E0000}"/>
    <cellStyle name="20% - Accent2 3 3 4 3 2" xfId="7270" xr:uid="{00000000-0005-0000-0000-0000760E0000}"/>
    <cellStyle name="20% - Accent2 3 3 4 4" xfId="7271" xr:uid="{00000000-0005-0000-0000-0000770E0000}"/>
    <cellStyle name="20% - Accent2 3 3 4 5" xfId="7272" xr:uid="{00000000-0005-0000-0000-0000780E0000}"/>
    <cellStyle name="20% - Accent2 3 3 4 6" xfId="7273" xr:uid="{00000000-0005-0000-0000-0000790E0000}"/>
    <cellStyle name="20% - Accent2 3 3 5" xfId="7274" xr:uid="{00000000-0005-0000-0000-00007A0E0000}"/>
    <cellStyle name="20% - Accent2 3 3 5 2" xfId="7275" xr:uid="{00000000-0005-0000-0000-00007B0E0000}"/>
    <cellStyle name="20% - Accent2 3 3 5 2 2" xfId="7276" xr:uid="{00000000-0005-0000-0000-00007C0E0000}"/>
    <cellStyle name="20% - Accent2 3 3 5 3" xfId="7277" xr:uid="{00000000-0005-0000-0000-00007D0E0000}"/>
    <cellStyle name="20% - Accent2 3 3 6" xfId="7278" xr:uid="{00000000-0005-0000-0000-00007E0E0000}"/>
    <cellStyle name="20% - Accent2 3 3 6 2" xfId="7279" xr:uid="{00000000-0005-0000-0000-00007F0E0000}"/>
    <cellStyle name="20% - Accent2 3 3 6 2 2" xfId="7280" xr:uid="{00000000-0005-0000-0000-0000800E0000}"/>
    <cellStyle name="20% - Accent2 3 3 6 3" xfId="7281" xr:uid="{00000000-0005-0000-0000-0000810E0000}"/>
    <cellStyle name="20% - Accent2 3 3 7" xfId="7282" xr:uid="{00000000-0005-0000-0000-0000820E0000}"/>
    <cellStyle name="20% - Accent2 3 3 7 2" xfId="7283" xr:uid="{00000000-0005-0000-0000-0000830E0000}"/>
    <cellStyle name="20% - Accent2 3 3 8" xfId="7284" xr:uid="{00000000-0005-0000-0000-0000840E0000}"/>
    <cellStyle name="20% - Accent2 3 3 8 2" xfId="7285" xr:uid="{00000000-0005-0000-0000-0000850E0000}"/>
    <cellStyle name="20% - Accent2 3 3 9" xfId="7286" xr:uid="{00000000-0005-0000-0000-0000860E0000}"/>
    <cellStyle name="20% - Accent2 3 4" xfId="7287" xr:uid="{00000000-0005-0000-0000-0000870E0000}"/>
    <cellStyle name="20% - Accent2 3 4 10" xfId="7288" xr:uid="{00000000-0005-0000-0000-0000880E0000}"/>
    <cellStyle name="20% - Accent2 3 4 11" xfId="7289" xr:uid="{00000000-0005-0000-0000-0000890E0000}"/>
    <cellStyle name="20% - Accent2 3 4 2" xfId="7290" xr:uid="{00000000-0005-0000-0000-00008A0E0000}"/>
    <cellStyle name="20% - Accent2 3 4 2 2" xfId="7291" xr:uid="{00000000-0005-0000-0000-00008B0E0000}"/>
    <cellStyle name="20% - Accent2 3 4 2 2 2" xfId="7292" xr:uid="{00000000-0005-0000-0000-00008C0E0000}"/>
    <cellStyle name="20% - Accent2 3 4 2 2 2 2" xfId="7293" xr:uid="{00000000-0005-0000-0000-00008D0E0000}"/>
    <cellStyle name="20% - Accent2 3 4 2 2 2 2 2" xfId="7294" xr:uid="{00000000-0005-0000-0000-00008E0E0000}"/>
    <cellStyle name="20% - Accent2 3 4 2 2 2 3" xfId="7295" xr:uid="{00000000-0005-0000-0000-00008F0E0000}"/>
    <cellStyle name="20% - Accent2 3 4 2 2 3" xfId="7296" xr:uid="{00000000-0005-0000-0000-0000900E0000}"/>
    <cellStyle name="20% - Accent2 3 4 2 2 3 2" xfId="7297" xr:uid="{00000000-0005-0000-0000-0000910E0000}"/>
    <cellStyle name="20% - Accent2 3 4 2 2 4" xfId="7298" xr:uid="{00000000-0005-0000-0000-0000920E0000}"/>
    <cellStyle name="20% - Accent2 3 4 2 2 5" xfId="7299" xr:uid="{00000000-0005-0000-0000-0000930E0000}"/>
    <cellStyle name="20% - Accent2 3 4 2 2 6" xfId="7300" xr:uid="{00000000-0005-0000-0000-0000940E0000}"/>
    <cellStyle name="20% - Accent2 3 4 2 3" xfId="7301" xr:uid="{00000000-0005-0000-0000-0000950E0000}"/>
    <cellStyle name="20% - Accent2 3 4 2 3 2" xfId="7302" xr:uid="{00000000-0005-0000-0000-0000960E0000}"/>
    <cellStyle name="20% - Accent2 3 4 2 3 2 2" xfId="7303" xr:uid="{00000000-0005-0000-0000-0000970E0000}"/>
    <cellStyle name="20% - Accent2 3 4 2 3 3" xfId="7304" xr:uid="{00000000-0005-0000-0000-0000980E0000}"/>
    <cellStyle name="20% - Accent2 3 4 2 4" xfId="7305" xr:uid="{00000000-0005-0000-0000-0000990E0000}"/>
    <cellStyle name="20% - Accent2 3 4 2 4 2" xfId="7306" xr:uid="{00000000-0005-0000-0000-00009A0E0000}"/>
    <cellStyle name="20% - Accent2 3 4 2 5" xfId="7307" xr:uid="{00000000-0005-0000-0000-00009B0E0000}"/>
    <cellStyle name="20% - Accent2 3 4 2 5 2" xfId="7308" xr:uid="{00000000-0005-0000-0000-00009C0E0000}"/>
    <cellStyle name="20% - Accent2 3 4 2 6" xfId="7309" xr:uid="{00000000-0005-0000-0000-00009D0E0000}"/>
    <cellStyle name="20% - Accent2 3 4 2 7" xfId="7310" xr:uid="{00000000-0005-0000-0000-00009E0E0000}"/>
    <cellStyle name="20% - Accent2 3 4 2 8" xfId="7311" xr:uid="{00000000-0005-0000-0000-00009F0E0000}"/>
    <cellStyle name="20% - Accent2 3 4 3" xfId="7312" xr:uid="{00000000-0005-0000-0000-0000A00E0000}"/>
    <cellStyle name="20% - Accent2 3 4 3 2" xfId="7313" xr:uid="{00000000-0005-0000-0000-0000A10E0000}"/>
    <cellStyle name="20% - Accent2 3 4 3 2 2" xfId="7314" xr:uid="{00000000-0005-0000-0000-0000A20E0000}"/>
    <cellStyle name="20% - Accent2 3 4 3 2 2 2" xfId="7315" xr:uid="{00000000-0005-0000-0000-0000A30E0000}"/>
    <cellStyle name="20% - Accent2 3 4 3 2 2 2 2" xfId="7316" xr:uid="{00000000-0005-0000-0000-0000A40E0000}"/>
    <cellStyle name="20% - Accent2 3 4 3 2 2 3" xfId="7317" xr:uid="{00000000-0005-0000-0000-0000A50E0000}"/>
    <cellStyle name="20% - Accent2 3 4 3 2 3" xfId="7318" xr:uid="{00000000-0005-0000-0000-0000A60E0000}"/>
    <cellStyle name="20% - Accent2 3 4 3 2 3 2" xfId="7319" xr:uid="{00000000-0005-0000-0000-0000A70E0000}"/>
    <cellStyle name="20% - Accent2 3 4 3 2 4" xfId="7320" xr:uid="{00000000-0005-0000-0000-0000A80E0000}"/>
    <cellStyle name="20% - Accent2 3 4 3 2 5" xfId="7321" xr:uid="{00000000-0005-0000-0000-0000A90E0000}"/>
    <cellStyle name="20% - Accent2 3 4 3 2 6" xfId="7322" xr:uid="{00000000-0005-0000-0000-0000AA0E0000}"/>
    <cellStyle name="20% - Accent2 3 4 3 3" xfId="7323" xr:uid="{00000000-0005-0000-0000-0000AB0E0000}"/>
    <cellStyle name="20% - Accent2 3 4 3 3 2" xfId="7324" xr:uid="{00000000-0005-0000-0000-0000AC0E0000}"/>
    <cellStyle name="20% - Accent2 3 4 3 3 2 2" xfId="7325" xr:uid="{00000000-0005-0000-0000-0000AD0E0000}"/>
    <cellStyle name="20% - Accent2 3 4 3 3 3" xfId="7326" xr:uid="{00000000-0005-0000-0000-0000AE0E0000}"/>
    <cellStyle name="20% - Accent2 3 4 3 4" xfId="7327" xr:uid="{00000000-0005-0000-0000-0000AF0E0000}"/>
    <cellStyle name="20% - Accent2 3 4 3 4 2" xfId="7328" xr:uid="{00000000-0005-0000-0000-0000B00E0000}"/>
    <cellStyle name="20% - Accent2 3 4 3 5" xfId="7329" xr:uid="{00000000-0005-0000-0000-0000B10E0000}"/>
    <cellStyle name="20% - Accent2 3 4 3 6" xfId="7330" xr:uid="{00000000-0005-0000-0000-0000B20E0000}"/>
    <cellStyle name="20% - Accent2 3 4 3 7" xfId="7331" xr:uid="{00000000-0005-0000-0000-0000B30E0000}"/>
    <cellStyle name="20% - Accent2 3 4 4" xfId="7332" xr:uid="{00000000-0005-0000-0000-0000B40E0000}"/>
    <cellStyle name="20% - Accent2 3 4 4 2" xfId="7333" xr:uid="{00000000-0005-0000-0000-0000B50E0000}"/>
    <cellStyle name="20% - Accent2 3 4 4 2 2" xfId="7334" xr:uid="{00000000-0005-0000-0000-0000B60E0000}"/>
    <cellStyle name="20% - Accent2 3 4 4 2 2 2" xfId="7335" xr:uid="{00000000-0005-0000-0000-0000B70E0000}"/>
    <cellStyle name="20% - Accent2 3 4 4 2 3" xfId="7336" xr:uid="{00000000-0005-0000-0000-0000B80E0000}"/>
    <cellStyle name="20% - Accent2 3 4 4 3" xfId="7337" xr:uid="{00000000-0005-0000-0000-0000B90E0000}"/>
    <cellStyle name="20% - Accent2 3 4 4 3 2" xfId="7338" xr:uid="{00000000-0005-0000-0000-0000BA0E0000}"/>
    <cellStyle name="20% - Accent2 3 4 4 4" xfId="7339" xr:uid="{00000000-0005-0000-0000-0000BB0E0000}"/>
    <cellStyle name="20% - Accent2 3 4 4 5" xfId="7340" xr:uid="{00000000-0005-0000-0000-0000BC0E0000}"/>
    <cellStyle name="20% - Accent2 3 4 4 6" xfId="7341" xr:uid="{00000000-0005-0000-0000-0000BD0E0000}"/>
    <cellStyle name="20% - Accent2 3 4 5" xfId="7342" xr:uid="{00000000-0005-0000-0000-0000BE0E0000}"/>
    <cellStyle name="20% - Accent2 3 4 5 2" xfId="7343" xr:uid="{00000000-0005-0000-0000-0000BF0E0000}"/>
    <cellStyle name="20% - Accent2 3 4 5 2 2" xfId="7344" xr:uid="{00000000-0005-0000-0000-0000C00E0000}"/>
    <cellStyle name="20% - Accent2 3 4 5 3" xfId="7345" xr:uid="{00000000-0005-0000-0000-0000C10E0000}"/>
    <cellStyle name="20% - Accent2 3 4 6" xfId="7346" xr:uid="{00000000-0005-0000-0000-0000C20E0000}"/>
    <cellStyle name="20% - Accent2 3 4 6 2" xfId="7347" xr:uid="{00000000-0005-0000-0000-0000C30E0000}"/>
    <cellStyle name="20% - Accent2 3 4 6 2 2" xfId="7348" xr:uid="{00000000-0005-0000-0000-0000C40E0000}"/>
    <cellStyle name="20% - Accent2 3 4 6 3" xfId="7349" xr:uid="{00000000-0005-0000-0000-0000C50E0000}"/>
    <cellStyle name="20% - Accent2 3 4 7" xfId="7350" xr:uid="{00000000-0005-0000-0000-0000C60E0000}"/>
    <cellStyle name="20% - Accent2 3 4 7 2" xfId="7351" xr:uid="{00000000-0005-0000-0000-0000C70E0000}"/>
    <cellStyle name="20% - Accent2 3 4 8" xfId="7352" xr:uid="{00000000-0005-0000-0000-0000C80E0000}"/>
    <cellStyle name="20% - Accent2 3 4 8 2" xfId="7353" xr:uid="{00000000-0005-0000-0000-0000C90E0000}"/>
    <cellStyle name="20% - Accent2 3 4 9" xfId="7354" xr:uid="{00000000-0005-0000-0000-0000CA0E0000}"/>
    <cellStyle name="20% - Accent2 3 5" xfId="7355" xr:uid="{00000000-0005-0000-0000-0000CB0E0000}"/>
    <cellStyle name="20% - Accent2 3 5 10" xfId="7356" xr:uid="{00000000-0005-0000-0000-0000CC0E0000}"/>
    <cellStyle name="20% - Accent2 3 5 11" xfId="7357" xr:uid="{00000000-0005-0000-0000-0000CD0E0000}"/>
    <cellStyle name="20% - Accent2 3 5 2" xfId="7358" xr:uid="{00000000-0005-0000-0000-0000CE0E0000}"/>
    <cellStyle name="20% - Accent2 3 5 2 2" xfId="7359" xr:uid="{00000000-0005-0000-0000-0000CF0E0000}"/>
    <cellStyle name="20% - Accent2 3 5 2 2 2" xfId="7360" xr:uid="{00000000-0005-0000-0000-0000D00E0000}"/>
    <cellStyle name="20% - Accent2 3 5 2 2 2 2" xfId="7361" xr:uid="{00000000-0005-0000-0000-0000D10E0000}"/>
    <cellStyle name="20% - Accent2 3 5 2 2 2 2 2" xfId="7362" xr:uid="{00000000-0005-0000-0000-0000D20E0000}"/>
    <cellStyle name="20% - Accent2 3 5 2 2 2 3" xfId="7363" xr:uid="{00000000-0005-0000-0000-0000D30E0000}"/>
    <cellStyle name="20% - Accent2 3 5 2 2 3" xfId="7364" xr:uid="{00000000-0005-0000-0000-0000D40E0000}"/>
    <cellStyle name="20% - Accent2 3 5 2 2 3 2" xfId="7365" xr:uid="{00000000-0005-0000-0000-0000D50E0000}"/>
    <cellStyle name="20% - Accent2 3 5 2 2 4" xfId="7366" xr:uid="{00000000-0005-0000-0000-0000D60E0000}"/>
    <cellStyle name="20% - Accent2 3 5 2 2 5" xfId="7367" xr:uid="{00000000-0005-0000-0000-0000D70E0000}"/>
    <cellStyle name="20% - Accent2 3 5 2 2 6" xfId="7368" xr:uid="{00000000-0005-0000-0000-0000D80E0000}"/>
    <cellStyle name="20% - Accent2 3 5 2 3" xfId="7369" xr:uid="{00000000-0005-0000-0000-0000D90E0000}"/>
    <cellStyle name="20% - Accent2 3 5 2 3 2" xfId="7370" xr:uid="{00000000-0005-0000-0000-0000DA0E0000}"/>
    <cellStyle name="20% - Accent2 3 5 2 3 2 2" xfId="7371" xr:uid="{00000000-0005-0000-0000-0000DB0E0000}"/>
    <cellStyle name="20% - Accent2 3 5 2 3 3" xfId="7372" xr:uid="{00000000-0005-0000-0000-0000DC0E0000}"/>
    <cellStyle name="20% - Accent2 3 5 2 4" xfId="7373" xr:uid="{00000000-0005-0000-0000-0000DD0E0000}"/>
    <cellStyle name="20% - Accent2 3 5 2 4 2" xfId="7374" xr:uid="{00000000-0005-0000-0000-0000DE0E0000}"/>
    <cellStyle name="20% - Accent2 3 5 2 5" xfId="7375" xr:uid="{00000000-0005-0000-0000-0000DF0E0000}"/>
    <cellStyle name="20% - Accent2 3 5 2 5 2" xfId="7376" xr:uid="{00000000-0005-0000-0000-0000E00E0000}"/>
    <cellStyle name="20% - Accent2 3 5 2 6" xfId="7377" xr:uid="{00000000-0005-0000-0000-0000E10E0000}"/>
    <cellStyle name="20% - Accent2 3 5 2 7" xfId="7378" xr:uid="{00000000-0005-0000-0000-0000E20E0000}"/>
    <cellStyle name="20% - Accent2 3 5 2 8" xfId="7379" xr:uid="{00000000-0005-0000-0000-0000E30E0000}"/>
    <cellStyle name="20% - Accent2 3 5 3" xfId="7380" xr:uid="{00000000-0005-0000-0000-0000E40E0000}"/>
    <cellStyle name="20% - Accent2 3 5 3 2" xfId="7381" xr:uid="{00000000-0005-0000-0000-0000E50E0000}"/>
    <cellStyle name="20% - Accent2 3 5 3 2 2" xfId="7382" xr:uid="{00000000-0005-0000-0000-0000E60E0000}"/>
    <cellStyle name="20% - Accent2 3 5 3 2 2 2" xfId="7383" xr:uid="{00000000-0005-0000-0000-0000E70E0000}"/>
    <cellStyle name="20% - Accent2 3 5 3 2 2 2 2" xfId="7384" xr:uid="{00000000-0005-0000-0000-0000E80E0000}"/>
    <cellStyle name="20% - Accent2 3 5 3 2 2 3" xfId="7385" xr:uid="{00000000-0005-0000-0000-0000E90E0000}"/>
    <cellStyle name="20% - Accent2 3 5 3 2 3" xfId="7386" xr:uid="{00000000-0005-0000-0000-0000EA0E0000}"/>
    <cellStyle name="20% - Accent2 3 5 3 2 3 2" xfId="7387" xr:uid="{00000000-0005-0000-0000-0000EB0E0000}"/>
    <cellStyle name="20% - Accent2 3 5 3 2 4" xfId="7388" xr:uid="{00000000-0005-0000-0000-0000EC0E0000}"/>
    <cellStyle name="20% - Accent2 3 5 3 2 5" xfId="7389" xr:uid="{00000000-0005-0000-0000-0000ED0E0000}"/>
    <cellStyle name="20% - Accent2 3 5 3 2 6" xfId="7390" xr:uid="{00000000-0005-0000-0000-0000EE0E0000}"/>
    <cellStyle name="20% - Accent2 3 5 3 3" xfId="7391" xr:uid="{00000000-0005-0000-0000-0000EF0E0000}"/>
    <cellStyle name="20% - Accent2 3 5 3 3 2" xfId="7392" xr:uid="{00000000-0005-0000-0000-0000F00E0000}"/>
    <cellStyle name="20% - Accent2 3 5 3 3 2 2" xfId="7393" xr:uid="{00000000-0005-0000-0000-0000F10E0000}"/>
    <cellStyle name="20% - Accent2 3 5 3 3 3" xfId="7394" xr:uid="{00000000-0005-0000-0000-0000F20E0000}"/>
    <cellStyle name="20% - Accent2 3 5 3 4" xfId="7395" xr:uid="{00000000-0005-0000-0000-0000F30E0000}"/>
    <cellStyle name="20% - Accent2 3 5 3 4 2" xfId="7396" xr:uid="{00000000-0005-0000-0000-0000F40E0000}"/>
    <cellStyle name="20% - Accent2 3 5 3 5" xfId="7397" xr:uid="{00000000-0005-0000-0000-0000F50E0000}"/>
    <cellStyle name="20% - Accent2 3 5 3 6" xfId="7398" xr:uid="{00000000-0005-0000-0000-0000F60E0000}"/>
    <cellStyle name="20% - Accent2 3 5 3 7" xfId="7399" xr:uid="{00000000-0005-0000-0000-0000F70E0000}"/>
    <cellStyle name="20% - Accent2 3 5 4" xfId="7400" xr:uid="{00000000-0005-0000-0000-0000F80E0000}"/>
    <cellStyle name="20% - Accent2 3 5 4 2" xfId="7401" xr:uid="{00000000-0005-0000-0000-0000F90E0000}"/>
    <cellStyle name="20% - Accent2 3 5 4 2 2" xfId="7402" xr:uid="{00000000-0005-0000-0000-0000FA0E0000}"/>
    <cellStyle name="20% - Accent2 3 5 4 2 2 2" xfId="7403" xr:uid="{00000000-0005-0000-0000-0000FB0E0000}"/>
    <cellStyle name="20% - Accent2 3 5 4 2 3" xfId="7404" xr:uid="{00000000-0005-0000-0000-0000FC0E0000}"/>
    <cellStyle name="20% - Accent2 3 5 4 3" xfId="7405" xr:uid="{00000000-0005-0000-0000-0000FD0E0000}"/>
    <cellStyle name="20% - Accent2 3 5 4 3 2" xfId="7406" xr:uid="{00000000-0005-0000-0000-0000FE0E0000}"/>
    <cellStyle name="20% - Accent2 3 5 4 4" xfId="7407" xr:uid="{00000000-0005-0000-0000-0000FF0E0000}"/>
    <cellStyle name="20% - Accent2 3 5 4 5" xfId="7408" xr:uid="{00000000-0005-0000-0000-0000000F0000}"/>
    <cellStyle name="20% - Accent2 3 5 4 6" xfId="7409" xr:uid="{00000000-0005-0000-0000-0000010F0000}"/>
    <cellStyle name="20% - Accent2 3 5 5" xfId="7410" xr:uid="{00000000-0005-0000-0000-0000020F0000}"/>
    <cellStyle name="20% - Accent2 3 5 5 2" xfId="7411" xr:uid="{00000000-0005-0000-0000-0000030F0000}"/>
    <cellStyle name="20% - Accent2 3 5 5 2 2" xfId="7412" xr:uid="{00000000-0005-0000-0000-0000040F0000}"/>
    <cellStyle name="20% - Accent2 3 5 5 3" xfId="7413" xr:uid="{00000000-0005-0000-0000-0000050F0000}"/>
    <cellStyle name="20% - Accent2 3 5 6" xfId="7414" xr:uid="{00000000-0005-0000-0000-0000060F0000}"/>
    <cellStyle name="20% - Accent2 3 5 6 2" xfId="7415" xr:uid="{00000000-0005-0000-0000-0000070F0000}"/>
    <cellStyle name="20% - Accent2 3 5 6 2 2" xfId="7416" xr:uid="{00000000-0005-0000-0000-0000080F0000}"/>
    <cellStyle name="20% - Accent2 3 5 6 3" xfId="7417" xr:uid="{00000000-0005-0000-0000-0000090F0000}"/>
    <cellStyle name="20% - Accent2 3 5 7" xfId="7418" xr:uid="{00000000-0005-0000-0000-00000A0F0000}"/>
    <cellStyle name="20% - Accent2 3 5 7 2" xfId="7419" xr:uid="{00000000-0005-0000-0000-00000B0F0000}"/>
    <cellStyle name="20% - Accent2 3 5 8" xfId="7420" xr:uid="{00000000-0005-0000-0000-00000C0F0000}"/>
    <cellStyle name="20% - Accent2 3 5 8 2" xfId="7421" xr:uid="{00000000-0005-0000-0000-00000D0F0000}"/>
    <cellStyle name="20% - Accent2 3 5 9" xfId="7422" xr:uid="{00000000-0005-0000-0000-00000E0F0000}"/>
    <cellStyle name="20% - Accent2 3 6" xfId="7423" xr:uid="{00000000-0005-0000-0000-00000F0F0000}"/>
    <cellStyle name="20% - Accent2 3 6 10" xfId="7424" xr:uid="{00000000-0005-0000-0000-0000100F0000}"/>
    <cellStyle name="20% - Accent2 3 6 11" xfId="7425" xr:uid="{00000000-0005-0000-0000-0000110F0000}"/>
    <cellStyle name="20% - Accent2 3 6 2" xfId="7426" xr:uid="{00000000-0005-0000-0000-0000120F0000}"/>
    <cellStyle name="20% - Accent2 3 6 2 2" xfId="7427" xr:uid="{00000000-0005-0000-0000-0000130F0000}"/>
    <cellStyle name="20% - Accent2 3 6 2 2 2" xfId="7428" xr:uid="{00000000-0005-0000-0000-0000140F0000}"/>
    <cellStyle name="20% - Accent2 3 6 2 2 2 2" xfId="7429" xr:uid="{00000000-0005-0000-0000-0000150F0000}"/>
    <cellStyle name="20% - Accent2 3 6 2 2 2 2 2" xfId="7430" xr:uid="{00000000-0005-0000-0000-0000160F0000}"/>
    <cellStyle name="20% - Accent2 3 6 2 2 2 3" xfId="7431" xr:uid="{00000000-0005-0000-0000-0000170F0000}"/>
    <cellStyle name="20% - Accent2 3 6 2 2 3" xfId="7432" xr:uid="{00000000-0005-0000-0000-0000180F0000}"/>
    <cellStyle name="20% - Accent2 3 6 2 2 3 2" xfId="7433" xr:uid="{00000000-0005-0000-0000-0000190F0000}"/>
    <cellStyle name="20% - Accent2 3 6 2 2 4" xfId="7434" xr:uid="{00000000-0005-0000-0000-00001A0F0000}"/>
    <cellStyle name="20% - Accent2 3 6 2 2 5" xfId="7435" xr:uid="{00000000-0005-0000-0000-00001B0F0000}"/>
    <cellStyle name="20% - Accent2 3 6 2 2 6" xfId="7436" xr:uid="{00000000-0005-0000-0000-00001C0F0000}"/>
    <cellStyle name="20% - Accent2 3 6 2 3" xfId="7437" xr:uid="{00000000-0005-0000-0000-00001D0F0000}"/>
    <cellStyle name="20% - Accent2 3 6 2 3 2" xfId="7438" xr:uid="{00000000-0005-0000-0000-00001E0F0000}"/>
    <cellStyle name="20% - Accent2 3 6 2 3 2 2" xfId="7439" xr:uid="{00000000-0005-0000-0000-00001F0F0000}"/>
    <cellStyle name="20% - Accent2 3 6 2 3 3" xfId="7440" xr:uid="{00000000-0005-0000-0000-0000200F0000}"/>
    <cellStyle name="20% - Accent2 3 6 2 4" xfId="7441" xr:uid="{00000000-0005-0000-0000-0000210F0000}"/>
    <cellStyle name="20% - Accent2 3 6 2 4 2" xfId="7442" xr:uid="{00000000-0005-0000-0000-0000220F0000}"/>
    <cellStyle name="20% - Accent2 3 6 2 5" xfId="7443" xr:uid="{00000000-0005-0000-0000-0000230F0000}"/>
    <cellStyle name="20% - Accent2 3 6 2 5 2" xfId="7444" xr:uid="{00000000-0005-0000-0000-0000240F0000}"/>
    <cellStyle name="20% - Accent2 3 6 2 6" xfId="7445" xr:uid="{00000000-0005-0000-0000-0000250F0000}"/>
    <cellStyle name="20% - Accent2 3 6 2 7" xfId="7446" xr:uid="{00000000-0005-0000-0000-0000260F0000}"/>
    <cellStyle name="20% - Accent2 3 6 2 8" xfId="7447" xr:uid="{00000000-0005-0000-0000-0000270F0000}"/>
    <cellStyle name="20% - Accent2 3 6 3" xfId="7448" xr:uid="{00000000-0005-0000-0000-0000280F0000}"/>
    <cellStyle name="20% - Accent2 3 6 3 2" xfId="7449" xr:uid="{00000000-0005-0000-0000-0000290F0000}"/>
    <cellStyle name="20% - Accent2 3 6 3 2 2" xfId="7450" xr:uid="{00000000-0005-0000-0000-00002A0F0000}"/>
    <cellStyle name="20% - Accent2 3 6 3 2 2 2" xfId="7451" xr:uid="{00000000-0005-0000-0000-00002B0F0000}"/>
    <cellStyle name="20% - Accent2 3 6 3 2 2 2 2" xfId="7452" xr:uid="{00000000-0005-0000-0000-00002C0F0000}"/>
    <cellStyle name="20% - Accent2 3 6 3 2 2 3" xfId="7453" xr:uid="{00000000-0005-0000-0000-00002D0F0000}"/>
    <cellStyle name="20% - Accent2 3 6 3 2 3" xfId="7454" xr:uid="{00000000-0005-0000-0000-00002E0F0000}"/>
    <cellStyle name="20% - Accent2 3 6 3 2 3 2" xfId="7455" xr:uid="{00000000-0005-0000-0000-00002F0F0000}"/>
    <cellStyle name="20% - Accent2 3 6 3 2 4" xfId="7456" xr:uid="{00000000-0005-0000-0000-0000300F0000}"/>
    <cellStyle name="20% - Accent2 3 6 3 2 5" xfId="7457" xr:uid="{00000000-0005-0000-0000-0000310F0000}"/>
    <cellStyle name="20% - Accent2 3 6 3 2 6" xfId="7458" xr:uid="{00000000-0005-0000-0000-0000320F0000}"/>
    <cellStyle name="20% - Accent2 3 6 3 3" xfId="7459" xr:uid="{00000000-0005-0000-0000-0000330F0000}"/>
    <cellStyle name="20% - Accent2 3 6 3 3 2" xfId="7460" xr:uid="{00000000-0005-0000-0000-0000340F0000}"/>
    <cellStyle name="20% - Accent2 3 6 3 3 2 2" xfId="7461" xr:uid="{00000000-0005-0000-0000-0000350F0000}"/>
    <cellStyle name="20% - Accent2 3 6 3 3 3" xfId="7462" xr:uid="{00000000-0005-0000-0000-0000360F0000}"/>
    <cellStyle name="20% - Accent2 3 6 3 4" xfId="7463" xr:uid="{00000000-0005-0000-0000-0000370F0000}"/>
    <cellStyle name="20% - Accent2 3 6 3 4 2" xfId="7464" xr:uid="{00000000-0005-0000-0000-0000380F0000}"/>
    <cellStyle name="20% - Accent2 3 6 3 5" xfId="7465" xr:uid="{00000000-0005-0000-0000-0000390F0000}"/>
    <cellStyle name="20% - Accent2 3 6 3 6" xfId="7466" xr:uid="{00000000-0005-0000-0000-00003A0F0000}"/>
    <cellStyle name="20% - Accent2 3 6 3 7" xfId="7467" xr:uid="{00000000-0005-0000-0000-00003B0F0000}"/>
    <cellStyle name="20% - Accent2 3 6 4" xfId="7468" xr:uid="{00000000-0005-0000-0000-00003C0F0000}"/>
    <cellStyle name="20% - Accent2 3 6 4 2" xfId="7469" xr:uid="{00000000-0005-0000-0000-00003D0F0000}"/>
    <cellStyle name="20% - Accent2 3 6 4 2 2" xfId="7470" xr:uid="{00000000-0005-0000-0000-00003E0F0000}"/>
    <cellStyle name="20% - Accent2 3 6 4 2 2 2" xfId="7471" xr:uid="{00000000-0005-0000-0000-00003F0F0000}"/>
    <cellStyle name="20% - Accent2 3 6 4 2 3" xfId="7472" xr:uid="{00000000-0005-0000-0000-0000400F0000}"/>
    <cellStyle name="20% - Accent2 3 6 4 3" xfId="7473" xr:uid="{00000000-0005-0000-0000-0000410F0000}"/>
    <cellStyle name="20% - Accent2 3 6 4 3 2" xfId="7474" xr:uid="{00000000-0005-0000-0000-0000420F0000}"/>
    <cellStyle name="20% - Accent2 3 6 4 4" xfId="7475" xr:uid="{00000000-0005-0000-0000-0000430F0000}"/>
    <cellStyle name="20% - Accent2 3 6 4 5" xfId="7476" xr:uid="{00000000-0005-0000-0000-0000440F0000}"/>
    <cellStyle name="20% - Accent2 3 6 4 6" xfId="7477" xr:uid="{00000000-0005-0000-0000-0000450F0000}"/>
    <cellStyle name="20% - Accent2 3 6 5" xfId="7478" xr:uid="{00000000-0005-0000-0000-0000460F0000}"/>
    <cellStyle name="20% - Accent2 3 6 5 2" xfId="7479" xr:uid="{00000000-0005-0000-0000-0000470F0000}"/>
    <cellStyle name="20% - Accent2 3 6 5 2 2" xfId="7480" xr:uid="{00000000-0005-0000-0000-0000480F0000}"/>
    <cellStyle name="20% - Accent2 3 6 5 3" xfId="7481" xr:uid="{00000000-0005-0000-0000-0000490F0000}"/>
    <cellStyle name="20% - Accent2 3 6 6" xfId="7482" xr:uid="{00000000-0005-0000-0000-00004A0F0000}"/>
    <cellStyle name="20% - Accent2 3 6 6 2" xfId="7483" xr:uid="{00000000-0005-0000-0000-00004B0F0000}"/>
    <cellStyle name="20% - Accent2 3 6 6 2 2" xfId="7484" xr:uid="{00000000-0005-0000-0000-00004C0F0000}"/>
    <cellStyle name="20% - Accent2 3 6 6 3" xfId="7485" xr:uid="{00000000-0005-0000-0000-00004D0F0000}"/>
    <cellStyle name="20% - Accent2 3 6 7" xfId="7486" xr:uid="{00000000-0005-0000-0000-00004E0F0000}"/>
    <cellStyle name="20% - Accent2 3 6 7 2" xfId="7487" xr:uid="{00000000-0005-0000-0000-00004F0F0000}"/>
    <cellStyle name="20% - Accent2 3 6 8" xfId="7488" xr:uid="{00000000-0005-0000-0000-0000500F0000}"/>
    <cellStyle name="20% - Accent2 3 6 8 2" xfId="7489" xr:uid="{00000000-0005-0000-0000-0000510F0000}"/>
    <cellStyle name="20% - Accent2 3 6 9" xfId="7490" xr:uid="{00000000-0005-0000-0000-0000520F0000}"/>
    <cellStyle name="20% - Accent2 3 7" xfId="7491" xr:uid="{00000000-0005-0000-0000-0000530F0000}"/>
    <cellStyle name="20% - Accent2 3 7 10" xfId="7492" xr:uid="{00000000-0005-0000-0000-0000540F0000}"/>
    <cellStyle name="20% - Accent2 3 7 11" xfId="7493" xr:uid="{00000000-0005-0000-0000-0000550F0000}"/>
    <cellStyle name="20% - Accent2 3 7 2" xfId="7494" xr:uid="{00000000-0005-0000-0000-0000560F0000}"/>
    <cellStyle name="20% - Accent2 3 7 2 2" xfId="7495" xr:uid="{00000000-0005-0000-0000-0000570F0000}"/>
    <cellStyle name="20% - Accent2 3 7 2 2 2" xfId="7496" xr:uid="{00000000-0005-0000-0000-0000580F0000}"/>
    <cellStyle name="20% - Accent2 3 7 2 2 2 2" xfId="7497" xr:uid="{00000000-0005-0000-0000-0000590F0000}"/>
    <cellStyle name="20% - Accent2 3 7 2 2 2 2 2" xfId="7498" xr:uid="{00000000-0005-0000-0000-00005A0F0000}"/>
    <cellStyle name="20% - Accent2 3 7 2 2 2 3" xfId="7499" xr:uid="{00000000-0005-0000-0000-00005B0F0000}"/>
    <cellStyle name="20% - Accent2 3 7 2 2 3" xfId="7500" xr:uid="{00000000-0005-0000-0000-00005C0F0000}"/>
    <cellStyle name="20% - Accent2 3 7 2 2 3 2" xfId="7501" xr:uid="{00000000-0005-0000-0000-00005D0F0000}"/>
    <cellStyle name="20% - Accent2 3 7 2 2 4" xfId="7502" xr:uid="{00000000-0005-0000-0000-00005E0F0000}"/>
    <cellStyle name="20% - Accent2 3 7 2 2 5" xfId="7503" xr:uid="{00000000-0005-0000-0000-00005F0F0000}"/>
    <cellStyle name="20% - Accent2 3 7 2 2 6" xfId="7504" xr:uid="{00000000-0005-0000-0000-0000600F0000}"/>
    <cellStyle name="20% - Accent2 3 7 2 3" xfId="7505" xr:uid="{00000000-0005-0000-0000-0000610F0000}"/>
    <cellStyle name="20% - Accent2 3 7 2 3 2" xfId="7506" xr:uid="{00000000-0005-0000-0000-0000620F0000}"/>
    <cellStyle name="20% - Accent2 3 7 2 3 2 2" xfId="7507" xr:uid="{00000000-0005-0000-0000-0000630F0000}"/>
    <cellStyle name="20% - Accent2 3 7 2 3 3" xfId="7508" xr:uid="{00000000-0005-0000-0000-0000640F0000}"/>
    <cellStyle name="20% - Accent2 3 7 2 4" xfId="7509" xr:uid="{00000000-0005-0000-0000-0000650F0000}"/>
    <cellStyle name="20% - Accent2 3 7 2 4 2" xfId="7510" xr:uid="{00000000-0005-0000-0000-0000660F0000}"/>
    <cellStyle name="20% - Accent2 3 7 2 5" xfId="7511" xr:uid="{00000000-0005-0000-0000-0000670F0000}"/>
    <cellStyle name="20% - Accent2 3 7 2 5 2" xfId="7512" xr:uid="{00000000-0005-0000-0000-0000680F0000}"/>
    <cellStyle name="20% - Accent2 3 7 2 6" xfId="7513" xr:uid="{00000000-0005-0000-0000-0000690F0000}"/>
    <cellStyle name="20% - Accent2 3 7 2 7" xfId="7514" xr:uid="{00000000-0005-0000-0000-00006A0F0000}"/>
    <cellStyle name="20% - Accent2 3 7 2 8" xfId="7515" xr:uid="{00000000-0005-0000-0000-00006B0F0000}"/>
    <cellStyle name="20% - Accent2 3 7 3" xfId="7516" xr:uid="{00000000-0005-0000-0000-00006C0F0000}"/>
    <cellStyle name="20% - Accent2 3 7 3 2" xfId="7517" xr:uid="{00000000-0005-0000-0000-00006D0F0000}"/>
    <cellStyle name="20% - Accent2 3 7 3 2 2" xfId="7518" xr:uid="{00000000-0005-0000-0000-00006E0F0000}"/>
    <cellStyle name="20% - Accent2 3 7 3 2 2 2" xfId="7519" xr:uid="{00000000-0005-0000-0000-00006F0F0000}"/>
    <cellStyle name="20% - Accent2 3 7 3 2 2 2 2" xfId="7520" xr:uid="{00000000-0005-0000-0000-0000700F0000}"/>
    <cellStyle name="20% - Accent2 3 7 3 2 2 3" xfId="7521" xr:uid="{00000000-0005-0000-0000-0000710F0000}"/>
    <cellStyle name="20% - Accent2 3 7 3 2 3" xfId="7522" xr:uid="{00000000-0005-0000-0000-0000720F0000}"/>
    <cellStyle name="20% - Accent2 3 7 3 2 3 2" xfId="7523" xr:uid="{00000000-0005-0000-0000-0000730F0000}"/>
    <cellStyle name="20% - Accent2 3 7 3 2 4" xfId="7524" xr:uid="{00000000-0005-0000-0000-0000740F0000}"/>
    <cellStyle name="20% - Accent2 3 7 3 2 5" xfId="7525" xr:uid="{00000000-0005-0000-0000-0000750F0000}"/>
    <cellStyle name="20% - Accent2 3 7 3 2 6" xfId="7526" xr:uid="{00000000-0005-0000-0000-0000760F0000}"/>
    <cellStyle name="20% - Accent2 3 7 3 3" xfId="7527" xr:uid="{00000000-0005-0000-0000-0000770F0000}"/>
    <cellStyle name="20% - Accent2 3 7 3 3 2" xfId="7528" xr:uid="{00000000-0005-0000-0000-0000780F0000}"/>
    <cellStyle name="20% - Accent2 3 7 3 3 2 2" xfId="7529" xr:uid="{00000000-0005-0000-0000-0000790F0000}"/>
    <cellStyle name="20% - Accent2 3 7 3 3 3" xfId="7530" xr:uid="{00000000-0005-0000-0000-00007A0F0000}"/>
    <cellStyle name="20% - Accent2 3 7 3 4" xfId="7531" xr:uid="{00000000-0005-0000-0000-00007B0F0000}"/>
    <cellStyle name="20% - Accent2 3 7 3 4 2" xfId="7532" xr:uid="{00000000-0005-0000-0000-00007C0F0000}"/>
    <cellStyle name="20% - Accent2 3 7 3 5" xfId="7533" xr:uid="{00000000-0005-0000-0000-00007D0F0000}"/>
    <cellStyle name="20% - Accent2 3 7 3 6" xfId="7534" xr:uid="{00000000-0005-0000-0000-00007E0F0000}"/>
    <cellStyle name="20% - Accent2 3 7 3 7" xfId="7535" xr:uid="{00000000-0005-0000-0000-00007F0F0000}"/>
    <cellStyle name="20% - Accent2 3 7 4" xfId="7536" xr:uid="{00000000-0005-0000-0000-0000800F0000}"/>
    <cellStyle name="20% - Accent2 3 7 4 2" xfId="7537" xr:uid="{00000000-0005-0000-0000-0000810F0000}"/>
    <cellStyle name="20% - Accent2 3 7 4 2 2" xfId="7538" xr:uid="{00000000-0005-0000-0000-0000820F0000}"/>
    <cellStyle name="20% - Accent2 3 7 4 2 2 2" xfId="7539" xr:uid="{00000000-0005-0000-0000-0000830F0000}"/>
    <cellStyle name="20% - Accent2 3 7 4 2 3" xfId="7540" xr:uid="{00000000-0005-0000-0000-0000840F0000}"/>
    <cellStyle name="20% - Accent2 3 7 4 3" xfId="7541" xr:uid="{00000000-0005-0000-0000-0000850F0000}"/>
    <cellStyle name="20% - Accent2 3 7 4 3 2" xfId="7542" xr:uid="{00000000-0005-0000-0000-0000860F0000}"/>
    <cellStyle name="20% - Accent2 3 7 4 4" xfId="7543" xr:uid="{00000000-0005-0000-0000-0000870F0000}"/>
    <cellStyle name="20% - Accent2 3 7 4 5" xfId="7544" xr:uid="{00000000-0005-0000-0000-0000880F0000}"/>
    <cellStyle name="20% - Accent2 3 7 4 6" xfId="7545" xr:uid="{00000000-0005-0000-0000-0000890F0000}"/>
    <cellStyle name="20% - Accent2 3 7 5" xfId="7546" xr:uid="{00000000-0005-0000-0000-00008A0F0000}"/>
    <cellStyle name="20% - Accent2 3 7 5 2" xfId="7547" xr:uid="{00000000-0005-0000-0000-00008B0F0000}"/>
    <cellStyle name="20% - Accent2 3 7 5 2 2" xfId="7548" xr:uid="{00000000-0005-0000-0000-00008C0F0000}"/>
    <cellStyle name="20% - Accent2 3 7 5 3" xfId="7549" xr:uid="{00000000-0005-0000-0000-00008D0F0000}"/>
    <cellStyle name="20% - Accent2 3 7 6" xfId="7550" xr:uid="{00000000-0005-0000-0000-00008E0F0000}"/>
    <cellStyle name="20% - Accent2 3 7 6 2" xfId="7551" xr:uid="{00000000-0005-0000-0000-00008F0F0000}"/>
    <cellStyle name="20% - Accent2 3 7 6 2 2" xfId="7552" xr:uid="{00000000-0005-0000-0000-0000900F0000}"/>
    <cellStyle name="20% - Accent2 3 7 6 3" xfId="7553" xr:uid="{00000000-0005-0000-0000-0000910F0000}"/>
    <cellStyle name="20% - Accent2 3 7 7" xfId="7554" xr:uid="{00000000-0005-0000-0000-0000920F0000}"/>
    <cellStyle name="20% - Accent2 3 7 7 2" xfId="7555" xr:uid="{00000000-0005-0000-0000-0000930F0000}"/>
    <cellStyle name="20% - Accent2 3 7 8" xfId="7556" xr:uid="{00000000-0005-0000-0000-0000940F0000}"/>
    <cellStyle name="20% - Accent2 3 7 8 2" xfId="7557" xr:uid="{00000000-0005-0000-0000-0000950F0000}"/>
    <cellStyle name="20% - Accent2 3 7 9" xfId="7558" xr:uid="{00000000-0005-0000-0000-0000960F0000}"/>
    <cellStyle name="20% - Accent2 3 8" xfId="7559" xr:uid="{00000000-0005-0000-0000-0000970F0000}"/>
    <cellStyle name="20% - Accent2 3 8 10" xfId="7560" xr:uid="{00000000-0005-0000-0000-0000980F0000}"/>
    <cellStyle name="20% - Accent2 3 8 11" xfId="7561" xr:uid="{00000000-0005-0000-0000-0000990F0000}"/>
    <cellStyle name="20% - Accent2 3 8 2" xfId="7562" xr:uid="{00000000-0005-0000-0000-00009A0F0000}"/>
    <cellStyle name="20% - Accent2 3 8 2 2" xfId="7563" xr:uid="{00000000-0005-0000-0000-00009B0F0000}"/>
    <cellStyle name="20% - Accent2 3 8 2 2 2" xfId="7564" xr:uid="{00000000-0005-0000-0000-00009C0F0000}"/>
    <cellStyle name="20% - Accent2 3 8 2 2 2 2" xfId="7565" xr:uid="{00000000-0005-0000-0000-00009D0F0000}"/>
    <cellStyle name="20% - Accent2 3 8 2 2 2 2 2" xfId="7566" xr:uid="{00000000-0005-0000-0000-00009E0F0000}"/>
    <cellStyle name="20% - Accent2 3 8 2 2 2 3" xfId="7567" xr:uid="{00000000-0005-0000-0000-00009F0F0000}"/>
    <cellStyle name="20% - Accent2 3 8 2 2 3" xfId="7568" xr:uid="{00000000-0005-0000-0000-0000A00F0000}"/>
    <cellStyle name="20% - Accent2 3 8 2 2 3 2" xfId="7569" xr:uid="{00000000-0005-0000-0000-0000A10F0000}"/>
    <cellStyle name="20% - Accent2 3 8 2 2 4" xfId="7570" xr:uid="{00000000-0005-0000-0000-0000A20F0000}"/>
    <cellStyle name="20% - Accent2 3 8 2 2 5" xfId="7571" xr:uid="{00000000-0005-0000-0000-0000A30F0000}"/>
    <cellStyle name="20% - Accent2 3 8 2 2 6" xfId="7572" xr:uid="{00000000-0005-0000-0000-0000A40F0000}"/>
    <cellStyle name="20% - Accent2 3 8 2 3" xfId="7573" xr:uid="{00000000-0005-0000-0000-0000A50F0000}"/>
    <cellStyle name="20% - Accent2 3 8 2 3 2" xfId="7574" xr:uid="{00000000-0005-0000-0000-0000A60F0000}"/>
    <cellStyle name="20% - Accent2 3 8 2 3 2 2" xfId="7575" xr:uid="{00000000-0005-0000-0000-0000A70F0000}"/>
    <cellStyle name="20% - Accent2 3 8 2 3 3" xfId="7576" xr:uid="{00000000-0005-0000-0000-0000A80F0000}"/>
    <cellStyle name="20% - Accent2 3 8 2 4" xfId="7577" xr:uid="{00000000-0005-0000-0000-0000A90F0000}"/>
    <cellStyle name="20% - Accent2 3 8 2 4 2" xfId="7578" xr:uid="{00000000-0005-0000-0000-0000AA0F0000}"/>
    <cellStyle name="20% - Accent2 3 8 2 5" xfId="7579" xr:uid="{00000000-0005-0000-0000-0000AB0F0000}"/>
    <cellStyle name="20% - Accent2 3 8 2 5 2" xfId="7580" xr:uid="{00000000-0005-0000-0000-0000AC0F0000}"/>
    <cellStyle name="20% - Accent2 3 8 2 6" xfId="7581" xr:uid="{00000000-0005-0000-0000-0000AD0F0000}"/>
    <cellStyle name="20% - Accent2 3 8 2 7" xfId="7582" xr:uid="{00000000-0005-0000-0000-0000AE0F0000}"/>
    <cellStyle name="20% - Accent2 3 8 2 8" xfId="7583" xr:uid="{00000000-0005-0000-0000-0000AF0F0000}"/>
    <cellStyle name="20% - Accent2 3 8 3" xfId="7584" xr:uid="{00000000-0005-0000-0000-0000B00F0000}"/>
    <cellStyle name="20% - Accent2 3 8 3 2" xfId="7585" xr:uid="{00000000-0005-0000-0000-0000B10F0000}"/>
    <cellStyle name="20% - Accent2 3 8 3 2 2" xfId="7586" xr:uid="{00000000-0005-0000-0000-0000B20F0000}"/>
    <cellStyle name="20% - Accent2 3 8 3 2 2 2" xfId="7587" xr:uid="{00000000-0005-0000-0000-0000B30F0000}"/>
    <cellStyle name="20% - Accent2 3 8 3 2 2 2 2" xfId="7588" xr:uid="{00000000-0005-0000-0000-0000B40F0000}"/>
    <cellStyle name="20% - Accent2 3 8 3 2 2 3" xfId="7589" xr:uid="{00000000-0005-0000-0000-0000B50F0000}"/>
    <cellStyle name="20% - Accent2 3 8 3 2 3" xfId="7590" xr:uid="{00000000-0005-0000-0000-0000B60F0000}"/>
    <cellStyle name="20% - Accent2 3 8 3 2 3 2" xfId="7591" xr:uid="{00000000-0005-0000-0000-0000B70F0000}"/>
    <cellStyle name="20% - Accent2 3 8 3 2 4" xfId="7592" xr:uid="{00000000-0005-0000-0000-0000B80F0000}"/>
    <cellStyle name="20% - Accent2 3 8 3 2 5" xfId="7593" xr:uid="{00000000-0005-0000-0000-0000B90F0000}"/>
    <cellStyle name="20% - Accent2 3 8 3 2 6" xfId="7594" xr:uid="{00000000-0005-0000-0000-0000BA0F0000}"/>
    <cellStyle name="20% - Accent2 3 8 3 3" xfId="7595" xr:uid="{00000000-0005-0000-0000-0000BB0F0000}"/>
    <cellStyle name="20% - Accent2 3 8 3 3 2" xfId="7596" xr:uid="{00000000-0005-0000-0000-0000BC0F0000}"/>
    <cellStyle name="20% - Accent2 3 8 3 3 2 2" xfId="7597" xr:uid="{00000000-0005-0000-0000-0000BD0F0000}"/>
    <cellStyle name="20% - Accent2 3 8 3 3 3" xfId="7598" xr:uid="{00000000-0005-0000-0000-0000BE0F0000}"/>
    <cellStyle name="20% - Accent2 3 8 3 4" xfId="7599" xr:uid="{00000000-0005-0000-0000-0000BF0F0000}"/>
    <cellStyle name="20% - Accent2 3 8 3 4 2" xfId="7600" xr:uid="{00000000-0005-0000-0000-0000C00F0000}"/>
    <cellStyle name="20% - Accent2 3 8 3 5" xfId="7601" xr:uid="{00000000-0005-0000-0000-0000C10F0000}"/>
    <cellStyle name="20% - Accent2 3 8 3 6" xfId="7602" xr:uid="{00000000-0005-0000-0000-0000C20F0000}"/>
    <cellStyle name="20% - Accent2 3 8 3 7" xfId="7603" xr:uid="{00000000-0005-0000-0000-0000C30F0000}"/>
    <cellStyle name="20% - Accent2 3 8 4" xfId="7604" xr:uid="{00000000-0005-0000-0000-0000C40F0000}"/>
    <cellStyle name="20% - Accent2 3 8 4 2" xfId="7605" xr:uid="{00000000-0005-0000-0000-0000C50F0000}"/>
    <cellStyle name="20% - Accent2 3 8 4 2 2" xfId="7606" xr:uid="{00000000-0005-0000-0000-0000C60F0000}"/>
    <cellStyle name="20% - Accent2 3 8 4 2 2 2" xfId="7607" xr:uid="{00000000-0005-0000-0000-0000C70F0000}"/>
    <cellStyle name="20% - Accent2 3 8 4 2 3" xfId="7608" xr:uid="{00000000-0005-0000-0000-0000C80F0000}"/>
    <cellStyle name="20% - Accent2 3 8 4 3" xfId="7609" xr:uid="{00000000-0005-0000-0000-0000C90F0000}"/>
    <cellStyle name="20% - Accent2 3 8 4 3 2" xfId="7610" xr:uid="{00000000-0005-0000-0000-0000CA0F0000}"/>
    <cellStyle name="20% - Accent2 3 8 4 4" xfId="7611" xr:uid="{00000000-0005-0000-0000-0000CB0F0000}"/>
    <cellStyle name="20% - Accent2 3 8 4 5" xfId="7612" xr:uid="{00000000-0005-0000-0000-0000CC0F0000}"/>
    <cellStyle name="20% - Accent2 3 8 4 6" xfId="7613" xr:uid="{00000000-0005-0000-0000-0000CD0F0000}"/>
    <cellStyle name="20% - Accent2 3 8 5" xfId="7614" xr:uid="{00000000-0005-0000-0000-0000CE0F0000}"/>
    <cellStyle name="20% - Accent2 3 8 5 2" xfId="7615" xr:uid="{00000000-0005-0000-0000-0000CF0F0000}"/>
    <cellStyle name="20% - Accent2 3 8 5 2 2" xfId="7616" xr:uid="{00000000-0005-0000-0000-0000D00F0000}"/>
    <cellStyle name="20% - Accent2 3 8 5 3" xfId="7617" xr:uid="{00000000-0005-0000-0000-0000D10F0000}"/>
    <cellStyle name="20% - Accent2 3 8 6" xfId="7618" xr:uid="{00000000-0005-0000-0000-0000D20F0000}"/>
    <cellStyle name="20% - Accent2 3 8 6 2" xfId="7619" xr:uid="{00000000-0005-0000-0000-0000D30F0000}"/>
    <cellStyle name="20% - Accent2 3 8 6 2 2" xfId="7620" xr:uid="{00000000-0005-0000-0000-0000D40F0000}"/>
    <cellStyle name="20% - Accent2 3 8 6 3" xfId="7621" xr:uid="{00000000-0005-0000-0000-0000D50F0000}"/>
    <cellStyle name="20% - Accent2 3 8 7" xfId="7622" xr:uid="{00000000-0005-0000-0000-0000D60F0000}"/>
    <cellStyle name="20% - Accent2 3 8 7 2" xfId="7623" xr:uid="{00000000-0005-0000-0000-0000D70F0000}"/>
    <cellStyle name="20% - Accent2 3 8 8" xfId="7624" xr:uid="{00000000-0005-0000-0000-0000D80F0000}"/>
    <cellStyle name="20% - Accent2 3 8 8 2" xfId="7625" xr:uid="{00000000-0005-0000-0000-0000D90F0000}"/>
    <cellStyle name="20% - Accent2 3 8 9" xfId="7626" xr:uid="{00000000-0005-0000-0000-0000DA0F0000}"/>
    <cellStyle name="20% - Accent2 3 9" xfId="7627" xr:uid="{00000000-0005-0000-0000-0000DB0F0000}"/>
    <cellStyle name="20% - Accent2 3 9 2" xfId="7628" xr:uid="{00000000-0005-0000-0000-0000DC0F0000}"/>
    <cellStyle name="20% - Accent2 3 9 2 2" xfId="7629" xr:uid="{00000000-0005-0000-0000-0000DD0F0000}"/>
    <cellStyle name="20% - Accent2 4" xfId="168" xr:uid="{00000000-0005-0000-0000-0000DE0F0000}"/>
    <cellStyle name="20% - Accent2 4 10" xfId="7630" xr:uid="{00000000-0005-0000-0000-0000DF0F0000}"/>
    <cellStyle name="20% - Accent2 4 10 2" xfId="7631" xr:uid="{00000000-0005-0000-0000-0000E00F0000}"/>
    <cellStyle name="20% - Accent2 4 10 2 2" xfId="7632" xr:uid="{00000000-0005-0000-0000-0000E10F0000}"/>
    <cellStyle name="20% - Accent2 4 10 2 2 2" xfId="7633" xr:uid="{00000000-0005-0000-0000-0000E20F0000}"/>
    <cellStyle name="20% - Accent2 4 10 2 2 2 2" xfId="7634" xr:uid="{00000000-0005-0000-0000-0000E30F0000}"/>
    <cellStyle name="20% - Accent2 4 10 2 2 3" xfId="7635" xr:uid="{00000000-0005-0000-0000-0000E40F0000}"/>
    <cellStyle name="20% - Accent2 4 10 2 3" xfId="7636" xr:uid="{00000000-0005-0000-0000-0000E50F0000}"/>
    <cellStyle name="20% - Accent2 4 10 2 3 2" xfId="7637" xr:uid="{00000000-0005-0000-0000-0000E60F0000}"/>
    <cellStyle name="20% - Accent2 4 10 2 4" xfId="7638" xr:uid="{00000000-0005-0000-0000-0000E70F0000}"/>
    <cellStyle name="20% - Accent2 4 10 2 5" xfId="7639" xr:uid="{00000000-0005-0000-0000-0000E80F0000}"/>
    <cellStyle name="20% - Accent2 4 10 2 6" xfId="7640" xr:uid="{00000000-0005-0000-0000-0000E90F0000}"/>
    <cellStyle name="20% - Accent2 4 10 3" xfId="7641" xr:uid="{00000000-0005-0000-0000-0000EA0F0000}"/>
    <cellStyle name="20% - Accent2 4 10 3 2" xfId="7642" xr:uid="{00000000-0005-0000-0000-0000EB0F0000}"/>
    <cellStyle name="20% - Accent2 4 10 3 2 2" xfId="7643" xr:uid="{00000000-0005-0000-0000-0000EC0F0000}"/>
    <cellStyle name="20% - Accent2 4 10 3 3" xfId="7644" xr:uid="{00000000-0005-0000-0000-0000ED0F0000}"/>
    <cellStyle name="20% - Accent2 4 10 4" xfId="7645" xr:uid="{00000000-0005-0000-0000-0000EE0F0000}"/>
    <cellStyle name="20% - Accent2 4 10 4 2" xfId="7646" xr:uid="{00000000-0005-0000-0000-0000EF0F0000}"/>
    <cellStyle name="20% - Accent2 4 10 4 2 2" xfId="7647" xr:uid="{00000000-0005-0000-0000-0000F00F0000}"/>
    <cellStyle name="20% - Accent2 4 10 4 3" xfId="7648" xr:uid="{00000000-0005-0000-0000-0000F10F0000}"/>
    <cellStyle name="20% - Accent2 4 10 5" xfId="7649" xr:uid="{00000000-0005-0000-0000-0000F20F0000}"/>
    <cellStyle name="20% - Accent2 4 10 6" xfId="7650" xr:uid="{00000000-0005-0000-0000-0000F30F0000}"/>
    <cellStyle name="20% - Accent2 4 11" xfId="7651" xr:uid="{00000000-0005-0000-0000-0000F40F0000}"/>
    <cellStyle name="20% - Accent2 4 11 2" xfId="7652" xr:uid="{00000000-0005-0000-0000-0000F50F0000}"/>
    <cellStyle name="20% - Accent2 4 11 2 2" xfId="7653" xr:uid="{00000000-0005-0000-0000-0000F60F0000}"/>
    <cellStyle name="20% - Accent2 4 11 2 2 2" xfId="7654" xr:uid="{00000000-0005-0000-0000-0000F70F0000}"/>
    <cellStyle name="20% - Accent2 4 11 2 2 2 2" xfId="7655" xr:uid="{00000000-0005-0000-0000-0000F80F0000}"/>
    <cellStyle name="20% - Accent2 4 11 2 2 3" xfId="7656" xr:uid="{00000000-0005-0000-0000-0000F90F0000}"/>
    <cellStyle name="20% - Accent2 4 11 2 3" xfId="7657" xr:uid="{00000000-0005-0000-0000-0000FA0F0000}"/>
    <cellStyle name="20% - Accent2 4 11 2 3 2" xfId="7658" xr:uid="{00000000-0005-0000-0000-0000FB0F0000}"/>
    <cellStyle name="20% - Accent2 4 11 2 4" xfId="7659" xr:uid="{00000000-0005-0000-0000-0000FC0F0000}"/>
    <cellStyle name="20% - Accent2 4 11 2 5" xfId="7660" xr:uid="{00000000-0005-0000-0000-0000FD0F0000}"/>
    <cellStyle name="20% - Accent2 4 11 2 6" xfId="7661" xr:uid="{00000000-0005-0000-0000-0000FE0F0000}"/>
    <cellStyle name="20% - Accent2 4 11 3" xfId="7662" xr:uid="{00000000-0005-0000-0000-0000FF0F0000}"/>
    <cellStyle name="20% - Accent2 4 11 3 2" xfId="7663" xr:uid="{00000000-0005-0000-0000-000000100000}"/>
    <cellStyle name="20% - Accent2 4 11 3 2 2" xfId="7664" xr:uid="{00000000-0005-0000-0000-000001100000}"/>
    <cellStyle name="20% - Accent2 4 11 3 3" xfId="7665" xr:uid="{00000000-0005-0000-0000-000002100000}"/>
    <cellStyle name="20% - Accent2 4 11 4" xfId="7666" xr:uid="{00000000-0005-0000-0000-000003100000}"/>
    <cellStyle name="20% - Accent2 4 11 4 2" xfId="7667" xr:uid="{00000000-0005-0000-0000-000004100000}"/>
    <cellStyle name="20% - Accent2 4 11 5" xfId="7668" xr:uid="{00000000-0005-0000-0000-000005100000}"/>
    <cellStyle name="20% - Accent2 4 11 6" xfId="7669" xr:uid="{00000000-0005-0000-0000-000006100000}"/>
    <cellStyle name="20% - Accent2 4 11 7" xfId="7670" xr:uid="{00000000-0005-0000-0000-000007100000}"/>
    <cellStyle name="20% - Accent2 4 12" xfId="7671" xr:uid="{00000000-0005-0000-0000-000008100000}"/>
    <cellStyle name="20% - Accent2 4 13" xfId="7672" xr:uid="{00000000-0005-0000-0000-000009100000}"/>
    <cellStyle name="20% - Accent2 4 13 2" xfId="7673" xr:uid="{00000000-0005-0000-0000-00000A100000}"/>
    <cellStyle name="20% - Accent2 4 13 2 2" xfId="7674" xr:uid="{00000000-0005-0000-0000-00000B100000}"/>
    <cellStyle name="20% - Accent2 4 13 3" xfId="7675" xr:uid="{00000000-0005-0000-0000-00000C100000}"/>
    <cellStyle name="20% - Accent2 4 14" xfId="7676" xr:uid="{00000000-0005-0000-0000-00000D100000}"/>
    <cellStyle name="20% - Accent2 4 14 2" xfId="7677" xr:uid="{00000000-0005-0000-0000-00000E100000}"/>
    <cellStyle name="20% - Accent2 4 15" xfId="7678" xr:uid="{00000000-0005-0000-0000-00000F100000}"/>
    <cellStyle name="20% - Accent2 4 16" xfId="7679" xr:uid="{00000000-0005-0000-0000-000010100000}"/>
    <cellStyle name="20% - Accent2 4 2" xfId="7680" xr:uid="{00000000-0005-0000-0000-000011100000}"/>
    <cellStyle name="20% - Accent2 4 2 10" xfId="7681" xr:uid="{00000000-0005-0000-0000-000012100000}"/>
    <cellStyle name="20% - Accent2 4 2 11" xfId="7682" xr:uid="{00000000-0005-0000-0000-000013100000}"/>
    <cellStyle name="20% - Accent2 4 2 2" xfId="7683" xr:uid="{00000000-0005-0000-0000-000014100000}"/>
    <cellStyle name="20% - Accent2 4 2 2 2" xfId="7684" xr:uid="{00000000-0005-0000-0000-000015100000}"/>
    <cellStyle name="20% - Accent2 4 2 2 2 2" xfId="7685" xr:uid="{00000000-0005-0000-0000-000016100000}"/>
    <cellStyle name="20% - Accent2 4 2 2 2 2 2" xfId="7686" xr:uid="{00000000-0005-0000-0000-000017100000}"/>
    <cellStyle name="20% - Accent2 4 2 2 2 2 2 2" xfId="7687" xr:uid="{00000000-0005-0000-0000-000018100000}"/>
    <cellStyle name="20% - Accent2 4 2 2 2 2 3" xfId="7688" xr:uid="{00000000-0005-0000-0000-000019100000}"/>
    <cellStyle name="20% - Accent2 4 2 2 2 3" xfId="7689" xr:uid="{00000000-0005-0000-0000-00001A100000}"/>
    <cellStyle name="20% - Accent2 4 2 2 2 3 2" xfId="7690" xr:uid="{00000000-0005-0000-0000-00001B100000}"/>
    <cellStyle name="20% - Accent2 4 2 2 2 4" xfId="7691" xr:uid="{00000000-0005-0000-0000-00001C100000}"/>
    <cellStyle name="20% - Accent2 4 2 2 2 5" xfId="7692" xr:uid="{00000000-0005-0000-0000-00001D100000}"/>
    <cellStyle name="20% - Accent2 4 2 2 2 6" xfId="7693" xr:uid="{00000000-0005-0000-0000-00001E100000}"/>
    <cellStyle name="20% - Accent2 4 2 2 3" xfId="7694" xr:uid="{00000000-0005-0000-0000-00001F100000}"/>
    <cellStyle name="20% - Accent2 4 2 2 3 2" xfId="7695" xr:uid="{00000000-0005-0000-0000-000020100000}"/>
    <cellStyle name="20% - Accent2 4 2 2 3 2 2" xfId="7696" xr:uid="{00000000-0005-0000-0000-000021100000}"/>
    <cellStyle name="20% - Accent2 4 2 2 3 3" xfId="7697" xr:uid="{00000000-0005-0000-0000-000022100000}"/>
    <cellStyle name="20% - Accent2 4 2 2 4" xfId="7698" xr:uid="{00000000-0005-0000-0000-000023100000}"/>
    <cellStyle name="20% - Accent2 4 2 2 4 2" xfId="7699" xr:uid="{00000000-0005-0000-0000-000024100000}"/>
    <cellStyle name="20% - Accent2 4 2 2 5" xfId="7700" xr:uid="{00000000-0005-0000-0000-000025100000}"/>
    <cellStyle name="20% - Accent2 4 2 2 5 2" xfId="7701" xr:uid="{00000000-0005-0000-0000-000026100000}"/>
    <cellStyle name="20% - Accent2 4 2 2 6" xfId="7702" xr:uid="{00000000-0005-0000-0000-000027100000}"/>
    <cellStyle name="20% - Accent2 4 2 2 7" xfId="7703" xr:uid="{00000000-0005-0000-0000-000028100000}"/>
    <cellStyle name="20% - Accent2 4 2 2 8" xfId="7704" xr:uid="{00000000-0005-0000-0000-000029100000}"/>
    <cellStyle name="20% - Accent2 4 2 3" xfId="7705" xr:uid="{00000000-0005-0000-0000-00002A100000}"/>
    <cellStyle name="20% - Accent2 4 2 3 2" xfId="7706" xr:uid="{00000000-0005-0000-0000-00002B100000}"/>
    <cellStyle name="20% - Accent2 4 2 3 2 2" xfId="7707" xr:uid="{00000000-0005-0000-0000-00002C100000}"/>
    <cellStyle name="20% - Accent2 4 2 3 2 2 2" xfId="7708" xr:uid="{00000000-0005-0000-0000-00002D100000}"/>
    <cellStyle name="20% - Accent2 4 2 3 2 2 2 2" xfId="7709" xr:uid="{00000000-0005-0000-0000-00002E100000}"/>
    <cellStyle name="20% - Accent2 4 2 3 2 2 3" xfId="7710" xr:uid="{00000000-0005-0000-0000-00002F100000}"/>
    <cellStyle name="20% - Accent2 4 2 3 2 3" xfId="7711" xr:uid="{00000000-0005-0000-0000-000030100000}"/>
    <cellStyle name="20% - Accent2 4 2 3 2 3 2" xfId="7712" xr:uid="{00000000-0005-0000-0000-000031100000}"/>
    <cellStyle name="20% - Accent2 4 2 3 2 4" xfId="7713" xr:uid="{00000000-0005-0000-0000-000032100000}"/>
    <cellStyle name="20% - Accent2 4 2 3 2 5" xfId="7714" xr:uid="{00000000-0005-0000-0000-000033100000}"/>
    <cellStyle name="20% - Accent2 4 2 3 2 6" xfId="7715" xr:uid="{00000000-0005-0000-0000-000034100000}"/>
    <cellStyle name="20% - Accent2 4 2 3 3" xfId="7716" xr:uid="{00000000-0005-0000-0000-000035100000}"/>
    <cellStyle name="20% - Accent2 4 2 3 3 2" xfId="7717" xr:uid="{00000000-0005-0000-0000-000036100000}"/>
    <cellStyle name="20% - Accent2 4 2 3 3 2 2" xfId="7718" xr:uid="{00000000-0005-0000-0000-000037100000}"/>
    <cellStyle name="20% - Accent2 4 2 3 3 3" xfId="7719" xr:uid="{00000000-0005-0000-0000-000038100000}"/>
    <cellStyle name="20% - Accent2 4 2 3 4" xfId="7720" xr:uid="{00000000-0005-0000-0000-000039100000}"/>
    <cellStyle name="20% - Accent2 4 2 3 4 2" xfId="7721" xr:uid="{00000000-0005-0000-0000-00003A100000}"/>
    <cellStyle name="20% - Accent2 4 2 3 5" xfId="7722" xr:uid="{00000000-0005-0000-0000-00003B100000}"/>
    <cellStyle name="20% - Accent2 4 2 3 6" xfId="7723" xr:uid="{00000000-0005-0000-0000-00003C100000}"/>
    <cellStyle name="20% - Accent2 4 2 3 7" xfId="7724" xr:uid="{00000000-0005-0000-0000-00003D100000}"/>
    <cellStyle name="20% - Accent2 4 2 4" xfId="7725" xr:uid="{00000000-0005-0000-0000-00003E100000}"/>
    <cellStyle name="20% - Accent2 4 2 4 2" xfId="7726" xr:uid="{00000000-0005-0000-0000-00003F100000}"/>
    <cellStyle name="20% - Accent2 4 2 4 2 2" xfId="7727" xr:uid="{00000000-0005-0000-0000-000040100000}"/>
    <cellStyle name="20% - Accent2 4 2 4 2 2 2" xfId="7728" xr:uid="{00000000-0005-0000-0000-000041100000}"/>
    <cellStyle name="20% - Accent2 4 2 4 2 3" xfId="7729" xr:uid="{00000000-0005-0000-0000-000042100000}"/>
    <cellStyle name="20% - Accent2 4 2 4 3" xfId="7730" xr:uid="{00000000-0005-0000-0000-000043100000}"/>
    <cellStyle name="20% - Accent2 4 2 4 3 2" xfId="7731" xr:uid="{00000000-0005-0000-0000-000044100000}"/>
    <cellStyle name="20% - Accent2 4 2 4 4" xfId="7732" xr:uid="{00000000-0005-0000-0000-000045100000}"/>
    <cellStyle name="20% - Accent2 4 2 4 5" xfId="7733" xr:uid="{00000000-0005-0000-0000-000046100000}"/>
    <cellStyle name="20% - Accent2 4 2 4 6" xfId="7734" xr:uid="{00000000-0005-0000-0000-000047100000}"/>
    <cellStyle name="20% - Accent2 4 2 5" xfId="7735" xr:uid="{00000000-0005-0000-0000-000048100000}"/>
    <cellStyle name="20% - Accent2 4 2 5 2" xfId="7736" xr:uid="{00000000-0005-0000-0000-000049100000}"/>
    <cellStyle name="20% - Accent2 4 2 5 2 2" xfId="7737" xr:uid="{00000000-0005-0000-0000-00004A100000}"/>
    <cellStyle name="20% - Accent2 4 2 5 3" xfId="7738" xr:uid="{00000000-0005-0000-0000-00004B100000}"/>
    <cellStyle name="20% - Accent2 4 2 6" xfId="7739" xr:uid="{00000000-0005-0000-0000-00004C100000}"/>
    <cellStyle name="20% - Accent2 4 2 6 2" xfId="7740" xr:uid="{00000000-0005-0000-0000-00004D100000}"/>
    <cellStyle name="20% - Accent2 4 2 6 2 2" xfId="7741" xr:uid="{00000000-0005-0000-0000-00004E100000}"/>
    <cellStyle name="20% - Accent2 4 2 6 3" xfId="7742" xr:uid="{00000000-0005-0000-0000-00004F100000}"/>
    <cellStyle name="20% - Accent2 4 2 7" xfId="7743" xr:uid="{00000000-0005-0000-0000-000050100000}"/>
    <cellStyle name="20% - Accent2 4 2 7 2" xfId="7744" xr:uid="{00000000-0005-0000-0000-000051100000}"/>
    <cellStyle name="20% - Accent2 4 2 8" xfId="7745" xr:uid="{00000000-0005-0000-0000-000052100000}"/>
    <cellStyle name="20% - Accent2 4 2 8 2" xfId="7746" xr:uid="{00000000-0005-0000-0000-000053100000}"/>
    <cellStyle name="20% - Accent2 4 2 9" xfId="7747" xr:uid="{00000000-0005-0000-0000-000054100000}"/>
    <cellStyle name="20% - Accent2 4 3" xfId="7748" xr:uid="{00000000-0005-0000-0000-000055100000}"/>
    <cellStyle name="20% - Accent2 4 3 10" xfId="7749" xr:uid="{00000000-0005-0000-0000-000056100000}"/>
    <cellStyle name="20% - Accent2 4 3 11" xfId="7750" xr:uid="{00000000-0005-0000-0000-000057100000}"/>
    <cellStyle name="20% - Accent2 4 3 2" xfId="7751" xr:uid="{00000000-0005-0000-0000-000058100000}"/>
    <cellStyle name="20% - Accent2 4 3 2 2" xfId="7752" xr:uid="{00000000-0005-0000-0000-000059100000}"/>
    <cellStyle name="20% - Accent2 4 3 2 2 2" xfId="7753" xr:uid="{00000000-0005-0000-0000-00005A100000}"/>
    <cellStyle name="20% - Accent2 4 3 2 2 2 2" xfId="7754" xr:uid="{00000000-0005-0000-0000-00005B100000}"/>
    <cellStyle name="20% - Accent2 4 3 2 2 2 2 2" xfId="7755" xr:uid="{00000000-0005-0000-0000-00005C100000}"/>
    <cellStyle name="20% - Accent2 4 3 2 2 2 3" xfId="7756" xr:uid="{00000000-0005-0000-0000-00005D100000}"/>
    <cellStyle name="20% - Accent2 4 3 2 2 3" xfId="7757" xr:uid="{00000000-0005-0000-0000-00005E100000}"/>
    <cellStyle name="20% - Accent2 4 3 2 2 3 2" xfId="7758" xr:uid="{00000000-0005-0000-0000-00005F100000}"/>
    <cellStyle name="20% - Accent2 4 3 2 2 4" xfId="7759" xr:uid="{00000000-0005-0000-0000-000060100000}"/>
    <cellStyle name="20% - Accent2 4 3 2 2 5" xfId="7760" xr:uid="{00000000-0005-0000-0000-000061100000}"/>
    <cellStyle name="20% - Accent2 4 3 2 2 6" xfId="7761" xr:uid="{00000000-0005-0000-0000-000062100000}"/>
    <cellStyle name="20% - Accent2 4 3 2 3" xfId="7762" xr:uid="{00000000-0005-0000-0000-000063100000}"/>
    <cellStyle name="20% - Accent2 4 3 2 3 2" xfId="7763" xr:uid="{00000000-0005-0000-0000-000064100000}"/>
    <cellStyle name="20% - Accent2 4 3 2 3 2 2" xfId="7764" xr:uid="{00000000-0005-0000-0000-000065100000}"/>
    <cellStyle name="20% - Accent2 4 3 2 3 3" xfId="7765" xr:uid="{00000000-0005-0000-0000-000066100000}"/>
    <cellStyle name="20% - Accent2 4 3 2 4" xfId="7766" xr:uid="{00000000-0005-0000-0000-000067100000}"/>
    <cellStyle name="20% - Accent2 4 3 2 4 2" xfId="7767" xr:uid="{00000000-0005-0000-0000-000068100000}"/>
    <cellStyle name="20% - Accent2 4 3 2 5" xfId="7768" xr:uid="{00000000-0005-0000-0000-000069100000}"/>
    <cellStyle name="20% - Accent2 4 3 2 5 2" xfId="7769" xr:uid="{00000000-0005-0000-0000-00006A100000}"/>
    <cellStyle name="20% - Accent2 4 3 2 6" xfId="7770" xr:uid="{00000000-0005-0000-0000-00006B100000}"/>
    <cellStyle name="20% - Accent2 4 3 2 7" xfId="7771" xr:uid="{00000000-0005-0000-0000-00006C100000}"/>
    <cellStyle name="20% - Accent2 4 3 2 8" xfId="7772" xr:uid="{00000000-0005-0000-0000-00006D100000}"/>
    <cellStyle name="20% - Accent2 4 3 3" xfId="7773" xr:uid="{00000000-0005-0000-0000-00006E100000}"/>
    <cellStyle name="20% - Accent2 4 3 3 2" xfId="7774" xr:uid="{00000000-0005-0000-0000-00006F100000}"/>
    <cellStyle name="20% - Accent2 4 3 3 2 2" xfId="7775" xr:uid="{00000000-0005-0000-0000-000070100000}"/>
    <cellStyle name="20% - Accent2 4 3 3 2 2 2" xfId="7776" xr:uid="{00000000-0005-0000-0000-000071100000}"/>
    <cellStyle name="20% - Accent2 4 3 3 2 2 2 2" xfId="7777" xr:uid="{00000000-0005-0000-0000-000072100000}"/>
    <cellStyle name="20% - Accent2 4 3 3 2 2 3" xfId="7778" xr:uid="{00000000-0005-0000-0000-000073100000}"/>
    <cellStyle name="20% - Accent2 4 3 3 2 3" xfId="7779" xr:uid="{00000000-0005-0000-0000-000074100000}"/>
    <cellStyle name="20% - Accent2 4 3 3 2 3 2" xfId="7780" xr:uid="{00000000-0005-0000-0000-000075100000}"/>
    <cellStyle name="20% - Accent2 4 3 3 2 4" xfId="7781" xr:uid="{00000000-0005-0000-0000-000076100000}"/>
    <cellStyle name="20% - Accent2 4 3 3 2 5" xfId="7782" xr:uid="{00000000-0005-0000-0000-000077100000}"/>
    <cellStyle name="20% - Accent2 4 3 3 2 6" xfId="7783" xr:uid="{00000000-0005-0000-0000-000078100000}"/>
    <cellStyle name="20% - Accent2 4 3 3 3" xfId="7784" xr:uid="{00000000-0005-0000-0000-000079100000}"/>
    <cellStyle name="20% - Accent2 4 3 3 3 2" xfId="7785" xr:uid="{00000000-0005-0000-0000-00007A100000}"/>
    <cellStyle name="20% - Accent2 4 3 3 3 2 2" xfId="7786" xr:uid="{00000000-0005-0000-0000-00007B100000}"/>
    <cellStyle name="20% - Accent2 4 3 3 3 3" xfId="7787" xr:uid="{00000000-0005-0000-0000-00007C100000}"/>
    <cellStyle name="20% - Accent2 4 3 3 4" xfId="7788" xr:uid="{00000000-0005-0000-0000-00007D100000}"/>
    <cellStyle name="20% - Accent2 4 3 3 4 2" xfId="7789" xr:uid="{00000000-0005-0000-0000-00007E100000}"/>
    <cellStyle name="20% - Accent2 4 3 3 5" xfId="7790" xr:uid="{00000000-0005-0000-0000-00007F100000}"/>
    <cellStyle name="20% - Accent2 4 3 3 6" xfId="7791" xr:uid="{00000000-0005-0000-0000-000080100000}"/>
    <cellStyle name="20% - Accent2 4 3 3 7" xfId="7792" xr:uid="{00000000-0005-0000-0000-000081100000}"/>
    <cellStyle name="20% - Accent2 4 3 4" xfId="7793" xr:uid="{00000000-0005-0000-0000-000082100000}"/>
    <cellStyle name="20% - Accent2 4 3 4 2" xfId="7794" xr:uid="{00000000-0005-0000-0000-000083100000}"/>
    <cellStyle name="20% - Accent2 4 3 4 2 2" xfId="7795" xr:uid="{00000000-0005-0000-0000-000084100000}"/>
    <cellStyle name="20% - Accent2 4 3 4 2 2 2" xfId="7796" xr:uid="{00000000-0005-0000-0000-000085100000}"/>
    <cellStyle name="20% - Accent2 4 3 4 2 3" xfId="7797" xr:uid="{00000000-0005-0000-0000-000086100000}"/>
    <cellStyle name="20% - Accent2 4 3 4 3" xfId="7798" xr:uid="{00000000-0005-0000-0000-000087100000}"/>
    <cellStyle name="20% - Accent2 4 3 4 3 2" xfId="7799" xr:uid="{00000000-0005-0000-0000-000088100000}"/>
    <cellStyle name="20% - Accent2 4 3 4 4" xfId="7800" xr:uid="{00000000-0005-0000-0000-000089100000}"/>
    <cellStyle name="20% - Accent2 4 3 4 5" xfId="7801" xr:uid="{00000000-0005-0000-0000-00008A100000}"/>
    <cellStyle name="20% - Accent2 4 3 4 6" xfId="7802" xr:uid="{00000000-0005-0000-0000-00008B100000}"/>
    <cellStyle name="20% - Accent2 4 3 5" xfId="7803" xr:uid="{00000000-0005-0000-0000-00008C100000}"/>
    <cellStyle name="20% - Accent2 4 3 5 2" xfId="7804" xr:uid="{00000000-0005-0000-0000-00008D100000}"/>
    <cellStyle name="20% - Accent2 4 3 5 2 2" xfId="7805" xr:uid="{00000000-0005-0000-0000-00008E100000}"/>
    <cellStyle name="20% - Accent2 4 3 5 3" xfId="7806" xr:uid="{00000000-0005-0000-0000-00008F100000}"/>
    <cellStyle name="20% - Accent2 4 3 6" xfId="7807" xr:uid="{00000000-0005-0000-0000-000090100000}"/>
    <cellStyle name="20% - Accent2 4 3 6 2" xfId="7808" xr:uid="{00000000-0005-0000-0000-000091100000}"/>
    <cellStyle name="20% - Accent2 4 3 6 2 2" xfId="7809" xr:uid="{00000000-0005-0000-0000-000092100000}"/>
    <cellStyle name="20% - Accent2 4 3 6 3" xfId="7810" xr:uid="{00000000-0005-0000-0000-000093100000}"/>
    <cellStyle name="20% - Accent2 4 3 7" xfId="7811" xr:uid="{00000000-0005-0000-0000-000094100000}"/>
    <cellStyle name="20% - Accent2 4 3 7 2" xfId="7812" xr:uid="{00000000-0005-0000-0000-000095100000}"/>
    <cellStyle name="20% - Accent2 4 3 8" xfId="7813" xr:uid="{00000000-0005-0000-0000-000096100000}"/>
    <cellStyle name="20% - Accent2 4 3 8 2" xfId="7814" xr:uid="{00000000-0005-0000-0000-000097100000}"/>
    <cellStyle name="20% - Accent2 4 3 9" xfId="7815" xr:uid="{00000000-0005-0000-0000-000098100000}"/>
    <cellStyle name="20% - Accent2 4 4" xfId="7816" xr:uid="{00000000-0005-0000-0000-000099100000}"/>
    <cellStyle name="20% - Accent2 4 4 10" xfId="7817" xr:uid="{00000000-0005-0000-0000-00009A100000}"/>
    <cellStyle name="20% - Accent2 4 4 11" xfId="7818" xr:uid="{00000000-0005-0000-0000-00009B100000}"/>
    <cellStyle name="20% - Accent2 4 4 2" xfId="7819" xr:uid="{00000000-0005-0000-0000-00009C100000}"/>
    <cellStyle name="20% - Accent2 4 4 2 2" xfId="7820" xr:uid="{00000000-0005-0000-0000-00009D100000}"/>
    <cellStyle name="20% - Accent2 4 4 2 2 2" xfId="7821" xr:uid="{00000000-0005-0000-0000-00009E100000}"/>
    <cellStyle name="20% - Accent2 4 4 2 2 2 2" xfId="7822" xr:uid="{00000000-0005-0000-0000-00009F100000}"/>
    <cellStyle name="20% - Accent2 4 4 2 2 2 2 2" xfId="7823" xr:uid="{00000000-0005-0000-0000-0000A0100000}"/>
    <cellStyle name="20% - Accent2 4 4 2 2 2 3" xfId="7824" xr:uid="{00000000-0005-0000-0000-0000A1100000}"/>
    <cellStyle name="20% - Accent2 4 4 2 2 3" xfId="7825" xr:uid="{00000000-0005-0000-0000-0000A2100000}"/>
    <cellStyle name="20% - Accent2 4 4 2 2 3 2" xfId="7826" xr:uid="{00000000-0005-0000-0000-0000A3100000}"/>
    <cellStyle name="20% - Accent2 4 4 2 2 4" xfId="7827" xr:uid="{00000000-0005-0000-0000-0000A4100000}"/>
    <cellStyle name="20% - Accent2 4 4 2 2 5" xfId="7828" xr:uid="{00000000-0005-0000-0000-0000A5100000}"/>
    <cellStyle name="20% - Accent2 4 4 2 2 6" xfId="7829" xr:uid="{00000000-0005-0000-0000-0000A6100000}"/>
    <cellStyle name="20% - Accent2 4 4 2 3" xfId="7830" xr:uid="{00000000-0005-0000-0000-0000A7100000}"/>
    <cellStyle name="20% - Accent2 4 4 2 3 2" xfId="7831" xr:uid="{00000000-0005-0000-0000-0000A8100000}"/>
    <cellStyle name="20% - Accent2 4 4 2 3 2 2" xfId="7832" xr:uid="{00000000-0005-0000-0000-0000A9100000}"/>
    <cellStyle name="20% - Accent2 4 4 2 3 3" xfId="7833" xr:uid="{00000000-0005-0000-0000-0000AA100000}"/>
    <cellStyle name="20% - Accent2 4 4 2 4" xfId="7834" xr:uid="{00000000-0005-0000-0000-0000AB100000}"/>
    <cellStyle name="20% - Accent2 4 4 2 4 2" xfId="7835" xr:uid="{00000000-0005-0000-0000-0000AC100000}"/>
    <cellStyle name="20% - Accent2 4 4 2 5" xfId="7836" xr:uid="{00000000-0005-0000-0000-0000AD100000}"/>
    <cellStyle name="20% - Accent2 4 4 2 5 2" xfId="7837" xr:uid="{00000000-0005-0000-0000-0000AE100000}"/>
    <cellStyle name="20% - Accent2 4 4 2 6" xfId="7838" xr:uid="{00000000-0005-0000-0000-0000AF100000}"/>
    <cellStyle name="20% - Accent2 4 4 2 7" xfId="7839" xr:uid="{00000000-0005-0000-0000-0000B0100000}"/>
    <cellStyle name="20% - Accent2 4 4 2 8" xfId="7840" xr:uid="{00000000-0005-0000-0000-0000B1100000}"/>
    <cellStyle name="20% - Accent2 4 4 3" xfId="7841" xr:uid="{00000000-0005-0000-0000-0000B2100000}"/>
    <cellStyle name="20% - Accent2 4 4 3 2" xfId="7842" xr:uid="{00000000-0005-0000-0000-0000B3100000}"/>
    <cellStyle name="20% - Accent2 4 4 3 2 2" xfId="7843" xr:uid="{00000000-0005-0000-0000-0000B4100000}"/>
    <cellStyle name="20% - Accent2 4 4 3 2 2 2" xfId="7844" xr:uid="{00000000-0005-0000-0000-0000B5100000}"/>
    <cellStyle name="20% - Accent2 4 4 3 2 2 2 2" xfId="7845" xr:uid="{00000000-0005-0000-0000-0000B6100000}"/>
    <cellStyle name="20% - Accent2 4 4 3 2 2 3" xfId="7846" xr:uid="{00000000-0005-0000-0000-0000B7100000}"/>
    <cellStyle name="20% - Accent2 4 4 3 2 3" xfId="7847" xr:uid="{00000000-0005-0000-0000-0000B8100000}"/>
    <cellStyle name="20% - Accent2 4 4 3 2 3 2" xfId="7848" xr:uid="{00000000-0005-0000-0000-0000B9100000}"/>
    <cellStyle name="20% - Accent2 4 4 3 2 4" xfId="7849" xr:uid="{00000000-0005-0000-0000-0000BA100000}"/>
    <cellStyle name="20% - Accent2 4 4 3 2 5" xfId="7850" xr:uid="{00000000-0005-0000-0000-0000BB100000}"/>
    <cellStyle name="20% - Accent2 4 4 3 2 6" xfId="7851" xr:uid="{00000000-0005-0000-0000-0000BC100000}"/>
    <cellStyle name="20% - Accent2 4 4 3 3" xfId="7852" xr:uid="{00000000-0005-0000-0000-0000BD100000}"/>
    <cellStyle name="20% - Accent2 4 4 3 3 2" xfId="7853" xr:uid="{00000000-0005-0000-0000-0000BE100000}"/>
    <cellStyle name="20% - Accent2 4 4 3 3 2 2" xfId="7854" xr:uid="{00000000-0005-0000-0000-0000BF100000}"/>
    <cellStyle name="20% - Accent2 4 4 3 3 3" xfId="7855" xr:uid="{00000000-0005-0000-0000-0000C0100000}"/>
    <cellStyle name="20% - Accent2 4 4 3 4" xfId="7856" xr:uid="{00000000-0005-0000-0000-0000C1100000}"/>
    <cellStyle name="20% - Accent2 4 4 3 4 2" xfId="7857" xr:uid="{00000000-0005-0000-0000-0000C2100000}"/>
    <cellStyle name="20% - Accent2 4 4 3 5" xfId="7858" xr:uid="{00000000-0005-0000-0000-0000C3100000}"/>
    <cellStyle name="20% - Accent2 4 4 3 6" xfId="7859" xr:uid="{00000000-0005-0000-0000-0000C4100000}"/>
    <cellStyle name="20% - Accent2 4 4 3 7" xfId="7860" xr:uid="{00000000-0005-0000-0000-0000C5100000}"/>
    <cellStyle name="20% - Accent2 4 4 4" xfId="7861" xr:uid="{00000000-0005-0000-0000-0000C6100000}"/>
    <cellStyle name="20% - Accent2 4 4 4 2" xfId="7862" xr:uid="{00000000-0005-0000-0000-0000C7100000}"/>
    <cellStyle name="20% - Accent2 4 4 4 2 2" xfId="7863" xr:uid="{00000000-0005-0000-0000-0000C8100000}"/>
    <cellStyle name="20% - Accent2 4 4 4 2 2 2" xfId="7864" xr:uid="{00000000-0005-0000-0000-0000C9100000}"/>
    <cellStyle name="20% - Accent2 4 4 4 2 3" xfId="7865" xr:uid="{00000000-0005-0000-0000-0000CA100000}"/>
    <cellStyle name="20% - Accent2 4 4 4 3" xfId="7866" xr:uid="{00000000-0005-0000-0000-0000CB100000}"/>
    <cellStyle name="20% - Accent2 4 4 4 3 2" xfId="7867" xr:uid="{00000000-0005-0000-0000-0000CC100000}"/>
    <cellStyle name="20% - Accent2 4 4 4 4" xfId="7868" xr:uid="{00000000-0005-0000-0000-0000CD100000}"/>
    <cellStyle name="20% - Accent2 4 4 4 5" xfId="7869" xr:uid="{00000000-0005-0000-0000-0000CE100000}"/>
    <cellStyle name="20% - Accent2 4 4 4 6" xfId="7870" xr:uid="{00000000-0005-0000-0000-0000CF100000}"/>
    <cellStyle name="20% - Accent2 4 4 5" xfId="7871" xr:uid="{00000000-0005-0000-0000-0000D0100000}"/>
    <cellStyle name="20% - Accent2 4 4 5 2" xfId="7872" xr:uid="{00000000-0005-0000-0000-0000D1100000}"/>
    <cellStyle name="20% - Accent2 4 4 5 2 2" xfId="7873" xr:uid="{00000000-0005-0000-0000-0000D2100000}"/>
    <cellStyle name="20% - Accent2 4 4 5 3" xfId="7874" xr:uid="{00000000-0005-0000-0000-0000D3100000}"/>
    <cellStyle name="20% - Accent2 4 4 6" xfId="7875" xr:uid="{00000000-0005-0000-0000-0000D4100000}"/>
    <cellStyle name="20% - Accent2 4 4 6 2" xfId="7876" xr:uid="{00000000-0005-0000-0000-0000D5100000}"/>
    <cellStyle name="20% - Accent2 4 4 6 2 2" xfId="7877" xr:uid="{00000000-0005-0000-0000-0000D6100000}"/>
    <cellStyle name="20% - Accent2 4 4 6 3" xfId="7878" xr:uid="{00000000-0005-0000-0000-0000D7100000}"/>
    <cellStyle name="20% - Accent2 4 4 7" xfId="7879" xr:uid="{00000000-0005-0000-0000-0000D8100000}"/>
    <cellStyle name="20% - Accent2 4 4 7 2" xfId="7880" xr:uid="{00000000-0005-0000-0000-0000D9100000}"/>
    <cellStyle name="20% - Accent2 4 4 8" xfId="7881" xr:uid="{00000000-0005-0000-0000-0000DA100000}"/>
    <cellStyle name="20% - Accent2 4 4 8 2" xfId="7882" xr:uid="{00000000-0005-0000-0000-0000DB100000}"/>
    <cellStyle name="20% - Accent2 4 4 9" xfId="7883" xr:uid="{00000000-0005-0000-0000-0000DC100000}"/>
    <cellStyle name="20% - Accent2 4 5" xfId="7884" xr:uid="{00000000-0005-0000-0000-0000DD100000}"/>
    <cellStyle name="20% - Accent2 4 5 10" xfId="7885" xr:uid="{00000000-0005-0000-0000-0000DE100000}"/>
    <cellStyle name="20% - Accent2 4 5 11" xfId="7886" xr:uid="{00000000-0005-0000-0000-0000DF100000}"/>
    <cellStyle name="20% - Accent2 4 5 2" xfId="7887" xr:uid="{00000000-0005-0000-0000-0000E0100000}"/>
    <cellStyle name="20% - Accent2 4 5 2 2" xfId="7888" xr:uid="{00000000-0005-0000-0000-0000E1100000}"/>
    <cellStyle name="20% - Accent2 4 5 2 2 2" xfId="7889" xr:uid="{00000000-0005-0000-0000-0000E2100000}"/>
    <cellStyle name="20% - Accent2 4 5 2 2 2 2" xfId="7890" xr:uid="{00000000-0005-0000-0000-0000E3100000}"/>
    <cellStyle name="20% - Accent2 4 5 2 2 2 2 2" xfId="7891" xr:uid="{00000000-0005-0000-0000-0000E4100000}"/>
    <cellStyle name="20% - Accent2 4 5 2 2 2 3" xfId="7892" xr:uid="{00000000-0005-0000-0000-0000E5100000}"/>
    <cellStyle name="20% - Accent2 4 5 2 2 3" xfId="7893" xr:uid="{00000000-0005-0000-0000-0000E6100000}"/>
    <cellStyle name="20% - Accent2 4 5 2 2 3 2" xfId="7894" xr:uid="{00000000-0005-0000-0000-0000E7100000}"/>
    <cellStyle name="20% - Accent2 4 5 2 2 4" xfId="7895" xr:uid="{00000000-0005-0000-0000-0000E8100000}"/>
    <cellStyle name="20% - Accent2 4 5 2 2 5" xfId="7896" xr:uid="{00000000-0005-0000-0000-0000E9100000}"/>
    <cellStyle name="20% - Accent2 4 5 2 2 6" xfId="7897" xr:uid="{00000000-0005-0000-0000-0000EA100000}"/>
    <cellStyle name="20% - Accent2 4 5 2 3" xfId="7898" xr:uid="{00000000-0005-0000-0000-0000EB100000}"/>
    <cellStyle name="20% - Accent2 4 5 2 3 2" xfId="7899" xr:uid="{00000000-0005-0000-0000-0000EC100000}"/>
    <cellStyle name="20% - Accent2 4 5 2 3 2 2" xfId="7900" xr:uid="{00000000-0005-0000-0000-0000ED100000}"/>
    <cellStyle name="20% - Accent2 4 5 2 3 3" xfId="7901" xr:uid="{00000000-0005-0000-0000-0000EE100000}"/>
    <cellStyle name="20% - Accent2 4 5 2 4" xfId="7902" xr:uid="{00000000-0005-0000-0000-0000EF100000}"/>
    <cellStyle name="20% - Accent2 4 5 2 4 2" xfId="7903" xr:uid="{00000000-0005-0000-0000-0000F0100000}"/>
    <cellStyle name="20% - Accent2 4 5 2 5" xfId="7904" xr:uid="{00000000-0005-0000-0000-0000F1100000}"/>
    <cellStyle name="20% - Accent2 4 5 2 5 2" xfId="7905" xr:uid="{00000000-0005-0000-0000-0000F2100000}"/>
    <cellStyle name="20% - Accent2 4 5 2 6" xfId="7906" xr:uid="{00000000-0005-0000-0000-0000F3100000}"/>
    <cellStyle name="20% - Accent2 4 5 2 7" xfId="7907" xr:uid="{00000000-0005-0000-0000-0000F4100000}"/>
    <cellStyle name="20% - Accent2 4 5 2 8" xfId="7908" xr:uid="{00000000-0005-0000-0000-0000F5100000}"/>
    <cellStyle name="20% - Accent2 4 5 3" xfId="7909" xr:uid="{00000000-0005-0000-0000-0000F6100000}"/>
    <cellStyle name="20% - Accent2 4 5 3 2" xfId="7910" xr:uid="{00000000-0005-0000-0000-0000F7100000}"/>
    <cellStyle name="20% - Accent2 4 5 3 2 2" xfId="7911" xr:uid="{00000000-0005-0000-0000-0000F8100000}"/>
    <cellStyle name="20% - Accent2 4 5 3 2 2 2" xfId="7912" xr:uid="{00000000-0005-0000-0000-0000F9100000}"/>
    <cellStyle name="20% - Accent2 4 5 3 2 2 2 2" xfId="7913" xr:uid="{00000000-0005-0000-0000-0000FA100000}"/>
    <cellStyle name="20% - Accent2 4 5 3 2 2 3" xfId="7914" xr:uid="{00000000-0005-0000-0000-0000FB100000}"/>
    <cellStyle name="20% - Accent2 4 5 3 2 3" xfId="7915" xr:uid="{00000000-0005-0000-0000-0000FC100000}"/>
    <cellStyle name="20% - Accent2 4 5 3 2 3 2" xfId="7916" xr:uid="{00000000-0005-0000-0000-0000FD100000}"/>
    <cellStyle name="20% - Accent2 4 5 3 2 4" xfId="7917" xr:uid="{00000000-0005-0000-0000-0000FE100000}"/>
    <cellStyle name="20% - Accent2 4 5 3 2 5" xfId="7918" xr:uid="{00000000-0005-0000-0000-0000FF100000}"/>
    <cellStyle name="20% - Accent2 4 5 3 2 6" xfId="7919" xr:uid="{00000000-0005-0000-0000-000000110000}"/>
    <cellStyle name="20% - Accent2 4 5 3 3" xfId="7920" xr:uid="{00000000-0005-0000-0000-000001110000}"/>
    <cellStyle name="20% - Accent2 4 5 3 3 2" xfId="7921" xr:uid="{00000000-0005-0000-0000-000002110000}"/>
    <cellStyle name="20% - Accent2 4 5 3 3 2 2" xfId="7922" xr:uid="{00000000-0005-0000-0000-000003110000}"/>
    <cellStyle name="20% - Accent2 4 5 3 3 3" xfId="7923" xr:uid="{00000000-0005-0000-0000-000004110000}"/>
    <cellStyle name="20% - Accent2 4 5 3 4" xfId="7924" xr:uid="{00000000-0005-0000-0000-000005110000}"/>
    <cellStyle name="20% - Accent2 4 5 3 4 2" xfId="7925" xr:uid="{00000000-0005-0000-0000-000006110000}"/>
    <cellStyle name="20% - Accent2 4 5 3 5" xfId="7926" xr:uid="{00000000-0005-0000-0000-000007110000}"/>
    <cellStyle name="20% - Accent2 4 5 3 6" xfId="7927" xr:uid="{00000000-0005-0000-0000-000008110000}"/>
    <cellStyle name="20% - Accent2 4 5 3 7" xfId="7928" xr:uid="{00000000-0005-0000-0000-000009110000}"/>
    <cellStyle name="20% - Accent2 4 5 4" xfId="7929" xr:uid="{00000000-0005-0000-0000-00000A110000}"/>
    <cellStyle name="20% - Accent2 4 5 4 2" xfId="7930" xr:uid="{00000000-0005-0000-0000-00000B110000}"/>
    <cellStyle name="20% - Accent2 4 5 4 2 2" xfId="7931" xr:uid="{00000000-0005-0000-0000-00000C110000}"/>
    <cellStyle name="20% - Accent2 4 5 4 2 2 2" xfId="7932" xr:uid="{00000000-0005-0000-0000-00000D110000}"/>
    <cellStyle name="20% - Accent2 4 5 4 2 3" xfId="7933" xr:uid="{00000000-0005-0000-0000-00000E110000}"/>
    <cellStyle name="20% - Accent2 4 5 4 3" xfId="7934" xr:uid="{00000000-0005-0000-0000-00000F110000}"/>
    <cellStyle name="20% - Accent2 4 5 4 3 2" xfId="7935" xr:uid="{00000000-0005-0000-0000-000010110000}"/>
    <cellStyle name="20% - Accent2 4 5 4 4" xfId="7936" xr:uid="{00000000-0005-0000-0000-000011110000}"/>
    <cellStyle name="20% - Accent2 4 5 4 5" xfId="7937" xr:uid="{00000000-0005-0000-0000-000012110000}"/>
    <cellStyle name="20% - Accent2 4 5 4 6" xfId="7938" xr:uid="{00000000-0005-0000-0000-000013110000}"/>
    <cellStyle name="20% - Accent2 4 5 5" xfId="7939" xr:uid="{00000000-0005-0000-0000-000014110000}"/>
    <cellStyle name="20% - Accent2 4 5 5 2" xfId="7940" xr:uid="{00000000-0005-0000-0000-000015110000}"/>
    <cellStyle name="20% - Accent2 4 5 5 2 2" xfId="7941" xr:uid="{00000000-0005-0000-0000-000016110000}"/>
    <cellStyle name="20% - Accent2 4 5 5 3" xfId="7942" xr:uid="{00000000-0005-0000-0000-000017110000}"/>
    <cellStyle name="20% - Accent2 4 5 6" xfId="7943" xr:uid="{00000000-0005-0000-0000-000018110000}"/>
    <cellStyle name="20% - Accent2 4 5 6 2" xfId="7944" xr:uid="{00000000-0005-0000-0000-000019110000}"/>
    <cellStyle name="20% - Accent2 4 5 6 2 2" xfId="7945" xr:uid="{00000000-0005-0000-0000-00001A110000}"/>
    <cellStyle name="20% - Accent2 4 5 6 3" xfId="7946" xr:uid="{00000000-0005-0000-0000-00001B110000}"/>
    <cellStyle name="20% - Accent2 4 5 7" xfId="7947" xr:uid="{00000000-0005-0000-0000-00001C110000}"/>
    <cellStyle name="20% - Accent2 4 5 7 2" xfId="7948" xr:uid="{00000000-0005-0000-0000-00001D110000}"/>
    <cellStyle name="20% - Accent2 4 5 8" xfId="7949" xr:uid="{00000000-0005-0000-0000-00001E110000}"/>
    <cellStyle name="20% - Accent2 4 5 8 2" xfId="7950" xr:uid="{00000000-0005-0000-0000-00001F110000}"/>
    <cellStyle name="20% - Accent2 4 5 9" xfId="7951" xr:uid="{00000000-0005-0000-0000-000020110000}"/>
    <cellStyle name="20% - Accent2 4 6" xfId="7952" xr:uid="{00000000-0005-0000-0000-000021110000}"/>
    <cellStyle name="20% - Accent2 4 6 10" xfId="7953" xr:uid="{00000000-0005-0000-0000-000022110000}"/>
    <cellStyle name="20% - Accent2 4 6 11" xfId="7954" xr:uid="{00000000-0005-0000-0000-000023110000}"/>
    <cellStyle name="20% - Accent2 4 6 2" xfId="7955" xr:uid="{00000000-0005-0000-0000-000024110000}"/>
    <cellStyle name="20% - Accent2 4 6 2 2" xfId="7956" xr:uid="{00000000-0005-0000-0000-000025110000}"/>
    <cellStyle name="20% - Accent2 4 6 2 2 2" xfId="7957" xr:uid="{00000000-0005-0000-0000-000026110000}"/>
    <cellStyle name="20% - Accent2 4 6 2 2 2 2" xfId="7958" xr:uid="{00000000-0005-0000-0000-000027110000}"/>
    <cellStyle name="20% - Accent2 4 6 2 2 2 2 2" xfId="7959" xr:uid="{00000000-0005-0000-0000-000028110000}"/>
    <cellStyle name="20% - Accent2 4 6 2 2 2 3" xfId="7960" xr:uid="{00000000-0005-0000-0000-000029110000}"/>
    <cellStyle name="20% - Accent2 4 6 2 2 3" xfId="7961" xr:uid="{00000000-0005-0000-0000-00002A110000}"/>
    <cellStyle name="20% - Accent2 4 6 2 2 3 2" xfId="7962" xr:uid="{00000000-0005-0000-0000-00002B110000}"/>
    <cellStyle name="20% - Accent2 4 6 2 2 4" xfId="7963" xr:uid="{00000000-0005-0000-0000-00002C110000}"/>
    <cellStyle name="20% - Accent2 4 6 2 2 5" xfId="7964" xr:uid="{00000000-0005-0000-0000-00002D110000}"/>
    <cellStyle name="20% - Accent2 4 6 2 2 6" xfId="7965" xr:uid="{00000000-0005-0000-0000-00002E110000}"/>
    <cellStyle name="20% - Accent2 4 6 2 3" xfId="7966" xr:uid="{00000000-0005-0000-0000-00002F110000}"/>
    <cellStyle name="20% - Accent2 4 6 2 3 2" xfId="7967" xr:uid="{00000000-0005-0000-0000-000030110000}"/>
    <cellStyle name="20% - Accent2 4 6 2 3 2 2" xfId="7968" xr:uid="{00000000-0005-0000-0000-000031110000}"/>
    <cellStyle name="20% - Accent2 4 6 2 3 3" xfId="7969" xr:uid="{00000000-0005-0000-0000-000032110000}"/>
    <cellStyle name="20% - Accent2 4 6 2 4" xfId="7970" xr:uid="{00000000-0005-0000-0000-000033110000}"/>
    <cellStyle name="20% - Accent2 4 6 2 4 2" xfId="7971" xr:uid="{00000000-0005-0000-0000-000034110000}"/>
    <cellStyle name="20% - Accent2 4 6 2 5" xfId="7972" xr:uid="{00000000-0005-0000-0000-000035110000}"/>
    <cellStyle name="20% - Accent2 4 6 2 5 2" xfId="7973" xr:uid="{00000000-0005-0000-0000-000036110000}"/>
    <cellStyle name="20% - Accent2 4 6 2 6" xfId="7974" xr:uid="{00000000-0005-0000-0000-000037110000}"/>
    <cellStyle name="20% - Accent2 4 6 2 7" xfId="7975" xr:uid="{00000000-0005-0000-0000-000038110000}"/>
    <cellStyle name="20% - Accent2 4 6 2 8" xfId="7976" xr:uid="{00000000-0005-0000-0000-000039110000}"/>
    <cellStyle name="20% - Accent2 4 6 3" xfId="7977" xr:uid="{00000000-0005-0000-0000-00003A110000}"/>
    <cellStyle name="20% - Accent2 4 6 3 2" xfId="7978" xr:uid="{00000000-0005-0000-0000-00003B110000}"/>
    <cellStyle name="20% - Accent2 4 6 3 2 2" xfId="7979" xr:uid="{00000000-0005-0000-0000-00003C110000}"/>
    <cellStyle name="20% - Accent2 4 6 3 2 2 2" xfId="7980" xr:uid="{00000000-0005-0000-0000-00003D110000}"/>
    <cellStyle name="20% - Accent2 4 6 3 2 2 2 2" xfId="7981" xr:uid="{00000000-0005-0000-0000-00003E110000}"/>
    <cellStyle name="20% - Accent2 4 6 3 2 2 3" xfId="7982" xr:uid="{00000000-0005-0000-0000-00003F110000}"/>
    <cellStyle name="20% - Accent2 4 6 3 2 3" xfId="7983" xr:uid="{00000000-0005-0000-0000-000040110000}"/>
    <cellStyle name="20% - Accent2 4 6 3 2 3 2" xfId="7984" xr:uid="{00000000-0005-0000-0000-000041110000}"/>
    <cellStyle name="20% - Accent2 4 6 3 2 4" xfId="7985" xr:uid="{00000000-0005-0000-0000-000042110000}"/>
    <cellStyle name="20% - Accent2 4 6 3 2 5" xfId="7986" xr:uid="{00000000-0005-0000-0000-000043110000}"/>
    <cellStyle name="20% - Accent2 4 6 3 2 6" xfId="7987" xr:uid="{00000000-0005-0000-0000-000044110000}"/>
    <cellStyle name="20% - Accent2 4 6 3 3" xfId="7988" xr:uid="{00000000-0005-0000-0000-000045110000}"/>
    <cellStyle name="20% - Accent2 4 6 3 3 2" xfId="7989" xr:uid="{00000000-0005-0000-0000-000046110000}"/>
    <cellStyle name="20% - Accent2 4 6 3 3 2 2" xfId="7990" xr:uid="{00000000-0005-0000-0000-000047110000}"/>
    <cellStyle name="20% - Accent2 4 6 3 3 3" xfId="7991" xr:uid="{00000000-0005-0000-0000-000048110000}"/>
    <cellStyle name="20% - Accent2 4 6 3 4" xfId="7992" xr:uid="{00000000-0005-0000-0000-000049110000}"/>
    <cellStyle name="20% - Accent2 4 6 3 4 2" xfId="7993" xr:uid="{00000000-0005-0000-0000-00004A110000}"/>
    <cellStyle name="20% - Accent2 4 6 3 5" xfId="7994" xr:uid="{00000000-0005-0000-0000-00004B110000}"/>
    <cellStyle name="20% - Accent2 4 6 3 6" xfId="7995" xr:uid="{00000000-0005-0000-0000-00004C110000}"/>
    <cellStyle name="20% - Accent2 4 6 3 7" xfId="7996" xr:uid="{00000000-0005-0000-0000-00004D110000}"/>
    <cellStyle name="20% - Accent2 4 6 4" xfId="7997" xr:uid="{00000000-0005-0000-0000-00004E110000}"/>
    <cellStyle name="20% - Accent2 4 6 4 2" xfId="7998" xr:uid="{00000000-0005-0000-0000-00004F110000}"/>
    <cellStyle name="20% - Accent2 4 6 4 2 2" xfId="7999" xr:uid="{00000000-0005-0000-0000-000050110000}"/>
    <cellStyle name="20% - Accent2 4 6 4 2 2 2" xfId="8000" xr:uid="{00000000-0005-0000-0000-000051110000}"/>
    <cellStyle name="20% - Accent2 4 6 4 2 3" xfId="8001" xr:uid="{00000000-0005-0000-0000-000052110000}"/>
    <cellStyle name="20% - Accent2 4 6 4 3" xfId="8002" xr:uid="{00000000-0005-0000-0000-000053110000}"/>
    <cellStyle name="20% - Accent2 4 6 4 3 2" xfId="8003" xr:uid="{00000000-0005-0000-0000-000054110000}"/>
    <cellStyle name="20% - Accent2 4 6 4 4" xfId="8004" xr:uid="{00000000-0005-0000-0000-000055110000}"/>
    <cellStyle name="20% - Accent2 4 6 4 5" xfId="8005" xr:uid="{00000000-0005-0000-0000-000056110000}"/>
    <cellStyle name="20% - Accent2 4 6 4 6" xfId="8006" xr:uid="{00000000-0005-0000-0000-000057110000}"/>
    <cellStyle name="20% - Accent2 4 6 5" xfId="8007" xr:uid="{00000000-0005-0000-0000-000058110000}"/>
    <cellStyle name="20% - Accent2 4 6 5 2" xfId="8008" xr:uid="{00000000-0005-0000-0000-000059110000}"/>
    <cellStyle name="20% - Accent2 4 6 5 2 2" xfId="8009" xr:uid="{00000000-0005-0000-0000-00005A110000}"/>
    <cellStyle name="20% - Accent2 4 6 5 3" xfId="8010" xr:uid="{00000000-0005-0000-0000-00005B110000}"/>
    <cellStyle name="20% - Accent2 4 6 6" xfId="8011" xr:uid="{00000000-0005-0000-0000-00005C110000}"/>
    <cellStyle name="20% - Accent2 4 6 6 2" xfId="8012" xr:uid="{00000000-0005-0000-0000-00005D110000}"/>
    <cellStyle name="20% - Accent2 4 6 6 2 2" xfId="8013" xr:uid="{00000000-0005-0000-0000-00005E110000}"/>
    <cellStyle name="20% - Accent2 4 6 6 3" xfId="8014" xr:uid="{00000000-0005-0000-0000-00005F110000}"/>
    <cellStyle name="20% - Accent2 4 6 7" xfId="8015" xr:uid="{00000000-0005-0000-0000-000060110000}"/>
    <cellStyle name="20% - Accent2 4 6 7 2" xfId="8016" xr:uid="{00000000-0005-0000-0000-000061110000}"/>
    <cellStyle name="20% - Accent2 4 6 8" xfId="8017" xr:uid="{00000000-0005-0000-0000-000062110000}"/>
    <cellStyle name="20% - Accent2 4 6 8 2" xfId="8018" xr:uid="{00000000-0005-0000-0000-000063110000}"/>
    <cellStyle name="20% - Accent2 4 6 9" xfId="8019" xr:uid="{00000000-0005-0000-0000-000064110000}"/>
    <cellStyle name="20% - Accent2 4 7" xfId="8020" xr:uid="{00000000-0005-0000-0000-000065110000}"/>
    <cellStyle name="20% - Accent2 4 7 10" xfId="8021" xr:uid="{00000000-0005-0000-0000-000066110000}"/>
    <cellStyle name="20% - Accent2 4 7 11" xfId="8022" xr:uid="{00000000-0005-0000-0000-000067110000}"/>
    <cellStyle name="20% - Accent2 4 7 2" xfId="8023" xr:uid="{00000000-0005-0000-0000-000068110000}"/>
    <cellStyle name="20% - Accent2 4 7 2 2" xfId="8024" xr:uid="{00000000-0005-0000-0000-000069110000}"/>
    <cellStyle name="20% - Accent2 4 7 2 2 2" xfId="8025" xr:uid="{00000000-0005-0000-0000-00006A110000}"/>
    <cellStyle name="20% - Accent2 4 7 2 2 2 2" xfId="8026" xr:uid="{00000000-0005-0000-0000-00006B110000}"/>
    <cellStyle name="20% - Accent2 4 7 2 2 2 2 2" xfId="8027" xr:uid="{00000000-0005-0000-0000-00006C110000}"/>
    <cellStyle name="20% - Accent2 4 7 2 2 2 3" xfId="8028" xr:uid="{00000000-0005-0000-0000-00006D110000}"/>
    <cellStyle name="20% - Accent2 4 7 2 2 3" xfId="8029" xr:uid="{00000000-0005-0000-0000-00006E110000}"/>
    <cellStyle name="20% - Accent2 4 7 2 2 3 2" xfId="8030" xr:uid="{00000000-0005-0000-0000-00006F110000}"/>
    <cellStyle name="20% - Accent2 4 7 2 2 4" xfId="8031" xr:uid="{00000000-0005-0000-0000-000070110000}"/>
    <cellStyle name="20% - Accent2 4 7 2 2 5" xfId="8032" xr:uid="{00000000-0005-0000-0000-000071110000}"/>
    <cellStyle name="20% - Accent2 4 7 2 2 6" xfId="8033" xr:uid="{00000000-0005-0000-0000-000072110000}"/>
    <cellStyle name="20% - Accent2 4 7 2 3" xfId="8034" xr:uid="{00000000-0005-0000-0000-000073110000}"/>
    <cellStyle name="20% - Accent2 4 7 2 3 2" xfId="8035" xr:uid="{00000000-0005-0000-0000-000074110000}"/>
    <cellStyle name="20% - Accent2 4 7 2 3 2 2" xfId="8036" xr:uid="{00000000-0005-0000-0000-000075110000}"/>
    <cellStyle name="20% - Accent2 4 7 2 3 3" xfId="8037" xr:uid="{00000000-0005-0000-0000-000076110000}"/>
    <cellStyle name="20% - Accent2 4 7 2 4" xfId="8038" xr:uid="{00000000-0005-0000-0000-000077110000}"/>
    <cellStyle name="20% - Accent2 4 7 2 4 2" xfId="8039" xr:uid="{00000000-0005-0000-0000-000078110000}"/>
    <cellStyle name="20% - Accent2 4 7 2 5" xfId="8040" xr:uid="{00000000-0005-0000-0000-000079110000}"/>
    <cellStyle name="20% - Accent2 4 7 2 5 2" xfId="8041" xr:uid="{00000000-0005-0000-0000-00007A110000}"/>
    <cellStyle name="20% - Accent2 4 7 2 6" xfId="8042" xr:uid="{00000000-0005-0000-0000-00007B110000}"/>
    <cellStyle name="20% - Accent2 4 7 2 7" xfId="8043" xr:uid="{00000000-0005-0000-0000-00007C110000}"/>
    <cellStyle name="20% - Accent2 4 7 2 8" xfId="8044" xr:uid="{00000000-0005-0000-0000-00007D110000}"/>
    <cellStyle name="20% - Accent2 4 7 3" xfId="8045" xr:uid="{00000000-0005-0000-0000-00007E110000}"/>
    <cellStyle name="20% - Accent2 4 7 3 2" xfId="8046" xr:uid="{00000000-0005-0000-0000-00007F110000}"/>
    <cellStyle name="20% - Accent2 4 7 3 2 2" xfId="8047" xr:uid="{00000000-0005-0000-0000-000080110000}"/>
    <cellStyle name="20% - Accent2 4 7 3 2 2 2" xfId="8048" xr:uid="{00000000-0005-0000-0000-000081110000}"/>
    <cellStyle name="20% - Accent2 4 7 3 2 2 2 2" xfId="8049" xr:uid="{00000000-0005-0000-0000-000082110000}"/>
    <cellStyle name="20% - Accent2 4 7 3 2 2 3" xfId="8050" xr:uid="{00000000-0005-0000-0000-000083110000}"/>
    <cellStyle name="20% - Accent2 4 7 3 2 3" xfId="8051" xr:uid="{00000000-0005-0000-0000-000084110000}"/>
    <cellStyle name="20% - Accent2 4 7 3 2 3 2" xfId="8052" xr:uid="{00000000-0005-0000-0000-000085110000}"/>
    <cellStyle name="20% - Accent2 4 7 3 2 4" xfId="8053" xr:uid="{00000000-0005-0000-0000-000086110000}"/>
    <cellStyle name="20% - Accent2 4 7 3 2 5" xfId="8054" xr:uid="{00000000-0005-0000-0000-000087110000}"/>
    <cellStyle name="20% - Accent2 4 7 3 2 6" xfId="8055" xr:uid="{00000000-0005-0000-0000-000088110000}"/>
    <cellStyle name="20% - Accent2 4 7 3 3" xfId="8056" xr:uid="{00000000-0005-0000-0000-000089110000}"/>
    <cellStyle name="20% - Accent2 4 7 3 3 2" xfId="8057" xr:uid="{00000000-0005-0000-0000-00008A110000}"/>
    <cellStyle name="20% - Accent2 4 7 3 3 2 2" xfId="8058" xr:uid="{00000000-0005-0000-0000-00008B110000}"/>
    <cellStyle name="20% - Accent2 4 7 3 3 3" xfId="8059" xr:uid="{00000000-0005-0000-0000-00008C110000}"/>
    <cellStyle name="20% - Accent2 4 7 3 4" xfId="8060" xr:uid="{00000000-0005-0000-0000-00008D110000}"/>
    <cellStyle name="20% - Accent2 4 7 3 4 2" xfId="8061" xr:uid="{00000000-0005-0000-0000-00008E110000}"/>
    <cellStyle name="20% - Accent2 4 7 3 5" xfId="8062" xr:uid="{00000000-0005-0000-0000-00008F110000}"/>
    <cellStyle name="20% - Accent2 4 7 3 6" xfId="8063" xr:uid="{00000000-0005-0000-0000-000090110000}"/>
    <cellStyle name="20% - Accent2 4 7 3 7" xfId="8064" xr:uid="{00000000-0005-0000-0000-000091110000}"/>
    <cellStyle name="20% - Accent2 4 7 4" xfId="8065" xr:uid="{00000000-0005-0000-0000-000092110000}"/>
    <cellStyle name="20% - Accent2 4 7 4 2" xfId="8066" xr:uid="{00000000-0005-0000-0000-000093110000}"/>
    <cellStyle name="20% - Accent2 4 7 4 2 2" xfId="8067" xr:uid="{00000000-0005-0000-0000-000094110000}"/>
    <cellStyle name="20% - Accent2 4 7 4 2 2 2" xfId="8068" xr:uid="{00000000-0005-0000-0000-000095110000}"/>
    <cellStyle name="20% - Accent2 4 7 4 2 3" xfId="8069" xr:uid="{00000000-0005-0000-0000-000096110000}"/>
    <cellStyle name="20% - Accent2 4 7 4 3" xfId="8070" xr:uid="{00000000-0005-0000-0000-000097110000}"/>
    <cellStyle name="20% - Accent2 4 7 4 3 2" xfId="8071" xr:uid="{00000000-0005-0000-0000-000098110000}"/>
    <cellStyle name="20% - Accent2 4 7 4 4" xfId="8072" xr:uid="{00000000-0005-0000-0000-000099110000}"/>
    <cellStyle name="20% - Accent2 4 7 4 5" xfId="8073" xr:uid="{00000000-0005-0000-0000-00009A110000}"/>
    <cellStyle name="20% - Accent2 4 7 4 6" xfId="8074" xr:uid="{00000000-0005-0000-0000-00009B110000}"/>
    <cellStyle name="20% - Accent2 4 7 5" xfId="8075" xr:uid="{00000000-0005-0000-0000-00009C110000}"/>
    <cellStyle name="20% - Accent2 4 7 5 2" xfId="8076" xr:uid="{00000000-0005-0000-0000-00009D110000}"/>
    <cellStyle name="20% - Accent2 4 7 5 2 2" xfId="8077" xr:uid="{00000000-0005-0000-0000-00009E110000}"/>
    <cellStyle name="20% - Accent2 4 7 5 3" xfId="8078" xr:uid="{00000000-0005-0000-0000-00009F110000}"/>
    <cellStyle name="20% - Accent2 4 7 6" xfId="8079" xr:uid="{00000000-0005-0000-0000-0000A0110000}"/>
    <cellStyle name="20% - Accent2 4 7 6 2" xfId="8080" xr:uid="{00000000-0005-0000-0000-0000A1110000}"/>
    <cellStyle name="20% - Accent2 4 7 6 2 2" xfId="8081" xr:uid="{00000000-0005-0000-0000-0000A2110000}"/>
    <cellStyle name="20% - Accent2 4 7 6 3" xfId="8082" xr:uid="{00000000-0005-0000-0000-0000A3110000}"/>
    <cellStyle name="20% - Accent2 4 7 7" xfId="8083" xr:uid="{00000000-0005-0000-0000-0000A4110000}"/>
    <cellStyle name="20% - Accent2 4 7 7 2" xfId="8084" xr:uid="{00000000-0005-0000-0000-0000A5110000}"/>
    <cellStyle name="20% - Accent2 4 7 8" xfId="8085" xr:uid="{00000000-0005-0000-0000-0000A6110000}"/>
    <cellStyle name="20% - Accent2 4 7 8 2" xfId="8086" xr:uid="{00000000-0005-0000-0000-0000A7110000}"/>
    <cellStyle name="20% - Accent2 4 7 9" xfId="8087" xr:uid="{00000000-0005-0000-0000-0000A8110000}"/>
    <cellStyle name="20% - Accent2 4 8" xfId="8088" xr:uid="{00000000-0005-0000-0000-0000A9110000}"/>
    <cellStyle name="20% - Accent2 4 8 10" xfId="8089" xr:uid="{00000000-0005-0000-0000-0000AA110000}"/>
    <cellStyle name="20% - Accent2 4 8 11" xfId="8090" xr:uid="{00000000-0005-0000-0000-0000AB110000}"/>
    <cellStyle name="20% - Accent2 4 8 2" xfId="8091" xr:uid="{00000000-0005-0000-0000-0000AC110000}"/>
    <cellStyle name="20% - Accent2 4 8 2 2" xfId="8092" xr:uid="{00000000-0005-0000-0000-0000AD110000}"/>
    <cellStyle name="20% - Accent2 4 8 2 2 2" xfId="8093" xr:uid="{00000000-0005-0000-0000-0000AE110000}"/>
    <cellStyle name="20% - Accent2 4 8 2 2 2 2" xfId="8094" xr:uid="{00000000-0005-0000-0000-0000AF110000}"/>
    <cellStyle name="20% - Accent2 4 8 2 2 2 2 2" xfId="8095" xr:uid="{00000000-0005-0000-0000-0000B0110000}"/>
    <cellStyle name="20% - Accent2 4 8 2 2 2 3" xfId="8096" xr:uid="{00000000-0005-0000-0000-0000B1110000}"/>
    <cellStyle name="20% - Accent2 4 8 2 2 3" xfId="8097" xr:uid="{00000000-0005-0000-0000-0000B2110000}"/>
    <cellStyle name="20% - Accent2 4 8 2 2 3 2" xfId="8098" xr:uid="{00000000-0005-0000-0000-0000B3110000}"/>
    <cellStyle name="20% - Accent2 4 8 2 2 4" xfId="8099" xr:uid="{00000000-0005-0000-0000-0000B4110000}"/>
    <cellStyle name="20% - Accent2 4 8 2 2 5" xfId="8100" xr:uid="{00000000-0005-0000-0000-0000B5110000}"/>
    <cellStyle name="20% - Accent2 4 8 2 2 6" xfId="8101" xr:uid="{00000000-0005-0000-0000-0000B6110000}"/>
    <cellStyle name="20% - Accent2 4 8 2 3" xfId="8102" xr:uid="{00000000-0005-0000-0000-0000B7110000}"/>
    <cellStyle name="20% - Accent2 4 8 2 3 2" xfId="8103" xr:uid="{00000000-0005-0000-0000-0000B8110000}"/>
    <cellStyle name="20% - Accent2 4 8 2 3 2 2" xfId="8104" xr:uid="{00000000-0005-0000-0000-0000B9110000}"/>
    <cellStyle name="20% - Accent2 4 8 2 3 3" xfId="8105" xr:uid="{00000000-0005-0000-0000-0000BA110000}"/>
    <cellStyle name="20% - Accent2 4 8 2 4" xfId="8106" xr:uid="{00000000-0005-0000-0000-0000BB110000}"/>
    <cellStyle name="20% - Accent2 4 8 2 4 2" xfId="8107" xr:uid="{00000000-0005-0000-0000-0000BC110000}"/>
    <cellStyle name="20% - Accent2 4 8 2 5" xfId="8108" xr:uid="{00000000-0005-0000-0000-0000BD110000}"/>
    <cellStyle name="20% - Accent2 4 8 2 5 2" xfId="8109" xr:uid="{00000000-0005-0000-0000-0000BE110000}"/>
    <cellStyle name="20% - Accent2 4 8 2 6" xfId="8110" xr:uid="{00000000-0005-0000-0000-0000BF110000}"/>
    <cellStyle name="20% - Accent2 4 8 2 7" xfId="8111" xr:uid="{00000000-0005-0000-0000-0000C0110000}"/>
    <cellStyle name="20% - Accent2 4 8 2 8" xfId="8112" xr:uid="{00000000-0005-0000-0000-0000C1110000}"/>
    <cellStyle name="20% - Accent2 4 8 3" xfId="8113" xr:uid="{00000000-0005-0000-0000-0000C2110000}"/>
    <cellStyle name="20% - Accent2 4 8 3 2" xfId="8114" xr:uid="{00000000-0005-0000-0000-0000C3110000}"/>
    <cellStyle name="20% - Accent2 4 8 3 2 2" xfId="8115" xr:uid="{00000000-0005-0000-0000-0000C4110000}"/>
    <cellStyle name="20% - Accent2 4 8 3 2 2 2" xfId="8116" xr:uid="{00000000-0005-0000-0000-0000C5110000}"/>
    <cellStyle name="20% - Accent2 4 8 3 2 2 2 2" xfId="8117" xr:uid="{00000000-0005-0000-0000-0000C6110000}"/>
    <cellStyle name="20% - Accent2 4 8 3 2 2 3" xfId="8118" xr:uid="{00000000-0005-0000-0000-0000C7110000}"/>
    <cellStyle name="20% - Accent2 4 8 3 2 3" xfId="8119" xr:uid="{00000000-0005-0000-0000-0000C8110000}"/>
    <cellStyle name="20% - Accent2 4 8 3 2 3 2" xfId="8120" xr:uid="{00000000-0005-0000-0000-0000C9110000}"/>
    <cellStyle name="20% - Accent2 4 8 3 2 4" xfId="8121" xr:uid="{00000000-0005-0000-0000-0000CA110000}"/>
    <cellStyle name="20% - Accent2 4 8 3 2 5" xfId="8122" xr:uid="{00000000-0005-0000-0000-0000CB110000}"/>
    <cellStyle name="20% - Accent2 4 8 3 2 6" xfId="8123" xr:uid="{00000000-0005-0000-0000-0000CC110000}"/>
    <cellStyle name="20% - Accent2 4 8 3 3" xfId="8124" xr:uid="{00000000-0005-0000-0000-0000CD110000}"/>
    <cellStyle name="20% - Accent2 4 8 3 3 2" xfId="8125" xr:uid="{00000000-0005-0000-0000-0000CE110000}"/>
    <cellStyle name="20% - Accent2 4 8 3 3 2 2" xfId="8126" xr:uid="{00000000-0005-0000-0000-0000CF110000}"/>
    <cellStyle name="20% - Accent2 4 8 3 3 3" xfId="8127" xr:uid="{00000000-0005-0000-0000-0000D0110000}"/>
    <cellStyle name="20% - Accent2 4 8 3 4" xfId="8128" xr:uid="{00000000-0005-0000-0000-0000D1110000}"/>
    <cellStyle name="20% - Accent2 4 8 3 4 2" xfId="8129" xr:uid="{00000000-0005-0000-0000-0000D2110000}"/>
    <cellStyle name="20% - Accent2 4 8 3 5" xfId="8130" xr:uid="{00000000-0005-0000-0000-0000D3110000}"/>
    <cellStyle name="20% - Accent2 4 8 3 6" xfId="8131" xr:uid="{00000000-0005-0000-0000-0000D4110000}"/>
    <cellStyle name="20% - Accent2 4 8 3 7" xfId="8132" xr:uid="{00000000-0005-0000-0000-0000D5110000}"/>
    <cellStyle name="20% - Accent2 4 8 4" xfId="8133" xr:uid="{00000000-0005-0000-0000-0000D6110000}"/>
    <cellStyle name="20% - Accent2 4 8 4 2" xfId="8134" xr:uid="{00000000-0005-0000-0000-0000D7110000}"/>
    <cellStyle name="20% - Accent2 4 8 4 2 2" xfId="8135" xr:uid="{00000000-0005-0000-0000-0000D8110000}"/>
    <cellStyle name="20% - Accent2 4 8 4 2 2 2" xfId="8136" xr:uid="{00000000-0005-0000-0000-0000D9110000}"/>
    <cellStyle name="20% - Accent2 4 8 4 2 3" xfId="8137" xr:uid="{00000000-0005-0000-0000-0000DA110000}"/>
    <cellStyle name="20% - Accent2 4 8 4 3" xfId="8138" xr:uid="{00000000-0005-0000-0000-0000DB110000}"/>
    <cellStyle name="20% - Accent2 4 8 4 3 2" xfId="8139" xr:uid="{00000000-0005-0000-0000-0000DC110000}"/>
    <cellStyle name="20% - Accent2 4 8 4 4" xfId="8140" xr:uid="{00000000-0005-0000-0000-0000DD110000}"/>
    <cellStyle name="20% - Accent2 4 8 4 5" xfId="8141" xr:uid="{00000000-0005-0000-0000-0000DE110000}"/>
    <cellStyle name="20% - Accent2 4 8 4 6" xfId="8142" xr:uid="{00000000-0005-0000-0000-0000DF110000}"/>
    <cellStyle name="20% - Accent2 4 8 5" xfId="8143" xr:uid="{00000000-0005-0000-0000-0000E0110000}"/>
    <cellStyle name="20% - Accent2 4 8 5 2" xfId="8144" xr:uid="{00000000-0005-0000-0000-0000E1110000}"/>
    <cellStyle name="20% - Accent2 4 8 5 2 2" xfId="8145" xr:uid="{00000000-0005-0000-0000-0000E2110000}"/>
    <cellStyle name="20% - Accent2 4 8 5 3" xfId="8146" xr:uid="{00000000-0005-0000-0000-0000E3110000}"/>
    <cellStyle name="20% - Accent2 4 8 6" xfId="8147" xr:uid="{00000000-0005-0000-0000-0000E4110000}"/>
    <cellStyle name="20% - Accent2 4 8 6 2" xfId="8148" xr:uid="{00000000-0005-0000-0000-0000E5110000}"/>
    <cellStyle name="20% - Accent2 4 8 6 2 2" xfId="8149" xr:uid="{00000000-0005-0000-0000-0000E6110000}"/>
    <cellStyle name="20% - Accent2 4 8 6 3" xfId="8150" xr:uid="{00000000-0005-0000-0000-0000E7110000}"/>
    <cellStyle name="20% - Accent2 4 8 7" xfId="8151" xr:uid="{00000000-0005-0000-0000-0000E8110000}"/>
    <cellStyle name="20% - Accent2 4 8 7 2" xfId="8152" xr:uid="{00000000-0005-0000-0000-0000E9110000}"/>
    <cellStyle name="20% - Accent2 4 8 8" xfId="8153" xr:uid="{00000000-0005-0000-0000-0000EA110000}"/>
    <cellStyle name="20% - Accent2 4 8 8 2" xfId="8154" xr:uid="{00000000-0005-0000-0000-0000EB110000}"/>
    <cellStyle name="20% - Accent2 4 8 9" xfId="8155" xr:uid="{00000000-0005-0000-0000-0000EC110000}"/>
    <cellStyle name="20% - Accent2 4 9" xfId="8156" xr:uid="{00000000-0005-0000-0000-0000ED110000}"/>
    <cellStyle name="20% - Accent2 4 9 10" xfId="8157" xr:uid="{00000000-0005-0000-0000-0000EE110000}"/>
    <cellStyle name="20% - Accent2 4 9 2" xfId="8158" xr:uid="{00000000-0005-0000-0000-0000EF110000}"/>
    <cellStyle name="20% - Accent2 4 9 2 2" xfId="8159" xr:uid="{00000000-0005-0000-0000-0000F0110000}"/>
    <cellStyle name="20% - Accent2 4 9 2 2 2" xfId="8160" xr:uid="{00000000-0005-0000-0000-0000F1110000}"/>
    <cellStyle name="20% - Accent2 4 9 2 2 2 2" xfId="8161" xr:uid="{00000000-0005-0000-0000-0000F2110000}"/>
    <cellStyle name="20% - Accent2 4 9 2 2 2 2 2" xfId="8162" xr:uid="{00000000-0005-0000-0000-0000F3110000}"/>
    <cellStyle name="20% - Accent2 4 9 2 2 2 3" xfId="8163" xr:uid="{00000000-0005-0000-0000-0000F4110000}"/>
    <cellStyle name="20% - Accent2 4 9 2 2 3" xfId="8164" xr:uid="{00000000-0005-0000-0000-0000F5110000}"/>
    <cellStyle name="20% - Accent2 4 9 2 2 3 2" xfId="8165" xr:uid="{00000000-0005-0000-0000-0000F6110000}"/>
    <cellStyle name="20% - Accent2 4 9 2 2 4" xfId="8166" xr:uid="{00000000-0005-0000-0000-0000F7110000}"/>
    <cellStyle name="20% - Accent2 4 9 2 2 5" xfId="8167" xr:uid="{00000000-0005-0000-0000-0000F8110000}"/>
    <cellStyle name="20% - Accent2 4 9 2 2 6" xfId="8168" xr:uid="{00000000-0005-0000-0000-0000F9110000}"/>
    <cellStyle name="20% - Accent2 4 9 2 3" xfId="8169" xr:uid="{00000000-0005-0000-0000-0000FA110000}"/>
    <cellStyle name="20% - Accent2 4 9 2 3 2" xfId="8170" xr:uid="{00000000-0005-0000-0000-0000FB110000}"/>
    <cellStyle name="20% - Accent2 4 9 2 3 2 2" xfId="8171" xr:uid="{00000000-0005-0000-0000-0000FC110000}"/>
    <cellStyle name="20% - Accent2 4 9 2 3 3" xfId="8172" xr:uid="{00000000-0005-0000-0000-0000FD110000}"/>
    <cellStyle name="20% - Accent2 4 9 2 4" xfId="8173" xr:uid="{00000000-0005-0000-0000-0000FE110000}"/>
    <cellStyle name="20% - Accent2 4 9 2 4 2" xfId="8174" xr:uid="{00000000-0005-0000-0000-0000FF110000}"/>
    <cellStyle name="20% - Accent2 4 9 2 5" xfId="8175" xr:uid="{00000000-0005-0000-0000-000000120000}"/>
    <cellStyle name="20% - Accent2 4 9 2 6" xfId="8176" xr:uid="{00000000-0005-0000-0000-000001120000}"/>
    <cellStyle name="20% - Accent2 4 9 2 7" xfId="8177" xr:uid="{00000000-0005-0000-0000-000002120000}"/>
    <cellStyle name="20% - Accent2 4 9 3" xfId="8178" xr:uid="{00000000-0005-0000-0000-000003120000}"/>
    <cellStyle name="20% - Accent2 4 9 3 2" xfId="8179" xr:uid="{00000000-0005-0000-0000-000004120000}"/>
    <cellStyle name="20% - Accent2 4 9 3 2 2" xfId="8180" xr:uid="{00000000-0005-0000-0000-000005120000}"/>
    <cellStyle name="20% - Accent2 4 9 3 2 2 2" xfId="8181" xr:uid="{00000000-0005-0000-0000-000006120000}"/>
    <cellStyle name="20% - Accent2 4 9 3 2 3" xfId="8182" xr:uid="{00000000-0005-0000-0000-000007120000}"/>
    <cellStyle name="20% - Accent2 4 9 3 3" xfId="8183" xr:uid="{00000000-0005-0000-0000-000008120000}"/>
    <cellStyle name="20% - Accent2 4 9 3 3 2" xfId="8184" xr:uid="{00000000-0005-0000-0000-000009120000}"/>
    <cellStyle name="20% - Accent2 4 9 3 4" xfId="8185" xr:uid="{00000000-0005-0000-0000-00000A120000}"/>
    <cellStyle name="20% - Accent2 4 9 3 5" xfId="8186" xr:uid="{00000000-0005-0000-0000-00000B120000}"/>
    <cellStyle name="20% - Accent2 4 9 3 6" xfId="8187" xr:uid="{00000000-0005-0000-0000-00000C120000}"/>
    <cellStyle name="20% - Accent2 4 9 4" xfId="8188" xr:uid="{00000000-0005-0000-0000-00000D120000}"/>
    <cellStyle name="20% - Accent2 4 9 4 2" xfId="8189" xr:uid="{00000000-0005-0000-0000-00000E120000}"/>
    <cellStyle name="20% - Accent2 4 9 4 2 2" xfId="8190" xr:uid="{00000000-0005-0000-0000-00000F120000}"/>
    <cellStyle name="20% - Accent2 4 9 4 3" xfId="8191" xr:uid="{00000000-0005-0000-0000-000010120000}"/>
    <cellStyle name="20% - Accent2 4 9 5" xfId="8192" xr:uid="{00000000-0005-0000-0000-000011120000}"/>
    <cellStyle name="20% - Accent2 4 9 5 2" xfId="8193" xr:uid="{00000000-0005-0000-0000-000012120000}"/>
    <cellStyle name="20% - Accent2 4 9 5 2 2" xfId="8194" xr:uid="{00000000-0005-0000-0000-000013120000}"/>
    <cellStyle name="20% - Accent2 4 9 5 3" xfId="8195" xr:uid="{00000000-0005-0000-0000-000014120000}"/>
    <cellStyle name="20% - Accent2 4 9 6" xfId="8196" xr:uid="{00000000-0005-0000-0000-000015120000}"/>
    <cellStyle name="20% - Accent2 4 9 6 2" xfId="8197" xr:uid="{00000000-0005-0000-0000-000016120000}"/>
    <cellStyle name="20% - Accent2 4 9 7" xfId="8198" xr:uid="{00000000-0005-0000-0000-000017120000}"/>
    <cellStyle name="20% - Accent2 4 9 7 2" xfId="8199" xr:uid="{00000000-0005-0000-0000-000018120000}"/>
    <cellStyle name="20% - Accent2 4 9 8" xfId="8200" xr:uid="{00000000-0005-0000-0000-000019120000}"/>
    <cellStyle name="20% - Accent2 4 9 9" xfId="8201" xr:uid="{00000000-0005-0000-0000-00001A120000}"/>
    <cellStyle name="20% - Accent2 5" xfId="169" xr:uid="{00000000-0005-0000-0000-00001B120000}"/>
    <cellStyle name="20% - Accent2 5 10" xfId="8202" xr:uid="{00000000-0005-0000-0000-00001C120000}"/>
    <cellStyle name="20% - Accent2 5 10 2" xfId="8203" xr:uid="{00000000-0005-0000-0000-00001D120000}"/>
    <cellStyle name="20% - Accent2 5 11" xfId="8204" xr:uid="{00000000-0005-0000-0000-00001E120000}"/>
    <cellStyle name="20% - Accent2 5 11 2" xfId="8205" xr:uid="{00000000-0005-0000-0000-00001F120000}"/>
    <cellStyle name="20% - Accent2 5 11 2 2" xfId="8206" xr:uid="{00000000-0005-0000-0000-000020120000}"/>
    <cellStyle name="20% - Accent2 5 11 2 2 2" xfId="8207" xr:uid="{00000000-0005-0000-0000-000021120000}"/>
    <cellStyle name="20% - Accent2 5 11 2 2 2 2" xfId="8208" xr:uid="{00000000-0005-0000-0000-000022120000}"/>
    <cellStyle name="20% - Accent2 5 11 2 2 3" xfId="8209" xr:uid="{00000000-0005-0000-0000-000023120000}"/>
    <cellStyle name="20% - Accent2 5 11 2 3" xfId="8210" xr:uid="{00000000-0005-0000-0000-000024120000}"/>
    <cellStyle name="20% - Accent2 5 11 2 3 2" xfId="8211" xr:uid="{00000000-0005-0000-0000-000025120000}"/>
    <cellStyle name="20% - Accent2 5 11 2 4" xfId="8212" xr:uid="{00000000-0005-0000-0000-000026120000}"/>
    <cellStyle name="20% - Accent2 5 11 2 5" xfId="8213" xr:uid="{00000000-0005-0000-0000-000027120000}"/>
    <cellStyle name="20% - Accent2 5 11 2 6" xfId="8214" xr:uid="{00000000-0005-0000-0000-000028120000}"/>
    <cellStyle name="20% - Accent2 5 11 3" xfId="8215" xr:uid="{00000000-0005-0000-0000-000029120000}"/>
    <cellStyle name="20% - Accent2 5 11 3 2" xfId="8216" xr:uid="{00000000-0005-0000-0000-00002A120000}"/>
    <cellStyle name="20% - Accent2 5 11 3 2 2" xfId="8217" xr:uid="{00000000-0005-0000-0000-00002B120000}"/>
    <cellStyle name="20% - Accent2 5 11 3 3" xfId="8218" xr:uid="{00000000-0005-0000-0000-00002C120000}"/>
    <cellStyle name="20% - Accent2 5 11 4" xfId="8219" xr:uid="{00000000-0005-0000-0000-00002D120000}"/>
    <cellStyle name="20% - Accent2 5 11 4 2" xfId="8220" xr:uid="{00000000-0005-0000-0000-00002E120000}"/>
    <cellStyle name="20% - Accent2 5 11 5" xfId="8221" xr:uid="{00000000-0005-0000-0000-00002F120000}"/>
    <cellStyle name="20% - Accent2 5 11 6" xfId="8222" xr:uid="{00000000-0005-0000-0000-000030120000}"/>
    <cellStyle name="20% - Accent2 5 11 7" xfId="8223" xr:uid="{00000000-0005-0000-0000-000031120000}"/>
    <cellStyle name="20% - Accent2 5 12" xfId="8224" xr:uid="{00000000-0005-0000-0000-000032120000}"/>
    <cellStyle name="20% - Accent2 5 12 2" xfId="8225" xr:uid="{00000000-0005-0000-0000-000033120000}"/>
    <cellStyle name="20% - Accent2 5 12 2 2" xfId="8226" xr:uid="{00000000-0005-0000-0000-000034120000}"/>
    <cellStyle name="20% - Accent2 5 12 2 2 2" xfId="8227" xr:uid="{00000000-0005-0000-0000-000035120000}"/>
    <cellStyle name="20% - Accent2 5 12 2 2 2 2" xfId="8228" xr:uid="{00000000-0005-0000-0000-000036120000}"/>
    <cellStyle name="20% - Accent2 5 12 2 2 3" xfId="8229" xr:uid="{00000000-0005-0000-0000-000037120000}"/>
    <cellStyle name="20% - Accent2 5 12 2 3" xfId="8230" xr:uid="{00000000-0005-0000-0000-000038120000}"/>
    <cellStyle name="20% - Accent2 5 12 2 3 2" xfId="8231" xr:uid="{00000000-0005-0000-0000-000039120000}"/>
    <cellStyle name="20% - Accent2 5 12 2 4" xfId="8232" xr:uid="{00000000-0005-0000-0000-00003A120000}"/>
    <cellStyle name="20% - Accent2 5 12 2 5" xfId="8233" xr:uid="{00000000-0005-0000-0000-00003B120000}"/>
    <cellStyle name="20% - Accent2 5 12 2 6" xfId="8234" xr:uid="{00000000-0005-0000-0000-00003C120000}"/>
    <cellStyle name="20% - Accent2 5 12 3" xfId="8235" xr:uid="{00000000-0005-0000-0000-00003D120000}"/>
    <cellStyle name="20% - Accent2 5 12 3 2" xfId="8236" xr:uid="{00000000-0005-0000-0000-00003E120000}"/>
    <cellStyle name="20% - Accent2 5 12 3 2 2" xfId="8237" xr:uid="{00000000-0005-0000-0000-00003F120000}"/>
    <cellStyle name="20% - Accent2 5 12 3 3" xfId="8238" xr:uid="{00000000-0005-0000-0000-000040120000}"/>
    <cellStyle name="20% - Accent2 5 12 4" xfId="8239" xr:uid="{00000000-0005-0000-0000-000041120000}"/>
    <cellStyle name="20% - Accent2 5 12 4 2" xfId="8240" xr:uid="{00000000-0005-0000-0000-000042120000}"/>
    <cellStyle name="20% - Accent2 5 12 5" xfId="8241" xr:uid="{00000000-0005-0000-0000-000043120000}"/>
    <cellStyle name="20% - Accent2 5 12 6" xfId="8242" xr:uid="{00000000-0005-0000-0000-000044120000}"/>
    <cellStyle name="20% - Accent2 5 12 7" xfId="8243" xr:uid="{00000000-0005-0000-0000-000045120000}"/>
    <cellStyle name="20% - Accent2 5 13" xfId="8244" xr:uid="{00000000-0005-0000-0000-000046120000}"/>
    <cellStyle name="20% - Accent2 5 13 2" xfId="8245" xr:uid="{00000000-0005-0000-0000-000047120000}"/>
    <cellStyle name="20% - Accent2 5 13 2 2" xfId="8246" xr:uid="{00000000-0005-0000-0000-000048120000}"/>
    <cellStyle name="20% - Accent2 5 13 2 2 2" xfId="8247" xr:uid="{00000000-0005-0000-0000-000049120000}"/>
    <cellStyle name="20% - Accent2 5 13 2 3" xfId="8248" xr:uid="{00000000-0005-0000-0000-00004A120000}"/>
    <cellStyle name="20% - Accent2 5 13 3" xfId="8249" xr:uid="{00000000-0005-0000-0000-00004B120000}"/>
    <cellStyle name="20% - Accent2 5 13 3 2" xfId="8250" xr:uid="{00000000-0005-0000-0000-00004C120000}"/>
    <cellStyle name="20% - Accent2 5 13 4" xfId="8251" xr:uid="{00000000-0005-0000-0000-00004D120000}"/>
    <cellStyle name="20% - Accent2 5 13 5" xfId="8252" xr:uid="{00000000-0005-0000-0000-00004E120000}"/>
    <cellStyle name="20% - Accent2 5 13 6" xfId="8253" xr:uid="{00000000-0005-0000-0000-00004F120000}"/>
    <cellStyle name="20% - Accent2 5 14" xfId="8254" xr:uid="{00000000-0005-0000-0000-000050120000}"/>
    <cellStyle name="20% - Accent2 5 14 2" xfId="8255" xr:uid="{00000000-0005-0000-0000-000051120000}"/>
    <cellStyle name="20% - Accent2 5 14 2 2" xfId="8256" xr:uid="{00000000-0005-0000-0000-000052120000}"/>
    <cellStyle name="20% - Accent2 5 14 3" xfId="8257" xr:uid="{00000000-0005-0000-0000-000053120000}"/>
    <cellStyle name="20% - Accent2 5 15" xfId="8258" xr:uid="{00000000-0005-0000-0000-000054120000}"/>
    <cellStyle name="20% - Accent2 5 15 2" xfId="8259" xr:uid="{00000000-0005-0000-0000-000055120000}"/>
    <cellStyle name="20% - Accent2 5 15 2 2" xfId="8260" xr:uid="{00000000-0005-0000-0000-000056120000}"/>
    <cellStyle name="20% - Accent2 5 15 3" xfId="8261" xr:uid="{00000000-0005-0000-0000-000057120000}"/>
    <cellStyle name="20% - Accent2 5 16" xfId="8262" xr:uid="{00000000-0005-0000-0000-000058120000}"/>
    <cellStyle name="20% - Accent2 5 16 2" xfId="8263" xr:uid="{00000000-0005-0000-0000-000059120000}"/>
    <cellStyle name="20% - Accent2 5 17" xfId="8264" xr:uid="{00000000-0005-0000-0000-00005A120000}"/>
    <cellStyle name="20% - Accent2 5 17 2" xfId="8265" xr:uid="{00000000-0005-0000-0000-00005B120000}"/>
    <cellStyle name="20% - Accent2 5 18" xfId="8266" xr:uid="{00000000-0005-0000-0000-00005C120000}"/>
    <cellStyle name="20% - Accent2 5 19" xfId="8267" xr:uid="{00000000-0005-0000-0000-00005D120000}"/>
    <cellStyle name="20% - Accent2 5 2" xfId="8268" xr:uid="{00000000-0005-0000-0000-00005E120000}"/>
    <cellStyle name="20% - Accent2 5 2 10" xfId="8269" xr:uid="{00000000-0005-0000-0000-00005F120000}"/>
    <cellStyle name="20% - Accent2 5 2 11" xfId="8270" xr:uid="{00000000-0005-0000-0000-000060120000}"/>
    <cellStyle name="20% - Accent2 5 2 2" xfId="8271" xr:uid="{00000000-0005-0000-0000-000061120000}"/>
    <cellStyle name="20% - Accent2 5 2 2 2" xfId="8272" xr:uid="{00000000-0005-0000-0000-000062120000}"/>
    <cellStyle name="20% - Accent2 5 2 2 2 2" xfId="8273" xr:uid="{00000000-0005-0000-0000-000063120000}"/>
    <cellStyle name="20% - Accent2 5 2 2 2 2 2" xfId="8274" xr:uid="{00000000-0005-0000-0000-000064120000}"/>
    <cellStyle name="20% - Accent2 5 2 2 2 2 2 2" xfId="8275" xr:uid="{00000000-0005-0000-0000-000065120000}"/>
    <cellStyle name="20% - Accent2 5 2 2 2 2 3" xfId="8276" xr:uid="{00000000-0005-0000-0000-000066120000}"/>
    <cellStyle name="20% - Accent2 5 2 2 2 3" xfId="8277" xr:uid="{00000000-0005-0000-0000-000067120000}"/>
    <cellStyle name="20% - Accent2 5 2 2 2 3 2" xfId="8278" xr:uid="{00000000-0005-0000-0000-000068120000}"/>
    <cellStyle name="20% - Accent2 5 2 2 2 4" xfId="8279" xr:uid="{00000000-0005-0000-0000-000069120000}"/>
    <cellStyle name="20% - Accent2 5 2 2 2 5" xfId="8280" xr:uid="{00000000-0005-0000-0000-00006A120000}"/>
    <cellStyle name="20% - Accent2 5 2 2 2 6" xfId="8281" xr:uid="{00000000-0005-0000-0000-00006B120000}"/>
    <cellStyle name="20% - Accent2 5 2 2 3" xfId="8282" xr:uid="{00000000-0005-0000-0000-00006C120000}"/>
    <cellStyle name="20% - Accent2 5 2 2 3 2" xfId="8283" xr:uid="{00000000-0005-0000-0000-00006D120000}"/>
    <cellStyle name="20% - Accent2 5 2 2 3 2 2" xfId="8284" xr:uid="{00000000-0005-0000-0000-00006E120000}"/>
    <cellStyle name="20% - Accent2 5 2 2 3 3" xfId="8285" xr:uid="{00000000-0005-0000-0000-00006F120000}"/>
    <cellStyle name="20% - Accent2 5 2 2 4" xfId="8286" xr:uid="{00000000-0005-0000-0000-000070120000}"/>
    <cellStyle name="20% - Accent2 5 2 2 4 2" xfId="8287" xr:uid="{00000000-0005-0000-0000-000071120000}"/>
    <cellStyle name="20% - Accent2 5 2 2 5" xfId="8288" xr:uid="{00000000-0005-0000-0000-000072120000}"/>
    <cellStyle name="20% - Accent2 5 2 2 5 2" xfId="8289" xr:uid="{00000000-0005-0000-0000-000073120000}"/>
    <cellStyle name="20% - Accent2 5 2 2 6" xfId="8290" xr:uid="{00000000-0005-0000-0000-000074120000}"/>
    <cellStyle name="20% - Accent2 5 2 2 7" xfId="8291" xr:uid="{00000000-0005-0000-0000-000075120000}"/>
    <cellStyle name="20% - Accent2 5 2 2 8" xfId="8292" xr:uid="{00000000-0005-0000-0000-000076120000}"/>
    <cellStyle name="20% - Accent2 5 2 3" xfId="8293" xr:uid="{00000000-0005-0000-0000-000077120000}"/>
    <cellStyle name="20% - Accent2 5 2 3 2" xfId="8294" xr:uid="{00000000-0005-0000-0000-000078120000}"/>
    <cellStyle name="20% - Accent2 5 2 3 2 2" xfId="8295" xr:uid="{00000000-0005-0000-0000-000079120000}"/>
    <cellStyle name="20% - Accent2 5 2 3 2 2 2" xfId="8296" xr:uid="{00000000-0005-0000-0000-00007A120000}"/>
    <cellStyle name="20% - Accent2 5 2 3 2 2 2 2" xfId="8297" xr:uid="{00000000-0005-0000-0000-00007B120000}"/>
    <cellStyle name="20% - Accent2 5 2 3 2 2 3" xfId="8298" xr:uid="{00000000-0005-0000-0000-00007C120000}"/>
    <cellStyle name="20% - Accent2 5 2 3 2 3" xfId="8299" xr:uid="{00000000-0005-0000-0000-00007D120000}"/>
    <cellStyle name="20% - Accent2 5 2 3 2 3 2" xfId="8300" xr:uid="{00000000-0005-0000-0000-00007E120000}"/>
    <cellStyle name="20% - Accent2 5 2 3 2 4" xfId="8301" xr:uid="{00000000-0005-0000-0000-00007F120000}"/>
    <cellStyle name="20% - Accent2 5 2 3 2 5" xfId="8302" xr:uid="{00000000-0005-0000-0000-000080120000}"/>
    <cellStyle name="20% - Accent2 5 2 3 2 6" xfId="8303" xr:uid="{00000000-0005-0000-0000-000081120000}"/>
    <cellStyle name="20% - Accent2 5 2 3 3" xfId="8304" xr:uid="{00000000-0005-0000-0000-000082120000}"/>
    <cellStyle name="20% - Accent2 5 2 3 3 2" xfId="8305" xr:uid="{00000000-0005-0000-0000-000083120000}"/>
    <cellStyle name="20% - Accent2 5 2 3 3 2 2" xfId="8306" xr:uid="{00000000-0005-0000-0000-000084120000}"/>
    <cellStyle name="20% - Accent2 5 2 3 3 3" xfId="8307" xr:uid="{00000000-0005-0000-0000-000085120000}"/>
    <cellStyle name="20% - Accent2 5 2 3 4" xfId="8308" xr:uid="{00000000-0005-0000-0000-000086120000}"/>
    <cellStyle name="20% - Accent2 5 2 3 4 2" xfId="8309" xr:uid="{00000000-0005-0000-0000-000087120000}"/>
    <cellStyle name="20% - Accent2 5 2 3 5" xfId="8310" xr:uid="{00000000-0005-0000-0000-000088120000}"/>
    <cellStyle name="20% - Accent2 5 2 3 6" xfId="8311" xr:uid="{00000000-0005-0000-0000-000089120000}"/>
    <cellStyle name="20% - Accent2 5 2 3 7" xfId="8312" xr:uid="{00000000-0005-0000-0000-00008A120000}"/>
    <cellStyle name="20% - Accent2 5 2 4" xfId="8313" xr:uid="{00000000-0005-0000-0000-00008B120000}"/>
    <cellStyle name="20% - Accent2 5 2 4 2" xfId="8314" xr:uid="{00000000-0005-0000-0000-00008C120000}"/>
    <cellStyle name="20% - Accent2 5 2 4 2 2" xfId="8315" xr:uid="{00000000-0005-0000-0000-00008D120000}"/>
    <cellStyle name="20% - Accent2 5 2 4 2 2 2" xfId="8316" xr:uid="{00000000-0005-0000-0000-00008E120000}"/>
    <cellStyle name="20% - Accent2 5 2 4 2 3" xfId="8317" xr:uid="{00000000-0005-0000-0000-00008F120000}"/>
    <cellStyle name="20% - Accent2 5 2 4 3" xfId="8318" xr:uid="{00000000-0005-0000-0000-000090120000}"/>
    <cellStyle name="20% - Accent2 5 2 4 3 2" xfId="8319" xr:uid="{00000000-0005-0000-0000-000091120000}"/>
    <cellStyle name="20% - Accent2 5 2 4 4" xfId="8320" xr:uid="{00000000-0005-0000-0000-000092120000}"/>
    <cellStyle name="20% - Accent2 5 2 4 5" xfId="8321" xr:uid="{00000000-0005-0000-0000-000093120000}"/>
    <cellStyle name="20% - Accent2 5 2 4 6" xfId="8322" xr:uid="{00000000-0005-0000-0000-000094120000}"/>
    <cellStyle name="20% - Accent2 5 2 5" xfId="8323" xr:uid="{00000000-0005-0000-0000-000095120000}"/>
    <cellStyle name="20% - Accent2 5 2 5 2" xfId="8324" xr:uid="{00000000-0005-0000-0000-000096120000}"/>
    <cellStyle name="20% - Accent2 5 2 5 2 2" xfId="8325" xr:uid="{00000000-0005-0000-0000-000097120000}"/>
    <cellStyle name="20% - Accent2 5 2 5 3" xfId="8326" xr:uid="{00000000-0005-0000-0000-000098120000}"/>
    <cellStyle name="20% - Accent2 5 2 6" xfId="8327" xr:uid="{00000000-0005-0000-0000-000099120000}"/>
    <cellStyle name="20% - Accent2 5 2 6 2" xfId="8328" xr:uid="{00000000-0005-0000-0000-00009A120000}"/>
    <cellStyle name="20% - Accent2 5 2 6 2 2" xfId="8329" xr:uid="{00000000-0005-0000-0000-00009B120000}"/>
    <cellStyle name="20% - Accent2 5 2 6 3" xfId="8330" xr:uid="{00000000-0005-0000-0000-00009C120000}"/>
    <cellStyle name="20% - Accent2 5 2 7" xfId="8331" xr:uid="{00000000-0005-0000-0000-00009D120000}"/>
    <cellStyle name="20% - Accent2 5 2 7 2" xfId="8332" xr:uid="{00000000-0005-0000-0000-00009E120000}"/>
    <cellStyle name="20% - Accent2 5 2 8" xfId="8333" xr:uid="{00000000-0005-0000-0000-00009F120000}"/>
    <cellStyle name="20% - Accent2 5 2 8 2" xfId="8334" xr:uid="{00000000-0005-0000-0000-0000A0120000}"/>
    <cellStyle name="20% - Accent2 5 2 9" xfId="8335" xr:uid="{00000000-0005-0000-0000-0000A1120000}"/>
    <cellStyle name="20% - Accent2 5 20" xfId="8336" xr:uid="{00000000-0005-0000-0000-0000A2120000}"/>
    <cellStyle name="20% - Accent2 5 3" xfId="8337" xr:uid="{00000000-0005-0000-0000-0000A3120000}"/>
    <cellStyle name="20% - Accent2 5 3 10" xfId="8338" xr:uid="{00000000-0005-0000-0000-0000A4120000}"/>
    <cellStyle name="20% - Accent2 5 3 11" xfId="8339" xr:uid="{00000000-0005-0000-0000-0000A5120000}"/>
    <cellStyle name="20% - Accent2 5 3 2" xfId="8340" xr:uid="{00000000-0005-0000-0000-0000A6120000}"/>
    <cellStyle name="20% - Accent2 5 3 2 2" xfId="8341" xr:uid="{00000000-0005-0000-0000-0000A7120000}"/>
    <cellStyle name="20% - Accent2 5 3 2 2 2" xfId="8342" xr:uid="{00000000-0005-0000-0000-0000A8120000}"/>
    <cellStyle name="20% - Accent2 5 3 2 2 2 2" xfId="8343" xr:uid="{00000000-0005-0000-0000-0000A9120000}"/>
    <cellStyle name="20% - Accent2 5 3 2 2 2 2 2" xfId="8344" xr:uid="{00000000-0005-0000-0000-0000AA120000}"/>
    <cellStyle name="20% - Accent2 5 3 2 2 2 3" xfId="8345" xr:uid="{00000000-0005-0000-0000-0000AB120000}"/>
    <cellStyle name="20% - Accent2 5 3 2 2 3" xfId="8346" xr:uid="{00000000-0005-0000-0000-0000AC120000}"/>
    <cellStyle name="20% - Accent2 5 3 2 2 3 2" xfId="8347" xr:uid="{00000000-0005-0000-0000-0000AD120000}"/>
    <cellStyle name="20% - Accent2 5 3 2 2 4" xfId="8348" xr:uid="{00000000-0005-0000-0000-0000AE120000}"/>
    <cellStyle name="20% - Accent2 5 3 2 2 5" xfId="8349" xr:uid="{00000000-0005-0000-0000-0000AF120000}"/>
    <cellStyle name="20% - Accent2 5 3 2 2 6" xfId="8350" xr:uid="{00000000-0005-0000-0000-0000B0120000}"/>
    <cellStyle name="20% - Accent2 5 3 2 3" xfId="8351" xr:uid="{00000000-0005-0000-0000-0000B1120000}"/>
    <cellStyle name="20% - Accent2 5 3 2 3 2" xfId="8352" xr:uid="{00000000-0005-0000-0000-0000B2120000}"/>
    <cellStyle name="20% - Accent2 5 3 2 3 2 2" xfId="8353" xr:uid="{00000000-0005-0000-0000-0000B3120000}"/>
    <cellStyle name="20% - Accent2 5 3 2 3 3" xfId="8354" xr:uid="{00000000-0005-0000-0000-0000B4120000}"/>
    <cellStyle name="20% - Accent2 5 3 2 4" xfId="8355" xr:uid="{00000000-0005-0000-0000-0000B5120000}"/>
    <cellStyle name="20% - Accent2 5 3 2 4 2" xfId="8356" xr:uid="{00000000-0005-0000-0000-0000B6120000}"/>
    <cellStyle name="20% - Accent2 5 3 2 5" xfId="8357" xr:uid="{00000000-0005-0000-0000-0000B7120000}"/>
    <cellStyle name="20% - Accent2 5 3 2 5 2" xfId="8358" xr:uid="{00000000-0005-0000-0000-0000B8120000}"/>
    <cellStyle name="20% - Accent2 5 3 2 6" xfId="8359" xr:uid="{00000000-0005-0000-0000-0000B9120000}"/>
    <cellStyle name="20% - Accent2 5 3 2 7" xfId="8360" xr:uid="{00000000-0005-0000-0000-0000BA120000}"/>
    <cellStyle name="20% - Accent2 5 3 2 8" xfId="8361" xr:uid="{00000000-0005-0000-0000-0000BB120000}"/>
    <cellStyle name="20% - Accent2 5 3 3" xfId="8362" xr:uid="{00000000-0005-0000-0000-0000BC120000}"/>
    <cellStyle name="20% - Accent2 5 3 3 2" xfId="8363" xr:uid="{00000000-0005-0000-0000-0000BD120000}"/>
    <cellStyle name="20% - Accent2 5 3 3 2 2" xfId="8364" xr:uid="{00000000-0005-0000-0000-0000BE120000}"/>
    <cellStyle name="20% - Accent2 5 3 3 2 2 2" xfId="8365" xr:uid="{00000000-0005-0000-0000-0000BF120000}"/>
    <cellStyle name="20% - Accent2 5 3 3 2 2 2 2" xfId="8366" xr:uid="{00000000-0005-0000-0000-0000C0120000}"/>
    <cellStyle name="20% - Accent2 5 3 3 2 2 3" xfId="8367" xr:uid="{00000000-0005-0000-0000-0000C1120000}"/>
    <cellStyle name="20% - Accent2 5 3 3 2 3" xfId="8368" xr:uid="{00000000-0005-0000-0000-0000C2120000}"/>
    <cellStyle name="20% - Accent2 5 3 3 2 3 2" xfId="8369" xr:uid="{00000000-0005-0000-0000-0000C3120000}"/>
    <cellStyle name="20% - Accent2 5 3 3 2 4" xfId="8370" xr:uid="{00000000-0005-0000-0000-0000C4120000}"/>
    <cellStyle name="20% - Accent2 5 3 3 2 5" xfId="8371" xr:uid="{00000000-0005-0000-0000-0000C5120000}"/>
    <cellStyle name="20% - Accent2 5 3 3 2 6" xfId="8372" xr:uid="{00000000-0005-0000-0000-0000C6120000}"/>
    <cellStyle name="20% - Accent2 5 3 3 3" xfId="8373" xr:uid="{00000000-0005-0000-0000-0000C7120000}"/>
    <cellStyle name="20% - Accent2 5 3 3 3 2" xfId="8374" xr:uid="{00000000-0005-0000-0000-0000C8120000}"/>
    <cellStyle name="20% - Accent2 5 3 3 3 2 2" xfId="8375" xr:uid="{00000000-0005-0000-0000-0000C9120000}"/>
    <cellStyle name="20% - Accent2 5 3 3 3 3" xfId="8376" xr:uid="{00000000-0005-0000-0000-0000CA120000}"/>
    <cellStyle name="20% - Accent2 5 3 3 4" xfId="8377" xr:uid="{00000000-0005-0000-0000-0000CB120000}"/>
    <cellStyle name="20% - Accent2 5 3 3 4 2" xfId="8378" xr:uid="{00000000-0005-0000-0000-0000CC120000}"/>
    <cellStyle name="20% - Accent2 5 3 3 5" xfId="8379" xr:uid="{00000000-0005-0000-0000-0000CD120000}"/>
    <cellStyle name="20% - Accent2 5 3 3 6" xfId="8380" xr:uid="{00000000-0005-0000-0000-0000CE120000}"/>
    <cellStyle name="20% - Accent2 5 3 3 7" xfId="8381" xr:uid="{00000000-0005-0000-0000-0000CF120000}"/>
    <cellStyle name="20% - Accent2 5 3 4" xfId="8382" xr:uid="{00000000-0005-0000-0000-0000D0120000}"/>
    <cellStyle name="20% - Accent2 5 3 4 2" xfId="8383" xr:uid="{00000000-0005-0000-0000-0000D1120000}"/>
    <cellStyle name="20% - Accent2 5 3 4 2 2" xfId="8384" xr:uid="{00000000-0005-0000-0000-0000D2120000}"/>
    <cellStyle name="20% - Accent2 5 3 4 2 2 2" xfId="8385" xr:uid="{00000000-0005-0000-0000-0000D3120000}"/>
    <cellStyle name="20% - Accent2 5 3 4 2 3" xfId="8386" xr:uid="{00000000-0005-0000-0000-0000D4120000}"/>
    <cellStyle name="20% - Accent2 5 3 4 3" xfId="8387" xr:uid="{00000000-0005-0000-0000-0000D5120000}"/>
    <cellStyle name="20% - Accent2 5 3 4 3 2" xfId="8388" xr:uid="{00000000-0005-0000-0000-0000D6120000}"/>
    <cellStyle name="20% - Accent2 5 3 4 4" xfId="8389" xr:uid="{00000000-0005-0000-0000-0000D7120000}"/>
    <cellStyle name="20% - Accent2 5 3 4 5" xfId="8390" xr:uid="{00000000-0005-0000-0000-0000D8120000}"/>
    <cellStyle name="20% - Accent2 5 3 4 6" xfId="8391" xr:uid="{00000000-0005-0000-0000-0000D9120000}"/>
    <cellStyle name="20% - Accent2 5 3 5" xfId="8392" xr:uid="{00000000-0005-0000-0000-0000DA120000}"/>
    <cellStyle name="20% - Accent2 5 3 5 2" xfId="8393" xr:uid="{00000000-0005-0000-0000-0000DB120000}"/>
    <cellStyle name="20% - Accent2 5 3 5 2 2" xfId="8394" xr:uid="{00000000-0005-0000-0000-0000DC120000}"/>
    <cellStyle name="20% - Accent2 5 3 5 3" xfId="8395" xr:uid="{00000000-0005-0000-0000-0000DD120000}"/>
    <cellStyle name="20% - Accent2 5 3 6" xfId="8396" xr:uid="{00000000-0005-0000-0000-0000DE120000}"/>
    <cellStyle name="20% - Accent2 5 3 6 2" xfId="8397" xr:uid="{00000000-0005-0000-0000-0000DF120000}"/>
    <cellStyle name="20% - Accent2 5 3 6 2 2" xfId="8398" xr:uid="{00000000-0005-0000-0000-0000E0120000}"/>
    <cellStyle name="20% - Accent2 5 3 6 3" xfId="8399" xr:uid="{00000000-0005-0000-0000-0000E1120000}"/>
    <cellStyle name="20% - Accent2 5 3 7" xfId="8400" xr:uid="{00000000-0005-0000-0000-0000E2120000}"/>
    <cellStyle name="20% - Accent2 5 3 7 2" xfId="8401" xr:uid="{00000000-0005-0000-0000-0000E3120000}"/>
    <cellStyle name="20% - Accent2 5 3 8" xfId="8402" xr:uid="{00000000-0005-0000-0000-0000E4120000}"/>
    <cellStyle name="20% - Accent2 5 3 8 2" xfId="8403" xr:uid="{00000000-0005-0000-0000-0000E5120000}"/>
    <cellStyle name="20% - Accent2 5 3 9" xfId="8404" xr:uid="{00000000-0005-0000-0000-0000E6120000}"/>
    <cellStyle name="20% - Accent2 5 4" xfId="8405" xr:uid="{00000000-0005-0000-0000-0000E7120000}"/>
    <cellStyle name="20% - Accent2 5 4 10" xfId="8406" xr:uid="{00000000-0005-0000-0000-0000E8120000}"/>
    <cellStyle name="20% - Accent2 5 4 11" xfId="8407" xr:uid="{00000000-0005-0000-0000-0000E9120000}"/>
    <cellStyle name="20% - Accent2 5 4 2" xfId="8408" xr:uid="{00000000-0005-0000-0000-0000EA120000}"/>
    <cellStyle name="20% - Accent2 5 4 2 2" xfId="8409" xr:uid="{00000000-0005-0000-0000-0000EB120000}"/>
    <cellStyle name="20% - Accent2 5 4 2 2 2" xfId="8410" xr:uid="{00000000-0005-0000-0000-0000EC120000}"/>
    <cellStyle name="20% - Accent2 5 4 2 2 2 2" xfId="8411" xr:uid="{00000000-0005-0000-0000-0000ED120000}"/>
    <cellStyle name="20% - Accent2 5 4 2 2 2 2 2" xfId="8412" xr:uid="{00000000-0005-0000-0000-0000EE120000}"/>
    <cellStyle name="20% - Accent2 5 4 2 2 2 3" xfId="8413" xr:uid="{00000000-0005-0000-0000-0000EF120000}"/>
    <cellStyle name="20% - Accent2 5 4 2 2 3" xfId="8414" xr:uid="{00000000-0005-0000-0000-0000F0120000}"/>
    <cellStyle name="20% - Accent2 5 4 2 2 3 2" xfId="8415" xr:uid="{00000000-0005-0000-0000-0000F1120000}"/>
    <cellStyle name="20% - Accent2 5 4 2 2 4" xfId="8416" xr:uid="{00000000-0005-0000-0000-0000F2120000}"/>
    <cellStyle name="20% - Accent2 5 4 2 2 5" xfId="8417" xr:uid="{00000000-0005-0000-0000-0000F3120000}"/>
    <cellStyle name="20% - Accent2 5 4 2 2 6" xfId="8418" xr:uid="{00000000-0005-0000-0000-0000F4120000}"/>
    <cellStyle name="20% - Accent2 5 4 2 3" xfId="8419" xr:uid="{00000000-0005-0000-0000-0000F5120000}"/>
    <cellStyle name="20% - Accent2 5 4 2 3 2" xfId="8420" xr:uid="{00000000-0005-0000-0000-0000F6120000}"/>
    <cellStyle name="20% - Accent2 5 4 2 3 2 2" xfId="8421" xr:uid="{00000000-0005-0000-0000-0000F7120000}"/>
    <cellStyle name="20% - Accent2 5 4 2 3 3" xfId="8422" xr:uid="{00000000-0005-0000-0000-0000F8120000}"/>
    <cellStyle name="20% - Accent2 5 4 2 4" xfId="8423" xr:uid="{00000000-0005-0000-0000-0000F9120000}"/>
    <cellStyle name="20% - Accent2 5 4 2 4 2" xfId="8424" xr:uid="{00000000-0005-0000-0000-0000FA120000}"/>
    <cellStyle name="20% - Accent2 5 4 2 5" xfId="8425" xr:uid="{00000000-0005-0000-0000-0000FB120000}"/>
    <cellStyle name="20% - Accent2 5 4 2 5 2" xfId="8426" xr:uid="{00000000-0005-0000-0000-0000FC120000}"/>
    <cellStyle name="20% - Accent2 5 4 2 6" xfId="8427" xr:uid="{00000000-0005-0000-0000-0000FD120000}"/>
    <cellStyle name="20% - Accent2 5 4 2 7" xfId="8428" xr:uid="{00000000-0005-0000-0000-0000FE120000}"/>
    <cellStyle name="20% - Accent2 5 4 2 8" xfId="8429" xr:uid="{00000000-0005-0000-0000-0000FF120000}"/>
    <cellStyle name="20% - Accent2 5 4 3" xfId="8430" xr:uid="{00000000-0005-0000-0000-000000130000}"/>
    <cellStyle name="20% - Accent2 5 4 3 2" xfId="8431" xr:uid="{00000000-0005-0000-0000-000001130000}"/>
    <cellStyle name="20% - Accent2 5 4 3 2 2" xfId="8432" xr:uid="{00000000-0005-0000-0000-000002130000}"/>
    <cellStyle name="20% - Accent2 5 4 3 2 2 2" xfId="8433" xr:uid="{00000000-0005-0000-0000-000003130000}"/>
    <cellStyle name="20% - Accent2 5 4 3 2 2 2 2" xfId="8434" xr:uid="{00000000-0005-0000-0000-000004130000}"/>
    <cellStyle name="20% - Accent2 5 4 3 2 2 3" xfId="8435" xr:uid="{00000000-0005-0000-0000-000005130000}"/>
    <cellStyle name="20% - Accent2 5 4 3 2 3" xfId="8436" xr:uid="{00000000-0005-0000-0000-000006130000}"/>
    <cellStyle name="20% - Accent2 5 4 3 2 3 2" xfId="8437" xr:uid="{00000000-0005-0000-0000-000007130000}"/>
    <cellStyle name="20% - Accent2 5 4 3 2 4" xfId="8438" xr:uid="{00000000-0005-0000-0000-000008130000}"/>
    <cellStyle name="20% - Accent2 5 4 3 2 5" xfId="8439" xr:uid="{00000000-0005-0000-0000-000009130000}"/>
    <cellStyle name="20% - Accent2 5 4 3 2 6" xfId="8440" xr:uid="{00000000-0005-0000-0000-00000A130000}"/>
    <cellStyle name="20% - Accent2 5 4 3 3" xfId="8441" xr:uid="{00000000-0005-0000-0000-00000B130000}"/>
    <cellStyle name="20% - Accent2 5 4 3 3 2" xfId="8442" xr:uid="{00000000-0005-0000-0000-00000C130000}"/>
    <cellStyle name="20% - Accent2 5 4 3 3 2 2" xfId="8443" xr:uid="{00000000-0005-0000-0000-00000D130000}"/>
    <cellStyle name="20% - Accent2 5 4 3 3 3" xfId="8444" xr:uid="{00000000-0005-0000-0000-00000E130000}"/>
    <cellStyle name="20% - Accent2 5 4 3 4" xfId="8445" xr:uid="{00000000-0005-0000-0000-00000F130000}"/>
    <cellStyle name="20% - Accent2 5 4 3 4 2" xfId="8446" xr:uid="{00000000-0005-0000-0000-000010130000}"/>
    <cellStyle name="20% - Accent2 5 4 3 5" xfId="8447" xr:uid="{00000000-0005-0000-0000-000011130000}"/>
    <cellStyle name="20% - Accent2 5 4 3 6" xfId="8448" xr:uid="{00000000-0005-0000-0000-000012130000}"/>
    <cellStyle name="20% - Accent2 5 4 3 7" xfId="8449" xr:uid="{00000000-0005-0000-0000-000013130000}"/>
    <cellStyle name="20% - Accent2 5 4 4" xfId="8450" xr:uid="{00000000-0005-0000-0000-000014130000}"/>
    <cellStyle name="20% - Accent2 5 4 4 2" xfId="8451" xr:uid="{00000000-0005-0000-0000-000015130000}"/>
    <cellStyle name="20% - Accent2 5 4 4 2 2" xfId="8452" xr:uid="{00000000-0005-0000-0000-000016130000}"/>
    <cellStyle name="20% - Accent2 5 4 4 2 2 2" xfId="8453" xr:uid="{00000000-0005-0000-0000-000017130000}"/>
    <cellStyle name="20% - Accent2 5 4 4 2 3" xfId="8454" xr:uid="{00000000-0005-0000-0000-000018130000}"/>
    <cellStyle name="20% - Accent2 5 4 4 3" xfId="8455" xr:uid="{00000000-0005-0000-0000-000019130000}"/>
    <cellStyle name="20% - Accent2 5 4 4 3 2" xfId="8456" xr:uid="{00000000-0005-0000-0000-00001A130000}"/>
    <cellStyle name="20% - Accent2 5 4 4 4" xfId="8457" xr:uid="{00000000-0005-0000-0000-00001B130000}"/>
    <cellStyle name="20% - Accent2 5 4 4 5" xfId="8458" xr:uid="{00000000-0005-0000-0000-00001C130000}"/>
    <cellStyle name="20% - Accent2 5 4 4 6" xfId="8459" xr:uid="{00000000-0005-0000-0000-00001D130000}"/>
    <cellStyle name="20% - Accent2 5 4 5" xfId="8460" xr:uid="{00000000-0005-0000-0000-00001E130000}"/>
    <cellStyle name="20% - Accent2 5 4 5 2" xfId="8461" xr:uid="{00000000-0005-0000-0000-00001F130000}"/>
    <cellStyle name="20% - Accent2 5 4 5 2 2" xfId="8462" xr:uid="{00000000-0005-0000-0000-000020130000}"/>
    <cellStyle name="20% - Accent2 5 4 5 3" xfId="8463" xr:uid="{00000000-0005-0000-0000-000021130000}"/>
    <cellStyle name="20% - Accent2 5 4 6" xfId="8464" xr:uid="{00000000-0005-0000-0000-000022130000}"/>
    <cellStyle name="20% - Accent2 5 4 6 2" xfId="8465" xr:uid="{00000000-0005-0000-0000-000023130000}"/>
    <cellStyle name="20% - Accent2 5 4 6 2 2" xfId="8466" xr:uid="{00000000-0005-0000-0000-000024130000}"/>
    <cellStyle name="20% - Accent2 5 4 6 3" xfId="8467" xr:uid="{00000000-0005-0000-0000-000025130000}"/>
    <cellStyle name="20% - Accent2 5 4 7" xfId="8468" xr:uid="{00000000-0005-0000-0000-000026130000}"/>
    <cellStyle name="20% - Accent2 5 4 7 2" xfId="8469" xr:uid="{00000000-0005-0000-0000-000027130000}"/>
    <cellStyle name="20% - Accent2 5 4 8" xfId="8470" xr:uid="{00000000-0005-0000-0000-000028130000}"/>
    <cellStyle name="20% - Accent2 5 4 8 2" xfId="8471" xr:uid="{00000000-0005-0000-0000-000029130000}"/>
    <cellStyle name="20% - Accent2 5 4 9" xfId="8472" xr:uid="{00000000-0005-0000-0000-00002A130000}"/>
    <cellStyle name="20% - Accent2 5 5" xfId="8473" xr:uid="{00000000-0005-0000-0000-00002B130000}"/>
    <cellStyle name="20% - Accent2 5 5 10" xfId="8474" xr:uid="{00000000-0005-0000-0000-00002C130000}"/>
    <cellStyle name="20% - Accent2 5 5 11" xfId="8475" xr:uid="{00000000-0005-0000-0000-00002D130000}"/>
    <cellStyle name="20% - Accent2 5 5 2" xfId="8476" xr:uid="{00000000-0005-0000-0000-00002E130000}"/>
    <cellStyle name="20% - Accent2 5 5 2 2" xfId="8477" xr:uid="{00000000-0005-0000-0000-00002F130000}"/>
    <cellStyle name="20% - Accent2 5 5 2 2 2" xfId="8478" xr:uid="{00000000-0005-0000-0000-000030130000}"/>
    <cellStyle name="20% - Accent2 5 5 2 2 2 2" xfId="8479" xr:uid="{00000000-0005-0000-0000-000031130000}"/>
    <cellStyle name="20% - Accent2 5 5 2 2 2 2 2" xfId="8480" xr:uid="{00000000-0005-0000-0000-000032130000}"/>
    <cellStyle name="20% - Accent2 5 5 2 2 2 3" xfId="8481" xr:uid="{00000000-0005-0000-0000-000033130000}"/>
    <cellStyle name="20% - Accent2 5 5 2 2 3" xfId="8482" xr:uid="{00000000-0005-0000-0000-000034130000}"/>
    <cellStyle name="20% - Accent2 5 5 2 2 3 2" xfId="8483" xr:uid="{00000000-0005-0000-0000-000035130000}"/>
    <cellStyle name="20% - Accent2 5 5 2 2 4" xfId="8484" xr:uid="{00000000-0005-0000-0000-000036130000}"/>
    <cellStyle name="20% - Accent2 5 5 2 2 5" xfId="8485" xr:uid="{00000000-0005-0000-0000-000037130000}"/>
    <cellStyle name="20% - Accent2 5 5 2 2 6" xfId="8486" xr:uid="{00000000-0005-0000-0000-000038130000}"/>
    <cellStyle name="20% - Accent2 5 5 2 3" xfId="8487" xr:uid="{00000000-0005-0000-0000-000039130000}"/>
    <cellStyle name="20% - Accent2 5 5 2 3 2" xfId="8488" xr:uid="{00000000-0005-0000-0000-00003A130000}"/>
    <cellStyle name="20% - Accent2 5 5 2 3 2 2" xfId="8489" xr:uid="{00000000-0005-0000-0000-00003B130000}"/>
    <cellStyle name="20% - Accent2 5 5 2 3 3" xfId="8490" xr:uid="{00000000-0005-0000-0000-00003C130000}"/>
    <cellStyle name="20% - Accent2 5 5 2 4" xfId="8491" xr:uid="{00000000-0005-0000-0000-00003D130000}"/>
    <cellStyle name="20% - Accent2 5 5 2 4 2" xfId="8492" xr:uid="{00000000-0005-0000-0000-00003E130000}"/>
    <cellStyle name="20% - Accent2 5 5 2 5" xfId="8493" xr:uid="{00000000-0005-0000-0000-00003F130000}"/>
    <cellStyle name="20% - Accent2 5 5 2 5 2" xfId="8494" xr:uid="{00000000-0005-0000-0000-000040130000}"/>
    <cellStyle name="20% - Accent2 5 5 2 6" xfId="8495" xr:uid="{00000000-0005-0000-0000-000041130000}"/>
    <cellStyle name="20% - Accent2 5 5 2 7" xfId="8496" xr:uid="{00000000-0005-0000-0000-000042130000}"/>
    <cellStyle name="20% - Accent2 5 5 2 8" xfId="8497" xr:uid="{00000000-0005-0000-0000-000043130000}"/>
    <cellStyle name="20% - Accent2 5 5 3" xfId="8498" xr:uid="{00000000-0005-0000-0000-000044130000}"/>
    <cellStyle name="20% - Accent2 5 5 3 2" xfId="8499" xr:uid="{00000000-0005-0000-0000-000045130000}"/>
    <cellStyle name="20% - Accent2 5 5 3 2 2" xfId="8500" xr:uid="{00000000-0005-0000-0000-000046130000}"/>
    <cellStyle name="20% - Accent2 5 5 3 2 2 2" xfId="8501" xr:uid="{00000000-0005-0000-0000-000047130000}"/>
    <cellStyle name="20% - Accent2 5 5 3 2 2 2 2" xfId="8502" xr:uid="{00000000-0005-0000-0000-000048130000}"/>
    <cellStyle name="20% - Accent2 5 5 3 2 2 3" xfId="8503" xr:uid="{00000000-0005-0000-0000-000049130000}"/>
    <cellStyle name="20% - Accent2 5 5 3 2 3" xfId="8504" xr:uid="{00000000-0005-0000-0000-00004A130000}"/>
    <cellStyle name="20% - Accent2 5 5 3 2 3 2" xfId="8505" xr:uid="{00000000-0005-0000-0000-00004B130000}"/>
    <cellStyle name="20% - Accent2 5 5 3 2 4" xfId="8506" xr:uid="{00000000-0005-0000-0000-00004C130000}"/>
    <cellStyle name="20% - Accent2 5 5 3 2 5" xfId="8507" xr:uid="{00000000-0005-0000-0000-00004D130000}"/>
    <cellStyle name="20% - Accent2 5 5 3 2 6" xfId="8508" xr:uid="{00000000-0005-0000-0000-00004E130000}"/>
    <cellStyle name="20% - Accent2 5 5 3 3" xfId="8509" xr:uid="{00000000-0005-0000-0000-00004F130000}"/>
    <cellStyle name="20% - Accent2 5 5 3 3 2" xfId="8510" xr:uid="{00000000-0005-0000-0000-000050130000}"/>
    <cellStyle name="20% - Accent2 5 5 3 3 2 2" xfId="8511" xr:uid="{00000000-0005-0000-0000-000051130000}"/>
    <cellStyle name="20% - Accent2 5 5 3 3 3" xfId="8512" xr:uid="{00000000-0005-0000-0000-000052130000}"/>
    <cellStyle name="20% - Accent2 5 5 3 4" xfId="8513" xr:uid="{00000000-0005-0000-0000-000053130000}"/>
    <cellStyle name="20% - Accent2 5 5 3 4 2" xfId="8514" xr:uid="{00000000-0005-0000-0000-000054130000}"/>
    <cellStyle name="20% - Accent2 5 5 3 5" xfId="8515" xr:uid="{00000000-0005-0000-0000-000055130000}"/>
    <cellStyle name="20% - Accent2 5 5 3 6" xfId="8516" xr:uid="{00000000-0005-0000-0000-000056130000}"/>
    <cellStyle name="20% - Accent2 5 5 3 7" xfId="8517" xr:uid="{00000000-0005-0000-0000-000057130000}"/>
    <cellStyle name="20% - Accent2 5 5 4" xfId="8518" xr:uid="{00000000-0005-0000-0000-000058130000}"/>
    <cellStyle name="20% - Accent2 5 5 4 2" xfId="8519" xr:uid="{00000000-0005-0000-0000-000059130000}"/>
    <cellStyle name="20% - Accent2 5 5 4 2 2" xfId="8520" xr:uid="{00000000-0005-0000-0000-00005A130000}"/>
    <cellStyle name="20% - Accent2 5 5 4 2 2 2" xfId="8521" xr:uid="{00000000-0005-0000-0000-00005B130000}"/>
    <cellStyle name="20% - Accent2 5 5 4 2 3" xfId="8522" xr:uid="{00000000-0005-0000-0000-00005C130000}"/>
    <cellStyle name="20% - Accent2 5 5 4 3" xfId="8523" xr:uid="{00000000-0005-0000-0000-00005D130000}"/>
    <cellStyle name="20% - Accent2 5 5 4 3 2" xfId="8524" xr:uid="{00000000-0005-0000-0000-00005E130000}"/>
    <cellStyle name="20% - Accent2 5 5 4 4" xfId="8525" xr:uid="{00000000-0005-0000-0000-00005F130000}"/>
    <cellStyle name="20% - Accent2 5 5 4 5" xfId="8526" xr:uid="{00000000-0005-0000-0000-000060130000}"/>
    <cellStyle name="20% - Accent2 5 5 4 6" xfId="8527" xr:uid="{00000000-0005-0000-0000-000061130000}"/>
    <cellStyle name="20% - Accent2 5 5 5" xfId="8528" xr:uid="{00000000-0005-0000-0000-000062130000}"/>
    <cellStyle name="20% - Accent2 5 5 5 2" xfId="8529" xr:uid="{00000000-0005-0000-0000-000063130000}"/>
    <cellStyle name="20% - Accent2 5 5 5 2 2" xfId="8530" xr:uid="{00000000-0005-0000-0000-000064130000}"/>
    <cellStyle name="20% - Accent2 5 5 5 3" xfId="8531" xr:uid="{00000000-0005-0000-0000-000065130000}"/>
    <cellStyle name="20% - Accent2 5 5 6" xfId="8532" xr:uid="{00000000-0005-0000-0000-000066130000}"/>
    <cellStyle name="20% - Accent2 5 5 6 2" xfId="8533" xr:uid="{00000000-0005-0000-0000-000067130000}"/>
    <cellStyle name="20% - Accent2 5 5 6 2 2" xfId="8534" xr:uid="{00000000-0005-0000-0000-000068130000}"/>
    <cellStyle name="20% - Accent2 5 5 6 3" xfId="8535" xr:uid="{00000000-0005-0000-0000-000069130000}"/>
    <cellStyle name="20% - Accent2 5 5 7" xfId="8536" xr:uid="{00000000-0005-0000-0000-00006A130000}"/>
    <cellStyle name="20% - Accent2 5 5 7 2" xfId="8537" xr:uid="{00000000-0005-0000-0000-00006B130000}"/>
    <cellStyle name="20% - Accent2 5 5 8" xfId="8538" xr:uid="{00000000-0005-0000-0000-00006C130000}"/>
    <cellStyle name="20% - Accent2 5 5 8 2" xfId="8539" xr:uid="{00000000-0005-0000-0000-00006D130000}"/>
    <cellStyle name="20% - Accent2 5 5 9" xfId="8540" xr:uid="{00000000-0005-0000-0000-00006E130000}"/>
    <cellStyle name="20% - Accent2 5 6" xfId="8541" xr:uid="{00000000-0005-0000-0000-00006F130000}"/>
    <cellStyle name="20% - Accent2 5 6 10" xfId="8542" xr:uid="{00000000-0005-0000-0000-000070130000}"/>
    <cellStyle name="20% - Accent2 5 6 11" xfId="8543" xr:uid="{00000000-0005-0000-0000-000071130000}"/>
    <cellStyle name="20% - Accent2 5 6 2" xfId="8544" xr:uid="{00000000-0005-0000-0000-000072130000}"/>
    <cellStyle name="20% - Accent2 5 6 2 2" xfId="8545" xr:uid="{00000000-0005-0000-0000-000073130000}"/>
    <cellStyle name="20% - Accent2 5 6 2 2 2" xfId="8546" xr:uid="{00000000-0005-0000-0000-000074130000}"/>
    <cellStyle name="20% - Accent2 5 6 2 2 2 2" xfId="8547" xr:uid="{00000000-0005-0000-0000-000075130000}"/>
    <cellStyle name="20% - Accent2 5 6 2 2 2 2 2" xfId="8548" xr:uid="{00000000-0005-0000-0000-000076130000}"/>
    <cellStyle name="20% - Accent2 5 6 2 2 2 3" xfId="8549" xr:uid="{00000000-0005-0000-0000-000077130000}"/>
    <cellStyle name="20% - Accent2 5 6 2 2 3" xfId="8550" xr:uid="{00000000-0005-0000-0000-000078130000}"/>
    <cellStyle name="20% - Accent2 5 6 2 2 3 2" xfId="8551" xr:uid="{00000000-0005-0000-0000-000079130000}"/>
    <cellStyle name="20% - Accent2 5 6 2 2 4" xfId="8552" xr:uid="{00000000-0005-0000-0000-00007A130000}"/>
    <cellStyle name="20% - Accent2 5 6 2 2 5" xfId="8553" xr:uid="{00000000-0005-0000-0000-00007B130000}"/>
    <cellStyle name="20% - Accent2 5 6 2 2 6" xfId="8554" xr:uid="{00000000-0005-0000-0000-00007C130000}"/>
    <cellStyle name="20% - Accent2 5 6 2 3" xfId="8555" xr:uid="{00000000-0005-0000-0000-00007D130000}"/>
    <cellStyle name="20% - Accent2 5 6 2 3 2" xfId="8556" xr:uid="{00000000-0005-0000-0000-00007E130000}"/>
    <cellStyle name="20% - Accent2 5 6 2 3 2 2" xfId="8557" xr:uid="{00000000-0005-0000-0000-00007F130000}"/>
    <cellStyle name="20% - Accent2 5 6 2 3 3" xfId="8558" xr:uid="{00000000-0005-0000-0000-000080130000}"/>
    <cellStyle name="20% - Accent2 5 6 2 4" xfId="8559" xr:uid="{00000000-0005-0000-0000-000081130000}"/>
    <cellStyle name="20% - Accent2 5 6 2 4 2" xfId="8560" xr:uid="{00000000-0005-0000-0000-000082130000}"/>
    <cellStyle name="20% - Accent2 5 6 2 5" xfId="8561" xr:uid="{00000000-0005-0000-0000-000083130000}"/>
    <cellStyle name="20% - Accent2 5 6 2 5 2" xfId="8562" xr:uid="{00000000-0005-0000-0000-000084130000}"/>
    <cellStyle name="20% - Accent2 5 6 2 6" xfId="8563" xr:uid="{00000000-0005-0000-0000-000085130000}"/>
    <cellStyle name="20% - Accent2 5 6 2 7" xfId="8564" xr:uid="{00000000-0005-0000-0000-000086130000}"/>
    <cellStyle name="20% - Accent2 5 6 2 8" xfId="8565" xr:uid="{00000000-0005-0000-0000-000087130000}"/>
    <cellStyle name="20% - Accent2 5 6 3" xfId="8566" xr:uid="{00000000-0005-0000-0000-000088130000}"/>
    <cellStyle name="20% - Accent2 5 6 3 2" xfId="8567" xr:uid="{00000000-0005-0000-0000-000089130000}"/>
    <cellStyle name="20% - Accent2 5 6 3 2 2" xfId="8568" xr:uid="{00000000-0005-0000-0000-00008A130000}"/>
    <cellStyle name="20% - Accent2 5 6 3 2 2 2" xfId="8569" xr:uid="{00000000-0005-0000-0000-00008B130000}"/>
    <cellStyle name="20% - Accent2 5 6 3 2 2 2 2" xfId="8570" xr:uid="{00000000-0005-0000-0000-00008C130000}"/>
    <cellStyle name="20% - Accent2 5 6 3 2 2 3" xfId="8571" xr:uid="{00000000-0005-0000-0000-00008D130000}"/>
    <cellStyle name="20% - Accent2 5 6 3 2 3" xfId="8572" xr:uid="{00000000-0005-0000-0000-00008E130000}"/>
    <cellStyle name="20% - Accent2 5 6 3 2 3 2" xfId="8573" xr:uid="{00000000-0005-0000-0000-00008F130000}"/>
    <cellStyle name="20% - Accent2 5 6 3 2 4" xfId="8574" xr:uid="{00000000-0005-0000-0000-000090130000}"/>
    <cellStyle name="20% - Accent2 5 6 3 2 5" xfId="8575" xr:uid="{00000000-0005-0000-0000-000091130000}"/>
    <cellStyle name="20% - Accent2 5 6 3 2 6" xfId="8576" xr:uid="{00000000-0005-0000-0000-000092130000}"/>
    <cellStyle name="20% - Accent2 5 6 3 3" xfId="8577" xr:uid="{00000000-0005-0000-0000-000093130000}"/>
    <cellStyle name="20% - Accent2 5 6 3 3 2" xfId="8578" xr:uid="{00000000-0005-0000-0000-000094130000}"/>
    <cellStyle name="20% - Accent2 5 6 3 3 2 2" xfId="8579" xr:uid="{00000000-0005-0000-0000-000095130000}"/>
    <cellStyle name="20% - Accent2 5 6 3 3 3" xfId="8580" xr:uid="{00000000-0005-0000-0000-000096130000}"/>
    <cellStyle name="20% - Accent2 5 6 3 4" xfId="8581" xr:uid="{00000000-0005-0000-0000-000097130000}"/>
    <cellStyle name="20% - Accent2 5 6 3 4 2" xfId="8582" xr:uid="{00000000-0005-0000-0000-000098130000}"/>
    <cellStyle name="20% - Accent2 5 6 3 5" xfId="8583" xr:uid="{00000000-0005-0000-0000-000099130000}"/>
    <cellStyle name="20% - Accent2 5 6 3 6" xfId="8584" xr:uid="{00000000-0005-0000-0000-00009A130000}"/>
    <cellStyle name="20% - Accent2 5 6 3 7" xfId="8585" xr:uid="{00000000-0005-0000-0000-00009B130000}"/>
    <cellStyle name="20% - Accent2 5 6 4" xfId="8586" xr:uid="{00000000-0005-0000-0000-00009C130000}"/>
    <cellStyle name="20% - Accent2 5 6 4 2" xfId="8587" xr:uid="{00000000-0005-0000-0000-00009D130000}"/>
    <cellStyle name="20% - Accent2 5 6 4 2 2" xfId="8588" xr:uid="{00000000-0005-0000-0000-00009E130000}"/>
    <cellStyle name="20% - Accent2 5 6 4 2 2 2" xfId="8589" xr:uid="{00000000-0005-0000-0000-00009F130000}"/>
    <cellStyle name="20% - Accent2 5 6 4 2 3" xfId="8590" xr:uid="{00000000-0005-0000-0000-0000A0130000}"/>
    <cellStyle name="20% - Accent2 5 6 4 3" xfId="8591" xr:uid="{00000000-0005-0000-0000-0000A1130000}"/>
    <cellStyle name="20% - Accent2 5 6 4 3 2" xfId="8592" xr:uid="{00000000-0005-0000-0000-0000A2130000}"/>
    <cellStyle name="20% - Accent2 5 6 4 4" xfId="8593" xr:uid="{00000000-0005-0000-0000-0000A3130000}"/>
    <cellStyle name="20% - Accent2 5 6 4 5" xfId="8594" xr:uid="{00000000-0005-0000-0000-0000A4130000}"/>
    <cellStyle name="20% - Accent2 5 6 4 6" xfId="8595" xr:uid="{00000000-0005-0000-0000-0000A5130000}"/>
    <cellStyle name="20% - Accent2 5 6 5" xfId="8596" xr:uid="{00000000-0005-0000-0000-0000A6130000}"/>
    <cellStyle name="20% - Accent2 5 6 5 2" xfId="8597" xr:uid="{00000000-0005-0000-0000-0000A7130000}"/>
    <cellStyle name="20% - Accent2 5 6 5 2 2" xfId="8598" xr:uid="{00000000-0005-0000-0000-0000A8130000}"/>
    <cellStyle name="20% - Accent2 5 6 5 3" xfId="8599" xr:uid="{00000000-0005-0000-0000-0000A9130000}"/>
    <cellStyle name="20% - Accent2 5 6 6" xfId="8600" xr:uid="{00000000-0005-0000-0000-0000AA130000}"/>
    <cellStyle name="20% - Accent2 5 6 6 2" xfId="8601" xr:uid="{00000000-0005-0000-0000-0000AB130000}"/>
    <cellStyle name="20% - Accent2 5 6 6 2 2" xfId="8602" xr:uid="{00000000-0005-0000-0000-0000AC130000}"/>
    <cellStyle name="20% - Accent2 5 6 6 3" xfId="8603" xr:uid="{00000000-0005-0000-0000-0000AD130000}"/>
    <cellStyle name="20% - Accent2 5 6 7" xfId="8604" xr:uid="{00000000-0005-0000-0000-0000AE130000}"/>
    <cellStyle name="20% - Accent2 5 6 7 2" xfId="8605" xr:uid="{00000000-0005-0000-0000-0000AF130000}"/>
    <cellStyle name="20% - Accent2 5 6 8" xfId="8606" xr:uid="{00000000-0005-0000-0000-0000B0130000}"/>
    <cellStyle name="20% - Accent2 5 6 8 2" xfId="8607" xr:uid="{00000000-0005-0000-0000-0000B1130000}"/>
    <cellStyle name="20% - Accent2 5 6 9" xfId="8608" xr:uid="{00000000-0005-0000-0000-0000B2130000}"/>
    <cellStyle name="20% - Accent2 5 7" xfId="8609" xr:uid="{00000000-0005-0000-0000-0000B3130000}"/>
    <cellStyle name="20% - Accent2 5 7 10" xfId="8610" xr:uid="{00000000-0005-0000-0000-0000B4130000}"/>
    <cellStyle name="20% - Accent2 5 7 11" xfId="8611" xr:uid="{00000000-0005-0000-0000-0000B5130000}"/>
    <cellStyle name="20% - Accent2 5 7 2" xfId="8612" xr:uid="{00000000-0005-0000-0000-0000B6130000}"/>
    <cellStyle name="20% - Accent2 5 7 2 2" xfId="8613" xr:uid="{00000000-0005-0000-0000-0000B7130000}"/>
    <cellStyle name="20% - Accent2 5 7 2 2 2" xfId="8614" xr:uid="{00000000-0005-0000-0000-0000B8130000}"/>
    <cellStyle name="20% - Accent2 5 7 2 2 2 2" xfId="8615" xr:uid="{00000000-0005-0000-0000-0000B9130000}"/>
    <cellStyle name="20% - Accent2 5 7 2 2 2 2 2" xfId="8616" xr:uid="{00000000-0005-0000-0000-0000BA130000}"/>
    <cellStyle name="20% - Accent2 5 7 2 2 2 3" xfId="8617" xr:uid="{00000000-0005-0000-0000-0000BB130000}"/>
    <cellStyle name="20% - Accent2 5 7 2 2 3" xfId="8618" xr:uid="{00000000-0005-0000-0000-0000BC130000}"/>
    <cellStyle name="20% - Accent2 5 7 2 2 3 2" xfId="8619" xr:uid="{00000000-0005-0000-0000-0000BD130000}"/>
    <cellStyle name="20% - Accent2 5 7 2 2 4" xfId="8620" xr:uid="{00000000-0005-0000-0000-0000BE130000}"/>
    <cellStyle name="20% - Accent2 5 7 2 2 5" xfId="8621" xr:uid="{00000000-0005-0000-0000-0000BF130000}"/>
    <cellStyle name="20% - Accent2 5 7 2 2 6" xfId="8622" xr:uid="{00000000-0005-0000-0000-0000C0130000}"/>
    <cellStyle name="20% - Accent2 5 7 2 3" xfId="8623" xr:uid="{00000000-0005-0000-0000-0000C1130000}"/>
    <cellStyle name="20% - Accent2 5 7 2 3 2" xfId="8624" xr:uid="{00000000-0005-0000-0000-0000C2130000}"/>
    <cellStyle name="20% - Accent2 5 7 2 3 2 2" xfId="8625" xr:uid="{00000000-0005-0000-0000-0000C3130000}"/>
    <cellStyle name="20% - Accent2 5 7 2 3 3" xfId="8626" xr:uid="{00000000-0005-0000-0000-0000C4130000}"/>
    <cellStyle name="20% - Accent2 5 7 2 4" xfId="8627" xr:uid="{00000000-0005-0000-0000-0000C5130000}"/>
    <cellStyle name="20% - Accent2 5 7 2 4 2" xfId="8628" xr:uid="{00000000-0005-0000-0000-0000C6130000}"/>
    <cellStyle name="20% - Accent2 5 7 2 5" xfId="8629" xr:uid="{00000000-0005-0000-0000-0000C7130000}"/>
    <cellStyle name="20% - Accent2 5 7 2 5 2" xfId="8630" xr:uid="{00000000-0005-0000-0000-0000C8130000}"/>
    <cellStyle name="20% - Accent2 5 7 2 6" xfId="8631" xr:uid="{00000000-0005-0000-0000-0000C9130000}"/>
    <cellStyle name="20% - Accent2 5 7 2 7" xfId="8632" xr:uid="{00000000-0005-0000-0000-0000CA130000}"/>
    <cellStyle name="20% - Accent2 5 7 2 8" xfId="8633" xr:uid="{00000000-0005-0000-0000-0000CB130000}"/>
    <cellStyle name="20% - Accent2 5 7 3" xfId="8634" xr:uid="{00000000-0005-0000-0000-0000CC130000}"/>
    <cellStyle name="20% - Accent2 5 7 3 2" xfId="8635" xr:uid="{00000000-0005-0000-0000-0000CD130000}"/>
    <cellStyle name="20% - Accent2 5 7 3 2 2" xfId="8636" xr:uid="{00000000-0005-0000-0000-0000CE130000}"/>
    <cellStyle name="20% - Accent2 5 7 3 2 2 2" xfId="8637" xr:uid="{00000000-0005-0000-0000-0000CF130000}"/>
    <cellStyle name="20% - Accent2 5 7 3 2 2 2 2" xfId="8638" xr:uid="{00000000-0005-0000-0000-0000D0130000}"/>
    <cellStyle name="20% - Accent2 5 7 3 2 2 3" xfId="8639" xr:uid="{00000000-0005-0000-0000-0000D1130000}"/>
    <cellStyle name="20% - Accent2 5 7 3 2 3" xfId="8640" xr:uid="{00000000-0005-0000-0000-0000D2130000}"/>
    <cellStyle name="20% - Accent2 5 7 3 2 3 2" xfId="8641" xr:uid="{00000000-0005-0000-0000-0000D3130000}"/>
    <cellStyle name="20% - Accent2 5 7 3 2 4" xfId="8642" xr:uid="{00000000-0005-0000-0000-0000D4130000}"/>
    <cellStyle name="20% - Accent2 5 7 3 2 5" xfId="8643" xr:uid="{00000000-0005-0000-0000-0000D5130000}"/>
    <cellStyle name="20% - Accent2 5 7 3 2 6" xfId="8644" xr:uid="{00000000-0005-0000-0000-0000D6130000}"/>
    <cellStyle name="20% - Accent2 5 7 3 3" xfId="8645" xr:uid="{00000000-0005-0000-0000-0000D7130000}"/>
    <cellStyle name="20% - Accent2 5 7 3 3 2" xfId="8646" xr:uid="{00000000-0005-0000-0000-0000D8130000}"/>
    <cellStyle name="20% - Accent2 5 7 3 3 2 2" xfId="8647" xr:uid="{00000000-0005-0000-0000-0000D9130000}"/>
    <cellStyle name="20% - Accent2 5 7 3 3 3" xfId="8648" xr:uid="{00000000-0005-0000-0000-0000DA130000}"/>
    <cellStyle name="20% - Accent2 5 7 3 4" xfId="8649" xr:uid="{00000000-0005-0000-0000-0000DB130000}"/>
    <cellStyle name="20% - Accent2 5 7 3 4 2" xfId="8650" xr:uid="{00000000-0005-0000-0000-0000DC130000}"/>
    <cellStyle name="20% - Accent2 5 7 3 5" xfId="8651" xr:uid="{00000000-0005-0000-0000-0000DD130000}"/>
    <cellStyle name="20% - Accent2 5 7 3 6" xfId="8652" xr:uid="{00000000-0005-0000-0000-0000DE130000}"/>
    <cellStyle name="20% - Accent2 5 7 3 7" xfId="8653" xr:uid="{00000000-0005-0000-0000-0000DF130000}"/>
    <cellStyle name="20% - Accent2 5 7 4" xfId="8654" xr:uid="{00000000-0005-0000-0000-0000E0130000}"/>
    <cellStyle name="20% - Accent2 5 7 4 2" xfId="8655" xr:uid="{00000000-0005-0000-0000-0000E1130000}"/>
    <cellStyle name="20% - Accent2 5 7 4 2 2" xfId="8656" xr:uid="{00000000-0005-0000-0000-0000E2130000}"/>
    <cellStyle name="20% - Accent2 5 7 4 2 2 2" xfId="8657" xr:uid="{00000000-0005-0000-0000-0000E3130000}"/>
    <cellStyle name="20% - Accent2 5 7 4 2 3" xfId="8658" xr:uid="{00000000-0005-0000-0000-0000E4130000}"/>
    <cellStyle name="20% - Accent2 5 7 4 3" xfId="8659" xr:uid="{00000000-0005-0000-0000-0000E5130000}"/>
    <cellStyle name="20% - Accent2 5 7 4 3 2" xfId="8660" xr:uid="{00000000-0005-0000-0000-0000E6130000}"/>
    <cellStyle name="20% - Accent2 5 7 4 4" xfId="8661" xr:uid="{00000000-0005-0000-0000-0000E7130000}"/>
    <cellStyle name="20% - Accent2 5 7 4 5" xfId="8662" xr:uid="{00000000-0005-0000-0000-0000E8130000}"/>
    <cellStyle name="20% - Accent2 5 7 4 6" xfId="8663" xr:uid="{00000000-0005-0000-0000-0000E9130000}"/>
    <cellStyle name="20% - Accent2 5 7 5" xfId="8664" xr:uid="{00000000-0005-0000-0000-0000EA130000}"/>
    <cellStyle name="20% - Accent2 5 7 5 2" xfId="8665" xr:uid="{00000000-0005-0000-0000-0000EB130000}"/>
    <cellStyle name="20% - Accent2 5 7 5 2 2" xfId="8666" xr:uid="{00000000-0005-0000-0000-0000EC130000}"/>
    <cellStyle name="20% - Accent2 5 7 5 3" xfId="8667" xr:uid="{00000000-0005-0000-0000-0000ED130000}"/>
    <cellStyle name="20% - Accent2 5 7 6" xfId="8668" xr:uid="{00000000-0005-0000-0000-0000EE130000}"/>
    <cellStyle name="20% - Accent2 5 7 6 2" xfId="8669" xr:uid="{00000000-0005-0000-0000-0000EF130000}"/>
    <cellStyle name="20% - Accent2 5 7 6 2 2" xfId="8670" xr:uid="{00000000-0005-0000-0000-0000F0130000}"/>
    <cellStyle name="20% - Accent2 5 7 6 3" xfId="8671" xr:uid="{00000000-0005-0000-0000-0000F1130000}"/>
    <cellStyle name="20% - Accent2 5 7 7" xfId="8672" xr:uid="{00000000-0005-0000-0000-0000F2130000}"/>
    <cellStyle name="20% - Accent2 5 7 7 2" xfId="8673" xr:uid="{00000000-0005-0000-0000-0000F3130000}"/>
    <cellStyle name="20% - Accent2 5 7 8" xfId="8674" xr:uid="{00000000-0005-0000-0000-0000F4130000}"/>
    <cellStyle name="20% - Accent2 5 7 8 2" xfId="8675" xr:uid="{00000000-0005-0000-0000-0000F5130000}"/>
    <cellStyle name="20% - Accent2 5 7 9" xfId="8676" xr:uid="{00000000-0005-0000-0000-0000F6130000}"/>
    <cellStyle name="20% - Accent2 5 8" xfId="8677" xr:uid="{00000000-0005-0000-0000-0000F7130000}"/>
    <cellStyle name="20% - Accent2 5 8 10" xfId="8678" xr:uid="{00000000-0005-0000-0000-0000F8130000}"/>
    <cellStyle name="20% - Accent2 5 8 11" xfId="8679" xr:uid="{00000000-0005-0000-0000-0000F9130000}"/>
    <cellStyle name="20% - Accent2 5 8 2" xfId="8680" xr:uid="{00000000-0005-0000-0000-0000FA130000}"/>
    <cellStyle name="20% - Accent2 5 8 2 2" xfId="8681" xr:uid="{00000000-0005-0000-0000-0000FB130000}"/>
    <cellStyle name="20% - Accent2 5 8 2 2 2" xfId="8682" xr:uid="{00000000-0005-0000-0000-0000FC130000}"/>
    <cellStyle name="20% - Accent2 5 8 2 2 2 2" xfId="8683" xr:uid="{00000000-0005-0000-0000-0000FD130000}"/>
    <cellStyle name="20% - Accent2 5 8 2 2 2 2 2" xfId="8684" xr:uid="{00000000-0005-0000-0000-0000FE130000}"/>
    <cellStyle name="20% - Accent2 5 8 2 2 2 3" xfId="8685" xr:uid="{00000000-0005-0000-0000-0000FF130000}"/>
    <cellStyle name="20% - Accent2 5 8 2 2 3" xfId="8686" xr:uid="{00000000-0005-0000-0000-000000140000}"/>
    <cellStyle name="20% - Accent2 5 8 2 2 3 2" xfId="8687" xr:uid="{00000000-0005-0000-0000-000001140000}"/>
    <cellStyle name="20% - Accent2 5 8 2 2 4" xfId="8688" xr:uid="{00000000-0005-0000-0000-000002140000}"/>
    <cellStyle name="20% - Accent2 5 8 2 2 5" xfId="8689" xr:uid="{00000000-0005-0000-0000-000003140000}"/>
    <cellStyle name="20% - Accent2 5 8 2 2 6" xfId="8690" xr:uid="{00000000-0005-0000-0000-000004140000}"/>
    <cellStyle name="20% - Accent2 5 8 2 3" xfId="8691" xr:uid="{00000000-0005-0000-0000-000005140000}"/>
    <cellStyle name="20% - Accent2 5 8 2 3 2" xfId="8692" xr:uid="{00000000-0005-0000-0000-000006140000}"/>
    <cellStyle name="20% - Accent2 5 8 2 3 2 2" xfId="8693" xr:uid="{00000000-0005-0000-0000-000007140000}"/>
    <cellStyle name="20% - Accent2 5 8 2 3 3" xfId="8694" xr:uid="{00000000-0005-0000-0000-000008140000}"/>
    <cellStyle name="20% - Accent2 5 8 2 4" xfId="8695" xr:uid="{00000000-0005-0000-0000-000009140000}"/>
    <cellStyle name="20% - Accent2 5 8 2 4 2" xfId="8696" xr:uid="{00000000-0005-0000-0000-00000A140000}"/>
    <cellStyle name="20% - Accent2 5 8 2 5" xfId="8697" xr:uid="{00000000-0005-0000-0000-00000B140000}"/>
    <cellStyle name="20% - Accent2 5 8 2 5 2" xfId="8698" xr:uid="{00000000-0005-0000-0000-00000C140000}"/>
    <cellStyle name="20% - Accent2 5 8 2 6" xfId="8699" xr:uid="{00000000-0005-0000-0000-00000D140000}"/>
    <cellStyle name="20% - Accent2 5 8 2 7" xfId="8700" xr:uid="{00000000-0005-0000-0000-00000E140000}"/>
    <cellStyle name="20% - Accent2 5 8 2 8" xfId="8701" xr:uid="{00000000-0005-0000-0000-00000F140000}"/>
    <cellStyle name="20% - Accent2 5 8 3" xfId="8702" xr:uid="{00000000-0005-0000-0000-000010140000}"/>
    <cellStyle name="20% - Accent2 5 8 3 2" xfId="8703" xr:uid="{00000000-0005-0000-0000-000011140000}"/>
    <cellStyle name="20% - Accent2 5 8 3 2 2" xfId="8704" xr:uid="{00000000-0005-0000-0000-000012140000}"/>
    <cellStyle name="20% - Accent2 5 8 3 2 2 2" xfId="8705" xr:uid="{00000000-0005-0000-0000-000013140000}"/>
    <cellStyle name="20% - Accent2 5 8 3 2 2 2 2" xfId="8706" xr:uid="{00000000-0005-0000-0000-000014140000}"/>
    <cellStyle name="20% - Accent2 5 8 3 2 2 3" xfId="8707" xr:uid="{00000000-0005-0000-0000-000015140000}"/>
    <cellStyle name="20% - Accent2 5 8 3 2 3" xfId="8708" xr:uid="{00000000-0005-0000-0000-000016140000}"/>
    <cellStyle name="20% - Accent2 5 8 3 2 3 2" xfId="8709" xr:uid="{00000000-0005-0000-0000-000017140000}"/>
    <cellStyle name="20% - Accent2 5 8 3 2 4" xfId="8710" xr:uid="{00000000-0005-0000-0000-000018140000}"/>
    <cellStyle name="20% - Accent2 5 8 3 2 5" xfId="8711" xr:uid="{00000000-0005-0000-0000-000019140000}"/>
    <cellStyle name="20% - Accent2 5 8 3 2 6" xfId="8712" xr:uid="{00000000-0005-0000-0000-00001A140000}"/>
    <cellStyle name="20% - Accent2 5 8 3 3" xfId="8713" xr:uid="{00000000-0005-0000-0000-00001B140000}"/>
    <cellStyle name="20% - Accent2 5 8 3 3 2" xfId="8714" xr:uid="{00000000-0005-0000-0000-00001C140000}"/>
    <cellStyle name="20% - Accent2 5 8 3 3 2 2" xfId="8715" xr:uid="{00000000-0005-0000-0000-00001D140000}"/>
    <cellStyle name="20% - Accent2 5 8 3 3 3" xfId="8716" xr:uid="{00000000-0005-0000-0000-00001E140000}"/>
    <cellStyle name="20% - Accent2 5 8 3 4" xfId="8717" xr:uid="{00000000-0005-0000-0000-00001F140000}"/>
    <cellStyle name="20% - Accent2 5 8 3 4 2" xfId="8718" xr:uid="{00000000-0005-0000-0000-000020140000}"/>
    <cellStyle name="20% - Accent2 5 8 3 5" xfId="8719" xr:uid="{00000000-0005-0000-0000-000021140000}"/>
    <cellStyle name="20% - Accent2 5 8 3 6" xfId="8720" xr:uid="{00000000-0005-0000-0000-000022140000}"/>
    <cellStyle name="20% - Accent2 5 8 3 7" xfId="8721" xr:uid="{00000000-0005-0000-0000-000023140000}"/>
    <cellStyle name="20% - Accent2 5 8 4" xfId="8722" xr:uid="{00000000-0005-0000-0000-000024140000}"/>
    <cellStyle name="20% - Accent2 5 8 4 2" xfId="8723" xr:uid="{00000000-0005-0000-0000-000025140000}"/>
    <cellStyle name="20% - Accent2 5 8 4 2 2" xfId="8724" xr:uid="{00000000-0005-0000-0000-000026140000}"/>
    <cellStyle name="20% - Accent2 5 8 4 2 2 2" xfId="8725" xr:uid="{00000000-0005-0000-0000-000027140000}"/>
    <cellStyle name="20% - Accent2 5 8 4 2 3" xfId="8726" xr:uid="{00000000-0005-0000-0000-000028140000}"/>
    <cellStyle name="20% - Accent2 5 8 4 3" xfId="8727" xr:uid="{00000000-0005-0000-0000-000029140000}"/>
    <cellStyle name="20% - Accent2 5 8 4 3 2" xfId="8728" xr:uid="{00000000-0005-0000-0000-00002A140000}"/>
    <cellStyle name="20% - Accent2 5 8 4 4" xfId="8729" xr:uid="{00000000-0005-0000-0000-00002B140000}"/>
    <cellStyle name="20% - Accent2 5 8 4 5" xfId="8730" xr:uid="{00000000-0005-0000-0000-00002C140000}"/>
    <cellStyle name="20% - Accent2 5 8 4 6" xfId="8731" xr:uid="{00000000-0005-0000-0000-00002D140000}"/>
    <cellStyle name="20% - Accent2 5 8 5" xfId="8732" xr:uid="{00000000-0005-0000-0000-00002E140000}"/>
    <cellStyle name="20% - Accent2 5 8 5 2" xfId="8733" xr:uid="{00000000-0005-0000-0000-00002F140000}"/>
    <cellStyle name="20% - Accent2 5 8 5 2 2" xfId="8734" xr:uid="{00000000-0005-0000-0000-000030140000}"/>
    <cellStyle name="20% - Accent2 5 8 5 3" xfId="8735" xr:uid="{00000000-0005-0000-0000-000031140000}"/>
    <cellStyle name="20% - Accent2 5 8 6" xfId="8736" xr:uid="{00000000-0005-0000-0000-000032140000}"/>
    <cellStyle name="20% - Accent2 5 8 6 2" xfId="8737" xr:uid="{00000000-0005-0000-0000-000033140000}"/>
    <cellStyle name="20% - Accent2 5 8 6 2 2" xfId="8738" xr:uid="{00000000-0005-0000-0000-000034140000}"/>
    <cellStyle name="20% - Accent2 5 8 6 3" xfId="8739" xr:uid="{00000000-0005-0000-0000-000035140000}"/>
    <cellStyle name="20% - Accent2 5 8 7" xfId="8740" xr:uid="{00000000-0005-0000-0000-000036140000}"/>
    <cellStyle name="20% - Accent2 5 8 7 2" xfId="8741" xr:uid="{00000000-0005-0000-0000-000037140000}"/>
    <cellStyle name="20% - Accent2 5 8 8" xfId="8742" xr:uid="{00000000-0005-0000-0000-000038140000}"/>
    <cellStyle name="20% - Accent2 5 8 8 2" xfId="8743" xr:uid="{00000000-0005-0000-0000-000039140000}"/>
    <cellStyle name="20% - Accent2 5 8 9" xfId="8744" xr:uid="{00000000-0005-0000-0000-00003A140000}"/>
    <cellStyle name="20% - Accent2 5 9" xfId="8745" xr:uid="{00000000-0005-0000-0000-00003B140000}"/>
    <cellStyle name="20% - Accent2 5 9 10" xfId="8746" xr:uid="{00000000-0005-0000-0000-00003C140000}"/>
    <cellStyle name="20% - Accent2 5 9 11" xfId="8747" xr:uid="{00000000-0005-0000-0000-00003D140000}"/>
    <cellStyle name="20% - Accent2 5 9 2" xfId="8748" xr:uid="{00000000-0005-0000-0000-00003E140000}"/>
    <cellStyle name="20% - Accent2 5 9 2 2" xfId="8749" xr:uid="{00000000-0005-0000-0000-00003F140000}"/>
    <cellStyle name="20% - Accent2 5 9 2 2 2" xfId="8750" xr:uid="{00000000-0005-0000-0000-000040140000}"/>
    <cellStyle name="20% - Accent2 5 9 2 2 2 2" xfId="8751" xr:uid="{00000000-0005-0000-0000-000041140000}"/>
    <cellStyle name="20% - Accent2 5 9 2 2 2 2 2" xfId="8752" xr:uid="{00000000-0005-0000-0000-000042140000}"/>
    <cellStyle name="20% - Accent2 5 9 2 2 2 3" xfId="8753" xr:uid="{00000000-0005-0000-0000-000043140000}"/>
    <cellStyle name="20% - Accent2 5 9 2 2 3" xfId="8754" xr:uid="{00000000-0005-0000-0000-000044140000}"/>
    <cellStyle name="20% - Accent2 5 9 2 2 3 2" xfId="8755" xr:uid="{00000000-0005-0000-0000-000045140000}"/>
    <cellStyle name="20% - Accent2 5 9 2 2 4" xfId="8756" xr:uid="{00000000-0005-0000-0000-000046140000}"/>
    <cellStyle name="20% - Accent2 5 9 2 2 5" xfId="8757" xr:uid="{00000000-0005-0000-0000-000047140000}"/>
    <cellStyle name="20% - Accent2 5 9 2 2 6" xfId="8758" xr:uid="{00000000-0005-0000-0000-000048140000}"/>
    <cellStyle name="20% - Accent2 5 9 2 3" xfId="8759" xr:uid="{00000000-0005-0000-0000-000049140000}"/>
    <cellStyle name="20% - Accent2 5 9 2 3 2" xfId="8760" xr:uid="{00000000-0005-0000-0000-00004A140000}"/>
    <cellStyle name="20% - Accent2 5 9 2 3 2 2" xfId="8761" xr:uid="{00000000-0005-0000-0000-00004B140000}"/>
    <cellStyle name="20% - Accent2 5 9 2 3 3" xfId="8762" xr:uid="{00000000-0005-0000-0000-00004C140000}"/>
    <cellStyle name="20% - Accent2 5 9 2 4" xfId="8763" xr:uid="{00000000-0005-0000-0000-00004D140000}"/>
    <cellStyle name="20% - Accent2 5 9 2 4 2" xfId="8764" xr:uid="{00000000-0005-0000-0000-00004E140000}"/>
    <cellStyle name="20% - Accent2 5 9 2 5" xfId="8765" xr:uid="{00000000-0005-0000-0000-00004F140000}"/>
    <cellStyle name="20% - Accent2 5 9 2 6" xfId="8766" xr:uid="{00000000-0005-0000-0000-000050140000}"/>
    <cellStyle name="20% - Accent2 5 9 2 7" xfId="8767" xr:uid="{00000000-0005-0000-0000-000051140000}"/>
    <cellStyle name="20% - Accent2 5 9 3" xfId="8768" xr:uid="{00000000-0005-0000-0000-000052140000}"/>
    <cellStyle name="20% - Accent2 5 9 3 2" xfId="8769" xr:uid="{00000000-0005-0000-0000-000053140000}"/>
    <cellStyle name="20% - Accent2 5 9 3 2 2" xfId="8770" xr:uid="{00000000-0005-0000-0000-000054140000}"/>
    <cellStyle name="20% - Accent2 5 9 3 2 2 2" xfId="8771" xr:uid="{00000000-0005-0000-0000-000055140000}"/>
    <cellStyle name="20% - Accent2 5 9 3 2 2 2 2" xfId="8772" xr:uid="{00000000-0005-0000-0000-000056140000}"/>
    <cellStyle name="20% - Accent2 5 9 3 2 2 3" xfId="8773" xr:uid="{00000000-0005-0000-0000-000057140000}"/>
    <cellStyle name="20% - Accent2 5 9 3 2 3" xfId="8774" xr:uid="{00000000-0005-0000-0000-000058140000}"/>
    <cellStyle name="20% - Accent2 5 9 3 2 3 2" xfId="8775" xr:uid="{00000000-0005-0000-0000-000059140000}"/>
    <cellStyle name="20% - Accent2 5 9 3 2 4" xfId="8776" xr:uid="{00000000-0005-0000-0000-00005A140000}"/>
    <cellStyle name="20% - Accent2 5 9 3 2 5" xfId="8777" xr:uid="{00000000-0005-0000-0000-00005B140000}"/>
    <cellStyle name="20% - Accent2 5 9 3 2 6" xfId="8778" xr:uid="{00000000-0005-0000-0000-00005C140000}"/>
    <cellStyle name="20% - Accent2 5 9 3 3" xfId="8779" xr:uid="{00000000-0005-0000-0000-00005D140000}"/>
    <cellStyle name="20% - Accent2 5 9 3 3 2" xfId="8780" xr:uid="{00000000-0005-0000-0000-00005E140000}"/>
    <cellStyle name="20% - Accent2 5 9 3 3 2 2" xfId="8781" xr:uid="{00000000-0005-0000-0000-00005F140000}"/>
    <cellStyle name="20% - Accent2 5 9 3 3 3" xfId="8782" xr:uid="{00000000-0005-0000-0000-000060140000}"/>
    <cellStyle name="20% - Accent2 5 9 3 4" xfId="8783" xr:uid="{00000000-0005-0000-0000-000061140000}"/>
    <cellStyle name="20% - Accent2 5 9 3 4 2" xfId="8784" xr:uid="{00000000-0005-0000-0000-000062140000}"/>
    <cellStyle name="20% - Accent2 5 9 3 5" xfId="8785" xr:uid="{00000000-0005-0000-0000-000063140000}"/>
    <cellStyle name="20% - Accent2 5 9 3 6" xfId="8786" xr:uid="{00000000-0005-0000-0000-000064140000}"/>
    <cellStyle name="20% - Accent2 5 9 3 7" xfId="8787" xr:uid="{00000000-0005-0000-0000-000065140000}"/>
    <cellStyle name="20% - Accent2 5 9 4" xfId="8788" xr:uid="{00000000-0005-0000-0000-000066140000}"/>
    <cellStyle name="20% - Accent2 5 9 4 2" xfId="8789" xr:uid="{00000000-0005-0000-0000-000067140000}"/>
    <cellStyle name="20% - Accent2 5 9 4 2 2" xfId="8790" xr:uid="{00000000-0005-0000-0000-000068140000}"/>
    <cellStyle name="20% - Accent2 5 9 4 2 2 2" xfId="8791" xr:uid="{00000000-0005-0000-0000-000069140000}"/>
    <cellStyle name="20% - Accent2 5 9 4 2 3" xfId="8792" xr:uid="{00000000-0005-0000-0000-00006A140000}"/>
    <cellStyle name="20% - Accent2 5 9 4 3" xfId="8793" xr:uid="{00000000-0005-0000-0000-00006B140000}"/>
    <cellStyle name="20% - Accent2 5 9 4 3 2" xfId="8794" xr:uid="{00000000-0005-0000-0000-00006C140000}"/>
    <cellStyle name="20% - Accent2 5 9 4 4" xfId="8795" xr:uid="{00000000-0005-0000-0000-00006D140000}"/>
    <cellStyle name="20% - Accent2 5 9 4 5" xfId="8796" xr:uid="{00000000-0005-0000-0000-00006E140000}"/>
    <cellStyle name="20% - Accent2 5 9 4 6" xfId="8797" xr:uid="{00000000-0005-0000-0000-00006F140000}"/>
    <cellStyle name="20% - Accent2 5 9 5" xfId="8798" xr:uid="{00000000-0005-0000-0000-000070140000}"/>
    <cellStyle name="20% - Accent2 5 9 5 2" xfId="8799" xr:uid="{00000000-0005-0000-0000-000071140000}"/>
    <cellStyle name="20% - Accent2 5 9 5 2 2" xfId="8800" xr:uid="{00000000-0005-0000-0000-000072140000}"/>
    <cellStyle name="20% - Accent2 5 9 5 3" xfId="8801" xr:uid="{00000000-0005-0000-0000-000073140000}"/>
    <cellStyle name="20% - Accent2 5 9 6" xfId="8802" xr:uid="{00000000-0005-0000-0000-000074140000}"/>
    <cellStyle name="20% - Accent2 5 9 6 2" xfId="8803" xr:uid="{00000000-0005-0000-0000-000075140000}"/>
    <cellStyle name="20% - Accent2 5 9 6 2 2" xfId="8804" xr:uid="{00000000-0005-0000-0000-000076140000}"/>
    <cellStyle name="20% - Accent2 5 9 6 3" xfId="8805" xr:uid="{00000000-0005-0000-0000-000077140000}"/>
    <cellStyle name="20% - Accent2 5 9 7" xfId="8806" xr:uid="{00000000-0005-0000-0000-000078140000}"/>
    <cellStyle name="20% - Accent2 5 9 7 2" xfId="8807" xr:uid="{00000000-0005-0000-0000-000079140000}"/>
    <cellStyle name="20% - Accent2 5 9 8" xfId="8808" xr:uid="{00000000-0005-0000-0000-00007A140000}"/>
    <cellStyle name="20% - Accent2 5 9 8 2" xfId="8809" xr:uid="{00000000-0005-0000-0000-00007B140000}"/>
    <cellStyle name="20% - Accent2 5 9 9" xfId="8810" xr:uid="{00000000-0005-0000-0000-00007C140000}"/>
    <cellStyle name="20% - Accent2 6" xfId="170" xr:uid="{00000000-0005-0000-0000-00007D140000}"/>
    <cellStyle name="20% - Accent2 6 10" xfId="8811" xr:uid="{00000000-0005-0000-0000-00007E140000}"/>
    <cellStyle name="20% - Accent2 6 11" xfId="8812" xr:uid="{00000000-0005-0000-0000-00007F140000}"/>
    <cellStyle name="20% - Accent2 6 12" xfId="8813" xr:uid="{00000000-0005-0000-0000-000080140000}"/>
    <cellStyle name="20% - Accent2 6 2" xfId="8814" xr:uid="{00000000-0005-0000-0000-000081140000}"/>
    <cellStyle name="20% - Accent2 6 2 10" xfId="8815" xr:uid="{00000000-0005-0000-0000-000082140000}"/>
    <cellStyle name="20% - Accent2 6 2 2" xfId="8816" xr:uid="{00000000-0005-0000-0000-000083140000}"/>
    <cellStyle name="20% - Accent2 6 2 2 2" xfId="8817" xr:uid="{00000000-0005-0000-0000-000084140000}"/>
    <cellStyle name="20% - Accent2 6 2 2 2 2" xfId="8818" xr:uid="{00000000-0005-0000-0000-000085140000}"/>
    <cellStyle name="20% - Accent2 6 2 2 2 2 2" xfId="8819" xr:uid="{00000000-0005-0000-0000-000086140000}"/>
    <cellStyle name="20% - Accent2 6 2 2 2 2 2 2" xfId="8820" xr:uid="{00000000-0005-0000-0000-000087140000}"/>
    <cellStyle name="20% - Accent2 6 2 2 2 2 3" xfId="8821" xr:uid="{00000000-0005-0000-0000-000088140000}"/>
    <cellStyle name="20% - Accent2 6 2 2 2 3" xfId="8822" xr:uid="{00000000-0005-0000-0000-000089140000}"/>
    <cellStyle name="20% - Accent2 6 2 2 2 3 2" xfId="8823" xr:uid="{00000000-0005-0000-0000-00008A140000}"/>
    <cellStyle name="20% - Accent2 6 2 2 2 4" xfId="8824" xr:uid="{00000000-0005-0000-0000-00008B140000}"/>
    <cellStyle name="20% - Accent2 6 2 2 2 5" xfId="8825" xr:uid="{00000000-0005-0000-0000-00008C140000}"/>
    <cellStyle name="20% - Accent2 6 2 2 2 6" xfId="8826" xr:uid="{00000000-0005-0000-0000-00008D140000}"/>
    <cellStyle name="20% - Accent2 6 2 2 3" xfId="8827" xr:uid="{00000000-0005-0000-0000-00008E140000}"/>
    <cellStyle name="20% - Accent2 6 2 2 3 2" xfId="8828" xr:uid="{00000000-0005-0000-0000-00008F140000}"/>
    <cellStyle name="20% - Accent2 6 2 2 3 2 2" xfId="8829" xr:uid="{00000000-0005-0000-0000-000090140000}"/>
    <cellStyle name="20% - Accent2 6 2 2 3 3" xfId="8830" xr:uid="{00000000-0005-0000-0000-000091140000}"/>
    <cellStyle name="20% - Accent2 6 2 2 4" xfId="8831" xr:uid="{00000000-0005-0000-0000-000092140000}"/>
    <cellStyle name="20% - Accent2 6 2 2 4 2" xfId="8832" xr:uid="{00000000-0005-0000-0000-000093140000}"/>
    <cellStyle name="20% - Accent2 6 2 2 5" xfId="8833" xr:uid="{00000000-0005-0000-0000-000094140000}"/>
    <cellStyle name="20% - Accent2 6 2 2 6" xfId="8834" xr:uid="{00000000-0005-0000-0000-000095140000}"/>
    <cellStyle name="20% - Accent2 6 2 2 7" xfId="8835" xr:uid="{00000000-0005-0000-0000-000096140000}"/>
    <cellStyle name="20% - Accent2 6 2 3" xfId="8836" xr:uid="{00000000-0005-0000-0000-000097140000}"/>
    <cellStyle name="20% - Accent2 6 2 3 2" xfId="8837" xr:uid="{00000000-0005-0000-0000-000098140000}"/>
    <cellStyle name="20% - Accent2 6 2 3 2 2" xfId="8838" xr:uid="{00000000-0005-0000-0000-000099140000}"/>
    <cellStyle name="20% - Accent2 6 2 3 2 2 2" xfId="8839" xr:uid="{00000000-0005-0000-0000-00009A140000}"/>
    <cellStyle name="20% - Accent2 6 2 3 2 3" xfId="8840" xr:uid="{00000000-0005-0000-0000-00009B140000}"/>
    <cellStyle name="20% - Accent2 6 2 3 3" xfId="8841" xr:uid="{00000000-0005-0000-0000-00009C140000}"/>
    <cellStyle name="20% - Accent2 6 2 3 3 2" xfId="8842" xr:uid="{00000000-0005-0000-0000-00009D140000}"/>
    <cellStyle name="20% - Accent2 6 2 3 4" xfId="8843" xr:uid="{00000000-0005-0000-0000-00009E140000}"/>
    <cellStyle name="20% - Accent2 6 2 3 5" xfId="8844" xr:uid="{00000000-0005-0000-0000-00009F140000}"/>
    <cellStyle name="20% - Accent2 6 2 3 6" xfId="8845" xr:uid="{00000000-0005-0000-0000-0000A0140000}"/>
    <cellStyle name="20% - Accent2 6 2 4" xfId="8846" xr:uid="{00000000-0005-0000-0000-0000A1140000}"/>
    <cellStyle name="20% - Accent2 6 2 4 2" xfId="8847" xr:uid="{00000000-0005-0000-0000-0000A2140000}"/>
    <cellStyle name="20% - Accent2 6 2 4 2 2" xfId="8848" xr:uid="{00000000-0005-0000-0000-0000A3140000}"/>
    <cellStyle name="20% - Accent2 6 2 4 3" xfId="8849" xr:uid="{00000000-0005-0000-0000-0000A4140000}"/>
    <cellStyle name="20% - Accent2 6 2 5" xfId="8850" xr:uid="{00000000-0005-0000-0000-0000A5140000}"/>
    <cellStyle name="20% - Accent2 6 2 5 2" xfId="8851" xr:uid="{00000000-0005-0000-0000-0000A6140000}"/>
    <cellStyle name="20% - Accent2 6 2 5 2 2" xfId="8852" xr:uid="{00000000-0005-0000-0000-0000A7140000}"/>
    <cellStyle name="20% - Accent2 6 2 5 3" xfId="8853" xr:uid="{00000000-0005-0000-0000-0000A8140000}"/>
    <cellStyle name="20% - Accent2 6 2 6" xfId="8854" xr:uid="{00000000-0005-0000-0000-0000A9140000}"/>
    <cellStyle name="20% - Accent2 6 2 6 2" xfId="8855" xr:uid="{00000000-0005-0000-0000-0000AA140000}"/>
    <cellStyle name="20% - Accent2 6 2 7" xfId="8856" xr:uid="{00000000-0005-0000-0000-0000AB140000}"/>
    <cellStyle name="20% - Accent2 6 2 7 2" xfId="8857" xr:uid="{00000000-0005-0000-0000-0000AC140000}"/>
    <cellStyle name="20% - Accent2 6 2 8" xfId="8858" xr:uid="{00000000-0005-0000-0000-0000AD140000}"/>
    <cellStyle name="20% - Accent2 6 2 9" xfId="8859" xr:uid="{00000000-0005-0000-0000-0000AE140000}"/>
    <cellStyle name="20% - Accent2 6 3" xfId="8860" xr:uid="{00000000-0005-0000-0000-0000AF140000}"/>
    <cellStyle name="20% - Accent2 6 3 2" xfId="8861" xr:uid="{00000000-0005-0000-0000-0000B0140000}"/>
    <cellStyle name="20% - Accent2 6 3 2 2" xfId="8862" xr:uid="{00000000-0005-0000-0000-0000B1140000}"/>
    <cellStyle name="20% - Accent2 6 3 2 2 2" xfId="8863" xr:uid="{00000000-0005-0000-0000-0000B2140000}"/>
    <cellStyle name="20% - Accent2 6 3 2 2 2 2" xfId="8864" xr:uid="{00000000-0005-0000-0000-0000B3140000}"/>
    <cellStyle name="20% - Accent2 6 3 2 2 3" xfId="8865" xr:uid="{00000000-0005-0000-0000-0000B4140000}"/>
    <cellStyle name="20% - Accent2 6 3 2 3" xfId="8866" xr:uid="{00000000-0005-0000-0000-0000B5140000}"/>
    <cellStyle name="20% - Accent2 6 3 2 3 2" xfId="8867" xr:uid="{00000000-0005-0000-0000-0000B6140000}"/>
    <cellStyle name="20% - Accent2 6 3 2 4" xfId="8868" xr:uid="{00000000-0005-0000-0000-0000B7140000}"/>
    <cellStyle name="20% - Accent2 6 3 2 5" xfId="8869" xr:uid="{00000000-0005-0000-0000-0000B8140000}"/>
    <cellStyle name="20% - Accent2 6 3 2 6" xfId="8870" xr:uid="{00000000-0005-0000-0000-0000B9140000}"/>
    <cellStyle name="20% - Accent2 6 3 3" xfId="8871" xr:uid="{00000000-0005-0000-0000-0000BA140000}"/>
    <cellStyle name="20% - Accent2 6 3 3 2" xfId="8872" xr:uid="{00000000-0005-0000-0000-0000BB140000}"/>
    <cellStyle name="20% - Accent2 6 3 3 2 2" xfId="8873" xr:uid="{00000000-0005-0000-0000-0000BC140000}"/>
    <cellStyle name="20% - Accent2 6 3 3 3" xfId="8874" xr:uid="{00000000-0005-0000-0000-0000BD140000}"/>
    <cellStyle name="20% - Accent2 6 3 4" xfId="8875" xr:uid="{00000000-0005-0000-0000-0000BE140000}"/>
    <cellStyle name="20% - Accent2 6 3 4 2" xfId="8876" xr:uid="{00000000-0005-0000-0000-0000BF140000}"/>
    <cellStyle name="20% - Accent2 6 3 5" xfId="8877" xr:uid="{00000000-0005-0000-0000-0000C0140000}"/>
    <cellStyle name="20% - Accent2 6 3 6" xfId="8878" xr:uid="{00000000-0005-0000-0000-0000C1140000}"/>
    <cellStyle name="20% - Accent2 6 3 7" xfId="8879" xr:uid="{00000000-0005-0000-0000-0000C2140000}"/>
    <cellStyle name="20% - Accent2 6 4" xfId="8880" xr:uid="{00000000-0005-0000-0000-0000C3140000}"/>
    <cellStyle name="20% - Accent2 6 4 2" xfId="8881" xr:uid="{00000000-0005-0000-0000-0000C4140000}"/>
    <cellStyle name="20% - Accent2 6 4 2 2" xfId="8882" xr:uid="{00000000-0005-0000-0000-0000C5140000}"/>
    <cellStyle name="20% - Accent2 6 4 2 2 2" xfId="8883" xr:uid="{00000000-0005-0000-0000-0000C6140000}"/>
    <cellStyle name="20% - Accent2 6 4 2 2 2 2" xfId="8884" xr:uid="{00000000-0005-0000-0000-0000C7140000}"/>
    <cellStyle name="20% - Accent2 6 4 2 2 3" xfId="8885" xr:uid="{00000000-0005-0000-0000-0000C8140000}"/>
    <cellStyle name="20% - Accent2 6 4 2 3" xfId="8886" xr:uid="{00000000-0005-0000-0000-0000C9140000}"/>
    <cellStyle name="20% - Accent2 6 4 2 3 2" xfId="8887" xr:uid="{00000000-0005-0000-0000-0000CA140000}"/>
    <cellStyle name="20% - Accent2 6 4 2 4" xfId="8888" xr:uid="{00000000-0005-0000-0000-0000CB140000}"/>
    <cellStyle name="20% - Accent2 6 4 2 5" xfId="8889" xr:uid="{00000000-0005-0000-0000-0000CC140000}"/>
    <cellStyle name="20% - Accent2 6 4 2 6" xfId="8890" xr:uid="{00000000-0005-0000-0000-0000CD140000}"/>
    <cellStyle name="20% - Accent2 6 4 3" xfId="8891" xr:uid="{00000000-0005-0000-0000-0000CE140000}"/>
    <cellStyle name="20% - Accent2 6 4 3 2" xfId="8892" xr:uid="{00000000-0005-0000-0000-0000CF140000}"/>
    <cellStyle name="20% - Accent2 6 4 3 2 2" xfId="8893" xr:uid="{00000000-0005-0000-0000-0000D0140000}"/>
    <cellStyle name="20% - Accent2 6 4 3 3" xfId="8894" xr:uid="{00000000-0005-0000-0000-0000D1140000}"/>
    <cellStyle name="20% - Accent2 6 4 4" xfId="8895" xr:uid="{00000000-0005-0000-0000-0000D2140000}"/>
    <cellStyle name="20% - Accent2 6 4 4 2" xfId="8896" xr:uid="{00000000-0005-0000-0000-0000D3140000}"/>
    <cellStyle name="20% - Accent2 6 4 5" xfId="8897" xr:uid="{00000000-0005-0000-0000-0000D4140000}"/>
    <cellStyle name="20% - Accent2 6 4 6" xfId="8898" xr:uid="{00000000-0005-0000-0000-0000D5140000}"/>
    <cellStyle name="20% - Accent2 6 4 7" xfId="8899" xr:uid="{00000000-0005-0000-0000-0000D6140000}"/>
    <cellStyle name="20% - Accent2 6 5" xfId="8900" xr:uid="{00000000-0005-0000-0000-0000D7140000}"/>
    <cellStyle name="20% - Accent2 6 5 2" xfId="8901" xr:uid="{00000000-0005-0000-0000-0000D8140000}"/>
    <cellStyle name="20% - Accent2 6 5 2 2" xfId="8902" xr:uid="{00000000-0005-0000-0000-0000D9140000}"/>
    <cellStyle name="20% - Accent2 6 5 2 2 2" xfId="8903" xr:uid="{00000000-0005-0000-0000-0000DA140000}"/>
    <cellStyle name="20% - Accent2 6 5 2 3" xfId="8904" xr:uid="{00000000-0005-0000-0000-0000DB140000}"/>
    <cellStyle name="20% - Accent2 6 5 3" xfId="8905" xr:uid="{00000000-0005-0000-0000-0000DC140000}"/>
    <cellStyle name="20% - Accent2 6 5 3 2" xfId="8906" xr:uid="{00000000-0005-0000-0000-0000DD140000}"/>
    <cellStyle name="20% - Accent2 6 5 4" xfId="8907" xr:uid="{00000000-0005-0000-0000-0000DE140000}"/>
    <cellStyle name="20% - Accent2 6 5 5" xfId="8908" xr:uid="{00000000-0005-0000-0000-0000DF140000}"/>
    <cellStyle name="20% - Accent2 6 5 6" xfId="8909" xr:uid="{00000000-0005-0000-0000-0000E0140000}"/>
    <cellStyle name="20% - Accent2 6 6" xfId="8910" xr:uid="{00000000-0005-0000-0000-0000E1140000}"/>
    <cellStyle name="20% - Accent2 6 6 2" xfId="8911" xr:uid="{00000000-0005-0000-0000-0000E2140000}"/>
    <cellStyle name="20% - Accent2 6 6 2 2" xfId="8912" xr:uid="{00000000-0005-0000-0000-0000E3140000}"/>
    <cellStyle name="20% - Accent2 6 6 3" xfId="8913" xr:uid="{00000000-0005-0000-0000-0000E4140000}"/>
    <cellStyle name="20% - Accent2 6 7" xfId="8914" xr:uid="{00000000-0005-0000-0000-0000E5140000}"/>
    <cellStyle name="20% - Accent2 6 7 2" xfId="8915" xr:uid="{00000000-0005-0000-0000-0000E6140000}"/>
    <cellStyle name="20% - Accent2 6 7 2 2" xfId="8916" xr:uid="{00000000-0005-0000-0000-0000E7140000}"/>
    <cellStyle name="20% - Accent2 6 7 3" xfId="8917" xr:uid="{00000000-0005-0000-0000-0000E8140000}"/>
    <cellStyle name="20% - Accent2 6 8" xfId="8918" xr:uid="{00000000-0005-0000-0000-0000E9140000}"/>
    <cellStyle name="20% - Accent2 6 8 2" xfId="8919" xr:uid="{00000000-0005-0000-0000-0000EA140000}"/>
    <cellStyle name="20% - Accent2 6 9" xfId="8920" xr:uid="{00000000-0005-0000-0000-0000EB140000}"/>
    <cellStyle name="20% - Accent2 6 9 2" xfId="8921" xr:uid="{00000000-0005-0000-0000-0000EC140000}"/>
    <cellStyle name="20% - Accent2 7" xfId="8922" xr:uid="{00000000-0005-0000-0000-0000ED140000}"/>
    <cellStyle name="20% - Accent2 7 10" xfId="8923" xr:uid="{00000000-0005-0000-0000-0000EE140000}"/>
    <cellStyle name="20% - Accent2 7 11" xfId="8924" xr:uid="{00000000-0005-0000-0000-0000EF140000}"/>
    <cellStyle name="20% - Accent2 7 12" xfId="8925" xr:uid="{00000000-0005-0000-0000-0000F0140000}"/>
    <cellStyle name="20% - Accent2 7 2" xfId="8926" xr:uid="{00000000-0005-0000-0000-0000F1140000}"/>
    <cellStyle name="20% - Accent2 7 2 10" xfId="8927" xr:uid="{00000000-0005-0000-0000-0000F2140000}"/>
    <cellStyle name="20% - Accent2 7 2 2" xfId="8928" xr:uid="{00000000-0005-0000-0000-0000F3140000}"/>
    <cellStyle name="20% - Accent2 7 2 2 2" xfId="8929" xr:uid="{00000000-0005-0000-0000-0000F4140000}"/>
    <cellStyle name="20% - Accent2 7 2 2 2 2" xfId="8930" xr:uid="{00000000-0005-0000-0000-0000F5140000}"/>
    <cellStyle name="20% - Accent2 7 2 2 2 2 2" xfId="8931" xr:uid="{00000000-0005-0000-0000-0000F6140000}"/>
    <cellStyle name="20% - Accent2 7 2 2 2 2 2 2" xfId="8932" xr:uid="{00000000-0005-0000-0000-0000F7140000}"/>
    <cellStyle name="20% - Accent2 7 2 2 2 2 3" xfId="8933" xr:uid="{00000000-0005-0000-0000-0000F8140000}"/>
    <cellStyle name="20% - Accent2 7 2 2 2 3" xfId="8934" xr:uid="{00000000-0005-0000-0000-0000F9140000}"/>
    <cellStyle name="20% - Accent2 7 2 2 2 3 2" xfId="8935" xr:uid="{00000000-0005-0000-0000-0000FA140000}"/>
    <cellStyle name="20% - Accent2 7 2 2 2 4" xfId="8936" xr:uid="{00000000-0005-0000-0000-0000FB140000}"/>
    <cellStyle name="20% - Accent2 7 2 2 2 5" xfId="8937" xr:uid="{00000000-0005-0000-0000-0000FC140000}"/>
    <cellStyle name="20% - Accent2 7 2 2 2 6" xfId="8938" xr:uid="{00000000-0005-0000-0000-0000FD140000}"/>
    <cellStyle name="20% - Accent2 7 2 2 3" xfId="8939" xr:uid="{00000000-0005-0000-0000-0000FE140000}"/>
    <cellStyle name="20% - Accent2 7 2 2 3 2" xfId="8940" xr:uid="{00000000-0005-0000-0000-0000FF140000}"/>
    <cellStyle name="20% - Accent2 7 2 2 3 2 2" xfId="8941" xr:uid="{00000000-0005-0000-0000-000000150000}"/>
    <cellStyle name="20% - Accent2 7 2 2 3 3" xfId="8942" xr:uid="{00000000-0005-0000-0000-000001150000}"/>
    <cellStyle name="20% - Accent2 7 2 2 4" xfId="8943" xr:uid="{00000000-0005-0000-0000-000002150000}"/>
    <cellStyle name="20% - Accent2 7 2 2 4 2" xfId="8944" xr:uid="{00000000-0005-0000-0000-000003150000}"/>
    <cellStyle name="20% - Accent2 7 2 2 5" xfId="8945" xr:uid="{00000000-0005-0000-0000-000004150000}"/>
    <cellStyle name="20% - Accent2 7 2 2 6" xfId="8946" xr:uid="{00000000-0005-0000-0000-000005150000}"/>
    <cellStyle name="20% - Accent2 7 2 2 7" xfId="8947" xr:uid="{00000000-0005-0000-0000-000006150000}"/>
    <cellStyle name="20% - Accent2 7 2 3" xfId="8948" xr:uid="{00000000-0005-0000-0000-000007150000}"/>
    <cellStyle name="20% - Accent2 7 2 3 2" xfId="8949" xr:uid="{00000000-0005-0000-0000-000008150000}"/>
    <cellStyle name="20% - Accent2 7 2 3 2 2" xfId="8950" xr:uid="{00000000-0005-0000-0000-000009150000}"/>
    <cellStyle name="20% - Accent2 7 2 3 2 2 2" xfId="8951" xr:uid="{00000000-0005-0000-0000-00000A150000}"/>
    <cellStyle name="20% - Accent2 7 2 3 2 3" xfId="8952" xr:uid="{00000000-0005-0000-0000-00000B150000}"/>
    <cellStyle name="20% - Accent2 7 2 3 3" xfId="8953" xr:uid="{00000000-0005-0000-0000-00000C150000}"/>
    <cellStyle name="20% - Accent2 7 2 3 3 2" xfId="8954" xr:uid="{00000000-0005-0000-0000-00000D150000}"/>
    <cellStyle name="20% - Accent2 7 2 3 4" xfId="8955" xr:uid="{00000000-0005-0000-0000-00000E150000}"/>
    <cellStyle name="20% - Accent2 7 2 3 5" xfId="8956" xr:uid="{00000000-0005-0000-0000-00000F150000}"/>
    <cellStyle name="20% - Accent2 7 2 3 6" xfId="8957" xr:uid="{00000000-0005-0000-0000-000010150000}"/>
    <cellStyle name="20% - Accent2 7 2 4" xfId="8958" xr:uid="{00000000-0005-0000-0000-000011150000}"/>
    <cellStyle name="20% - Accent2 7 2 4 2" xfId="8959" xr:uid="{00000000-0005-0000-0000-000012150000}"/>
    <cellStyle name="20% - Accent2 7 2 4 2 2" xfId="8960" xr:uid="{00000000-0005-0000-0000-000013150000}"/>
    <cellStyle name="20% - Accent2 7 2 4 3" xfId="8961" xr:uid="{00000000-0005-0000-0000-000014150000}"/>
    <cellStyle name="20% - Accent2 7 2 5" xfId="8962" xr:uid="{00000000-0005-0000-0000-000015150000}"/>
    <cellStyle name="20% - Accent2 7 2 5 2" xfId="8963" xr:uid="{00000000-0005-0000-0000-000016150000}"/>
    <cellStyle name="20% - Accent2 7 2 5 2 2" xfId="8964" xr:uid="{00000000-0005-0000-0000-000017150000}"/>
    <cellStyle name="20% - Accent2 7 2 5 3" xfId="8965" xr:uid="{00000000-0005-0000-0000-000018150000}"/>
    <cellStyle name="20% - Accent2 7 2 6" xfId="8966" xr:uid="{00000000-0005-0000-0000-000019150000}"/>
    <cellStyle name="20% - Accent2 7 2 6 2" xfId="8967" xr:uid="{00000000-0005-0000-0000-00001A150000}"/>
    <cellStyle name="20% - Accent2 7 2 7" xfId="8968" xr:uid="{00000000-0005-0000-0000-00001B150000}"/>
    <cellStyle name="20% - Accent2 7 2 7 2" xfId="8969" xr:uid="{00000000-0005-0000-0000-00001C150000}"/>
    <cellStyle name="20% - Accent2 7 2 8" xfId="8970" xr:uid="{00000000-0005-0000-0000-00001D150000}"/>
    <cellStyle name="20% - Accent2 7 2 9" xfId="8971" xr:uid="{00000000-0005-0000-0000-00001E150000}"/>
    <cellStyle name="20% - Accent2 7 3" xfId="8972" xr:uid="{00000000-0005-0000-0000-00001F150000}"/>
    <cellStyle name="20% - Accent2 7 3 2" xfId="8973" xr:uid="{00000000-0005-0000-0000-000020150000}"/>
    <cellStyle name="20% - Accent2 7 3 2 2" xfId="8974" xr:uid="{00000000-0005-0000-0000-000021150000}"/>
    <cellStyle name="20% - Accent2 7 3 2 2 2" xfId="8975" xr:uid="{00000000-0005-0000-0000-000022150000}"/>
    <cellStyle name="20% - Accent2 7 3 2 2 2 2" xfId="8976" xr:uid="{00000000-0005-0000-0000-000023150000}"/>
    <cellStyle name="20% - Accent2 7 3 2 2 3" xfId="8977" xr:uid="{00000000-0005-0000-0000-000024150000}"/>
    <cellStyle name="20% - Accent2 7 3 2 3" xfId="8978" xr:uid="{00000000-0005-0000-0000-000025150000}"/>
    <cellStyle name="20% - Accent2 7 3 2 3 2" xfId="8979" xr:uid="{00000000-0005-0000-0000-000026150000}"/>
    <cellStyle name="20% - Accent2 7 3 2 4" xfId="8980" xr:uid="{00000000-0005-0000-0000-000027150000}"/>
    <cellStyle name="20% - Accent2 7 3 2 5" xfId="8981" xr:uid="{00000000-0005-0000-0000-000028150000}"/>
    <cellStyle name="20% - Accent2 7 3 2 6" xfId="8982" xr:uid="{00000000-0005-0000-0000-000029150000}"/>
    <cellStyle name="20% - Accent2 7 3 3" xfId="8983" xr:uid="{00000000-0005-0000-0000-00002A150000}"/>
    <cellStyle name="20% - Accent2 7 3 3 2" xfId="8984" xr:uid="{00000000-0005-0000-0000-00002B150000}"/>
    <cellStyle name="20% - Accent2 7 3 3 2 2" xfId="8985" xr:uid="{00000000-0005-0000-0000-00002C150000}"/>
    <cellStyle name="20% - Accent2 7 3 3 3" xfId="8986" xr:uid="{00000000-0005-0000-0000-00002D150000}"/>
    <cellStyle name="20% - Accent2 7 3 4" xfId="8987" xr:uid="{00000000-0005-0000-0000-00002E150000}"/>
    <cellStyle name="20% - Accent2 7 3 4 2" xfId="8988" xr:uid="{00000000-0005-0000-0000-00002F150000}"/>
    <cellStyle name="20% - Accent2 7 3 5" xfId="8989" xr:uid="{00000000-0005-0000-0000-000030150000}"/>
    <cellStyle name="20% - Accent2 7 3 6" xfId="8990" xr:uid="{00000000-0005-0000-0000-000031150000}"/>
    <cellStyle name="20% - Accent2 7 3 7" xfId="8991" xr:uid="{00000000-0005-0000-0000-000032150000}"/>
    <cellStyle name="20% - Accent2 7 4" xfId="8992" xr:uid="{00000000-0005-0000-0000-000033150000}"/>
    <cellStyle name="20% - Accent2 7 4 2" xfId="8993" xr:uid="{00000000-0005-0000-0000-000034150000}"/>
    <cellStyle name="20% - Accent2 7 4 2 2" xfId="8994" xr:uid="{00000000-0005-0000-0000-000035150000}"/>
    <cellStyle name="20% - Accent2 7 4 2 2 2" xfId="8995" xr:uid="{00000000-0005-0000-0000-000036150000}"/>
    <cellStyle name="20% - Accent2 7 4 2 2 2 2" xfId="8996" xr:uid="{00000000-0005-0000-0000-000037150000}"/>
    <cellStyle name="20% - Accent2 7 4 2 2 3" xfId="8997" xr:uid="{00000000-0005-0000-0000-000038150000}"/>
    <cellStyle name="20% - Accent2 7 4 2 3" xfId="8998" xr:uid="{00000000-0005-0000-0000-000039150000}"/>
    <cellStyle name="20% - Accent2 7 4 2 3 2" xfId="8999" xr:uid="{00000000-0005-0000-0000-00003A150000}"/>
    <cellStyle name="20% - Accent2 7 4 2 4" xfId="9000" xr:uid="{00000000-0005-0000-0000-00003B150000}"/>
    <cellStyle name="20% - Accent2 7 4 2 5" xfId="9001" xr:uid="{00000000-0005-0000-0000-00003C150000}"/>
    <cellStyle name="20% - Accent2 7 4 2 6" xfId="9002" xr:uid="{00000000-0005-0000-0000-00003D150000}"/>
    <cellStyle name="20% - Accent2 7 4 3" xfId="9003" xr:uid="{00000000-0005-0000-0000-00003E150000}"/>
    <cellStyle name="20% - Accent2 7 4 3 2" xfId="9004" xr:uid="{00000000-0005-0000-0000-00003F150000}"/>
    <cellStyle name="20% - Accent2 7 4 3 2 2" xfId="9005" xr:uid="{00000000-0005-0000-0000-000040150000}"/>
    <cellStyle name="20% - Accent2 7 4 3 3" xfId="9006" xr:uid="{00000000-0005-0000-0000-000041150000}"/>
    <cellStyle name="20% - Accent2 7 4 4" xfId="9007" xr:uid="{00000000-0005-0000-0000-000042150000}"/>
    <cellStyle name="20% - Accent2 7 4 4 2" xfId="9008" xr:uid="{00000000-0005-0000-0000-000043150000}"/>
    <cellStyle name="20% - Accent2 7 4 5" xfId="9009" xr:uid="{00000000-0005-0000-0000-000044150000}"/>
    <cellStyle name="20% - Accent2 7 4 6" xfId="9010" xr:uid="{00000000-0005-0000-0000-000045150000}"/>
    <cellStyle name="20% - Accent2 7 4 7" xfId="9011" xr:uid="{00000000-0005-0000-0000-000046150000}"/>
    <cellStyle name="20% - Accent2 7 5" xfId="9012" xr:uid="{00000000-0005-0000-0000-000047150000}"/>
    <cellStyle name="20% - Accent2 7 5 2" xfId="9013" xr:uid="{00000000-0005-0000-0000-000048150000}"/>
    <cellStyle name="20% - Accent2 7 5 2 2" xfId="9014" xr:uid="{00000000-0005-0000-0000-000049150000}"/>
    <cellStyle name="20% - Accent2 7 5 2 2 2" xfId="9015" xr:uid="{00000000-0005-0000-0000-00004A150000}"/>
    <cellStyle name="20% - Accent2 7 5 2 3" xfId="9016" xr:uid="{00000000-0005-0000-0000-00004B150000}"/>
    <cellStyle name="20% - Accent2 7 5 3" xfId="9017" xr:uid="{00000000-0005-0000-0000-00004C150000}"/>
    <cellStyle name="20% - Accent2 7 5 3 2" xfId="9018" xr:uid="{00000000-0005-0000-0000-00004D150000}"/>
    <cellStyle name="20% - Accent2 7 5 4" xfId="9019" xr:uid="{00000000-0005-0000-0000-00004E150000}"/>
    <cellStyle name="20% - Accent2 7 5 5" xfId="9020" xr:uid="{00000000-0005-0000-0000-00004F150000}"/>
    <cellStyle name="20% - Accent2 7 5 6" xfId="9021" xr:uid="{00000000-0005-0000-0000-000050150000}"/>
    <cellStyle name="20% - Accent2 7 6" xfId="9022" xr:uid="{00000000-0005-0000-0000-000051150000}"/>
    <cellStyle name="20% - Accent2 7 6 2" xfId="9023" xr:uid="{00000000-0005-0000-0000-000052150000}"/>
    <cellStyle name="20% - Accent2 7 6 2 2" xfId="9024" xr:uid="{00000000-0005-0000-0000-000053150000}"/>
    <cellStyle name="20% - Accent2 7 6 3" xfId="9025" xr:uid="{00000000-0005-0000-0000-000054150000}"/>
    <cellStyle name="20% - Accent2 7 7" xfId="9026" xr:uid="{00000000-0005-0000-0000-000055150000}"/>
    <cellStyle name="20% - Accent2 7 7 2" xfId="9027" xr:uid="{00000000-0005-0000-0000-000056150000}"/>
    <cellStyle name="20% - Accent2 7 7 2 2" xfId="9028" xr:uid="{00000000-0005-0000-0000-000057150000}"/>
    <cellStyle name="20% - Accent2 7 7 3" xfId="9029" xr:uid="{00000000-0005-0000-0000-000058150000}"/>
    <cellStyle name="20% - Accent2 7 8" xfId="9030" xr:uid="{00000000-0005-0000-0000-000059150000}"/>
    <cellStyle name="20% - Accent2 7 8 2" xfId="9031" xr:uid="{00000000-0005-0000-0000-00005A150000}"/>
    <cellStyle name="20% - Accent2 7 9" xfId="9032" xr:uid="{00000000-0005-0000-0000-00005B150000}"/>
    <cellStyle name="20% - Accent2 7 9 2" xfId="9033" xr:uid="{00000000-0005-0000-0000-00005C150000}"/>
    <cellStyle name="20% - Accent2 8" xfId="9034" xr:uid="{00000000-0005-0000-0000-00005D150000}"/>
    <cellStyle name="20% - Accent2 8 10" xfId="9035" xr:uid="{00000000-0005-0000-0000-00005E150000}"/>
    <cellStyle name="20% - Accent2 8 11" xfId="9036" xr:uid="{00000000-0005-0000-0000-00005F150000}"/>
    <cellStyle name="20% - Accent2 8 12" xfId="9037" xr:uid="{00000000-0005-0000-0000-000060150000}"/>
    <cellStyle name="20% - Accent2 8 2" xfId="9038" xr:uid="{00000000-0005-0000-0000-000061150000}"/>
    <cellStyle name="20% - Accent2 8 2 10" xfId="9039" xr:uid="{00000000-0005-0000-0000-000062150000}"/>
    <cellStyle name="20% - Accent2 8 2 2" xfId="9040" xr:uid="{00000000-0005-0000-0000-000063150000}"/>
    <cellStyle name="20% - Accent2 8 2 2 2" xfId="9041" xr:uid="{00000000-0005-0000-0000-000064150000}"/>
    <cellStyle name="20% - Accent2 8 2 2 2 2" xfId="9042" xr:uid="{00000000-0005-0000-0000-000065150000}"/>
    <cellStyle name="20% - Accent2 8 2 2 2 2 2" xfId="9043" xr:uid="{00000000-0005-0000-0000-000066150000}"/>
    <cellStyle name="20% - Accent2 8 2 2 2 2 2 2" xfId="9044" xr:uid="{00000000-0005-0000-0000-000067150000}"/>
    <cellStyle name="20% - Accent2 8 2 2 2 2 3" xfId="9045" xr:uid="{00000000-0005-0000-0000-000068150000}"/>
    <cellStyle name="20% - Accent2 8 2 2 2 3" xfId="9046" xr:uid="{00000000-0005-0000-0000-000069150000}"/>
    <cellStyle name="20% - Accent2 8 2 2 2 3 2" xfId="9047" xr:uid="{00000000-0005-0000-0000-00006A150000}"/>
    <cellStyle name="20% - Accent2 8 2 2 2 4" xfId="9048" xr:uid="{00000000-0005-0000-0000-00006B150000}"/>
    <cellStyle name="20% - Accent2 8 2 2 2 5" xfId="9049" xr:uid="{00000000-0005-0000-0000-00006C150000}"/>
    <cellStyle name="20% - Accent2 8 2 2 2 6" xfId="9050" xr:uid="{00000000-0005-0000-0000-00006D150000}"/>
    <cellStyle name="20% - Accent2 8 2 2 3" xfId="9051" xr:uid="{00000000-0005-0000-0000-00006E150000}"/>
    <cellStyle name="20% - Accent2 8 2 2 3 2" xfId="9052" xr:uid="{00000000-0005-0000-0000-00006F150000}"/>
    <cellStyle name="20% - Accent2 8 2 2 3 2 2" xfId="9053" xr:uid="{00000000-0005-0000-0000-000070150000}"/>
    <cellStyle name="20% - Accent2 8 2 2 3 3" xfId="9054" xr:uid="{00000000-0005-0000-0000-000071150000}"/>
    <cellStyle name="20% - Accent2 8 2 2 4" xfId="9055" xr:uid="{00000000-0005-0000-0000-000072150000}"/>
    <cellStyle name="20% - Accent2 8 2 2 4 2" xfId="9056" xr:uid="{00000000-0005-0000-0000-000073150000}"/>
    <cellStyle name="20% - Accent2 8 2 2 5" xfId="9057" xr:uid="{00000000-0005-0000-0000-000074150000}"/>
    <cellStyle name="20% - Accent2 8 2 2 6" xfId="9058" xr:uid="{00000000-0005-0000-0000-000075150000}"/>
    <cellStyle name="20% - Accent2 8 2 2 7" xfId="9059" xr:uid="{00000000-0005-0000-0000-000076150000}"/>
    <cellStyle name="20% - Accent2 8 2 3" xfId="9060" xr:uid="{00000000-0005-0000-0000-000077150000}"/>
    <cellStyle name="20% - Accent2 8 2 3 2" xfId="9061" xr:uid="{00000000-0005-0000-0000-000078150000}"/>
    <cellStyle name="20% - Accent2 8 2 3 2 2" xfId="9062" xr:uid="{00000000-0005-0000-0000-000079150000}"/>
    <cellStyle name="20% - Accent2 8 2 3 2 2 2" xfId="9063" xr:uid="{00000000-0005-0000-0000-00007A150000}"/>
    <cellStyle name="20% - Accent2 8 2 3 2 3" xfId="9064" xr:uid="{00000000-0005-0000-0000-00007B150000}"/>
    <cellStyle name="20% - Accent2 8 2 3 3" xfId="9065" xr:uid="{00000000-0005-0000-0000-00007C150000}"/>
    <cellStyle name="20% - Accent2 8 2 3 3 2" xfId="9066" xr:uid="{00000000-0005-0000-0000-00007D150000}"/>
    <cellStyle name="20% - Accent2 8 2 3 4" xfId="9067" xr:uid="{00000000-0005-0000-0000-00007E150000}"/>
    <cellStyle name="20% - Accent2 8 2 3 5" xfId="9068" xr:uid="{00000000-0005-0000-0000-00007F150000}"/>
    <cellStyle name="20% - Accent2 8 2 3 6" xfId="9069" xr:uid="{00000000-0005-0000-0000-000080150000}"/>
    <cellStyle name="20% - Accent2 8 2 4" xfId="9070" xr:uid="{00000000-0005-0000-0000-000081150000}"/>
    <cellStyle name="20% - Accent2 8 2 4 2" xfId="9071" xr:uid="{00000000-0005-0000-0000-000082150000}"/>
    <cellStyle name="20% - Accent2 8 2 4 2 2" xfId="9072" xr:uid="{00000000-0005-0000-0000-000083150000}"/>
    <cellStyle name="20% - Accent2 8 2 4 3" xfId="9073" xr:uid="{00000000-0005-0000-0000-000084150000}"/>
    <cellStyle name="20% - Accent2 8 2 5" xfId="9074" xr:uid="{00000000-0005-0000-0000-000085150000}"/>
    <cellStyle name="20% - Accent2 8 2 5 2" xfId="9075" xr:uid="{00000000-0005-0000-0000-000086150000}"/>
    <cellStyle name="20% - Accent2 8 2 5 2 2" xfId="9076" xr:uid="{00000000-0005-0000-0000-000087150000}"/>
    <cellStyle name="20% - Accent2 8 2 5 3" xfId="9077" xr:uid="{00000000-0005-0000-0000-000088150000}"/>
    <cellStyle name="20% - Accent2 8 2 6" xfId="9078" xr:uid="{00000000-0005-0000-0000-000089150000}"/>
    <cellStyle name="20% - Accent2 8 2 6 2" xfId="9079" xr:uid="{00000000-0005-0000-0000-00008A150000}"/>
    <cellStyle name="20% - Accent2 8 2 7" xfId="9080" xr:uid="{00000000-0005-0000-0000-00008B150000}"/>
    <cellStyle name="20% - Accent2 8 2 7 2" xfId="9081" xr:uid="{00000000-0005-0000-0000-00008C150000}"/>
    <cellStyle name="20% - Accent2 8 2 8" xfId="9082" xr:uid="{00000000-0005-0000-0000-00008D150000}"/>
    <cellStyle name="20% - Accent2 8 2 9" xfId="9083" xr:uid="{00000000-0005-0000-0000-00008E150000}"/>
    <cellStyle name="20% - Accent2 8 3" xfId="9084" xr:uid="{00000000-0005-0000-0000-00008F150000}"/>
    <cellStyle name="20% - Accent2 8 3 2" xfId="9085" xr:uid="{00000000-0005-0000-0000-000090150000}"/>
    <cellStyle name="20% - Accent2 8 3 2 2" xfId="9086" xr:uid="{00000000-0005-0000-0000-000091150000}"/>
    <cellStyle name="20% - Accent2 8 3 2 2 2" xfId="9087" xr:uid="{00000000-0005-0000-0000-000092150000}"/>
    <cellStyle name="20% - Accent2 8 3 2 2 2 2" xfId="9088" xr:uid="{00000000-0005-0000-0000-000093150000}"/>
    <cellStyle name="20% - Accent2 8 3 2 2 3" xfId="9089" xr:uid="{00000000-0005-0000-0000-000094150000}"/>
    <cellStyle name="20% - Accent2 8 3 2 3" xfId="9090" xr:uid="{00000000-0005-0000-0000-000095150000}"/>
    <cellStyle name="20% - Accent2 8 3 2 3 2" xfId="9091" xr:uid="{00000000-0005-0000-0000-000096150000}"/>
    <cellStyle name="20% - Accent2 8 3 2 4" xfId="9092" xr:uid="{00000000-0005-0000-0000-000097150000}"/>
    <cellStyle name="20% - Accent2 8 3 2 5" xfId="9093" xr:uid="{00000000-0005-0000-0000-000098150000}"/>
    <cellStyle name="20% - Accent2 8 3 2 6" xfId="9094" xr:uid="{00000000-0005-0000-0000-000099150000}"/>
    <cellStyle name="20% - Accent2 8 3 3" xfId="9095" xr:uid="{00000000-0005-0000-0000-00009A150000}"/>
    <cellStyle name="20% - Accent2 8 3 3 2" xfId="9096" xr:uid="{00000000-0005-0000-0000-00009B150000}"/>
    <cellStyle name="20% - Accent2 8 3 3 2 2" xfId="9097" xr:uid="{00000000-0005-0000-0000-00009C150000}"/>
    <cellStyle name="20% - Accent2 8 3 3 3" xfId="9098" xr:uid="{00000000-0005-0000-0000-00009D150000}"/>
    <cellStyle name="20% - Accent2 8 3 4" xfId="9099" xr:uid="{00000000-0005-0000-0000-00009E150000}"/>
    <cellStyle name="20% - Accent2 8 3 4 2" xfId="9100" xr:uid="{00000000-0005-0000-0000-00009F150000}"/>
    <cellStyle name="20% - Accent2 8 3 5" xfId="9101" xr:uid="{00000000-0005-0000-0000-0000A0150000}"/>
    <cellStyle name="20% - Accent2 8 3 6" xfId="9102" xr:uid="{00000000-0005-0000-0000-0000A1150000}"/>
    <cellStyle name="20% - Accent2 8 3 7" xfId="9103" xr:uid="{00000000-0005-0000-0000-0000A2150000}"/>
    <cellStyle name="20% - Accent2 8 4" xfId="9104" xr:uid="{00000000-0005-0000-0000-0000A3150000}"/>
    <cellStyle name="20% - Accent2 8 4 2" xfId="9105" xr:uid="{00000000-0005-0000-0000-0000A4150000}"/>
    <cellStyle name="20% - Accent2 8 4 2 2" xfId="9106" xr:uid="{00000000-0005-0000-0000-0000A5150000}"/>
    <cellStyle name="20% - Accent2 8 4 2 2 2" xfId="9107" xr:uid="{00000000-0005-0000-0000-0000A6150000}"/>
    <cellStyle name="20% - Accent2 8 4 2 2 2 2" xfId="9108" xr:uid="{00000000-0005-0000-0000-0000A7150000}"/>
    <cellStyle name="20% - Accent2 8 4 2 2 3" xfId="9109" xr:uid="{00000000-0005-0000-0000-0000A8150000}"/>
    <cellStyle name="20% - Accent2 8 4 2 3" xfId="9110" xr:uid="{00000000-0005-0000-0000-0000A9150000}"/>
    <cellStyle name="20% - Accent2 8 4 2 3 2" xfId="9111" xr:uid="{00000000-0005-0000-0000-0000AA150000}"/>
    <cellStyle name="20% - Accent2 8 4 2 4" xfId="9112" xr:uid="{00000000-0005-0000-0000-0000AB150000}"/>
    <cellStyle name="20% - Accent2 8 4 2 5" xfId="9113" xr:uid="{00000000-0005-0000-0000-0000AC150000}"/>
    <cellStyle name="20% - Accent2 8 4 2 6" xfId="9114" xr:uid="{00000000-0005-0000-0000-0000AD150000}"/>
    <cellStyle name="20% - Accent2 8 4 3" xfId="9115" xr:uid="{00000000-0005-0000-0000-0000AE150000}"/>
    <cellStyle name="20% - Accent2 8 4 3 2" xfId="9116" xr:uid="{00000000-0005-0000-0000-0000AF150000}"/>
    <cellStyle name="20% - Accent2 8 4 3 2 2" xfId="9117" xr:uid="{00000000-0005-0000-0000-0000B0150000}"/>
    <cellStyle name="20% - Accent2 8 4 3 3" xfId="9118" xr:uid="{00000000-0005-0000-0000-0000B1150000}"/>
    <cellStyle name="20% - Accent2 8 4 4" xfId="9119" xr:uid="{00000000-0005-0000-0000-0000B2150000}"/>
    <cellStyle name="20% - Accent2 8 4 4 2" xfId="9120" xr:uid="{00000000-0005-0000-0000-0000B3150000}"/>
    <cellStyle name="20% - Accent2 8 4 5" xfId="9121" xr:uid="{00000000-0005-0000-0000-0000B4150000}"/>
    <cellStyle name="20% - Accent2 8 4 6" xfId="9122" xr:uid="{00000000-0005-0000-0000-0000B5150000}"/>
    <cellStyle name="20% - Accent2 8 4 7" xfId="9123" xr:uid="{00000000-0005-0000-0000-0000B6150000}"/>
    <cellStyle name="20% - Accent2 8 5" xfId="9124" xr:uid="{00000000-0005-0000-0000-0000B7150000}"/>
    <cellStyle name="20% - Accent2 8 5 2" xfId="9125" xr:uid="{00000000-0005-0000-0000-0000B8150000}"/>
    <cellStyle name="20% - Accent2 8 5 2 2" xfId="9126" xr:uid="{00000000-0005-0000-0000-0000B9150000}"/>
    <cellStyle name="20% - Accent2 8 5 2 2 2" xfId="9127" xr:uid="{00000000-0005-0000-0000-0000BA150000}"/>
    <cellStyle name="20% - Accent2 8 5 2 3" xfId="9128" xr:uid="{00000000-0005-0000-0000-0000BB150000}"/>
    <cellStyle name="20% - Accent2 8 5 3" xfId="9129" xr:uid="{00000000-0005-0000-0000-0000BC150000}"/>
    <cellStyle name="20% - Accent2 8 5 3 2" xfId="9130" xr:uid="{00000000-0005-0000-0000-0000BD150000}"/>
    <cellStyle name="20% - Accent2 8 5 4" xfId="9131" xr:uid="{00000000-0005-0000-0000-0000BE150000}"/>
    <cellStyle name="20% - Accent2 8 5 5" xfId="9132" xr:uid="{00000000-0005-0000-0000-0000BF150000}"/>
    <cellStyle name="20% - Accent2 8 5 6" xfId="9133" xr:uid="{00000000-0005-0000-0000-0000C0150000}"/>
    <cellStyle name="20% - Accent2 8 6" xfId="9134" xr:uid="{00000000-0005-0000-0000-0000C1150000}"/>
    <cellStyle name="20% - Accent2 8 6 2" xfId="9135" xr:uid="{00000000-0005-0000-0000-0000C2150000}"/>
    <cellStyle name="20% - Accent2 8 6 2 2" xfId="9136" xr:uid="{00000000-0005-0000-0000-0000C3150000}"/>
    <cellStyle name="20% - Accent2 8 6 3" xfId="9137" xr:uid="{00000000-0005-0000-0000-0000C4150000}"/>
    <cellStyle name="20% - Accent2 8 7" xfId="9138" xr:uid="{00000000-0005-0000-0000-0000C5150000}"/>
    <cellStyle name="20% - Accent2 8 7 2" xfId="9139" xr:uid="{00000000-0005-0000-0000-0000C6150000}"/>
    <cellStyle name="20% - Accent2 8 7 2 2" xfId="9140" xr:uid="{00000000-0005-0000-0000-0000C7150000}"/>
    <cellStyle name="20% - Accent2 8 7 3" xfId="9141" xr:uid="{00000000-0005-0000-0000-0000C8150000}"/>
    <cellStyle name="20% - Accent2 8 8" xfId="9142" xr:uid="{00000000-0005-0000-0000-0000C9150000}"/>
    <cellStyle name="20% - Accent2 8 8 2" xfId="9143" xr:uid="{00000000-0005-0000-0000-0000CA150000}"/>
    <cellStyle name="20% - Accent2 8 9" xfId="9144" xr:uid="{00000000-0005-0000-0000-0000CB150000}"/>
    <cellStyle name="20% - Accent2 8 9 2" xfId="9145" xr:uid="{00000000-0005-0000-0000-0000CC150000}"/>
    <cellStyle name="20% - Accent2 9" xfId="9146" xr:uid="{00000000-0005-0000-0000-0000CD150000}"/>
    <cellStyle name="20% - Accent2 9 10" xfId="9147" xr:uid="{00000000-0005-0000-0000-0000CE150000}"/>
    <cellStyle name="20% - Accent2 9 11" xfId="9148" xr:uid="{00000000-0005-0000-0000-0000CF150000}"/>
    <cellStyle name="20% - Accent2 9 12" xfId="9149" xr:uid="{00000000-0005-0000-0000-0000D0150000}"/>
    <cellStyle name="20% - Accent2 9 2" xfId="9150" xr:uid="{00000000-0005-0000-0000-0000D1150000}"/>
    <cellStyle name="20% - Accent2 9 2 10" xfId="9151" xr:uid="{00000000-0005-0000-0000-0000D2150000}"/>
    <cellStyle name="20% - Accent2 9 2 2" xfId="9152" xr:uid="{00000000-0005-0000-0000-0000D3150000}"/>
    <cellStyle name="20% - Accent2 9 2 2 2" xfId="9153" xr:uid="{00000000-0005-0000-0000-0000D4150000}"/>
    <cellStyle name="20% - Accent2 9 2 2 2 2" xfId="9154" xr:uid="{00000000-0005-0000-0000-0000D5150000}"/>
    <cellStyle name="20% - Accent2 9 2 2 2 2 2" xfId="9155" xr:uid="{00000000-0005-0000-0000-0000D6150000}"/>
    <cellStyle name="20% - Accent2 9 2 2 2 2 2 2" xfId="9156" xr:uid="{00000000-0005-0000-0000-0000D7150000}"/>
    <cellStyle name="20% - Accent2 9 2 2 2 2 3" xfId="9157" xr:uid="{00000000-0005-0000-0000-0000D8150000}"/>
    <cellStyle name="20% - Accent2 9 2 2 2 3" xfId="9158" xr:uid="{00000000-0005-0000-0000-0000D9150000}"/>
    <cellStyle name="20% - Accent2 9 2 2 2 3 2" xfId="9159" xr:uid="{00000000-0005-0000-0000-0000DA150000}"/>
    <cellStyle name="20% - Accent2 9 2 2 2 4" xfId="9160" xr:uid="{00000000-0005-0000-0000-0000DB150000}"/>
    <cellStyle name="20% - Accent2 9 2 2 2 5" xfId="9161" xr:uid="{00000000-0005-0000-0000-0000DC150000}"/>
    <cellStyle name="20% - Accent2 9 2 2 2 6" xfId="9162" xr:uid="{00000000-0005-0000-0000-0000DD150000}"/>
    <cellStyle name="20% - Accent2 9 2 2 3" xfId="9163" xr:uid="{00000000-0005-0000-0000-0000DE150000}"/>
    <cellStyle name="20% - Accent2 9 2 2 3 2" xfId="9164" xr:uid="{00000000-0005-0000-0000-0000DF150000}"/>
    <cellStyle name="20% - Accent2 9 2 2 3 2 2" xfId="9165" xr:uid="{00000000-0005-0000-0000-0000E0150000}"/>
    <cellStyle name="20% - Accent2 9 2 2 3 3" xfId="9166" xr:uid="{00000000-0005-0000-0000-0000E1150000}"/>
    <cellStyle name="20% - Accent2 9 2 2 4" xfId="9167" xr:uid="{00000000-0005-0000-0000-0000E2150000}"/>
    <cellStyle name="20% - Accent2 9 2 2 4 2" xfId="9168" xr:uid="{00000000-0005-0000-0000-0000E3150000}"/>
    <cellStyle name="20% - Accent2 9 2 2 5" xfId="9169" xr:uid="{00000000-0005-0000-0000-0000E4150000}"/>
    <cellStyle name="20% - Accent2 9 2 2 6" xfId="9170" xr:uid="{00000000-0005-0000-0000-0000E5150000}"/>
    <cellStyle name="20% - Accent2 9 2 2 7" xfId="9171" xr:uid="{00000000-0005-0000-0000-0000E6150000}"/>
    <cellStyle name="20% - Accent2 9 2 3" xfId="9172" xr:uid="{00000000-0005-0000-0000-0000E7150000}"/>
    <cellStyle name="20% - Accent2 9 2 3 2" xfId="9173" xr:uid="{00000000-0005-0000-0000-0000E8150000}"/>
    <cellStyle name="20% - Accent2 9 2 3 2 2" xfId="9174" xr:uid="{00000000-0005-0000-0000-0000E9150000}"/>
    <cellStyle name="20% - Accent2 9 2 3 2 2 2" xfId="9175" xr:uid="{00000000-0005-0000-0000-0000EA150000}"/>
    <cellStyle name="20% - Accent2 9 2 3 2 3" xfId="9176" xr:uid="{00000000-0005-0000-0000-0000EB150000}"/>
    <cellStyle name="20% - Accent2 9 2 3 3" xfId="9177" xr:uid="{00000000-0005-0000-0000-0000EC150000}"/>
    <cellStyle name="20% - Accent2 9 2 3 3 2" xfId="9178" xr:uid="{00000000-0005-0000-0000-0000ED150000}"/>
    <cellStyle name="20% - Accent2 9 2 3 4" xfId="9179" xr:uid="{00000000-0005-0000-0000-0000EE150000}"/>
    <cellStyle name="20% - Accent2 9 2 3 5" xfId="9180" xr:uid="{00000000-0005-0000-0000-0000EF150000}"/>
    <cellStyle name="20% - Accent2 9 2 3 6" xfId="9181" xr:uid="{00000000-0005-0000-0000-0000F0150000}"/>
    <cellStyle name="20% - Accent2 9 2 4" xfId="9182" xr:uid="{00000000-0005-0000-0000-0000F1150000}"/>
    <cellStyle name="20% - Accent2 9 2 4 2" xfId="9183" xr:uid="{00000000-0005-0000-0000-0000F2150000}"/>
    <cellStyle name="20% - Accent2 9 2 4 2 2" xfId="9184" xr:uid="{00000000-0005-0000-0000-0000F3150000}"/>
    <cellStyle name="20% - Accent2 9 2 4 3" xfId="9185" xr:uid="{00000000-0005-0000-0000-0000F4150000}"/>
    <cellStyle name="20% - Accent2 9 2 5" xfId="9186" xr:uid="{00000000-0005-0000-0000-0000F5150000}"/>
    <cellStyle name="20% - Accent2 9 2 5 2" xfId="9187" xr:uid="{00000000-0005-0000-0000-0000F6150000}"/>
    <cellStyle name="20% - Accent2 9 2 5 2 2" xfId="9188" xr:uid="{00000000-0005-0000-0000-0000F7150000}"/>
    <cellStyle name="20% - Accent2 9 2 5 3" xfId="9189" xr:uid="{00000000-0005-0000-0000-0000F8150000}"/>
    <cellStyle name="20% - Accent2 9 2 6" xfId="9190" xr:uid="{00000000-0005-0000-0000-0000F9150000}"/>
    <cellStyle name="20% - Accent2 9 2 6 2" xfId="9191" xr:uid="{00000000-0005-0000-0000-0000FA150000}"/>
    <cellStyle name="20% - Accent2 9 2 7" xfId="9192" xr:uid="{00000000-0005-0000-0000-0000FB150000}"/>
    <cellStyle name="20% - Accent2 9 2 7 2" xfId="9193" xr:uid="{00000000-0005-0000-0000-0000FC150000}"/>
    <cellStyle name="20% - Accent2 9 2 8" xfId="9194" xr:uid="{00000000-0005-0000-0000-0000FD150000}"/>
    <cellStyle name="20% - Accent2 9 2 9" xfId="9195" xr:uid="{00000000-0005-0000-0000-0000FE150000}"/>
    <cellStyle name="20% - Accent2 9 3" xfId="9196" xr:uid="{00000000-0005-0000-0000-0000FF150000}"/>
    <cellStyle name="20% - Accent2 9 3 2" xfId="9197" xr:uid="{00000000-0005-0000-0000-000000160000}"/>
    <cellStyle name="20% - Accent2 9 3 2 2" xfId="9198" xr:uid="{00000000-0005-0000-0000-000001160000}"/>
    <cellStyle name="20% - Accent2 9 3 2 2 2" xfId="9199" xr:uid="{00000000-0005-0000-0000-000002160000}"/>
    <cellStyle name="20% - Accent2 9 3 2 2 2 2" xfId="9200" xr:uid="{00000000-0005-0000-0000-000003160000}"/>
    <cellStyle name="20% - Accent2 9 3 2 2 3" xfId="9201" xr:uid="{00000000-0005-0000-0000-000004160000}"/>
    <cellStyle name="20% - Accent2 9 3 2 3" xfId="9202" xr:uid="{00000000-0005-0000-0000-000005160000}"/>
    <cellStyle name="20% - Accent2 9 3 2 3 2" xfId="9203" xr:uid="{00000000-0005-0000-0000-000006160000}"/>
    <cellStyle name="20% - Accent2 9 3 2 4" xfId="9204" xr:uid="{00000000-0005-0000-0000-000007160000}"/>
    <cellStyle name="20% - Accent2 9 3 2 5" xfId="9205" xr:uid="{00000000-0005-0000-0000-000008160000}"/>
    <cellStyle name="20% - Accent2 9 3 2 6" xfId="9206" xr:uid="{00000000-0005-0000-0000-000009160000}"/>
    <cellStyle name="20% - Accent2 9 3 3" xfId="9207" xr:uid="{00000000-0005-0000-0000-00000A160000}"/>
    <cellStyle name="20% - Accent2 9 3 3 2" xfId="9208" xr:uid="{00000000-0005-0000-0000-00000B160000}"/>
    <cellStyle name="20% - Accent2 9 3 3 2 2" xfId="9209" xr:uid="{00000000-0005-0000-0000-00000C160000}"/>
    <cellStyle name="20% - Accent2 9 3 3 3" xfId="9210" xr:uid="{00000000-0005-0000-0000-00000D160000}"/>
    <cellStyle name="20% - Accent2 9 3 4" xfId="9211" xr:uid="{00000000-0005-0000-0000-00000E160000}"/>
    <cellStyle name="20% - Accent2 9 3 4 2" xfId="9212" xr:uid="{00000000-0005-0000-0000-00000F160000}"/>
    <cellStyle name="20% - Accent2 9 3 5" xfId="9213" xr:uid="{00000000-0005-0000-0000-000010160000}"/>
    <cellStyle name="20% - Accent2 9 3 6" xfId="9214" xr:uid="{00000000-0005-0000-0000-000011160000}"/>
    <cellStyle name="20% - Accent2 9 3 7" xfId="9215" xr:uid="{00000000-0005-0000-0000-000012160000}"/>
    <cellStyle name="20% - Accent2 9 4" xfId="9216" xr:uid="{00000000-0005-0000-0000-000013160000}"/>
    <cellStyle name="20% - Accent2 9 4 2" xfId="9217" xr:uid="{00000000-0005-0000-0000-000014160000}"/>
    <cellStyle name="20% - Accent2 9 4 2 2" xfId="9218" xr:uid="{00000000-0005-0000-0000-000015160000}"/>
    <cellStyle name="20% - Accent2 9 4 2 2 2" xfId="9219" xr:uid="{00000000-0005-0000-0000-000016160000}"/>
    <cellStyle name="20% - Accent2 9 4 2 2 2 2" xfId="9220" xr:uid="{00000000-0005-0000-0000-000017160000}"/>
    <cellStyle name="20% - Accent2 9 4 2 2 3" xfId="9221" xr:uid="{00000000-0005-0000-0000-000018160000}"/>
    <cellStyle name="20% - Accent2 9 4 2 3" xfId="9222" xr:uid="{00000000-0005-0000-0000-000019160000}"/>
    <cellStyle name="20% - Accent2 9 4 2 3 2" xfId="9223" xr:uid="{00000000-0005-0000-0000-00001A160000}"/>
    <cellStyle name="20% - Accent2 9 4 2 4" xfId="9224" xr:uid="{00000000-0005-0000-0000-00001B160000}"/>
    <cellStyle name="20% - Accent2 9 4 2 5" xfId="9225" xr:uid="{00000000-0005-0000-0000-00001C160000}"/>
    <cellStyle name="20% - Accent2 9 4 2 6" xfId="9226" xr:uid="{00000000-0005-0000-0000-00001D160000}"/>
    <cellStyle name="20% - Accent2 9 4 3" xfId="9227" xr:uid="{00000000-0005-0000-0000-00001E160000}"/>
    <cellStyle name="20% - Accent2 9 4 3 2" xfId="9228" xr:uid="{00000000-0005-0000-0000-00001F160000}"/>
    <cellStyle name="20% - Accent2 9 4 3 2 2" xfId="9229" xr:uid="{00000000-0005-0000-0000-000020160000}"/>
    <cellStyle name="20% - Accent2 9 4 3 3" xfId="9230" xr:uid="{00000000-0005-0000-0000-000021160000}"/>
    <cellStyle name="20% - Accent2 9 4 4" xfId="9231" xr:uid="{00000000-0005-0000-0000-000022160000}"/>
    <cellStyle name="20% - Accent2 9 4 4 2" xfId="9232" xr:uid="{00000000-0005-0000-0000-000023160000}"/>
    <cellStyle name="20% - Accent2 9 4 5" xfId="9233" xr:uid="{00000000-0005-0000-0000-000024160000}"/>
    <cellStyle name="20% - Accent2 9 4 6" xfId="9234" xr:uid="{00000000-0005-0000-0000-000025160000}"/>
    <cellStyle name="20% - Accent2 9 4 7" xfId="9235" xr:uid="{00000000-0005-0000-0000-000026160000}"/>
    <cellStyle name="20% - Accent2 9 5" xfId="9236" xr:uid="{00000000-0005-0000-0000-000027160000}"/>
    <cellStyle name="20% - Accent2 9 5 2" xfId="9237" xr:uid="{00000000-0005-0000-0000-000028160000}"/>
    <cellStyle name="20% - Accent2 9 5 2 2" xfId="9238" xr:uid="{00000000-0005-0000-0000-000029160000}"/>
    <cellStyle name="20% - Accent2 9 5 2 2 2" xfId="9239" xr:uid="{00000000-0005-0000-0000-00002A160000}"/>
    <cellStyle name="20% - Accent2 9 5 2 3" xfId="9240" xr:uid="{00000000-0005-0000-0000-00002B160000}"/>
    <cellStyle name="20% - Accent2 9 5 3" xfId="9241" xr:uid="{00000000-0005-0000-0000-00002C160000}"/>
    <cellStyle name="20% - Accent2 9 5 3 2" xfId="9242" xr:uid="{00000000-0005-0000-0000-00002D160000}"/>
    <cellStyle name="20% - Accent2 9 5 4" xfId="9243" xr:uid="{00000000-0005-0000-0000-00002E160000}"/>
    <cellStyle name="20% - Accent2 9 5 5" xfId="9244" xr:uid="{00000000-0005-0000-0000-00002F160000}"/>
    <cellStyle name="20% - Accent2 9 5 6" xfId="9245" xr:uid="{00000000-0005-0000-0000-000030160000}"/>
    <cellStyle name="20% - Accent2 9 6" xfId="9246" xr:uid="{00000000-0005-0000-0000-000031160000}"/>
    <cellStyle name="20% - Accent2 9 6 2" xfId="9247" xr:uid="{00000000-0005-0000-0000-000032160000}"/>
    <cellStyle name="20% - Accent2 9 6 2 2" xfId="9248" xr:uid="{00000000-0005-0000-0000-000033160000}"/>
    <cellStyle name="20% - Accent2 9 6 3" xfId="9249" xr:uid="{00000000-0005-0000-0000-000034160000}"/>
    <cellStyle name="20% - Accent2 9 7" xfId="9250" xr:uid="{00000000-0005-0000-0000-000035160000}"/>
    <cellStyle name="20% - Accent2 9 7 2" xfId="9251" xr:uid="{00000000-0005-0000-0000-000036160000}"/>
    <cellStyle name="20% - Accent2 9 7 2 2" xfId="9252" xr:uid="{00000000-0005-0000-0000-000037160000}"/>
    <cellStyle name="20% - Accent2 9 7 3" xfId="9253" xr:uid="{00000000-0005-0000-0000-000038160000}"/>
    <cellStyle name="20% - Accent2 9 8" xfId="9254" xr:uid="{00000000-0005-0000-0000-000039160000}"/>
    <cellStyle name="20% - Accent2 9 8 2" xfId="9255" xr:uid="{00000000-0005-0000-0000-00003A160000}"/>
    <cellStyle name="20% - Accent2 9 9" xfId="9256" xr:uid="{00000000-0005-0000-0000-00003B160000}"/>
    <cellStyle name="20% - Accent2 9 9 2" xfId="9257" xr:uid="{00000000-0005-0000-0000-00003C160000}"/>
    <cellStyle name="20% - Accent3" xfId="127" builtinId="38" customBuiltin="1"/>
    <cellStyle name="20% - Accent3 10" xfId="9258" xr:uid="{00000000-0005-0000-0000-00003D160000}"/>
    <cellStyle name="20% - Accent3 10 10" xfId="9259" xr:uid="{00000000-0005-0000-0000-00003E160000}"/>
    <cellStyle name="20% - Accent3 10 11" xfId="9260" xr:uid="{00000000-0005-0000-0000-00003F160000}"/>
    <cellStyle name="20% - Accent3 10 2" xfId="9261" xr:uid="{00000000-0005-0000-0000-000040160000}"/>
    <cellStyle name="20% - Accent3 10 2 2" xfId="9262" xr:uid="{00000000-0005-0000-0000-000041160000}"/>
    <cellStyle name="20% - Accent3 10 2 2 2" xfId="9263" xr:uid="{00000000-0005-0000-0000-000042160000}"/>
    <cellStyle name="20% - Accent3 10 2 2 2 2" xfId="9264" xr:uid="{00000000-0005-0000-0000-000043160000}"/>
    <cellStyle name="20% - Accent3 10 2 2 2 2 2" xfId="9265" xr:uid="{00000000-0005-0000-0000-000044160000}"/>
    <cellStyle name="20% - Accent3 10 2 2 2 3" xfId="9266" xr:uid="{00000000-0005-0000-0000-000045160000}"/>
    <cellStyle name="20% - Accent3 10 2 2 3" xfId="9267" xr:uid="{00000000-0005-0000-0000-000046160000}"/>
    <cellStyle name="20% - Accent3 10 2 2 3 2" xfId="9268" xr:uid="{00000000-0005-0000-0000-000047160000}"/>
    <cellStyle name="20% - Accent3 10 2 2 4" xfId="9269" xr:uid="{00000000-0005-0000-0000-000048160000}"/>
    <cellStyle name="20% - Accent3 10 2 2 5" xfId="9270" xr:uid="{00000000-0005-0000-0000-000049160000}"/>
    <cellStyle name="20% - Accent3 10 2 2 6" xfId="9271" xr:uid="{00000000-0005-0000-0000-00004A160000}"/>
    <cellStyle name="20% - Accent3 10 2 3" xfId="9272" xr:uid="{00000000-0005-0000-0000-00004B160000}"/>
    <cellStyle name="20% - Accent3 10 2 3 2" xfId="9273" xr:uid="{00000000-0005-0000-0000-00004C160000}"/>
    <cellStyle name="20% - Accent3 10 2 3 2 2" xfId="9274" xr:uid="{00000000-0005-0000-0000-00004D160000}"/>
    <cellStyle name="20% - Accent3 10 2 3 3" xfId="9275" xr:uid="{00000000-0005-0000-0000-00004E160000}"/>
    <cellStyle name="20% - Accent3 10 2 4" xfId="9276" xr:uid="{00000000-0005-0000-0000-00004F160000}"/>
    <cellStyle name="20% - Accent3 10 2 4 2" xfId="9277" xr:uid="{00000000-0005-0000-0000-000050160000}"/>
    <cellStyle name="20% - Accent3 10 2 5" xfId="9278" xr:uid="{00000000-0005-0000-0000-000051160000}"/>
    <cellStyle name="20% - Accent3 10 2 5 2" xfId="9279" xr:uid="{00000000-0005-0000-0000-000052160000}"/>
    <cellStyle name="20% - Accent3 10 2 6" xfId="9280" xr:uid="{00000000-0005-0000-0000-000053160000}"/>
    <cellStyle name="20% - Accent3 10 2 7" xfId="9281" xr:uid="{00000000-0005-0000-0000-000054160000}"/>
    <cellStyle name="20% - Accent3 10 2 8" xfId="9282" xr:uid="{00000000-0005-0000-0000-000055160000}"/>
    <cellStyle name="20% - Accent3 10 3" xfId="9283" xr:uid="{00000000-0005-0000-0000-000056160000}"/>
    <cellStyle name="20% - Accent3 10 3 2" xfId="9284" xr:uid="{00000000-0005-0000-0000-000057160000}"/>
    <cellStyle name="20% - Accent3 10 3 2 2" xfId="9285" xr:uid="{00000000-0005-0000-0000-000058160000}"/>
    <cellStyle name="20% - Accent3 10 3 2 2 2" xfId="9286" xr:uid="{00000000-0005-0000-0000-000059160000}"/>
    <cellStyle name="20% - Accent3 10 3 2 2 2 2" xfId="9287" xr:uid="{00000000-0005-0000-0000-00005A160000}"/>
    <cellStyle name="20% - Accent3 10 3 2 2 3" xfId="9288" xr:uid="{00000000-0005-0000-0000-00005B160000}"/>
    <cellStyle name="20% - Accent3 10 3 2 3" xfId="9289" xr:uid="{00000000-0005-0000-0000-00005C160000}"/>
    <cellStyle name="20% - Accent3 10 3 2 3 2" xfId="9290" xr:uid="{00000000-0005-0000-0000-00005D160000}"/>
    <cellStyle name="20% - Accent3 10 3 2 4" xfId="9291" xr:uid="{00000000-0005-0000-0000-00005E160000}"/>
    <cellStyle name="20% - Accent3 10 3 2 5" xfId="9292" xr:uid="{00000000-0005-0000-0000-00005F160000}"/>
    <cellStyle name="20% - Accent3 10 3 2 6" xfId="9293" xr:uid="{00000000-0005-0000-0000-000060160000}"/>
    <cellStyle name="20% - Accent3 10 3 3" xfId="9294" xr:uid="{00000000-0005-0000-0000-000061160000}"/>
    <cellStyle name="20% - Accent3 10 3 3 2" xfId="9295" xr:uid="{00000000-0005-0000-0000-000062160000}"/>
    <cellStyle name="20% - Accent3 10 3 3 2 2" xfId="9296" xr:uid="{00000000-0005-0000-0000-000063160000}"/>
    <cellStyle name="20% - Accent3 10 3 3 3" xfId="9297" xr:uid="{00000000-0005-0000-0000-000064160000}"/>
    <cellStyle name="20% - Accent3 10 3 4" xfId="9298" xr:uid="{00000000-0005-0000-0000-000065160000}"/>
    <cellStyle name="20% - Accent3 10 3 4 2" xfId="9299" xr:uid="{00000000-0005-0000-0000-000066160000}"/>
    <cellStyle name="20% - Accent3 10 3 5" xfId="9300" xr:uid="{00000000-0005-0000-0000-000067160000}"/>
    <cellStyle name="20% - Accent3 10 3 6" xfId="9301" xr:uid="{00000000-0005-0000-0000-000068160000}"/>
    <cellStyle name="20% - Accent3 10 3 7" xfId="9302" xr:uid="{00000000-0005-0000-0000-000069160000}"/>
    <cellStyle name="20% - Accent3 10 4" xfId="9303" xr:uid="{00000000-0005-0000-0000-00006A160000}"/>
    <cellStyle name="20% - Accent3 10 4 2" xfId="9304" xr:uid="{00000000-0005-0000-0000-00006B160000}"/>
    <cellStyle name="20% - Accent3 10 4 2 2" xfId="9305" xr:uid="{00000000-0005-0000-0000-00006C160000}"/>
    <cellStyle name="20% - Accent3 10 4 2 2 2" xfId="9306" xr:uid="{00000000-0005-0000-0000-00006D160000}"/>
    <cellStyle name="20% - Accent3 10 4 2 3" xfId="9307" xr:uid="{00000000-0005-0000-0000-00006E160000}"/>
    <cellStyle name="20% - Accent3 10 4 3" xfId="9308" xr:uid="{00000000-0005-0000-0000-00006F160000}"/>
    <cellStyle name="20% - Accent3 10 4 3 2" xfId="9309" xr:uid="{00000000-0005-0000-0000-000070160000}"/>
    <cellStyle name="20% - Accent3 10 4 4" xfId="9310" xr:uid="{00000000-0005-0000-0000-000071160000}"/>
    <cellStyle name="20% - Accent3 10 4 5" xfId="9311" xr:uid="{00000000-0005-0000-0000-000072160000}"/>
    <cellStyle name="20% - Accent3 10 4 6" xfId="9312" xr:uid="{00000000-0005-0000-0000-000073160000}"/>
    <cellStyle name="20% - Accent3 10 5" xfId="9313" xr:uid="{00000000-0005-0000-0000-000074160000}"/>
    <cellStyle name="20% - Accent3 10 5 2" xfId="9314" xr:uid="{00000000-0005-0000-0000-000075160000}"/>
    <cellStyle name="20% - Accent3 10 5 2 2" xfId="9315" xr:uid="{00000000-0005-0000-0000-000076160000}"/>
    <cellStyle name="20% - Accent3 10 5 3" xfId="9316" xr:uid="{00000000-0005-0000-0000-000077160000}"/>
    <cellStyle name="20% - Accent3 10 6" xfId="9317" xr:uid="{00000000-0005-0000-0000-000078160000}"/>
    <cellStyle name="20% - Accent3 10 6 2" xfId="9318" xr:uid="{00000000-0005-0000-0000-000079160000}"/>
    <cellStyle name="20% - Accent3 10 6 2 2" xfId="9319" xr:uid="{00000000-0005-0000-0000-00007A160000}"/>
    <cellStyle name="20% - Accent3 10 6 3" xfId="9320" xr:uid="{00000000-0005-0000-0000-00007B160000}"/>
    <cellStyle name="20% - Accent3 10 7" xfId="9321" xr:uid="{00000000-0005-0000-0000-00007C160000}"/>
    <cellStyle name="20% - Accent3 10 7 2" xfId="9322" xr:uid="{00000000-0005-0000-0000-00007D160000}"/>
    <cellStyle name="20% - Accent3 10 8" xfId="9323" xr:uid="{00000000-0005-0000-0000-00007E160000}"/>
    <cellStyle name="20% - Accent3 10 8 2" xfId="9324" xr:uid="{00000000-0005-0000-0000-00007F160000}"/>
    <cellStyle name="20% - Accent3 10 9" xfId="9325" xr:uid="{00000000-0005-0000-0000-000080160000}"/>
    <cellStyle name="20% - Accent3 11" xfId="9326" xr:uid="{00000000-0005-0000-0000-000081160000}"/>
    <cellStyle name="20% - Accent3 11 10" xfId="9327" xr:uid="{00000000-0005-0000-0000-000082160000}"/>
    <cellStyle name="20% - Accent3 11 11" xfId="9328" xr:uid="{00000000-0005-0000-0000-000083160000}"/>
    <cellStyle name="20% - Accent3 11 2" xfId="9329" xr:uid="{00000000-0005-0000-0000-000084160000}"/>
    <cellStyle name="20% - Accent3 11 2 2" xfId="9330" xr:uid="{00000000-0005-0000-0000-000085160000}"/>
    <cellStyle name="20% - Accent3 11 2 2 2" xfId="9331" xr:uid="{00000000-0005-0000-0000-000086160000}"/>
    <cellStyle name="20% - Accent3 11 2 2 2 2" xfId="9332" xr:uid="{00000000-0005-0000-0000-000087160000}"/>
    <cellStyle name="20% - Accent3 11 2 2 2 2 2" xfId="9333" xr:uid="{00000000-0005-0000-0000-000088160000}"/>
    <cellStyle name="20% - Accent3 11 2 2 2 3" xfId="9334" xr:uid="{00000000-0005-0000-0000-000089160000}"/>
    <cellStyle name="20% - Accent3 11 2 2 3" xfId="9335" xr:uid="{00000000-0005-0000-0000-00008A160000}"/>
    <cellStyle name="20% - Accent3 11 2 2 3 2" xfId="9336" xr:uid="{00000000-0005-0000-0000-00008B160000}"/>
    <cellStyle name="20% - Accent3 11 2 2 4" xfId="9337" xr:uid="{00000000-0005-0000-0000-00008C160000}"/>
    <cellStyle name="20% - Accent3 11 2 2 5" xfId="9338" xr:uid="{00000000-0005-0000-0000-00008D160000}"/>
    <cellStyle name="20% - Accent3 11 2 2 6" xfId="9339" xr:uid="{00000000-0005-0000-0000-00008E160000}"/>
    <cellStyle name="20% - Accent3 11 2 3" xfId="9340" xr:uid="{00000000-0005-0000-0000-00008F160000}"/>
    <cellStyle name="20% - Accent3 11 2 3 2" xfId="9341" xr:uid="{00000000-0005-0000-0000-000090160000}"/>
    <cellStyle name="20% - Accent3 11 2 3 2 2" xfId="9342" xr:uid="{00000000-0005-0000-0000-000091160000}"/>
    <cellStyle name="20% - Accent3 11 2 3 3" xfId="9343" xr:uid="{00000000-0005-0000-0000-000092160000}"/>
    <cellStyle name="20% - Accent3 11 2 4" xfId="9344" xr:uid="{00000000-0005-0000-0000-000093160000}"/>
    <cellStyle name="20% - Accent3 11 2 4 2" xfId="9345" xr:uid="{00000000-0005-0000-0000-000094160000}"/>
    <cellStyle name="20% - Accent3 11 2 5" xfId="9346" xr:uid="{00000000-0005-0000-0000-000095160000}"/>
    <cellStyle name="20% - Accent3 11 2 5 2" xfId="9347" xr:uid="{00000000-0005-0000-0000-000096160000}"/>
    <cellStyle name="20% - Accent3 11 2 6" xfId="9348" xr:uid="{00000000-0005-0000-0000-000097160000}"/>
    <cellStyle name="20% - Accent3 11 2 7" xfId="9349" xr:uid="{00000000-0005-0000-0000-000098160000}"/>
    <cellStyle name="20% - Accent3 11 2 8" xfId="9350" xr:uid="{00000000-0005-0000-0000-000099160000}"/>
    <cellStyle name="20% - Accent3 11 3" xfId="9351" xr:uid="{00000000-0005-0000-0000-00009A160000}"/>
    <cellStyle name="20% - Accent3 11 3 2" xfId="9352" xr:uid="{00000000-0005-0000-0000-00009B160000}"/>
    <cellStyle name="20% - Accent3 11 3 2 2" xfId="9353" xr:uid="{00000000-0005-0000-0000-00009C160000}"/>
    <cellStyle name="20% - Accent3 11 3 2 2 2" xfId="9354" xr:uid="{00000000-0005-0000-0000-00009D160000}"/>
    <cellStyle name="20% - Accent3 11 3 2 2 2 2" xfId="9355" xr:uid="{00000000-0005-0000-0000-00009E160000}"/>
    <cellStyle name="20% - Accent3 11 3 2 2 3" xfId="9356" xr:uid="{00000000-0005-0000-0000-00009F160000}"/>
    <cellStyle name="20% - Accent3 11 3 2 3" xfId="9357" xr:uid="{00000000-0005-0000-0000-0000A0160000}"/>
    <cellStyle name="20% - Accent3 11 3 2 3 2" xfId="9358" xr:uid="{00000000-0005-0000-0000-0000A1160000}"/>
    <cellStyle name="20% - Accent3 11 3 2 4" xfId="9359" xr:uid="{00000000-0005-0000-0000-0000A2160000}"/>
    <cellStyle name="20% - Accent3 11 3 2 5" xfId="9360" xr:uid="{00000000-0005-0000-0000-0000A3160000}"/>
    <cellStyle name="20% - Accent3 11 3 2 6" xfId="9361" xr:uid="{00000000-0005-0000-0000-0000A4160000}"/>
    <cellStyle name="20% - Accent3 11 3 3" xfId="9362" xr:uid="{00000000-0005-0000-0000-0000A5160000}"/>
    <cellStyle name="20% - Accent3 11 3 3 2" xfId="9363" xr:uid="{00000000-0005-0000-0000-0000A6160000}"/>
    <cellStyle name="20% - Accent3 11 3 3 2 2" xfId="9364" xr:uid="{00000000-0005-0000-0000-0000A7160000}"/>
    <cellStyle name="20% - Accent3 11 3 3 3" xfId="9365" xr:uid="{00000000-0005-0000-0000-0000A8160000}"/>
    <cellStyle name="20% - Accent3 11 3 4" xfId="9366" xr:uid="{00000000-0005-0000-0000-0000A9160000}"/>
    <cellStyle name="20% - Accent3 11 3 4 2" xfId="9367" xr:uid="{00000000-0005-0000-0000-0000AA160000}"/>
    <cellStyle name="20% - Accent3 11 3 5" xfId="9368" xr:uid="{00000000-0005-0000-0000-0000AB160000}"/>
    <cellStyle name="20% - Accent3 11 3 6" xfId="9369" xr:uid="{00000000-0005-0000-0000-0000AC160000}"/>
    <cellStyle name="20% - Accent3 11 3 7" xfId="9370" xr:uid="{00000000-0005-0000-0000-0000AD160000}"/>
    <cellStyle name="20% - Accent3 11 4" xfId="9371" xr:uid="{00000000-0005-0000-0000-0000AE160000}"/>
    <cellStyle name="20% - Accent3 11 4 2" xfId="9372" xr:uid="{00000000-0005-0000-0000-0000AF160000}"/>
    <cellStyle name="20% - Accent3 11 4 2 2" xfId="9373" xr:uid="{00000000-0005-0000-0000-0000B0160000}"/>
    <cellStyle name="20% - Accent3 11 4 2 2 2" xfId="9374" xr:uid="{00000000-0005-0000-0000-0000B1160000}"/>
    <cellStyle name="20% - Accent3 11 4 2 3" xfId="9375" xr:uid="{00000000-0005-0000-0000-0000B2160000}"/>
    <cellStyle name="20% - Accent3 11 4 3" xfId="9376" xr:uid="{00000000-0005-0000-0000-0000B3160000}"/>
    <cellStyle name="20% - Accent3 11 4 3 2" xfId="9377" xr:uid="{00000000-0005-0000-0000-0000B4160000}"/>
    <cellStyle name="20% - Accent3 11 4 4" xfId="9378" xr:uid="{00000000-0005-0000-0000-0000B5160000}"/>
    <cellStyle name="20% - Accent3 11 4 5" xfId="9379" xr:uid="{00000000-0005-0000-0000-0000B6160000}"/>
    <cellStyle name="20% - Accent3 11 4 6" xfId="9380" xr:uid="{00000000-0005-0000-0000-0000B7160000}"/>
    <cellStyle name="20% - Accent3 11 5" xfId="9381" xr:uid="{00000000-0005-0000-0000-0000B8160000}"/>
    <cellStyle name="20% - Accent3 11 5 2" xfId="9382" xr:uid="{00000000-0005-0000-0000-0000B9160000}"/>
    <cellStyle name="20% - Accent3 11 5 2 2" xfId="9383" xr:uid="{00000000-0005-0000-0000-0000BA160000}"/>
    <cellStyle name="20% - Accent3 11 5 3" xfId="9384" xr:uid="{00000000-0005-0000-0000-0000BB160000}"/>
    <cellStyle name="20% - Accent3 11 6" xfId="9385" xr:uid="{00000000-0005-0000-0000-0000BC160000}"/>
    <cellStyle name="20% - Accent3 11 6 2" xfId="9386" xr:uid="{00000000-0005-0000-0000-0000BD160000}"/>
    <cellStyle name="20% - Accent3 11 6 2 2" xfId="9387" xr:uid="{00000000-0005-0000-0000-0000BE160000}"/>
    <cellStyle name="20% - Accent3 11 6 3" xfId="9388" xr:uid="{00000000-0005-0000-0000-0000BF160000}"/>
    <cellStyle name="20% - Accent3 11 7" xfId="9389" xr:uid="{00000000-0005-0000-0000-0000C0160000}"/>
    <cellStyle name="20% - Accent3 11 7 2" xfId="9390" xr:uid="{00000000-0005-0000-0000-0000C1160000}"/>
    <cellStyle name="20% - Accent3 11 8" xfId="9391" xr:uid="{00000000-0005-0000-0000-0000C2160000}"/>
    <cellStyle name="20% - Accent3 11 8 2" xfId="9392" xr:uid="{00000000-0005-0000-0000-0000C3160000}"/>
    <cellStyle name="20% - Accent3 11 9" xfId="9393" xr:uid="{00000000-0005-0000-0000-0000C4160000}"/>
    <cellStyle name="20% - Accent3 12" xfId="9394" xr:uid="{00000000-0005-0000-0000-0000C5160000}"/>
    <cellStyle name="20% - Accent3 12 2" xfId="9395" xr:uid="{00000000-0005-0000-0000-0000C6160000}"/>
    <cellStyle name="20% - Accent3 12 2 2" xfId="9396" xr:uid="{00000000-0005-0000-0000-0000C7160000}"/>
    <cellStyle name="20% - Accent3 12 2 2 2" xfId="9397" xr:uid="{00000000-0005-0000-0000-0000C8160000}"/>
    <cellStyle name="20% - Accent3 12 2 2 2 2" xfId="9398" xr:uid="{00000000-0005-0000-0000-0000C9160000}"/>
    <cellStyle name="20% - Accent3 12 2 2 2 2 2" xfId="9399" xr:uid="{00000000-0005-0000-0000-0000CA160000}"/>
    <cellStyle name="20% - Accent3 12 2 2 2 3" xfId="9400" xr:uid="{00000000-0005-0000-0000-0000CB160000}"/>
    <cellStyle name="20% - Accent3 12 2 2 3" xfId="9401" xr:uid="{00000000-0005-0000-0000-0000CC160000}"/>
    <cellStyle name="20% - Accent3 12 2 2 3 2" xfId="9402" xr:uid="{00000000-0005-0000-0000-0000CD160000}"/>
    <cellStyle name="20% - Accent3 12 2 2 4" xfId="9403" xr:uid="{00000000-0005-0000-0000-0000CE160000}"/>
    <cellStyle name="20% - Accent3 12 2 2 5" xfId="9404" xr:uid="{00000000-0005-0000-0000-0000CF160000}"/>
    <cellStyle name="20% - Accent3 12 2 2 6" xfId="9405" xr:uid="{00000000-0005-0000-0000-0000D0160000}"/>
    <cellStyle name="20% - Accent3 12 2 3" xfId="9406" xr:uid="{00000000-0005-0000-0000-0000D1160000}"/>
    <cellStyle name="20% - Accent3 12 2 3 2" xfId="9407" xr:uid="{00000000-0005-0000-0000-0000D2160000}"/>
    <cellStyle name="20% - Accent3 12 2 3 2 2" xfId="9408" xr:uid="{00000000-0005-0000-0000-0000D3160000}"/>
    <cellStyle name="20% - Accent3 12 2 3 3" xfId="9409" xr:uid="{00000000-0005-0000-0000-0000D4160000}"/>
    <cellStyle name="20% - Accent3 12 2 4" xfId="9410" xr:uid="{00000000-0005-0000-0000-0000D5160000}"/>
    <cellStyle name="20% - Accent3 12 2 4 2" xfId="9411" xr:uid="{00000000-0005-0000-0000-0000D6160000}"/>
    <cellStyle name="20% - Accent3 12 2 5" xfId="9412" xr:uid="{00000000-0005-0000-0000-0000D7160000}"/>
    <cellStyle name="20% - Accent3 12 2 6" xfId="9413" xr:uid="{00000000-0005-0000-0000-0000D8160000}"/>
    <cellStyle name="20% - Accent3 12 2 7" xfId="9414" xr:uid="{00000000-0005-0000-0000-0000D9160000}"/>
    <cellStyle name="20% - Accent3 12 3" xfId="9415" xr:uid="{00000000-0005-0000-0000-0000DA160000}"/>
    <cellStyle name="20% - Accent3 12 3 2" xfId="9416" xr:uid="{00000000-0005-0000-0000-0000DB160000}"/>
    <cellStyle name="20% - Accent3 12 3 2 2" xfId="9417" xr:uid="{00000000-0005-0000-0000-0000DC160000}"/>
    <cellStyle name="20% - Accent3 12 3 2 2 2" xfId="9418" xr:uid="{00000000-0005-0000-0000-0000DD160000}"/>
    <cellStyle name="20% - Accent3 12 3 2 2 2 2" xfId="9419" xr:uid="{00000000-0005-0000-0000-0000DE160000}"/>
    <cellStyle name="20% - Accent3 12 3 2 2 3" xfId="9420" xr:uid="{00000000-0005-0000-0000-0000DF160000}"/>
    <cellStyle name="20% - Accent3 12 3 2 3" xfId="9421" xr:uid="{00000000-0005-0000-0000-0000E0160000}"/>
    <cellStyle name="20% - Accent3 12 3 2 3 2" xfId="9422" xr:uid="{00000000-0005-0000-0000-0000E1160000}"/>
    <cellStyle name="20% - Accent3 12 3 2 4" xfId="9423" xr:uid="{00000000-0005-0000-0000-0000E2160000}"/>
    <cellStyle name="20% - Accent3 12 3 2 5" xfId="9424" xr:uid="{00000000-0005-0000-0000-0000E3160000}"/>
    <cellStyle name="20% - Accent3 12 3 2 6" xfId="9425" xr:uid="{00000000-0005-0000-0000-0000E4160000}"/>
    <cellStyle name="20% - Accent3 12 3 3" xfId="9426" xr:uid="{00000000-0005-0000-0000-0000E5160000}"/>
    <cellStyle name="20% - Accent3 12 3 3 2" xfId="9427" xr:uid="{00000000-0005-0000-0000-0000E6160000}"/>
    <cellStyle name="20% - Accent3 12 3 3 2 2" xfId="9428" xr:uid="{00000000-0005-0000-0000-0000E7160000}"/>
    <cellStyle name="20% - Accent3 12 3 3 3" xfId="9429" xr:uid="{00000000-0005-0000-0000-0000E8160000}"/>
    <cellStyle name="20% - Accent3 12 3 4" xfId="9430" xr:uid="{00000000-0005-0000-0000-0000E9160000}"/>
    <cellStyle name="20% - Accent3 12 3 4 2" xfId="9431" xr:uid="{00000000-0005-0000-0000-0000EA160000}"/>
    <cellStyle name="20% - Accent3 12 3 5" xfId="9432" xr:uid="{00000000-0005-0000-0000-0000EB160000}"/>
    <cellStyle name="20% - Accent3 12 3 6" xfId="9433" xr:uid="{00000000-0005-0000-0000-0000EC160000}"/>
    <cellStyle name="20% - Accent3 12 3 7" xfId="9434" xr:uid="{00000000-0005-0000-0000-0000ED160000}"/>
    <cellStyle name="20% - Accent3 12 4" xfId="9435" xr:uid="{00000000-0005-0000-0000-0000EE160000}"/>
    <cellStyle name="20% - Accent3 12 5" xfId="9436" xr:uid="{00000000-0005-0000-0000-0000EF160000}"/>
    <cellStyle name="20% - Accent3 12 6" xfId="9437" xr:uid="{00000000-0005-0000-0000-0000F0160000}"/>
    <cellStyle name="20% - Accent3 12 6 2" xfId="9438" xr:uid="{00000000-0005-0000-0000-0000F1160000}"/>
    <cellStyle name="20% - Accent3 12 7" xfId="9439" xr:uid="{00000000-0005-0000-0000-0000F2160000}"/>
    <cellStyle name="20% - Accent3 12 8" xfId="9440" xr:uid="{00000000-0005-0000-0000-0000F3160000}"/>
    <cellStyle name="20% - Accent3 13" xfId="9441" xr:uid="{00000000-0005-0000-0000-0000F4160000}"/>
    <cellStyle name="20% - Accent3 13 2" xfId="9442" xr:uid="{00000000-0005-0000-0000-0000F5160000}"/>
    <cellStyle name="20% - Accent3 13 2 2" xfId="9443" xr:uid="{00000000-0005-0000-0000-0000F6160000}"/>
    <cellStyle name="20% - Accent3 13 2 2 2" xfId="9444" xr:uid="{00000000-0005-0000-0000-0000F7160000}"/>
    <cellStyle name="20% - Accent3 13 2 3" xfId="9445" xr:uid="{00000000-0005-0000-0000-0000F8160000}"/>
    <cellStyle name="20% - Accent3 13 3" xfId="9446" xr:uid="{00000000-0005-0000-0000-0000F9160000}"/>
    <cellStyle name="20% - Accent3 13 3 2" xfId="9447" xr:uid="{00000000-0005-0000-0000-0000FA160000}"/>
    <cellStyle name="20% - Accent3 13 4" xfId="9448" xr:uid="{00000000-0005-0000-0000-0000FB160000}"/>
    <cellStyle name="20% - Accent3 13 5" xfId="9449" xr:uid="{00000000-0005-0000-0000-0000FC160000}"/>
    <cellStyle name="20% - Accent3 13 6" xfId="9450" xr:uid="{00000000-0005-0000-0000-0000FD160000}"/>
    <cellStyle name="20% - Accent3 14" xfId="9451" xr:uid="{00000000-0005-0000-0000-0000FE160000}"/>
    <cellStyle name="20% - Accent3 14 2" xfId="9452" xr:uid="{00000000-0005-0000-0000-0000FF160000}"/>
    <cellStyle name="20% - Accent3 14 2 2" xfId="9453" xr:uid="{00000000-0005-0000-0000-000000170000}"/>
    <cellStyle name="20% - Accent3 14 2 2 2" xfId="9454" xr:uid="{00000000-0005-0000-0000-000001170000}"/>
    <cellStyle name="20% - Accent3 14 2 3" xfId="9455" xr:uid="{00000000-0005-0000-0000-000002170000}"/>
    <cellStyle name="20% - Accent3 14 3" xfId="9456" xr:uid="{00000000-0005-0000-0000-000003170000}"/>
    <cellStyle name="20% - Accent3 14 3 2" xfId="9457" xr:uid="{00000000-0005-0000-0000-000004170000}"/>
    <cellStyle name="20% - Accent3 14 4" xfId="9458" xr:uid="{00000000-0005-0000-0000-000005170000}"/>
    <cellStyle name="20% - Accent3 15" xfId="9459" xr:uid="{00000000-0005-0000-0000-000006170000}"/>
    <cellStyle name="20% - Accent3 15 2" xfId="9460" xr:uid="{00000000-0005-0000-0000-000007170000}"/>
    <cellStyle name="20% - Accent3 15 2 2" xfId="9461" xr:uid="{00000000-0005-0000-0000-000008170000}"/>
    <cellStyle name="20% - Accent3 15 2 2 2" xfId="9462" xr:uid="{00000000-0005-0000-0000-000009170000}"/>
    <cellStyle name="20% - Accent3 15 2 3" xfId="9463" xr:uid="{00000000-0005-0000-0000-00000A170000}"/>
    <cellStyle name="20% - Accent3 15 3" xfId="9464" xr:uid="{00000000-0005-0000-0000-00000B170000}"/>
    <cellStyle name="20% - Accent3 15 3 2" xfId="9465" xr:uid="{00000000-0005-0000-0000-00000C170000}"/>
    <cellStyle name="20% - Accent3 15 4" xfId="9466" xr:uid="{00000000-0005-0000-0000-00000D170000}"/>
    <cellStyle name="20% - Accent3 16" xfId="9467" xr:uid="{00000000-0005-0000-0000-00000E170000}"/>
    <cellStyle name="20% - Accent3 16 2" xfId="9468" xr:uid="{00000000-0005-0000-0000-00000F170000}"/>
    <cellStyle name="20% - Accent3 16 2 2" xfId="9469" xr:uid="{00000000-0005-0000-0000-000010170000}"/>
    <cellStyle name="20% - Accent3 16 3" xfId="9470" xr:uid="{00000000-0005-0000-0000-000011170000}"/>
    <cellStyle name="20% - Accent3 17" xfId="9471" xr:uid="{00000000-0005-0000-0000-000012170000}"/>
    <cellStyle name="20% - Accent3 18" xfId="9472" xr:uid="{00000000-0005-0000-0000-000013170000}"/>
    <cellStyle name="20% - Accent3 19" xfId="9473" xr:uid="{00000000-0005-0000-0000-000014170000}"/>
    <cellStyle name="20% - Accent3 2" xfId="171" xr:uid="{00000000-0005-0000-0000-000015170000}"/>
    <cellStyle name="20% - Accent3 2 2" xfId="9474" xr:uid="{00000000-0005-0000-0000-000016170000}"/>
    <cellStyle name="20% - Accent3 2 2 10" xfId="9475" xr:uid="{00000000-0005-0000-0000-000017170000}"/>
    <cellStyle name="20% - Accent3 2 2 10 2" xfId="9476" xr:uid="{00000000-0005-0000-0000-000018170000}"/>
    <cellStyle name="20% - Accent3 2 2 10 2 2" xfId="9477" xr:uid="{00000000-0005-0000-0000-000019170000}"/>
    <cellStyle name="20% - Accent3 2 2 10 3" xfId="9478" xr:uid="{00000000-0005-0000-0000-00001A170000}"/>
    <cellStyle name="20% - Accent3 2 2 11" xfId="9479" xr:uid="{00000000-0005-0000-0000-00001B170000}"/>
    <cellStyle name="20% - Accent3 2 2 11 2" xfId="9480" xr:uid="{00000000-0005-0000-0000-00001C170000}"/>
    <cellStyle name="20% - Accent3 2 2 11 2 2" xfId="9481" xr:uid="{00000000-0005-0000-0000-00001D170000}"/>
    <cellStyle name="20% - Accent3 2 2 11 3" xfId="9482" xr:uid="{00000000-0005-0000-0000-00001E170000}"/>
    <cellStyle name="20% - Accent3 2 2 12" xfId="9483" xr:uid="{00000000-0005-0000-0000-00001F170000}"/>
    <cellStyle name="20% - Accent3 2 2 12 2" xfId="9484" xr:uid="{00000000-0005-0000-0000-000020170000}"/>
    <cellStyle name="20% - Accent3 2 2 12 2 2" xfId="9485" xr:uid="{00000000-0005-0000-0000-000021170000}"/>
    <cellStyle name="20% - Accent3 2 2 12 3" xfId="9486" xr:uid="{00000000-0005-0000-0000-000022170000}"/>
    <cellStyle name="20% - Accent3 2 2 13" xfId="9487" xr:uid="{00000000-0005-0000-0000-000023170000}"/>
    <cellStyle name="20% - Accent3 2 2 13 2" xfId="9488" xr:uid="{00000000-0005-0000-0000-000024170000}"/>
    <cellStyle name="20% - Accent3 2 2 14" xfId="9489" xr:uid="{00000000-0005-0000-0000-000025170000}"/>
    <cellStyle name="20% - Accent3 2 2 15" xfId="9490" xr:uid="{00000000-0005-0000-0000-000026170000}"/>
    <cellStyle name="20% - Accent3 2 2 16" xfId="9491" xr:uid="{00000000-0005-0000-0000-000027170000}"/>
    <cellStyle name="20% - Accent3 2 2 2" xfId="9492" xr:uid="{00000000-0005-0000-0000-000028170000}"/>
    <cellStyle name="20% - Accent3 2 2 2 10" xfId="9493" xr:uid="{00000000-0005-0000-0000-000029170000}"/>
    <cellStyle name="20% - Accent3 2 2 2 11" xfId="9494" xr:uid="{00000000-0005-0000-0000-00002A170000}"/>
    <cellStyle name="20% - Accent3 2 2 2 2" xfId="9495" xr:uid="{00000000-0005-0000-0000-00002B170000}"/>
    <cellStyle name="20% - Accent3 2 2 2 2 2" xfId="9496" xr:uid="{00000000-0005-0000-0000-00002C170000}"/>
    <cellStyle name="20% - Accent3 2 2 2 2 2 2" xfId="9497" xr:uid="{00000000-0005-0000-0000-00002D170000}"/>
    <cellStyle name="20% - Accent3 2 2 2 2 2 2 2" xfId="9498" xr:uid="{00000000-0005-0000-0000-00002E170000}"/>
    <cellStyle name="20% - Accent3 2 2 2 2 2 2 2 2" xfId="9499" xr:uid="{00000000-0005-0000-0000-00002F170000}"/>
    <cellStyle name="20% - Accent3 2 2 2 2 2 2 3" xfId="9500" xr:uid="{00000000-0005-0000-0000-000030170000}"/>
    <cellStyle name="20% - Accent3 2 2 2 2 2 3" xfId="9501" xr:uid="{00000000-0005-0000-0000-000031170000}"/>
    <cellStyle name="20% - Accent3 2 2 2 2 2 3 2" xfId="9502" xr:uid="{00000000-0005-0000-0000-000032170000}"/>
    <cellStyle name="20% - Accent3 2 2 2 2 2 4" xfId="9503" xr:uid="{00000000-0005-0000-0000-000033170000}"/>
    <cellStyle name="20% - Accent3 2 2 2 2 2 5" xfId="9504" xr:uid="{00000000-0005-0000-0000-000034170000}"/>
    <cellStyle name="20% - Accent3 2 2 2 2 2 6" xfId="9505" xr:uid="{00000000-0005-0000-0000-000035170000}"/>
    <cellStyle name="20% - Accent3 2 2 2 2 3" xfId="9506" xr:uid="{00000000-0005-0000-0000-000036170000}"/>
    <cellStyle name="20% - Accent3 2 2 2 2 3 2" xfId="9507" xr:uid="{00000000-0005-0000-0000-000037170000}"/>
    <cellStyle name="20% - Accent3 2 2 2 2 3 2 2" xfId="9508" xr:uid="{00000000-0005-0000-0000-000038170000}"/>
    <cellStyle name="20% - Accent3 2 2 2 2 3 3" xfId="9509" xr:uid="{00000000-0005-0000-0000-000039170000}"/>
    <cellStyle name="20% - Accent3 2 2 2 2 4" xfId="9510" xr:uid="{00000000-0005-0000-0000-00003A170000}"/>
    <cellStyle name="20% - Accent3 2 2 2 2 4 2" xfId="9511" xr:uid="{00000000-0005-0000-0000-00003B170000}"/>
    <cellStyle name="20% - Accent3 2 2 2 2 5" xfId="9512" xr:uid="{00000000-0005-0000-0000-00003C170000}"/>
    <cellStyle name="20% - Accent3 2 2 2 2 5 2" xfId="9513" xr:uid="{00000000-0005-0000-0000-00003D170000}"/>
    <cellStyle name="20% - Accent3 2 2 2 2 6" xfId="9514" xr:uid="{00000000-0005-0000-0000-00003E170000}"/>
    <cellStyle name="20% - Accent3 2 2 2 2 7" xfId="9515" xr:uid="{00000000-0005-0000-0000-00003F170000}"/>
    <cellStyle name="20% - Accent3 2 2 2 2 8" xfId="9516" xr:uid="{00000000-0005-0000-0000-000040170000}"/>
    <cellStyle name="20% - Accent3 2 2 2 3" xfId="9517" xr:uid="{00000000-0005-0000-0000-000041170000}"/>
    <cellStyle name="20% - Accent3 2 2 2 3 2" xfId="9518" xr:uid="{00000000-0005-0000-0000-000042170000}"/>
    <cellStyle name="20% - Accent3 2 2 2 3 2 2" xfId="9519" xr:uid="{00000000-0005-0000-0000-000043170000}"/>
    <cellStyle name="20% - Accent3 2 2 2 3 2 2 2" xfId="9520" xr:uid="{00000000-0005-0000-0000-000044170000}"/>
    <cellStyle name="20% - Accent3 2 2 2 3 2 2 2 2" xfId="9521" xr:uid="{00000000-0005-0000-0000-000045170000}"/>
    <cellStyle name="20% - Accent3 2 2 2 3 2 2 3" xfId="9522" xr:uid="{00000000-0005-0000-0000-000046170000}"/>
    <cellStyle name="20% - Accent3 2 2 2 3 2 3" xfId="9523" xr:uid="{00000000-0005-0000-0000-000047170000}"/>
    <cellStyle name="20% - Accent3 2 2 2 3 2 3 2" xfId="9524" xr:uid="{00000000-0005-0000-0000-000048170000}"/>
    <cellStyle name="20% - Accent3 2 2 2 3 2 4" xfId="9525" xr:uid="{00000000-0005-0000-0000-000049170000}"/>
    <cellStyle name="20% - Accent3 2 2 2 3 2 5" xfId="9526" xr:uid="{00000000-0005-0000-0000-00004A170000}"/>
    <cellStyle name="20% - Accent3 2 2 2 3 2 6" xfId="9527" xr:uid="{00000000-0005-0000-0000-00004B170000}"/>
    <cellStyle name="20% - Accent3 2 2 2 3 3" xfId="9528" xr:uid="{00000000-0005-0000-0000-00004C170000}"/>
    <cellStyle name="20% - Accent3 2 2 2 3 3 2" xfId="9529" xr:uid="{00000000-0005-0000-0000-00004D170000}"/>
    <cellStyle name="20% - Accent3 2 2 2 3 3 2 2" xfId="9530" xr:uid="{00000000-0005-0000-0000-00004E170000}"/>
    <cellStyle name="20% - Accent3 2 2 2 3 3 3" xfId="9531" xr:uid="{00000000-0005-0000-0000-00004F170000}"/>
    <cellStyle name="20% - Accent3 2 2 2 3 4" xfId="9532" xr:uid="{00000000-0005-0000-0000-000050170000}"/>
    <cellStyle name="20% - Accent3 2 2 2 3 4 2" xfId="9533" xr:uid="{00000000-0005-0000-0000-000051170000}"/>
    <cellStyle name="20% - Accent3 2 2 2 3 5" xfId="9534" xr:uid="{00000000-0005-0000-0000-000052170000}"/>
    <cellStyle name="20% - Accent3 2 2 2 3 6" xfId="9535" xr:uid="{00000000-0005-0000-0000-000053170000}"/>
    <cellStyle name="20% - Accent3 2 2 2 3 7" xfId="9536" xr:uid="{00000000-0005-0000-0000-000054170000}"/>
    <cellStyle name="20% - Accent3 2 2 2 4" xfId="9537" xr:uid="{00000000-0005-0000-0000-000055170000}"/>
    <cellStyle name="20% - Accent3 2 2 2 4 2" xfId="9538" xr:uid="{00000000-0005-0000-0000-000056170000}"/>
    <cellStyle name="20% - Accent3 2 2 2 4 2 2" xfId="9539" xr:uid="{00000000-0005-0000-0000-000057170000}"/>
    <cellStyle name="20% - Accent3 2 2 2 4 2 2 2" xfId="9540" xr:uid="{00000000-0005-0000-0000-000058170000}"/>
    <cellStyle name="20% - Accent3 2 2 2 4 2 3" xfId="9541" xr:uid="{00000000-0005-0000-0000-000059170000}"/>
    <cellStyle name="20% - Accent3 2 2 2 4 3" xfId="9542" xr:uid="{00000000-0005-0000-0000-00005A170000}"/>
    <cellStyle name="20% - Accent3 2 2 2 4 3 2" xfId="9543" xr:uid="{00000000-0005-0000-0000-00005B170000}"/>
    <cellStyle name="20% - Accent3 2 2 2 4 4" xfId="9544" xr:uid="{00000000-0005-0000-0000-00005C170000}"/>
    <cellStyle name="20% - Accent3 2 2 2 4 5" xfId="9545" xr:uid="{00000000-0005-0000-0000-00005D170000}"/>
    <cellStyle name="20% - Accent3 2 2 2 4 6" xfId="9546" xr:uid="{00000000-0005-0000-0000-00005E170000}"/>
    <cellStyle name="20% - Accent3 2 2 2 5" xfId="9547" xr:uid="{00000000-0005-0000-0000-00005F170000}"/>
    <cellStyle name="20% - Accent3 2 2 2 5 2" xfId="9548" xr:uid="{00000000-0005-0000-0000-000060170000}"/>
    <cellStyle name="20% - Accent3 2 2 2 5 2 2" xfId="9549" xr:uid="{00000000-0005-0000-0000-000061170000}"/>
    <cellStyle name="20% - Accent3 2 2 2 5 3" xfId="9550" xr:uid="{00000000-0005-0000-0000-000062170000}"/>
    <cellStyle name="20% - Accent3 2 2 2 6" xfId="9551" xr:uid="{00000000-0005-0000-0000-000063170000}"/>
    <cellStyle name="20% - Accent3 2 2 2 6 2" xfId="9552" xr:uid="{00000000-0005-0000-0000-000064170000}"/>
    <cellStyle name="20% - Accent3 2 2 2 6 2 2" xfId="9553" xr:uid="{00000000-0005-0000-0000-000065170000}"/>
    <cellStyle name="20% - Accent3 2 2 2 6 3" xfId="9554" xr:uid="{00000000-0005-0000-0000-000066170000}"/>
    <cellStyle name="20% - Accent3 2 2 2 7" xfId="9555" xr:uid="{00000000-0005-0000-0000-000067170000}"/>
    <cellStyle name="20% - Accent3 2 2 2 7 2" xfId="9556" xr:uid="{00000000-0005-0000-0000-000068170000}"/>
    <cellStyle name="20% - Accent3 2 2 2 8" xfId="9557" xr:uid="{00000000-0005-0000-0000-000069170000}"/>
    <cellStyle name="20% - Accent3 2 2 2 8 2" xfId="9558" xr:uid="{00000000-0005-0000-0000-00006A170000}"/>
    <cellStyle name="20% - Accent3 2 2 2 9" xfId="9559" xr:uid="{00000000-0005-0000-0000-00006B170000}"/>
    <cellStyle name="20% - Accent3 2 2 3" xfId="9560" xr:uid="{00000000-0005-0000-0000-00006C170000}"/>
    <cellStyle name="20% - Accent3 2 2 3 10" xfId="9561" xr:uid="{00000000-0005-0000-0000-00006D170000}"/>
    <cellStyle name="20% - Accent3 2 2 3 11" xfId="9562" xr:uid="{00000000-0005-0000-0000-00006E170000}"/>
    <cellStyle name="20% - Accent3 2 2 3 2" xfId="9563" xr:uid="{00000000-0005-0000-0000-00006F170000}"/>
    <cellStyle name="20% - Accent3 2 2 3 2 2" xfId="9564" xr:uid="{00000000-0005-0000-0000-000070170000}"/>
    <cellStyle name="20% - Accent3 2 2 3 2 2 2" xfId="9565" xr:uid="{00000000-0005-0000-0000-000071170000}"/>
    <cellStyle name="20% - Accent3 2 2 3 2 2 2 2" xfId="9566" xr:uid="{00000000-0005-0000-0000-000072170000}"/>
    <cellStyle name="20% - Accent3 2 2 3 2 2 2 2 2" xfId="9567" xr:uid="{00000000-0005-0000-0000-000073170000}"/>
    <cellStyle name="20% - Accent3 2 2 3 2 2 2 3" xfId="9568" xr:uid="{00000000-0005-0000-0000-000074170000}"/>
    <cellStyle name="20% - Accent3 2 2 3 2 2 3" xfId="9569" xr:uid="{00000000-0005-0000-0000-000075170000}"/>
    <cellStyle name="20% - Accent3 2 2 3 2 2 3 2" xfId="9570" xr:uid="{00000000-0005-0000-0000-000076170000}"/>
    <cellStyle name="20% - Accent3 2 2 3 2 2 4" xfId="9571" xr:uid="{00000000-0005-0000-0000-000077170000}"/>
    <cellStyle name="20% - Accent3 2 2 3 2 2 5" xfId="9572" xr:uid="{00000000-0005-0000-0000-000078170000}"/>
    <cellStyle name="20% - Accent3 2 2 3 2 2 6" xfId="9573" xr:uid="{00000000-0005-0000-0000-000079170000}"/>
    <cellStyle name="20% - Accent3 2 2 3 2 3" xfId="9574" xr:uid="{00000000-0005-0000-0000-00007A170000}"/>
    <cellStyle name="20% - Accent3 2 2 3 2 3 2" xfId="9575" xr:uid="{00000000-0005-0000-0000-00007B170000}"/>
    <cellStyle name="20% - Accent3 2 2 3 2 3 2 2" xfId="9576" xr:uid="{00000000-0005-0000-0000-00007C170000}"/>
    <cellStyle name="20% - Accent3 2 2 3 2 3 3" xfId="9577" xr:uid="{00000000-0005-0000-0000-00007D170000}"/>
    <cellStyle name="20% - Accent3 2 2 3 2 4" xfId="9578" xr:uid="{00000000-0005-0000-0000-00007E170000}"/>
    <cellStyle name="20% - Accent3 2 2 3 2 4 2" xfId="9579" xr:uid="{00000000-0005-0000-0000-00007F170000}"/>
    <cellStyle name="20% - Accent3 2 2 3 2 5" xfId="9580" xr:uid="{00000000-0005-0000-0000-000080170000}"/>
    <cellStyle name="20% - Accent3 2 2 3 2 5 2" xfId="9581" xr:uid="{00000000-0005-0000-0000-000081170000}"/>
    <cellStyle name="20% - Accent3 2 2 3 2 6" xfId="9582" xr:uid="{00000000-0005-0000-0000-000082170000}"/>
    <cellStyle name="20% - Accent3 2 2 3 2 7" xfId="9583" xr:uid="{00000000-0005-0000-0000-000083170000}"/>
    <cellStyle name="20% - Accent3 2 2 3 2 8" xfId="9584" xr:uid="{00000000-0005-0000-0000-000084170000}"/>
    <cellStyle name="20% - Accent3 2 2 3 3" xfId="9585" xr:uid="{00000000-0005-0000-0000-000085170000}"/>
    <cellStyle name="20% - Accent3 2 2 3 3 2" xfId="9586" xr:uid="{00000000-0005-0000-0000-000086170000}"/>
    <cellStyle name="20% - Accent3 2 2 3 3 2 2" xfId="9587" xr:uid="{00000000-0005-0000-0000-000087170000}"/>
    <cellStyle name="20% - Accent3 2 2 3 3 2 2 2" xfId="9588" xr:uid="{00000000-0005-0000-0000-000088170000}"/>
    <cellStyle name="20% - Accent3 2 2 3 3 2 2 2 2" xfId="9589" xr:uid="{00000000-0005-0000-0000-000089170000}"/>
    <cellStyle name="20% - Accent3 2 2 3 3 2 2 3" xfId="9590" xr:uid="{00000000-0005-0000-0000-00008A170000}"/>
    <cellStyle name="20% - Accent3 2 2 3 3 2 3" xfId="9591" xr:uid="{00000000-0005-0000-0000-00008B170000}"/>
    <cellStyle name="20% - Accent3 2 2 3 3 2 3 2" xfId="9592" xr:uid="{00000000-0005-0000-0000-00008C170000}"/>
    <cellStyle name="20% - Accent3 2 2 3 3 2 4" xfId="9593" xr:uid="{00000000-0005-0000-0000-00008D170000}"/>
    <cellStyle name="20% - Accent3 2 2 3 3 2 5" xfId="9594" xr:uid="{00000000-0005-0000-0000-00008E170000}"/>
    <cellStyle name="20% - Accent3 2 2 3 3 2 6" xfId="9595" xr:uid="{00000000-0005-0000-0000-00008F170000}"/>
    <cellStyle name="20% - Accent3 2 2 3 3 3" xfId="9596" xr:uid="{00000000-0005-0000-0000-000090170000}"/>
    <cellStyle name="20% - Accent3 2 2 3 3 3 2" xfId="9597" xr:uid="{00000000-0005-0000-0000-000091170000}"/>
    <cellStyle name="20% - Accent3 2 2 3 3 3 2 2" xfId="9598" xr:uid="{00000000-0005-0000-0000-000092170000}"/>
    <cellStyle name="20% - Accent3 2 2 3 3 3 3" xfId="9599" xr:uid="{00000000-0005-0000-0000-000093170000}"/>
    <cellStyle name="20% - Accent3 2 2 3 3 4" xfId="9600" xr:uid="{00000000-0005-0000-0000-000094170000}"/>
    <cellStyle name="20% - Accent3 2 2 3 3 4 2" xfId="9601" xr:uid="{00000000-0005-0000-0000-000095170000}"/>
    <cellStyle name="20% - Accent3 2 2 3 3 5" xfId="9602" xr:uid="{00000000-0005-0000-0000-000096170000}"/>
    <cellStyle name="20% - Accent3 2 2 3 3 6" xfId="9603" xr:uid="{00000000-0005-0000-0000-000097170000}"/>
    <cellStyle name="20% - Accent3 2 2 3 3 7" xfId="9604" xr:uid="{00000000-0005-0000-0000-000098170000}"/>
    <cellStyle name="20% - Accent3 2 2 3 4" xfId="9605" xr:uid="{00000000-0005-0000-0000-000099170000}"/>
    <cellStyle name="20% - Accent3 2 2 3 4 2" xfId="9606" xr:uid="{00000000-0005-0000-0000-00009A170000}"/>
    <cellStyle name="20% - Accent3 2 2 3 4 2 2" xfId="9607" xr:uid="{00000000-0005-0000-0000-00009B170000}"/>
    <cellStyle name="20% - Accent3 2 2 3 4 2 2 2" xfId="9608" xr:uid="{00000000-0005-0000-0000-00009C170000}"/>
    <cellStyle name="20% - Accent3 2 2 3 4 2 3" xfId="9609" xr:uid="{00000000-0005-0000-0000-00009D170000}"/>
    <cellStyle name="20% - Accent3 2 2 3 4 3" xfId="9610" xr:uid="{00000000-0005-0000-0000-00009E170000}"/>
    <cellStyle name="20% - Accent3 2 2 3 4 3 2" xfId="9611" xr:uid="{00000000-0005-0000-0000-00009F170000}"/>
    <cellStyle name="20% - Accent3 2 2 3 4 4" xfId="9612" xr:uid="{00000000-0005-0000-0000-0000A0170000}"/>
    <cellStyle name="20% - Accent3 2 2 3 4 5" xfId="9613" xr:uid="{00000000-0005-0000-0000-0000A1170000}"/>
    <cellStyle name="20% - Accent3 2 2 3 4 6" xfId="9614" xr:uid="{00000000-0005-0000-0000-0000A2170000}"/>
    <cellStyle name="20% - Accent3 2 2 3 5" xfId="9615" xr:uid="{00000000-0005-0000-0000-0000A3170000}"/>
    <cellStyle name="20% - Accent3 2 2 3 5 2" xfId="9616" xr:uid="{00000000-0005-0000-0000-0000A4170000}"/>
    <cellStyle name="20% - Accent3 2 2 3 5 2 2" xfId="9617" xr:uid="{00000000-0005-0000-0000-0000A5170000}"/>
    <cellStyle name="20% - Accent3 2 2 3 5 3" xfId="9618" xr:uid="{00000000-0005-0000-0000-0000A6170000}"/>
    <cellStyle name="20% - Accent3 2 2 3 6" xfId="9619" xr:uid="{00000000-0005-0000-0000-0000A7170000}"/>
    <cellStyle name="20% - Accent3 2 2 3 6 2" xfId="9620" xr:uid="{00000000-0005-0000-0000-0000A8170000}"/>
    <cellStyle name="20% - Accent3 2 2 3 6 2 2" xfId="9621" xr:uid="{00000000-0005-0000-0000-0000A9170000}"/>
    <cellStyle name="20% - Accent3 2 2 3 6 3" xfId="9622" xr:uid="{00000000-0005-0000-0000-0000AA170000}"/>
    <cellStyle name="20% - Accent3 2 2 3 7" xfId="9623" xr:uid="{00000000-0005-0000-0000-0000AB170000}"/>
    <cellStyle name="20% - Accent3 2 2 3 7 2" xfId="9624" xr:uid="{00000000-0005-0000-0000-0000AC170000}"/>
    <cellStyle name="20% - Accent3 2 2 3 8" xfId="9625" xr:uid="{00000000-0005-0000-0000-0000AD170000}"/>
    <cellStyle name="20% - Accent3 2 2 3 8 2" xfId="9626" xr:uid="{00000000-0005-0000-0000-0000AE170000}"/>
    <cellStyle name="20% - Accent3 2 2 3 9" xfId="9627" xr:uid="{00000000-0005-0000-0000-0000AF170000}"/>
    <cellStyle name="20% - Accent3 2 2 4" xfId="9628" xr:uid="{00000000-0005-0000-0000-0000B0170000}"/>
    <cellStyle name="20% - Accent3 2 2 4 10" xfId="9629" xr:uid="{00000000-0005-0000-0000-0000B1170000}"/>
    <cellStyle name="20% - Accent3 2 2 4 11" xfId="9630" xr:uid="{00000000-0005-0000-0000-0000B2170000}"/>
    <cellStyle name="20% - Accent3 2 2 4 2" xfId="9631" xr:uid="{00000000-0005-0000-0000-0000B3170000}"/>
    <cellStyle name="20% - Accent3 2 2 4 2 2" xfId="9632" xr:uid="{00000000-0005-0000-0000-0000B4170000}"/>
    <cellStyle name="20% - Accent3 2 2 4 2 2 2" xfId="9633" xr:uid="{00000000-0005-0000-0000-0000B5170000}"/>
    <cellStyle name="20% - Accent3 2 2 4 2 2 2 2" xfId="9634" xr:uid="{00000000-0005-0000-0000-0000B6170000}"/>
    <cellStyle name="20% - Accent3 2 2 4 2 2 2 2 2" xfId="9635" xr:uid="{00000000-0005-0000-0000-0000B7170000}"/>
    <cellStyle name="20% - Accent3 2 2 4 2 2 2 3" xfId="9636" xr:uid="{00000000-0005-0000-0000-0000B8170000}"/>
    <cellStyle name="20% - Accent3 2 2 4 2 2 3" xfId="9637" xr:uid="{00000000-0005-0000-0000-0000B9170000}"/>
    <cellStyle name="20% - Accent3 2 2 4 2 2 3 2" xfId="9638" xr:uid="{00000000-0005-0000-0000-0000BA170000}"/>
    <cellStyle name="20% - Accent3 2 2 4 2 2 4" xfId="9639" xr:uid="{00000000-0005-0000-0000-0000BB170000}"/>
    <cellStyle name="20% - Accent3 2 2 4 2 2 5" xfId="9640" xr:uid="{00000000-0005-0000-0000-0000BC170000}"/>
    <cellStyle name="20% - Accent3 2 2 4 2 2 6" xfId="9641" xr:uid="{00000000-0005-0000-0000-0000BD170000}"/>
    <cellStyle name="20% - Accent3 2 2 4 2 3" xfId="9642" xr:uid="{00000000-0005-0000-0000-0000BE170000}"/>
    <cellStyle name="20% - Accent3 2 2 4 2 3 2" xfId="9643" xr:uid="{00000000-0005-0000-0000-0000BF170000}"/>
    <cellStyle name="20% - Accent3 2 2 4 2 3 2 2" xfId="9644" xr:uid="{00000000-0005-0000-0000-0000C0170000}"/>
    <cellStyle name="20% - Accent3 2 2 4 2 3 3" xfId="9645" xr:uid="{00000000-0005-0000-0000-0000C1170000}"/>
    <cellStyle name="20% - Accent3 2 2 4 2 4" xfId="9646" xr:uid="{00000000-0005-0000-0000-0000C2170000}"/>
    <cellStyle name="20% - Accent3 2 2 4 2 4 2" xfId="9647" xr:uid="{00000000-0005-0000-0000-0000C3170000}"/>
    <cellStyle name="20% - Accent3 2 2 4 2 5" xfId="9648" xr:uid="{00000000-0005-0000-0000-0000C4170000}"/>
    <cellStyle name="20% - Accent3 2 2 4 2 5 2" xfId="9649" xr:uid="{00000000-0005-0000-0000-0000C5170000}"/>
    <cellStyle name="20% - Accent3 2 2 4 2 6" xfId="9650" xr:uid="{00000000-0005-0000-0000-0000C6170000}"/>
    <cellStyle name="20% - Accent3 2 2 4 2 7" xfId="9651" xr:uid="{00000000-0005-0000-0000-0000C7170000}"/>
    <cellStyle name="20% - Accent3 2 2 4 2 8" xfId="9652" xr:uid="{00000000-0005-0000-0000-0000C8170000}"/>
    <cellStyle name="20% - Accent3 2 2 4 3" xfId="9653" xr:uid="{00000000-0005-0000-0000-0000C9170000}"/>
    <cellStyle name="20% - Accent3 2 2 4 3 2" xfId="9654" xr:uid="{00000000-0005-0000-0000-0000CA170000}"/>
    <cellStyle name="20% - Accent3 2 2 4 3 2 2" xfId="9655" xr:uid="{00000000-0005-0000-0000-0000CB170000}"/>
    <cellStyle name="20% - Accent3 2 2 4 3 2 2 2" xfId="9656" xr:uid="{00000000-0005-0000-0000-0000CC170000}"/>
    <cellStyle name="20% - Accent3 2 2 4 3 2 2 2 2" xfId="9657" xr:uid="{00000000-0005-0000-0000-0000CD170000}"/>
    <cellStyle name="20% - Accent3 2 2 4 3 2 2 3" xfId="9658" xr:uid="{00000000-0005-0000-0000-0000CE170000}"/>
    <cellStyle name="20% - Accent3 2 2 4 3 2 3" xfId="9659" xr:uid="{00000000-0005-0000-0000-0000CF170000}"/>
    <cellStyle name="20% - Accent3 2 2 4 3 2 3 2" xfId="9660" xr:uid="{00000000-0005-0000-0000-0000D0170000}"/>
    <cellStyle name="20% - Accent3 2 2 4 3 2 4" xfId="9661" xr:uid="{00000000-0005-0000-0000-0000D1170000}"/>
    <cellStyle name="20% - Accent3 2 2 4 3 2 5" xfId="9662" xr:uid="{00000000-0005-0000-0000-0000D2170000}"/>
    <cellStyle name="20% - Accent3 2 2 4 3 2 6" xfId="9663" xr:uid="{00000000-0005-0000-0000-0000D3170000}"/>
    <cellStyle name="20% - Accent3 2 2 4 3 3" xfId="9664" xr:uid="{00000000-0005-0000-0000-0000D4170000}"/>
    <cellStyle name="20% - Accent3 2 2 4 3 3 2" xfId="9665" xr:uid="{00000000-0005-0000-0000-0000D5170000}"/>
    <cellStyle name="20% - Accent3 2 2 4 3 3 2 2" xfId="9666" xr:uid="{00000000-0005-0000-0000-0000D6170000}"/>
    <cellStyle name="20% - Accent3 2 2 4 3 3 3" xfId="9667" xr:uid="{00000000-0005-0000-0000-0000D7170000}"/>
    <cellStyle name="20% - Accent3 2 2 4 3 4" xfId="9668" xr:uid="{00000000-0005-0000-0000-0000D8170000}"/>
    <cellStyle name="20% - Accent3 2 2 4 3 4 2" xfId="9669" xr:uid="{00000000-0005-0000-0000-0000D9170000}"/>
    <cellStyle name="20% - Accent3 2 2 4 3 5" xfId="9670" xr:uid="{00000000-0005-0000-0000-0000DA170000}"/>
    <cellStyle name="20% - Accent3 2 2 4 3 6" xfId="9671" xr:uid="{00000000-0005-0000-0000-0000DB170000}"/>
    <cellStyle name="20% - Accent3 2 2 4 3 7" xfId="9672" xr:uid="{00000000-0005-0000-0000-0000DC170000}"/>
    <cellStyle name="20% - Accent3 2 2 4 4" xfId="9673" xr:uid="{00000000-0005-0000-0000-0000DD170000}"/>
    <cellStyle name="20% - Accent3 2 2 4 4 2" xfId="9674" xr:uid="{00000000-0005-0000-0000-0000DE170000}"/>
    <cellStyle name="20% - Accent3 2 2 4 4 2 2" xfId="9675" xr:uid="{00000000-0005-0000-0000-0000DF170000}"/>
    <cellStyle name="20% - Accent3 2 2 4 4 2 2 2" xfId="9676" xr:uid="{00000000-0005-0000-0000-0000E0170000}"/>
    <cellStyle name="20% - Accent3 2 2 4 4 2 3" xfId="9677" xr:uid="{00000000-0005-0000-0000-0000E1170000}"/>
    <cellStyle name="20% - Accent3 2 2 4 4 3" xfId="9678" xr:uid="{00000000-0005-0000-0000-0000E2170000}"/>
    <cellStyle name="20% - Accent3 2 2 4 4 3 2" xfId="9679" xr:uid="{00000000-0005-0000-0000-0000E3170000}"/>
    <cellStyle name="20% - Accent3 2 2 4 4 4" xfId="9680" xr:uid="{00000000-0005-0000-0000-0000E4170000}"/>
    <cellStyle name="20% - Accent3 2 2 4 4 5" xfId="9681" xr:uid="{00000000-0005-0000-0000-0000E5170000}"/>
    <cellStyle name="20% - Accent3 2 2 4 4 6" xfId="9682" xr:uid="{00000000-0005-0000-0000-0000E6170000}"/>
    <cellStyle name="20% - Accent3 2 2 4 5" xfId="9683" xr:uid="{00000000-0005-0000-0000-0000E7170000}"/>
    <cellStyle name="20% - Accent3 2 2 4 5 2" xfId="9684" xr:uid="{00000000-0005-0000-0000-0000E8170000}"/>
    <cellStyle name="20% - Accent3 2 2 4 5 2 2" xfId="9685" xr:uid="{00000000-0005-0000-0000-0000E9170000}"/>
    <cellStyle name="20% - Accent3 2 2 4 5 3" xfId="9686" xr:uid="{00000000-0005-0000-0000-0000EA170000}"/>
    <cellStyle name="20% - Accent3 2 2 4 6" xfId="9687" xr:uid="{00000000-0005-0000-0000-0000EB170000}"/>
    <cellStyle name="20% - Accent3 2 2 4 6 2" xfId="9688" xr:uid="{00000000-0005-0000-0000-0000EC170000}"/>
    <cellStyle name="20% - Accent3 2 2 4 6 2 2" xfId="9689" xr:uid="{00000000-0005-0000-0000-0000ED170000}"/>
    <cellStyle name="20% - Accent3 2 2 4 6 3" xfId="9690" xr:uid="{00000000-0005-0000-0000-0000EE170000}"/>
    <cellStyle name="20% - Accent3 2 2 4 7" xfId="9691" xr:uid="{00000000-0005-0000-0000-0000EF170000}"/>
    <cellStyle name="20% - Accent3 2 2 4 7 2" xfId="9692" xr:uid="{00000000-0005-0000-0000-0000F0170000}"/>
    <cellStyle name="20% - Accent3 2 2 4 8" xfId="9693" xr:uid="{00000000-0005-0000-0000-0000F1170000}"/>
    <cellStyle name="20% - Accent3 2 2 4 8 2" xfId="9694" xr:uid="{00000000-0005-0000-0000-0000F2170000}"/>
    <cellStyle name="20% - Accent3 2 2 4 9" xfId="9695" xr:uid="{00000000-0005-0000-0000-0000F3170000}"/>
    <cellStyle name="20% - Accent3 2 2 5" xfId="9696" xr:uid="{00000000-0005-0000-0000-0000F4170000}"/>
    <cellStyle name="20% - Accent3 2 2 5 10" xfId="9697" xr:uid="{00000000-0005-0000-0000-0000F5170000}"/>
    <cellStyle name="20% - Accent3 2 2 5 11" xfId="9698" xr:uid="{00000000-0005-0000-0000-0000F6170000}"/>
    <cellStyle name="20% - Accent3 2 2 5 2" xfId="9699" xr:uid="{00000000-0005-0000-0000-0000F7170000}"/>
    <cellStyle name="20% - Accent3 2 2 5 2 2" xfId="9700" xr:uid="{00000000-0005-0000-0000-0000F8170000}"/>
    <cellStyle name="20% - Accent3 2 2 5 2 2 2" xfId="9701" xr:uid="{00000000-0005-0000-0000-0000F9170000}"/>
    <cellStyle name="20% - Accent3 2 2 5 2 2 2 2" xfId="9702" xr:uid="{00000000-0005-0000-0000-0000FA170000}"/>
    <cellStyle name="20% - Accent3 2 2 5 2 2 2 2 2" xfId="9703" xr:uid="{00000000-0005-0000-0000-0000FB170000}"/>
    <cellStyle name="20% - Accent3 2 2 5 2 2 2 3" xfId="9704" xr:uid="{00000000-0005-0000-0000-0000FC170000}"/>
    <cellStyle name="20% - Accent3 2 2 5 2 2 3" xfId="9705" xr:uid="{00000000-0005-0000-0000-0000FD170000}"/>
    <cellStyle name="20% - Accent3 2 2 5 2 2 3 2" xfId="9706" xr:uid="{00000000-0005-0000-0000-0000FE170000}"/>
    <cellStyle name="20% - Accent3 2 2 5 2 2 4" xfId="9707" xr:uid="{00000000-0005-0000-0000-0000FF170000}"/>
    <cellStyle name="20% - Accent3 2 2 5 2 2 5" xfId="9708" xr:uid="{00000000-0005-0000-0000-000000180000}"/>
    <cellStyle name="20% - Accent3 2 2 5 2 2 6" xfId="9709" xr:uid="{00000000-0005-0000-0000-000001180000}"/>
    <cellStyle name="20% - Accent3 2 2 5 2 3" xfId="9710" xr:uid="{00000000-0005-0000-0000-000002180000}"/>
    <cellStyle name="20% - Accent3 2 2 5 2 3 2" xfId="9711" xr:uid="{00000000-0005-0000-0000-000003180000}"/>
    <cellStyle name="20% - Accent3 2 2 5 2 3 2 2" xfId="9712" xr:uid="{00000000-0005-0000-0000-000004180000}"/>
    <cellStyle name="20% - Accent3 2 2 5 2 3 3" xfId="9713" xr:uid="{00000000-0005-0000-0000-000005180000}"/>
    <cellStyle name="20% - Accent3 2 2 5 2 4" xfId="9714" xr:uid="{00000000-0005-0000-0000-000006180000}"/>
    <cellStyle name="20% - Accent3 2 2 5 2 4 2" xfId="9715" xr:uid="{00000000-0005-0000-0000-000007180000}"/>
    <cellStyle name="20% - Accent3 2 2 5 2 5" xfId="9716" xr:uid="{00000000-0005-0000-0000-000008180000}"/>
    <cellStyle name="20% - Accent3 2 2 5 2 5 2" xfId="9717" xr:uid="{00000000-0005-0000-0000-000009180000}"/>
    <cellStyle name="20% - Accent3 2 2 5 2 6" xfId="9718" xr:uid="{00000000-0005-0000-0000-00000A180000}"/>
    <cellStyle name="20% - Accent3 2 2 5 2 7" xfId="9719" xr:uid="{00000000-0005-0000-0000-00000B180000}"/>
    <cellStyle name="20% - Accent3 2 2 5 2 8" xfId="9720" xr:uid="{00000000-0005-0000-0000-00000C180000}"/>
    <cellStyle name="20% - Accent3 2 2 5 3" xfId="9721" xr:uid="{00000000-0005-0000-0000-00000D180000}"/>
    <cellStyle name="20% - Accent3 2 2 5 3 2" xfId="9722" xr:uid="{00000000-0005-0000-0000-00000E180000}"/>
    <cellStyle name="20% - Accent3 2 2 5 3 2 2" xfId="9723" xr:uid="{00000000-0005-0000-0000-00000F180000}"/>
    <cellStyle name="20% - Accent3 2 2 5 3 2 2 2" xfId="9724" xr:uid="{00000000-0005-0000-0000-000010180000}"/>
    <cellStyle name="20% - Accent3 2 2 5 3 2 2 2 2" xfId="9725" xr:uid="{00000000-0005-0000-0000-000011180000}"/>
    <cellStyle name="20% - Accent3 2 2 5 3 2 2 3" xfId="9726" xr:uid="{00000000-0005-0000-0000-000012180000}"/>
    <cellStyle name="20% - Accent3 2 2 5 3 2 3" xfId="9727" xr:uid="{00000000-0005-0000-0000-000013180000}"/>
    <cellStyle name="20% - Accent3 2 2 5 3 2 3 2" xfId="9728" xr:uid="{00000000-0005-0000-0000-000014180000}"/>
    <cellStyle name="20% - Accent3 2 2 5 3 2 4" xfId="9729" xr:uid="{00000000-0005-0000-0000-000015180000}"/>
    <cellStyle name="20% - Accent3 2 2 5 3 2 5" xfId="9730" xr:uid="{00000000-0005-0000-0000-000016180000}"/>
    <cellStyle name="20% - Accent3 2 2 5 3 2 6" xfId="9731" xr:uid="{00000000-0005-0000-0000-000017180000}"/>
    <cellStyle name="20% - Accent3 2 2 5 3 3" xfId="9732" xr:uid="{00000000-0005-0000-0000-000018180000}"/>
    <cellStyle name="20% - Accent3 2 2 5 3 3 2" xfId="9733" xr:uid="{00000000-0005-0000-0000-000019180000}"/>
    <cellStyle name="20% - Accent3 2 2 5 3 3 2 2" xfId="9734" xr:uid="{00000000-0005-0000-0000-00001A180000}"/>
    <cellStyle name="20% - Accent3 2 2 5 3 3 3" xfId="9735" xr:uid="{00000000-0005-0000-0000-00001B180000}"/>
    <cellStyle name="20% - Accent3 2 2 5 3 4" xfId="9736" xr:uid="{00000000-0005-0000-0000-00001C180000}"/>
    <cellStyle name="20% - Accent3 2 2 5 3 4 2" xfId="9737" xr:uid="{00000000-0005-0000-0000-00001D180000}"/>
    <cellStyle name="20% - Accent3 2 2 5 3 5" xfId="9738" xr:uid="{00000000-0005-0000-0000-00001E180000}"/>
    <cellStyle name="20% - Accent3 2 2 5 3 6" xfId="9739" xr:uid="{00000000-0005-0000-0000-00001F180000}"/>
    <cellStyle name="20% - Accent3 2 2 5 3 7" xfId="9740" xr:uid="{00000000-0005-0000-0000-000020180000}"/>
    <cellStyle name="20% - Accent3 2 2 5 4" xfId="9741" xr:uid="{00000000-0005-0000-0000-000021180000}"/>
    <cellStyle name="20% - Accent3 2 2 5 4 2" xfId="9742" xr:uid="{00000000-0005-0000-0000-000022180000}"/>
    <cellStyle name="20% - Accent3 2 2 5 4 2 2" xfId="9743" xr:uid="{00000000-0005-0000-0000-000023180000}"/>
    <cellStyle name="20% - Accent3 2 2 5 4 2 2 2" xfId="9744" xr:uid="{00000000-0005-0000-0000-000024180000}"/>
    <cellStyle name="20% - Accent3 2 2 5 4 2 3" xfId="9745" xr:uid="{00000000-0005-0000-0000-000025180000}"/>
    <cellStyle name="20% - Accent3 2 2 5 4 3" xfId="9746" xr:uid="{00000000-0005-0000-0000-000026180000}"/>
    <cellStyle name="20% - Accent3 2 2 5 4 3 2" xfId="9747" xr:uid="{00000000-0005-0000-0000-000027180000}"/>
    <cellStyle name="20% - Accent3 2 2 5 4 4" xfId="9748" xr:uid="{00000000-0005-0000-0000-000028180000}"/>
    <cellStyle name="20% - Accent3 2 2 5 4 5" xfId="9749" xr:uid="{00000000-0005-0000-0000-000029180000}"/>
    <cellStyle name="20% - Accent3 2 2 5 4 6" xfId="9750" xr:uid="{00000000-0005-0000-0000-00002A180000}"/>
    <cellStyle name="20% - Accent3 2 2 5 5" xfId="9751" xr:uid="{00000000-0005-0000-0000-00002B180000}"/>
    <cellStyle name="20% - Accent3 2 2 5 5 2" xfId="9752" xr:uid="{00000000-0005-0000-0000-00002C180000}"/>
    <cellStyle name="20% - Accent3 2 2 5 5 2 2" xfId="9753" xr:uid="{00000000-0005-0000-0000-00002D180000}"/>
    <cellStyle name="20% - Accent3 2 2 5 5 3" xfId="9754" xr:uid="{00000000-0005-0000-0000-00002E180000}"/>
    <cellStyle name="20% - Accent3 2 2 5 6" xfId="9755" xr:uid="{00000000-0005-0000-0000-00002F180000}"/>
    <cellStyle name="20% - Accent3 2 2 5 6 2" xfId="9756" xr:uid="{00000000-0005-0000-0000-000030180000}"/>
    <cellStyle name="20% - Accent3 2 2 5 6 2 2" xfId="9757" xr:uid="{00000000-0005-0000-0000-000031180000}"/>
    <cellStyle name="20% - Accent3 2 2 5 6 3" xfId="9758" xr:uid="{00000000-0005-0000-0000-000032180000}"/>
    <cellStyle name="20% - Accent3 2 2 5 7" xfId="9759" xr:uid="{00000000-0005-0000-0000-000033180000}"/>
    <cellStyle name="20% - Accent3 2 2 5 7 2" xfId="9760" xr:uid="{00000000-0005-0000-0000-000034180000}"/>
    <cellStyle name="20% - Accent3 2 2 5 8" xfId="9761" xr:uid="{00000000-0005-0000-0000-000035180000}"/>
    <cellStyle name="20% - Accent3 2 2 5 8 2" xfId="9762" xr:uid="{00000000-0005-0000-0000-000036180000}"/>
    <cellStyle name="20% - Accent3 2 2 5 9" xfId="9763" xr:uid="{00000000-0005-0000-0000-000037180000}"/>
    <cellStyle name="20% - Accent3 2 2 6" xfId="9764" xr:uid="{00000000-0005-0000-0000-000038180000}"/>
    <cellStyle name="20% - Accent3 2 2 6 10" xfId="9765" xr:uid="{00000000-0005-0000-0000-000039180000}"/>
    <cellStyle name="20% - Accent3 2 2 6 11" xfId="9766" xr:uid="{00000000-0005-0000-0000-00003A180000}"/>
    <cellStyle name="20% - Accent3 2 2 6 2" xfId="9767" xr:uid="{00000000-0005-0000-0000-00003B180000}"/>
    <cellStyle name="20% - Accent3 2 2 6 2 2" xfId="9768" xr:uid="{00000000-0005-0000-0000-00003C180000}"/>
    <cellStyle name="20% - Accent3 2 2 6 2 2 2" xfId="9769" xr:uid="{00000000-0005-0000-0000-00003D180000}"/>
    <cellStyle name="20% - Accent3 2 2 6 2 2 2 2" xfId="9770" xr:uid="{00000000-0005-0000-0000-00003E180000}"/>
    <cellStyle name="20% - Accent3 2 2 6 2 2 2 2 2" xfId="9771" xr:uid="{00000000-0005-0000-0000-00003F180000}"/>
    <cellStyle name="20% - Accent3 2 2 6 2 2 2 3" xfId="9772" xr:uid="{00000000-0005-0000-0000-000040180000}"/>
    <cellStyle name="20% - Accent3 2 2 6 2 2 3" xfId="9773" xr:uid="{00000000-0005-0000-0000-000041180000}"/>
    <cellStyle name="20% - Accent3 2 2 6 2 2 3 2" xfId="9774" xr:uid="{00000000-0005-0000-0000-000042180000}"/>
    <cellStyle name="20% - Accent3 2 2 6 2 2 4" xfId="9775" xr:uid="{00000000-0005-0000-0000-000043180000}"/>
    <cellStyle name="20% - Accent3 2 2 6 2 2 5" xfId="9776" xr:uid="{00000000-0005-0000-0000-000044180000}"/>
    <cellStyle name="20% - Accent3 2 2 6 2 2 6" xfId="9777" xr:uid="{00000000-0005-0000-0000-000045180000}"/>
    <cellStyle name="20% - Accent3 2 2 6 2 3" xfId="9778" xr:uid="{00000000-0005-0000-0000-000046180000}"/>
    <cellStyle name="20% - Accent3 2 2 6 2 3 2" xfId="9779" xr:uid="{00000000-0005-0000-0000-000047180000}"/>
    <cellStyle name="20% - Accent3 2 2 6 2 3 2 2" xfId="9780" xr:uid="{00000000-0005-0000-0000-000048180000}"/>
    <cellStyle name="20% - Accent3 2 2 6 2 3 3" xfId="9781" xr:uid="{00000000-0005-0000-0000-000049180000}"/>
    <cellStyle name="20% - Accent3 2 2 6 2 4" xfId="9782" xr:uid="{00000000-0005-0000-0000-00004A180000}"/>
    <cellStyle name="20% - Accent3 2 2 6 2 4 2" xfId="9783" xr:uid="{00000000-0005-0000-0000-00004B180000}"/>
    <cellStyle name="20% - Accent3 2 2 6 2 5" xfId="9784" xr:uid="{00000000-0005-0000-0000-00004C180000}"/>
    <cellStyle name="20% - Accent3 2 2 6 2 5 2" xfId="9785" xr:uid="{00000000-0005-0000-0000-00004D180000}"/>
    <cellStyle name="20% - Accent3 2 2 6 2 6" xfId="9786" xr:uid="{00000000-0005-0000-0000-00004E180000}"/>
    <cellStyle name="20% - Accent3 2 2 6 2 7" xfId="9787" xr:uid="{00000000-0005-0000-0000-00004F180000}"/>
    <cellStyle name="20% - Accent3 2 2 6 2 8" xfId="9788" xr:uid="{00000000-0005-0000-0000-000050180000}"/>
    <cellStyle name="20% - Accent3 2 2 6 3" xfId="9789" xr:uid="{00000000-0005-0000-0000-000051180000}"/>
    <cellStyle name="20% - Accent3 2 2 6 3 2" xfId="9790" xr:uid="{00000000-0005-0000-0000-000052180000}"/>
    <cellStyle name="20% - Accent3 2 2 6 3 2 2" xfId="9791" xr:uid="{00000000-0005-0000-0000-000053180000}"/>
    <cellStyle name="20% - Accent3 2 2 6 3 2 2 2" xfId="9792" xr:uid="{00000000-0005-0000-0000-000054180000}"/>
    <cellStyle name="20% - Accent3 2 2 6 3 2 2 2 2" xfId="9793" xr:uid="{00000000-0005-0000-0000-000055180000}"/>
    <cellStyle name="20% - Accent3 2 2 6 3 2 2 3" xfId="9794" xr:uid="{00000000-0005-0000-0000-000056180000}"/>
    <cellStyle name="20% - Accent3 2 2 6 3 2 3" xfId="9795" xr:uid="{00000000-0005-0000-0000-000057180000}"/>
    <cellStyle name="20% - Accent3 2 2 6 3 2 3 2" xfId="9796" xr:uid="{00000000-0005-0000-0000-000058180000}"/>
    <cellStyle name="20% - Accent3 2 2 6 3 2 4" xfId="9797" xr:uid="{00000000-0005-0000-0000-000059180000}"/>
    <cellStyle name="20% - Accent3 2 2 6 3 2 5" xfId="9798" xr:uid="{00000000-0005-0000-0000-00005A180000}"/>
    <cellStyle name="20% - Accent3 2 2 6 3 2 6" xfId="9799" xr:uid="{00000000-0005-0000-0000-00005B180000}"/>
    <cellStyle name="20% - Accent3 2 2 6 3 3" xfId="9800" xr:uid="{00000000-0005-0000-0000-00005C180000}"/>
    <cellStyle name="20% - Accent3 2 2 6 3 3 2" xfId="9801" xr:uid="{00000000-0005-0000-0000-00005D180000}"/>
    <cellStyle name="20% - Accent3 2 2 6 3 3 2 2" xfId="9802" xr:uid="{00000000-0005-0000-0000-00005E180000}"/>
    <cellStyle name="20% - Accent3 2 2 6 3 3 3" xfId="9803" xr:uid="{00000000-0005-0000-0000-00005F180000}"/>
    <cellStyle name="20% - Accent3 2 2 6 3 4" xfId="9804" xr:uid="{00000000-0005-0000-0000-000060180000}"/>
    <cellStyle name="20% - Accent3 2 2 6 3 4 2" xfId="9805" xr:uid="{00000000-0005-0000-0000-000061180000}"/>
    <cellStyle name="20% - Accent3 2 2 6 3 5" xfId="9806" xr:uid="{00000000-0005-0000-0000-000062180000}"/>
    <cellStyle name="20% - Accent3 2 2 6 3 6" xfId="9807" xr:uid="{00000000-0005-0000-0000-000063180000}"/>
    <cellStyle name="20% - Accent3 2 2 6 3 7" xfId="9808" xr:uid="{00000000-0005-0000-0000-000064180000}"/>
    <cellStyle name="20% - Accent3 2 2 6 4" xfId="9809" xr:uid="{00000000-0005-0000-0000-000065180000}"/>
    <cellStyle name="20% - Accent3 2 2 6 4 2" xfId="9810" xr:uid="{00000000-0005-0000-0000-000066180000}"/>
    <cellStyle name="20% - Accent3 2 2 6 4 2 2" xfId="9811" xr:uid="{00000000-0005-0000-0000-000067180000}"/>
    <cellStyle name="20% - Accent3 2 2 6 4 2 2 2" xfId="9812" xr:uid="{00000000-0005-0000-0000-000068180000}"/>
    <cellStyle name="20% - Accent3 2 2 6 4 2 3" xfId="9813" xr:uid="{00000000-0005-0000-0000-000069180000}"/>
    <cellStyle name="20% - Accent3 2 2 6 4 3" xfId="9814" xr:uid="{00000000-0005-0000-0000-00006A180000}"/>
    <cellStyle name="20% - Accent3 2 2 6 4 3 2" xfId="9815" xr:uid="{00000000-0005-0000-0000-00006B180000}"/>
    <cellStyle name="20% - Accent3 2 2 6 4 4" xfId="9816" xr:uid="{00000000-0005-0000-0000-00006C180000}"/>
    <cellStyle name="20% - Accent3 2 2 6 4 5" xfId="9817" xr:uid="{00000000-0005-0000-0000-00006D180000}"/>
    <cellStyle name="20% - Accent3 2 2 6 4 6" xfId="9818" xr:uid="{00000000-0005-0000-0000-00006E180000}"/>
    <cellStyle name="20% - Accent3 2 2 6 5" xfId="9819" xr:uid="{00000000-0005-0000-0000-00006F180000}"/>
    <cellStyle name="20% - Accent3 2 2 6 5 2" xfId="9820" xr:uid="{00000000-0005-0000-0000-000070180000}"/>
    <cellStyle name="20% - Accent3 2 2 6 5 2 2" xfId="9821" xr:uid="{00000000-0005-0000-0000-000071180000}"/>
    <cellStyle name="20% - Accent3 2 2 6 5 3" xfId="9822" xr:uid="{00000000-0005-0000-0000-000072180000}"/>
    <cellStyle name="20% - Accent3 2 2 6 6" xfId="9823" xr:uid="{00000000-0005-0000-0000-000073180000}"/>
    <cellStyle name="20% - Accent3 2 2 6 6 2" xfId="9824" xr:uid="{00000000-0005-0000-0000-000074180000}"/>
    <cellStyle name="20% - Accent3 2 2 6 6 2 2" xfId="9825" xr:uid="{00000000-0005-0000-0000-000075180000}"/>
    <cellStyle name="20% - Accent3 2 2 6 6 3" xfId="9826" xr:uid="{00000000-0005-0000-0000-000076180000}"/>
    <cellStyle name="20% - Accent3 2 2 6 7" xfId="9827" xr:uid="{00000000-0005-0000-0000-000077180000}"/>
    <cellStyle name="20% - Accent3 2 2 6 7 2" xfId="9828" xr:uid="{00000000-0005-0000-0000-000078180000}"/>
    <cellStyle name="20% - Accent3 2 2 6 8" xfId="9829" xr:uid="{00000000-0005-0000-0000-000079180000}"/>
    <cellStyle name="20% - Accent3 2 2 6 8 2" xfId="9830" xr:uid="{00000000-0005-0000-0000-00007A180000}"/>
    <cellStyle name="20% - Accent3 2 2 6 9" xfId="9831" xr:uid="{00000000-0005-0000-0000-00007B180000}"/>
    <cellStyle name="20% - Accent3 2 2 7" xfId="9832" xr:uid="{00000000-0005-0000-0000-00007C180000}"/>
    <cellStyle name="20% - Accent3 2 2 7 2" xfId="9833" xr:uid="{00000000-0005-0000-0000-00007D180000}"/>
    <cellStyle name="20% - Accent3 2 2 7 2 2" xfId="9834" xr:uid="{00000000-0005-0000-0000-00007E180000}"/>
    <cellStyle name="20% - Accent3 2 2 7 2 2 2" xfId="9835" xr:uid="{00000000-0005-0000-0000-00007F180000}"/>
    <cellStyle name="20% - Accent3 2 2 7 2 2 2 2" xfId="9836" xr:uid="{00000000-0005-0000-0000-000080180000}"/>
    <cellStyle name="20% - Accent3 2 2 7 2 2 3" xfId="9837" xr:uid="{00000000-0005-0000-0000-000081180000}"/>
    <cellStyle name="20% - Accent3 2 2 7 2 3" xfId="9838" xr:uid="{00000000-0005-0000-0000-000082180000}"/>
    <cellStyle name="20% - Accent3 2 2 7 2 3 2" xfId="9839" xr:uid="{00000000-0005-0000-0000-000083180000}"/>
    <cellStyle name="20% - Accent3 2 2 7 2 4" xfId="9840" xr:uid="{00000000-0005-0000-0000-000084180000}"/>
    <cellStyle name="20% - Accent3 2 2 7 2 5" xfId="9841" xr:uid="{00000000-0005-0000-0000-000085180000}"/>
    <cellStyle name="20% - Accent3 2 2 7 2 6" xfId="9842" xr:uid="{00000000-0005-0000-0000-000086180000}"/>
    <cellStyle name="20% - Accent3 2 2 7 3" xfId="9843" xr:uid="{00000000-0005-0000-0000-000087180000}"/>
    <cellStyle name="20% - Accent3 2 2 7 3 2" xfId="9844" xr:uid="{00000000-0005-0000-0000-000088180000}"/>
    <cellStyle name="20% - Accent3 2 2 7 3 2 2" xfId="9845" xr:uid="{00000000-0005-0000-0000-000089180000}"/>
    <cellStyle name="20% - Accent3 2 2 7 3 3" xfId="9846" xr:uid="{00000000-0005-0000-0000-00008A180000}"/>
    <cellStyle name="20% - Accent3 2 2 7 4" xfId="9847" xr:uid="{00000000-0005-0000-0000-00008B180000}"/>
    <cellStyle name="20% - Accent3 2 2 7 4 2" xfId="9848" xr:uid="{00000000-0005-0000-0000-00008C180000}"/>
    <cellStyle name="20% - Accent3 2 2 7 5" xfId="9849" xr:uid="{00000000-0005-0000-0000-00008D180000}"/>
    <cellStyle name="20% - Accent3 2 2 7 5 2" xfId="9850" xr:uid="{00000000-0005-0000-0000-00008E180000}"/>
    <cellStyle name="20% - Accent3 2 2 7 6" xfId="9851" xr:uid="{00000000-0005-0000-0000-00008F180000}"/>
    <cellStyle name="20% - Accent3 2 2 7 7" xfId="9852" xr:uid="{00000000-0005-0000-0000-000090180000}"/>
    <cellStyle name="20% - Accent3 2 2 7 8" xfId="9853" xr:uid="{00000000-0005-0000-0000-000091180000}"/>
    <cellStyle name="20% - Accent3 2 2 8" xfId="9854" xr:uid="{00000000-0005-0000-0000-000092180000}"/>
    <cellStyle name="20% - Accent3 2 2 8 2" xfId="9855" xr:uid="{00000000-0005-0000-0000-000093180000}"/>
    <cellStyle name="20% - Accent3 2 2 8 2 2" xfId="9856" xr:uid="{00000000-0005-0000-0000-000094180000}"/>
    <cellStyle name="20% - Accent3 2 2 8 2 2 2" xfId="9857" xr:uid="{00000000-0005-0000-0000-000095180000}"/>
    <cellStyle name="20% - Accent3 2 2 8 2 2 2 2" xfId="9858" xr:uid="{00000000-0005-0000-0000-000096180000}"/>
    <cellStyle name="20% - Accent3 2 2 8 2 2 3" xfId="9859" xr:uid="{00000000-0005-0000-0000-000097180000}"/>
    <cellStyle name="20% - Accent3 2 2 8 2 3" xfId="9860" xr:uid="{00000000-0005-0000-0000-000098180000}"/>
    <cellStyle name="20% - Accent3 2 2 8 2 3 2" xfId="9861" xr:uid="{00000000-0005-0000-0000-000099180000}"/>
    <cellStyle name="20% - Accent3 2 2 8 2 4" xfId="9862" xr:uid="{00000000-0005-0000-0000-00009A180000}"/>
    <cellStyle name="20% - Accent3 2 2 8 2 5" xfId="9863" xr:uid="{00000000-0005-0000-0000-00009B180000}"/>
    <cellStyle name="20% - Accent3 2 2 8 2 6" xfId="9864" xr:uid="{00000000-0005-0000-0000-00009C180000}"/>
    <cellStyle name="20% - Accent3 2 2 8 3" xfId="9865" xr:uid="{00000000-0005-0000-0000-00009D180000}"/>
    <cellStyle name="20% - Accent3 2 2 8 3 2" xfId="9866" xr:uid="{00000000-0005-0000-0000-00009E180000}"/>
    <cellStyle name="20% - Accent3 2 2 8 3 2 2" xfId="9867" xr:uid="{00000000-0005-0000-0000-00009F180000}"/>
    <cellStyle name="20% - Accent3 2 2 8 3 3" xfId="9868" xr:uid="{00000000-0005-0000-0000-0000A0180000}"/>
    <cellStyle name="20% - Accent3 2 2 8 4" xfId="9869" xr:uid="{00000000-0005-0000-0000-0000A1180000}"/>
    <cellStyle name="20% - Accent3 2 2 8 4 2" xfId="9870" xr:uid="{00000000-0005-0000-0000-0000A2180000}"/>
    <cellStyle name="20% - Accent3 2 2 8 5" xfId="9871" xr:uid="{00000000-0005-0000-0000-0000A3180000}"/>
    <cellStyle name="20% - Accent3 2 2 8 6" xfId="9872" xr:uid="{00000000-0005-0000-0000-0000A4180000}"/>
    <cellStyle name="20% - Accent3 2 2 8 7" xfId="9873" xr:uid="{00000000-0005-0000-0000-0000A5180000}"/>
    <cellStyle name="20% - Accent3 2 2 9" xfId="9874" xr:uid="{00000000-0005-0000-0000-0000A6180000}"/>
    <cellStyle name="20% - Accent3 2 2 9 2" xfId="9875" xr:uid="{00000000-0005-0000-0000-0000A7180000}"/>
    <cellStyle name="20% - Accent3 2 2 9 2 2" xfId="9876" xr:uid="{00000000-0005-0000-0000-0000A8180000}"/>
    <cellStyle name="20% - Accent3 2 2 9 2 2 2" xfId="9877" xr:uid="{00000000-0005-0000-0000-0000A9180000}"/>
    <cellStyle name="20% - Accent3 2 2 9 2 3" xfId="9878" xr:uid="{00000000-0005-0000-0000-0000AA180000}"/>
    <cellStyle name="20% - Accent3 2 2 9 3" xfId="9879" xr:uid="{00000000-0005-0000-0000-0000AB180000}"/>
    <cellStyle name="20% - Accent3 2 2 9 3 2" xfId="9880" xr:uid="{00000000-0005-0000-0000-0000AC180000}"/>
    <cellStyle name="20% - Accent3 2 2 9 4" xfId="9881" xr:uid="{00000000-0005-0000-0000-0000AD180000}"/>
    <cellStyle name="20% - Accent3 2 2 9 5" xfId="9882" xr:uid="{00000000-0005-0000-0000-0000AE180000}"/>
    <cellStyle name="20% - Accent3 2 2 9 6" xfId="9883" xr:uid="{00000000-0005-0000-0000-0000AF180000}"/>
    <cellStyle name="20% - Accent3 2 3" xfId="9884" xr:uid="{00000000-0005-0000-0000-0000B0180000}"/>
    <cellStyle name="20% - Accent3 2 3 2" xfId="9885" xr:uid="{00000000-0005-0000-0000-0000B1180000}"/>
    <cellStyle name="20% - Accent3 2 3 2 2" xfId="9886" xr:uid="{00000000-0005-0000-0000-0000B2180000}"/>
    <cellStyle name="20% - Accent3 2 3 2 2 2" xfId="9887" xr:uid="{00000000-0005-0000-0000-0000B3180000}"/>
    <cellStyle name="20% - Accent3 2 3 2 2 2 2" xfId="9888" xr:uid="{00000000-0005-0000-0000-0000B4180000}"/>
    <cellStyle name="20% - Accent3 2 3 2 2 3" xfId="9889" xr:uid="{00000000-0005-0000-0000-0000B5180000}"/>
    <cellStyle name="20% - Accent3 2 3 2 3" xfId="9890" xr:uid="{00000000-0005-0000-0000-0000B6180000}"/>
    <cellStyle name="20% - Accent3 2 3 2 3 2" xfId="9891" xr:uid="{00000000-0005-0000-0000-0000B7180000}"/>
    <cellStyle name="20% - Accent3 2 3 2 4" xfId="9892" xr:uid="{00000000-0005-0000-0000-0000B8180000}"/>
    <cellStyle name="20% - Accent3 2 3 3" xfId="9893" xr:uid="{00000000-0005-0000-0000-0000B9180000}"/>
    <cellStyle name="20% - Accent3 2 3 3 2" xfId="9894" xr:uid="{00000000-0005-0000-0000-0000BA180000}"/>
    <cellStyle name="20% - Accent3 2 3 3 2 2" xfId="9895" xr:uid="{00000000-0005-0000-0000-0000BB180000}"/>
    <cellStyle name="20% - Accent3 2 3 3 2 2 2" xfId="9896" xr:uid="{00000000-0005-0000-0000-0000BC180000}"/>
    <cellStyle name="20% - Accent3 2 3 3 2 3" xfId="9897" xr:uid="{00000000-0005-0000-0000-0000BD180000}"/>
    <cellStyle name="20% - Accent3 2 3 3 3" xfId="9898" xr:uid="{00000000-0005-0000-0000-0000BE180000}"/>
    <cellStyle name="20% - Accent3 2 3 3 3 2" xfId="9899" xr:uid="{00000000-0005-0000-0000-0000BF180000}"/>
    <cellStyle name="20% - Accent3 2 3 3 4" xfId="9900" xr:uid="{00000000-0005-0000-0000-0000C0180000}"/>
    <cellStyle name="20% - Accent3 2 3 4" xfId="9901" xr:uid="{00000000-0005-0000-0000-0000C1180000}"/>
    <cellStyle name="20% - Accent3 2 3 4 2" xfId="9902" xr:uid="{00000000-0005-0000-0000-0000C2180000}"/>
    <cellStyle name="20% - Accent3 2 3 4 2 2" xfId="9903" xr:uid="{00000000-0005-0000-0000-0000C3180000}"/>
    <cellStyle name="20% - Accent3 2 3 4 2 2 2" xfId="9904" xr:uid="{00000000-0005-0000-0000-0000C4180000}"/>
    <cellStyle name="20% - Accent3 2 3 4 2 3" xfId="9905" xr:uid="{00000000-0005-0000-0000-0000C5180000}"/>
    <cellStyle name="20% - Accent3 2 3 4 3" xfId="9906" xr:uid="{00000000-0005-0000-0000-0000C6180000}"/>
    <cellStyle name="20% - Accent3 2 3 4 3 2" xfId="9907" xr:uid="{00000000-0005-0000-0000-0000C7180000}"/>
    <cellStyle name="20% - Accent3 2 3 4 4" xfId="9908" xr:uid="{00000000-0005-0000-0000-0000C8180000}"/>
    <cellStyle name="20% - Accent3 2 4" xfId="9909" xr:uid="{00000000-0005-0000-0000-0000C9180000}"/>
    <cellStyle name="20% - Accent3 2 4 2" xfId="9910" xr:uid="{00000000-0005-0000-0000-0000CA180000}"/>
    <cellStyle name="20% - Accent3 2 5" xfId="9911" xr:uid="{00000000-0005-0000-0000-0000CB180000}"/>
    <cellStyle name="20% - Accent3 2 5 2" xfId="9912" xr:uid="{00000000-0005-0000-0000-0000CC180000}"/>
    <cellStyle name="20% - Accent3 2 6" xfId="9913" xr:uid="{00000000-0005-0000-0000-0000CD180000}"/>
    <cellStyle name="20% - Accent3 2 6 2" xfId="9914" xr:uid="{00000000-0005-0000-0000-0000CE180000}"/>
    <cellStyle name="20% - Accent3 2 7" xfId="9915" xr:uid="{00000000-0005-0000-0000-0000CF180000}"/>
    <cellStyle name="20% - Accent3 2 7 2" xfId="9916" xr:uid="{00000000-0005-0000-0000-0000D0180000}"/>
    <cellStyle name="20% - Accent3 2 7 2 2" xfId="9917" xr:uid="{00000000-0005-0000-0000-0000D1180000}"/>
    <cellStyle name="20% - Accent3 2 7 3" xfId="9918" xr:uid="{00000000-0005-0000-0000-0000D2180000}"/>
    <cellStyle name="20% - Accent3 3" xfId="172" xr:uid="{00000000-0005-0000-0000-0000D3180000}"/>
    <cellStyle name="20% - Accent3 3 10" xfId="9919" xr:uid="{00000000-0005-0000-0000-0000D4180000}"/>
    <cellStyle name="20% - Accent3 3 10 2" xfId="9920" xr:uid="{00000000-0005-0000-0000-0000D5180000}"/>
    <cellStyle name="20% - Accent3 3 10 2 2" xfId="9921" xr:uid="{00000000-0005-0000-0000-0000D6180000}"/>
    <cellStyle name="20% - Accent3 3 10 2 2 2" xfId="9922" xr:uid="{00000000-0005-0000-0000-0000D7180000}"/>
    <cellStyle name="20% - Accent3 3 10 2 2 2 2" xfId="9923" xr:uid="{00000000-0005-0000-0000-0000D8180000}"/>
    <cellStyle name="20% - Accent3 3 10 2 2 3" xfId="9924" xr:uid="{00000000-0005-0000-0000-0000D9180000}"/>
    <cellStyle name="20% - Accent3 3 10 2 3" xfId="9925" xr:uid="{00000000-0005-0000-0000-0000DA180000}"/>
    <cellStyle name="20% - Accent3 3 10 2 3 2" xfId="9926" xr:uid="{00000000-0005-0000-0000-0000DB180000}"/>
    <cellStyle name="20% - Accent3 3 10 2 4" xfId="9927" xr:uid="{00000000-0005-0000-0000-0000DC180000}"/>
    <cellStyle name="20% - Accent3 3 10 2 5" xfId="9928" xr:uid="{00000000-0005-0000-0000-0000DD180000}"/>
    <cellStyle name="20% - Accent3 3 10 2 6" xfId="9929" xr:uid="{00000000-0005-0000-0000-0000DE180000}"/>
    <cellStyle name="20% - Accent3 3 10 3" xfId="9930" xr:uid="{00000000-0005-0000-0000-0000DF180000}"/>
    <cellStyle name="20% - Accent3 3 10 3 2" xfId="9931" xr:uid="{00000000-0005-0000-0000-0000E0180000}"/>
    <cellStyle name="20% - Accent3 3 10 3 2 2" xfId="9932" xr:uid="{00000000-0005-0000-0000-0000E1180000}"/>
    <cellStyle name="20% - Accent3 3 10 3 3" xfId="9933" xr:uid="{00000000-0005-0000-0000-0000E2180000}"/>
    <cellStyle name="20% - Accent3 3 10 4" xfId="9934" xr:uid="{00000000-0005-0000-0000-0000E3180000}"/>
    <cellStyle name="20% - Accent3 3 10 4 2" xfId="9935" xr:uid="{00000000-0005-0000-0000-0000E4180000}"/>
    <cellStyle name="20% - Accent3 3 10 4 2 2" xfId="9936" xr:uid="{00000000-0005-0000-0000-0000E5180000}"/>
    <cellStyle name="20% - Accent3 3 10 4 3" xfId="9937" xr:uid="{00000000-0005-0000-0000-0000E6180000}"/>
    <cellStyle name="20% - Accent3 3 10 5" xfId="9938" xr:uid="{00000000-0005-0000-0000-0000E7180000}"/>
    <cellStyle name="20% - Accent3 3 10 6" xfId="9939" xr:uid="{00000000-0005-0000-0000-0000E8180000}"/>
    <cellStyle name="20% - Accent3 3 11" xfId="9940" xr:uid="{00000000-0005-0000-0000-0000E9180000}"/>
    <cellStyle name="20% - Accent3 3 11 2" xfId="9941" xr:uid="{00000000-0005-0000-0000-0000EA180000}"/>
    <cellStyle name="20% - Accent3 3 11 2 2" xfId="9942" xr:uid="{00000000-0005-0000-0000-0000EB180000}"/>
    <cellStyle name="20% - Accent3 3 11 2 2 2" xfId="9943" xr:uid="{00000000-0005-0000-0000-0000EC180000}"/>
    <cellStyle name="20% - Accent3 3 11 2 2 2 2" xfId="9944" xr:uid="{00000000-0005-0000-0000-0000ED180000}"/>
    <cellStyle name="20% - Accent3 3 11 2 2 3" xfId="9945" xr:uid="{00000000-0005-0000-0000-0000EE180000}"/>
    <cellStyle name="20% - Accent3 3 11 2 3" xfId="9946" xr:uid="{00000000-0005-0000-0000-0000EF180000}"/>
    <cellStyle name="20% - Accent3 3 11 2 3 2" xfId="9947" xr:uid="{00000000-0005-0000-0000-0000F0180000}"/>
    <cellStyle name="20% - Accent3 3 11 2 4" xfId="9948" xr:uid="{00000000-0005-0000-0000-0000F1180000}"/>
    <cellStyle name="20% - Accent3 3 11 2 5" xfId="9949" xr:uid="{00000000-0005-0000-0000-0000F2180000}"/>
    <cellStyle name="20% - Accent3 3 11 2 6" xfId="9950" xr:uid="{00000000-0005-0000-0000-0000F3180000}"/>
    <cellStyle name="20% - Accent3 3 11 3" xfId="9951" xr:uid="{00000000-0005-0000-0000-0000F4180000}"/>
    <cellStyle name="20% - Accent3 3 11 3 2" xfId="9952" xr:uid="{00000000-0005-0000-0000-0000F5180000}"/>
    <cellStyle name="20% - Accent3 3 11 3 2 2" xfId="9953" xr:uid="{00000000-0005-0000-0000-0000F6180000}"/>
    <cellStyle name="20% - Accent3 3 11 3 3" xfId="9954" xr:uid="{00000000-0005-0000-0000-0000F7180000}"/>
    <cellStyle name="20% - Accent3 3 11 4" xfId="9955" xr:uid="{00000000-0005-0000-0000-0000F8180000}"/>
    <cellStyle name="20% - Accent3 3 11 4 2" xfId="9956" xr:uid="{00000000-0005-0000-0000-0000F9180000}"/>
    <cellStyle name="20% - Accent3 3 11 5" xfId="9957" xr:uid="{00000000-0005-0000-0000-0000FA180000}"/>
    <cellStyle name="20% - Accent3 3 11 6" xfId="9958" xr:uid="{00000000-0005-0000-0000-0000FB180000}"/>
    <cellStyle name="20% - Accent3 3 11 7" xfId="9959" xr:uid="{00000000-0005-0000-0000-0000FC180000}"/>
    <cellStyle name="20% - Accent3 3 12" xfId="9960" xr:uid="{00000000-0005-0000-0000-0000FD180000}"/>
    <cellStyle name="20% - Accent3 3 13" xfId="9961" xr:uid="{00000000-0005-0000-0000-0000FE180000}"/>
    <cellStyle name="20% - Accent3 3 13 2" xfId="9962" xr:uid="{00000000-0005-0000-0000-0000FF180000}"/>
    <cellStyle name="20% - Accent3 3 13 2 2" xfId="9963" xr:uid="{00000000-0005-0000-0000-000000190000}"/>
    <cellStyle name="20% - Accent3 3 13 2 2 2" xfId="9964" xr:uid="{00000000-0005-0000-0000-000001190000}"/>
    <cellStyle name="20% - Accent3 3 13 2 3" xfId="9965" xr:uid="{00000000-0005-0000-0000-000002190000}"/>
    <cellStyle name="20% - Accent3 3 13 3" xfId="9966" xr:uid="{00000000-0005-0000-0000-000003190000}"/>
    <cellStyle name="20% - Accent3 3 13 3 2" xfId="9967" xr:uid="{00000000-0005-0000-0000-000004190000}"/>
    <cellStyle name="20% - Accent3 3 13 4" xfId="9968" xr:uid="{00000000-0005-0000-0000-000005190000}"/>
    <cellStyle name="20% - Accent3 3 14" xfId="9969" xr:uid="{00000000-0005-0000-0000-000006190000}"/>
    <cellStyle name="20% - Accent3 3 14 2" xfId="9970" xr:uid="{00000000-0005-0000-0000-000007190000}"/>
    <cellStyle name="20% - Accent3 3 14 2 2" xfId="9971" xr:uid="{00000000-0005-0000-0000-000008190000}"/>
    <cellStyle name="20% - Accent3 3 14 2 2 2" xfId="9972" xr:uid="{00000000-0005-0000-0000-000009190000}"/>
    <cellStyle name="20% - Accent3 3 14 2 3" xfId="9973" xr:uid="{00000000-0005-0000-0000-00000A190000}"/>
    <cellStyle name="20% - Accent3 3 14 3" xfId="9974" xr:uid="{00000000-0005-0000-0000-00000B190000}"/>
    <cellStyle name="20% - Accent3 3 14 3 2" xfId="9975" xr:uid="{00000000-0005-0000-0000-00000C190000}"/>
    <cellStyle name="20% - Accent3 3 14 4" xfId="9976" xr:uid="{00000000-0005-0000-0000-00000D190000}"/>
    <cellStyle name="20% - Accent3 3 15" xfId="9977" xr:uid="{00000000-0005-0000-0000-00000E190000}"/>
    <cellStyle name="20% - Accent3 3 15 2" xfId="9978" xr:uid="{00000000-0005-0000-0000-00000F190000}"/>
    <cellStyle name="20% - Accent3 3 15 2 2" xfId="9979" xr:uid="{00000000-0005-0000-0000-000010190000}"/>
    <cellStyle name="20% - Accent3 3 15 2 2 2" xfId="9980" xr:uid="{00000000-0005-0000-0000-000011190000}"/>
    <cellStyle name="20% - Accent3 3 15 2 3" xfId="9981" xr:uid="{00000000-0005-0000-0000-000012190000}"/>
    <cellStyle name="20% - Accent3 3 15 3" xfId="9982" xr:uid="{00000000-0005-0000-0000-000013190000}"/>
    <cellStyle name="20% - Accent3 3 15 3 2" xfId="9983" xr:uid="{00000000-0005-0000-0000-000014190000}"/>
    <cellStyle name="20% - Accent3 3 15 4" xfId="9984" xr:uid="{00000000-0005-0000-0000-000015190000}"/>
    <cellStyle name="20% - Accent3 3 16" xfId="9985" xr:uid="{00000000-0005-0000-0000-000016190000}"/>
    <cellStyle name="20% - Accent3 3 16 2" xfId="9986" xr:uid="{00000000-0005-0000-0000-000017190000}"/>
    <cellStyle name="20% - Accent3 3 16 2 2" xfId="9987" xr:uid="{00000000-0005-0000-0000-000018190000}"/>
    <cellStyle name="20% - Accent3 3 16 3" xfId="9988" xr:uid="{00000000-0005-0000-0000-000019190000}"/>
    <cellStyle name="20% - Accent3 3 2" xfId="9989" xr:uid="{00000000-0005-0000-0000-00001A190000}"/>
    <cellStyle name="20% - Accent3 3 2 10" xfId="9990" xr:uid="{00000000-0005-0000-0000-00001B190000}"/>
    <cellStyle name="20% - Accent3 3 2 11" xfId="9991" xr:uid="{00000000-0005-0000-0000-00001C190000}"/>
    <cellStyle name="20% - Accent3 3 2 2" xfId="9992" xr:uid="{00000000-0005-0000-0000-00001D190000}"/>
    <cellStyle name="20% - Accent3 3 2 2 2" xfId="9993" xr:uid="{00000000-0005-0000-0000-00001E190000}"/>
    <cellStyle name="20% - Accent3 3 2 2 2 2" xfId="9994" xr:uid="{00000000-0005-0000-0000-00001F190000}"/>
    <cellStyle name="20% - Accent3 3 2 2 2 2 2" xfId="9995" xr:uid="{00000000-0005-0000-0000-000020190000}"/>
    <cellStyle name="20% - Accent3 3 2 2 2 2 2 2" xfId="9996" xr:uid="{00000000-0005-0000-0000-000021190000}"/>
    <cellStyle name="20% - Accent3 3 2 2 2 2 3" xfId="9997" xr:uid="{00000000-0005-0000-0000-000022190000}"/>
    <cellStyle name="20% - Accent3 3 2 2 2 3" xfId="9998" xr:uid="{00000000-0005-0000-0000-000023190000}"/>
    <cellStyle name="20% - Accent3 3 2 2 2 3 2" xfId="9999" xr:uid="{00000000-0005-0000-0000-000024190000}"/>
    <cellStyle name="20% - Accent3 3 2 2 2 4" xfId="10000" xr:uid="{00000000-0005-0000-0000-000025190000}"/>
    <cellStyle name="20% - Accent3 3 2 2 2 5" xfId="10001" xr:uid="{00000000-0005-0000-0000-000026190000}"/>
    <cellStyle name="20% - Accent3 3 2 2 2 6" xfId="10002" xr:uid="{00000000-0005-0000-0000-000027190000}"/>
    <cellStyle name="20% - Accent3 3 2 2 3" xfId="10003" xr:uid="{00000000-0005-0000-0000-000028190000}"/>
    <cellStyle name="20% - Accent3 3 2 2 3 2" xfId="10004" xr:uid="{00000000-0005-0000-0000-000029190000}"/>
    <cellStyle name="20% - Accent3 3 2 2 3 2 2" xfId="10005" xr:uid="{00000000-0005-0000-0000-00002A190000}"/>
    <cellStyle name="20% - Accent3 3 2 2 3 3" xfId="10006" xr:uid="{00000000-0005-0000-0000-00002B190000}"/>
    <cellStyle name="20% - Accent3 3 2 2 4" xfId="10007" xr:uid="{00000000-0005-0000-0000-00002C190000}"/>
    <cellStyle name="20% - Accent3 3 2 2 4 2" xfId="10008" xr:uid="{00000000-0005-0000-0000-00002D190000}"/>
    <cellStyle name="20% - Accent3 3 2 2 5" xfId="10009" xr:uid="{00000000-0005-0000-0000-00002E190000}"/>
    <cellStyle name="20% - Accent3 3 2 2 5 2" xfId="10010" xr:uid="{00000000-0005-0000-0000-00002F190000}"/>
    <cellStyle name="20% - Accent3 3 2 2 6" xfId="10011" xr:uid="{00000000-0005-0000-0000-000030190000}"/>
    <cellStyle name="20% - Accent3 3 2 2 7" xfId="10012" xr:uid="{00000000-0005-0000-0000-000031190000}"/>
    <cellStyle name="20% - Accent3 3 2 2 8" xfId="10013" xr:uid="{00000000-0005-0000-0000-000032190000}"/>
    <cellStyle name="20% - Accent3 3 2 3" xfId="10014" xr:uid="{00000000-0005-0000-0000-000033190000}"/>
    <cellStyle name="20% - Accent3 3 2 3 2" xfId="10015" xr:uid="{00000000-0005-0000-0000-000034190000}"/>
    <cellStyle name="20% - Accent3 3 2 3 2 2" xfId="10016" xr:uid="{00000000-0005-0000-0000-000035190000}"/>
    <cellStyle name="20% - Accent3 3 2 3 2 2 2" xfId="10017" xr:uid="{00000000-0005-0000-0000-000036190000}"/>
    <cellStyle name="20% - Accent3 3 2 3 2 2 2 2" xfId="10018" xr:uid="{00000000-0005-0000-0000-000037190000}"/>
    <cellStyle name="20% - Accent3 3 2 3 2 2 3" xfId="10019" xr:uid="{00000000-0005-0000-0000-000038190000}"/>
    <cellStyle name="20% - Accent3 3 2 3 2 3" xfId="10020" xr:uid="{00000000-0005-0000-0000-000039190000}"/>
    <cellStyle name="20% - Accent3 3 2 3 2 3 2" xfId="10021" xr:uid="{00000000-0005-0000-0000-00003A190000}"/>
    <cellStyle name="20% - Accent3 3 2 3 2 4" xfId="10022" xr:uid="{00000000-0005-0000-0000-00003B190000}"/>
    <cellStyle name="20% - Accent3 3 2 3 2 5" xfId="10023" xr:uid="{00000000-0005-0000-0000-00003C190000}"/>
    <cellStyle name="20% - Accent3 3 2 3 2 6" xfId="10024" xr:uid="{00000000-0005-0000-0000-00003D190000}"/>
    <cellStyle name="20% - Accent3 3 2 3 3" xfId="10025" xr:uid="{00000000-0005-0000-0000-00003E190000}"/>
    <cellStyle name="20% - Accent3 3 2 3 3 2" xfId="10026" xr:uid="{00000000-0005-0000-0000-00003F190000}"/>
    <cellStyle name="20% - Accent3 3 2 3 3 2 2" xfId="10027" xr:uid="{00000000-0005-0000-0000-000040190000}"/>
    <cellStyle name="20% - Accent3 3 2 3 3 3" xfId="10028" xr:uid="{00000000-0005-0000-0000-000041190000}"/>
    <cellStyle name="20% - Accent3 3 2 3 4" xfId="10029" xr:uid="{00000000-0005-0000-0000-000042190000}"/>
    <cellStyle name="20% - Accent3 3 2 3 4 2" xfId="10030" xr:uid="{00000000-0005-0000-0000-000043190000}"/>
    <cellStyle name="20% - Accent3 3 2 3 5" xfId="10031" xr:uid="{00000000-0005-0000-0000-000044190000}"/>
    <cellStyle name="20% - Accent3 3 2 3 6" xfId="10032" xr:uid="{00000000-0005-0000-0000-000045190000}"/>
    <cellStyle name="20% - Accent3 3 2 3 7" xfId="10033" xr:uid="{00000000-0005-0000-0000-000046190000}"/>
    <cellStyle name="20% - Accent3 3 2 4" xfId="10034" xr:uid="{00000000-0005-0000-0000-000047190000}"/>
    <cellStyle name="20% - Accent3 3 2 4 2" xfId="10035" xr:uid="{00000000-0005-0000-0000-000048190000}"/>
    <cellStyle name="20% - Accent3 3 2 4 2 2" xfId="10036" xr:uid="{00000000-0005-0000-0000-000049190000}"/>
    <cellStyle name="20% - Accent3 3 2 4 2 2 2" xfId="10037" xr:uid="{00000000-0005-0000-0000-00004A190000}"/>
    <cellStyle name="20% - Accent3 3 2 4 2 3" xfId="10038" xr:uid="{00000000-0005-0000-0000-00004B190000}"/>
    <cellStyle name="20% - Accent3 3 2 4 3" xfId="10039" xr:uid="{00000000-0005-0000-0000-00004C190000}"/>
    <cellStyle name="20% - Accent3 3 2 4 3 2" xfId="10040" xr:uid="{00000000-0005-0000-0000-00004D190000}"/>
    <cellStyle name="20% - Accent3 3 2 4 4" xfId="10041" xr:uid="{00000000-0005-0000-0000-00004E190000}"/>
    <cellStyle name="20% - Accent3 3 2 4 5" xfId="10042" xr:uid="{00000000-0005-0000-0000-00004F190000}"/>
    <cellStyle name="20% - Accent3 3 2 4 6" xfId="10043" xr:uid="{00000000-0005-0000-0000-000050190000}"/>
    <cellStyle name="20% - Accent3 3 2 5" xfId="10044" xr:uid="{00000000-0005-0000-0000-000051190000}"/>
    <cellStyle name="20% - Accent3 3 2 5 2" xfId="10045" xr:uid="{00000000-0005-0000-0000-000052190000}"/>
    <cellStyle name="20% - Accent3 3 2 5 2 2" xfId="10046" xr:uid="{00000000-0005-0000-0000-000053190000}"/>
    <cellStyle name="20% - Accent3 3 2 5 3" xfId="10047" xr:uid="{00000000-0005-0000-0000-000054190000}"/>
    <cellStyle name="20% - Accent3 3 2 6" xfId="10048" xr:uid="{00000000-0005-0000-0000-000055190000}"/>
    <cellStyle name="20% - Accent3 3 2 6 2" xfId="10049" xr:uid="{00000000-0005-0000-0000-000056190000}"/>
    <cellStyle name="20% - Accent3 3 2 6 2 2" xfId="10050" xr:uid="{00000000-0005-0000-0000-000057190000}"/>
    <cellStyle name="20% - Accent3 3 2 6 3" xfId="10051" xr:uid="{00000000-0005-0000-0000-000058190000}"/>
    <cellStyle name="20% - Accent3 3 2 7" xfId="10052" xr:uid="{00000000-0005-0000-0000-000059190000}"/>
    <cellStyle name="20% - Accent3 3 2 7 2" xfId="10053" xr:uid="{00000000-0005-0000-0000-00005A190000}"/>
    <cellStyle name="20% - Accent3 3 2 8" xfId="10054" xr:uid="{00000000-0005-0000-0000-00005B190000}"/>
    <cellStyle name="20% - Accent3 3 2 8 2" xfId="10055" xr:uid="{00000000-0005-0000-0000-00005C190000}"/>
    <cellStyle name="20% - Accent3 3 2 9" xfId="10056" xr:uid="{00000000-0005-0000-0000-00005D190000}"/>
    <cellStyle name="20% - Accent3 3 3" xfId="10057" xr:uid="{00000000-0005-0000-0000-00005E190000}"/>
    <cellStyle name="20% - Accent3 3 3 10" xfId="10058" xr:uid="{00000000-0005-0000-0000-00005F190000}"/>
    <cellStyle name="20% - Accent3 3 3 11" xfId="10059" xr:uid="{00000000-0005-0000-0000-000060190000}"/>
    <cellStyle name="20% - Accent3 3 3 2" xfId="10060" xr:uid="{00000000-0005-0000-0000-000061190000}"/>
    <cellStyle name="20% - Accent3 3 3 2 2" xfId="10061" xr:uid="{00000000-0005-0000-0000-000062190000}"/>
    <cellStyle name="20% - Accent3 3 3 2 2 2" xfId="10062" xr:uid="{00000000-0005-0000-0000-000063190000}"/>
    <cellStyle name="20% - Accent3 3 3 2 2 2 2" xfId="10063" xr:uid="{00000000-0005-0000-0000-000064190000}"/>
    <cellStyle name="20% - Accent3 3 3 2 2 2 2 2" xfId="10064" xr:uid="{00000000-0005-0000-0000-000065190000}"/>
    <cellStyle name="20% - Accent3 3 3 2 2 2 3" xfId="10065" xr:uid="{00000000-0005-0000-0000-000066190000}"/>
    <cellStyle name="20% - Accent3 3 3 2 2 3" xfId="10066" xr:uid="{00000000-0005-0000-0000-000067190000}"/>
    <cellStyle name="20% - Accent3 3 3 2 2 3 2" xfId="10067" xr:uid="{00000000-0005-0000-0000-000068190000}"/>
    <cellStyle name="20% - Accent3 3 3 2 2 4" xfId="10068" xr:uid="{00000000-0005-0000-0000-000069190000}"/>
    <cellStyle name="20% - Accent3 3 3 2 2 5" xfId="10069" xr:uid="{00000000-0005-0000-0000-00006A190000}"/>
    <cellStyle name="20% - Accent3 3 3 2 2 6" xfId="10070" xr:uid="{00000000-0005-0000-0000-00006B190000}"/>
    <cellStyle name="20% - Accent3 3 3 2 3" xfId="10071" xr:uid="{00000000-0005-0000-0000-00006C190000}"/>
    <cellStyle name="20% - Accent3 3 3 2 3 2" xfId="10072" xr:uid="{00000000-0005-0000-0000-00006D190000}"/>
    <cellStyle name="20% - Accent3 3 3 2 3 2 2" xfId="10073" xr:uid="{00000000-0005-0000-0000-00006E190000}"/>
    <cellStyle name="20% - Accent3 3 3 2 3 3" xfId="10074" xr:uid="{00000000-0005-0000-0000-00006F190000}"/>
    <cellStyle name="20% - Accent3 3 3 2 4" xfId="10075" xr:uid="{00000000-0005-0000-0000-000070190000}"/>
    <cellStyle name="20% - Accent3 3 3 2 4 2" xfId="10076" xr:uid="{00000000-0005-0000-0000-000071190000}"/>
    <cellStyle name="20% - Accent3 3 3 2 5" xfId="10077" xr:uid="{00000000-0005-0000-0000-000072190000}"/>
    <cellStyle name="20% - Accent3 3 3 2 5 2" xfId="10078" xr:uid="{00000000-0005-0000-0000-000073190000}"/>
    <cellStyle name="20% - Accent3 3 3 2 6" xfId="10079" xr:uid="{00000000-0005-0000-0000-000074190000}"/>
    <cellStyle name="20% - Accent3 3 3 2 7" xfId="10080" xr:uid="{00000000-0005-0000-0000-000075190000}"/>
    <cellStyle name="20% - Accent3 3 3 2 8" xfId="10081" xr:uid="{00000000-0005-0000-0000-000076190000}"/>
    <cellStyle name="20% - Accent3 3 3 3" xfId="10082" xr:uid="{00000000-0005-0000-0000-000077190000}"/>
    <cellStyle name="20% - Accent3 3 3 3 2" xfId="10083" xr:uid="{00000000-0005-0000-0000-000078190000}"/>
    <cellStyle name="20% - Accent3 3 3 3 2 2" xfId="10084" xr:uid="{00000000-0005-0000-0000-000079190000}"/>
    <cellStyle name="20% - Accent3 3 3 3 2 2 2" xfId="10085" xr:uid="{00000000-0005-0000-0000-00007A190000}"/>
    <cellStyle name="20% - Accent3 3 3 3 2 2 2 2" xfId="10086" xr:uid="{00000000-0005-0000-0000-00007B190000}"/>
    <cellStyle name="20% - Accent3 3 3 3 2 2 3" xfId="10087" xr:uid="{00000000-0005-0000-0000-00007C190000}"/>
    <cellStyle name="20% - Accent3 3 3 3 2 3" xfId="10088" xr:uid="{00000000-0005-0000-0000-00007D190000}"/>
    <cellStyle name="20% - Accent3 3 3 3 2 3 2" xfId="10089" xr:uid="{00000000-0005-0000-0000-00007E190000}"/>
    <cellStyle name="20% - Accent3 3 3 3 2 4" xfId="10090" xr:uid="{00000000-0005-0000-0000-00007F190000}"/>
    <cellStyle name="20% - Accent3 3 3 3 2 5" xfId="10091" xr:uid="{00000000-0005-0000-0000-000080190000}"/>
    <cellStyle name="20% - Accent3 3 3 3 2 6" xfId="10092" xr:uid="{00000000-0005-0000-0000-000081190000}"/>
    <cellStyle name="20% - Accent3 3 3 3 3" xfId="10093" xr:uid="{00000000-0005-0000-0000-000082190000}"/>
    <cellStyle name="20% - Accent3 3 3 3 3 2" xfId="10094" xr:uid="{00000000-0005-0000-0000-000083190000}"/>
    <cellStyle name="20% - Accent3 3 3 3 3 2 2" xfId="10095" xr:uid="{00000000-0005-0000-0000-000084190000}"/>
    <cellStyle name="20% - Accent3 3 3 3 3 3" xfId="10096" xr:uid="{00000000-0005-0000-0000-000085190000}"/>
    <cellStyle name="20% - Accent3 3 3 3 4" xfId="10097" xr:uid="{00000000-0005-0000-0000-000086190000}"/>
    <cellStyle name="20% - Accent3 3 3 3 4 2" xfId="10098" xr:uid="{00000000-0005-0000-0000-000087190000}"/>
    <cellStyle name="20% - Accent3 3 3 3 5" xfId="10099" xr:uid="{00000000-0005-0000-0000-000088190000}"/>
    <cellStyle name="20% - Accent3 3 3 3 6" xfId="10100" xr:uid="{00000000-0005-0000-0000-000089190000}"/>
    <cellStyle name="20% - Accent3 3 3 3 7" xfId="10101" xr:uid="{00000000-0005-0000-0000-00008A190000}"/>
    <cellStyle name="20% - Accent3 3 3 4" xfId="10102" xr:uid="{00000000-0005-0000-0000-00008B190000}"/>
    <cellStyle name="20% - Accent3 3 3 4 2" xfId="10103" xr:uid="{00000000-0005-0000-0000-00008C190000}"/>
    <cellStyle name="20% - Accent3 3 3 4 2 2" xfId="10104" xr:uid="{00000000-0005-0000-0000-00008D190000}"/>
    <cellStyle name="20% - Accent3 3 3 4 2 2 2" xfId="10105" xr:uid="{00000000-0005-0000-0000-00008E190000}"/>
    <cellStyle name="20% - Accent3 3 3 4 2 3" xfId="10106" xr:uid="{00000000-0005-0000-0000-00008F190000}"/>
    <cellStyle name="20% - Accent3 3 3 4 3" xfId="10107" xr:uid="{00000000-0005-0000-0000-000090190000}"/>
    <cellStyle name="20% - Accent3 3 3 4 3 2" xfId="10108" xr:uid="{00000000-0005-0000-0000-000091190000}"/>
    <cellStyle name="20% - Accent3 3 3 4 4" xfId="10109" xr:uid="{00000000-0005-0000-0000-000092190000}"/>
    <cellStyle name="20% - Accent3 3 3 4 5" xfId="10110" xr:uid="{00000000-0005-0000-0000-000093190000}"/>
    <cellStyle name="20% - Accent3 3 3 4 6" xfId="10111" xr:uid="{00000000-0005-0000-0000-000094190000}"/>
    <cellStyle name="20% - Accent3 3 3 5" xfId="10112" xr:uid="{00000000-0005-0000-0000-000095190000}"/>
    <cellStyle name="20% - Accent3 3 3 5 2" xfId="10113" xr:uid="{00000000-0005-0000-0000-000096190000}"/>
    <cellStyle name="20% - Accent3 3 3 5 2 2" xfId="10114" xr:uid="{00000000-0005-0000-0000-000097190000}"/>
    <cellStyle name="20% - Accent3 3 3 5 3" xfId="10115" xr:uid="{00000000-0005-0000-0000-000098190000}"/>
    <cellStyle name="20% - Accent3 3 3 6" xfId="10116" xr:uid="{00000000-0005-0000-0000-000099190000}"/>
    <cellStyle name="20% - Accent3 3 3 6 2" xfId="10117" xr:uid="{00000000-0005-0000-0000-00009A190000}"/>
    <cellStyle name="20% - Accent3 3 3 6 2 2" xfId="10118" xr:uid="{00000000-0005-0000-0000-00009B190000}"/>
    <cellStyle name="20% - Accent3 3 3 6 3" xfId="10119" xr:uid="{00000000-0005-0000-0000-00009C190000}"/>
    <cellStyle name="20% - Accent3 3 3 7" xfId="10120" xr:uid="{00000000-0005-0000-0000-00009D190000}"/>
    <cellStyle name="20% - Accent3 3 3 7 2" xfId="10121" xr:uid="{00000000-0005-0000-0000-00009E190000}"/>
    <cellStyle name="20% - Accent3 3 3 8" xfId="10122" xr:uid="{00000000-0005-0000-0000-00009F190000}"/>
    <cellStyle name="20% - Accent3 3 3 8 2" xfId="10123" xr:uid="{00000000-0005-0000-0000-0000A0190000}"/>
    <cellStyle name="20% - Accent3 3 3 9" xfId="10124" xr:uid="{00000000-0005-0000-0000-0000A1190000}"/>
    <cellStyle name="20% - Accent3 3 4" xfId="10125" xr:uid="{00000000-0005-0000-0000-0000A2190000}"/>
    <cellStyle name="20% - Accent3 3 4 10" xfId="10126" xr:uid="{00000000-0005-0000-0000-0000A3190000}"/>
    <cellStyle name="20% - Accent3 3 4 11" xfId="10127" xr:uid="{00000000-0005-0000-0000-0000A4190000}"/>
    <cellStyle name="20% - Accent3 3 4 2" xfId="10128" xr:uid="{00000000-0005-0000-0000-0000A5190000}"/>
    <cellStyle name="20% - Accent3 3 4 2 2" xfId="10129" xr:uid="{00000000-0005-0000-0000-0000A6190000}"/>
    <cellStyle name="20% - Accent3 3 4 2 2 2" xfId="10130" xr:uid="{00000000-0005-0000-0000-0000A7190000}"/>
    <cellStyle name="20% - Accent3 3 4 2 2 2 2" xfId="10131" xr:uid="{00000000-0005-0000-0000-0000A8190000}"/>
    <cellStyle name="20% - Accent3 3 4 2 2 2 2 2" xfId="10132" xr:uid="{00000000-0005-0000-0000-0000A9190000}"/>
    <cellStyle name="20% - Accent3 3 4 2 2 2 3" xfId="10133" xr:uid="{00000000-0005-0000-0000-0000AA190000}"/>
    <cellStyle name="20% - Accent3 3 4 2 2 3" xfId="10134" xr:uid="{00000000-0005-0000-0000-0000AB190000}"/>
    <cellStyle name="20% - Accent3 3 4 2 2 3 2" xfId="10135" xr:uid="{00000000-0005-0000-0000-0000AC190000}"/>
    <cellStyle name="20% - Accent3 3 4 2 2 4" xfId="10136" xr:uid="{00000000-0005-0000-0000-0000AD190000}"/>
    <cellStyle name="20% - Accent3 3 4 2 2 5" xfId="10137" xr:uid="{00000000-0005-0000-0000-0000AE190000}"/>
    <cellStyle name="20% - Accent3 3 4 2 2 6" xfId="10138" xr:uid="{00000000-0005-0000-0000-0000AF190000}"/>
    <cellStyle name="20% - Accent3 3 4 2 3" xfId="10139" xr:uid="{00000000-0005-0000-0000-0000B0190000}"/>
    <cellStyle name="20% - Accent3 3 4 2 3 2" xfId="10140" xr:uid="{00000000-0005-0000-0000-0000B1190000}"/>
    <cellStyle name="20% - Accent3 3 4 2 3 2 2" xfId="10141" xr:uid="{00000000-0005-0000-0000-0000B2190000}"/>
    <cellStyle name="20% - Accent3 3 4 2 3 3" xfId="10142" xr:uid="{00000000-0005-0000-0000-0000B3190000}"/>
    <cellStyle name="20% - Accent3 3 4 2 4" xfId="10143" xr:uid="{00000000-0005-0000-0000-0000B4190000}"/>
    <cellStyle name="20% - Accent3 3 4 2 4 2" xfId="10144" xr:uid="{00000000-0005-0000-0000-0000B5190000}"/>
    <cellStyle name="20% - Accent3 3 4 2 5" xfId="10145" xr:uid="{00000000-0005-0000-0000-0000B6190000}"/>
    <cellStyle name="20% - Accent3 3 4 2 5 2" xfId="10146" xr:uid="{00000000-0005-0000-0000-0000B7190000}"/>
    <cellStyle name="20% - Accent3 3 4 2 6" xfId="10147" xr:uid="{00000000-0005-0000-0000-0000B8190000}"/>
    <cellStyle name="20% - Accent3 3 4 2 7" xfId="10148" xr:uid="{00000000-0005-0000-0000-0000B9190000}"/>
    <cellStyle name="20% - Accent3 3 4 2 8" xfId="10149" xr:uid="{00000000-0005-0000-0000-0000BA190000}"/>
    <cellStyle name="20% - Accent3 3 4 3" xfId="10150" xr:uid="{00000000-0005-0000-0000-0000BB190000}"/>
    <cellStyle name="20% - Accent3 3 4 3 2" xfId="10151" xr:uid="{00000000-0005-0000-0000-0000BC190000}"/>
    <cellStyle name="20% - Accent3 3 4 3 2 2" xfId="10152" xr:uid="{00000000-0005-0000-0000-0000BD190000}"/>
    <cellStyle name="20% - Accent3 3 4 3 2 2 2" xfId="10153" xr:uid="{00000000-0005-0000-0000-0000BE190000}"/>
    <cellStyle name="20% - Accent3 3 4 3 2 2 2 2" xfId="10154" xr:uid="{00000000-0005-0000-0000-0000BF190000}"/>
    <cellStyle name="20% - Accent3 3 4 3 2 2 3" xfId="10155" xr:uid="{00000000-0005-0000-0000-0000C0190000}"/>
    <cellStyle name="20% - Accent3 3 4 3 2 3" xfId="10156" xr:uid="{00000000-0005-0000-0000-0000C1190000}"/>
    <cellStyle name="20% - Accent3 3 4 3 2 3 2" xfId="10157" xr:uid="{00000000-0005-0000-0000-0000C2190000}"/>
    <cellStyle name="20% - Accent3 3 4 3 2 4" xfId="10158" xr:uid="{00000000-0005-0000-0000-0000C3190000}"/>
    <cellStyle name="20% - Accent3 3 4 3 2 5" xfId="10159" xr:uid="{00000000-0005-0000-0000-0000C4190000}"/>
    <cellStyle name="20% - Accent3 3 4 3 2 6" xfId="10160" xr:uid="{00000000-0005-0000-0000-0000C5190000}"/>
    <cellStyle name="20% - Accent3 3 4 3 3" xfId="10161" xr:uid="{00000000-0005-0000-0000-0000C6190000}"/>
    <cellStyle name="20% - Accent3 3 4 3 3 2" xfId="10162" xr:uid="{00000000-0005-0000-0000-0000C7190000}"/>
    <cellStyle name="20% - Accent3 3 4 3 3 2 2" xfId="10163" xr:uid="{00000000-0005-0000-0000-0000C8190000}"/>
    <cellStyle name="20% - Accent3 3 4 3 3 3" xfId="10164" xr:uid="{00000000-0005-0000-0000-0000C9190000}"/>
    <cellStyle name="20% - Accent3 3 4 3 4" xfId="10165" xr:uid="{00000000-0005-0000-0000-0000CA190000}"/>
    <cellStyle name="20% - Accent3 3 4 3 4 2" xfId="10166" xr:uid="{00000000-0005-0000-0000-0000CB190000}"/>
    <cellStyle name="20% - Accent3 3 4 3 5" xfId="10167" xr:uid="{00000000-0005-0000-0000-0000CC190000}"/>
    <cellStyle name="20% - Accent3 3 4 3 6" xfId="10168" xr:uid="{00000000-0005-0000-0000-0000CD190000}"/>
    <cellStyle name="20% - Accent3 3 4 3 7" xfId="10169" xr:uid="{00000000-0005-0000-0000-0000CE190000}"/>
    <cellStyle name="20% - Accent3 3 4 4" xfId="10170" xr:uid="{00000000-0005-0000-0000-0000CF190000}"/>
    <cellStyle name="20% - Accent3 3 4 4 2" xfId="10171" xr:uid="{00000000-0005-0000-0000-0000D0190000}"/>
    <cellStyle name="20% - Accent3 3 4 4 2 2" xfId="10172" xr:uid="{00000000-0005-0000-0000-0000D1190000}"/>
    <cellStyle name="20% - Accent3 3 4 4 2 2 2" xfId="10173" xr:uid="{00000000-0005-0000-0000-0000D2190000}"/>
    <cellStyle name="20% - Accent3 3 4 4 2 3" xfId="10174" xr:uid="{00000000-0005-0000-0000-0000D3190000}"/>
    <cellStyle name="20% - Accent3 3 4 4 3" xfId="10175" xr:uid="{00000000-0005-0000-0000-0000D4190000}"/>
    <cellStyle name="20% - Accent3 3 4 4 3 2" xfId="10176" xr:uid="{00000000-0005-0000-0000-0000D5190000}"/>
    <cellStyle name="20% - Accent3 3 4 4 4" xfId="10177" xr:uid="{00000000-0005-0000-0000-0000D6190000}"/>
    <cellStyle name="20% - Accent3 3 4 4 5" xfId="10178" xr:uid="{00000000-0005-0000-0000-0000D7190000}"/>
    <cellStyle name="20% - Accent3 3 4 4 6" xfId="10179" xr:uid="{00000000-0005-0000-0000-0000D8190000}"/>
    <cellStyle name="20% - Accent3 3 4 5" xfId="10180" xr:uid="{00000000-0005-0000-0000-0000D9190000}"/>
    <cellStyle name="20% - Accent3 3 4 5 2" xfId="10181" xr:uid="{00000000-0005-0000-0000-0000DA190000}"/>
    <cellStyle name="20% - Accent3 3 4 5 2 2" xfId="10182" xr:uid="{00000000-0005-0000-0000-0000DB190000}"/>
    <cellStyle name="20% - Accent3 3 4 5 3" xfId="10183" xr:uid="{00000000-0005-0000-0000-0000DC190000}"/>
    <cellStyle name="20% - Accent3 3 4 6" xfId="10184" xr:uid="{00000000-0005-0000-0000-0000DD190000}"/>
    <cellStyle name="20% - Accent3 3 4 6 2" xfId="10185" xr:uid="{00000000-0005-0000-0000-0000DE190000}"/>
    <cellStyle name="20% - Accent3 3 4 6 2 2" xfId="10186" xr:uid="{00000000-0005-0000-0000-0000DF190000}"/>
    <cellStyle name="20% - Accent3 3 4 6 3" xfId="10187" xr:uid="{00000000-0005-0000-0000-0000E0190000}"/>
    <cellStyle name="20% - Accent3 3 4 7" xfId="10188" xr:uid="{00000000-0005-0000-0000-0000E1190000}"/>
    <cellStyle name="20% - Accent3 3 4 7 2" xfId="10189" xr:uid="{00000000-0005-0000-0000-0000E2190000}"/>
    <cellStyle name="20% - Accent3 3 4 8" xfId="10190" xr:uid="{00000000-0005-0000-0000-0000E3190000}"/>
    <cellStyle name="20% - Accent3 3 4 8 2" xfId="10191" xr:uid="{00000000-0005-0000-0000-0000E4190000}"/>
    <cellStyle name="20% - Accent3 3 4 9" xfId="10192" xr:uid="{00000000-0005-0000-0000-0000E5190000}"/>
    <cellStyle name="20% - Accent3 3 5" xfId="10193" xr:uid="{00000000-0005-0000-0000-0000E6190000}"/>
    <cellStyle name="20% - Accent3 3 5 10" xfId="10194" xr:uid="{00000000-0005-0000-0000-0000E7190000}"/>
    <cellStyle name="20% - Accent3 3 5 11" xfId="10195" xr:uid="{00000000-0005-0000-0000-0000E8190000}"/>
    <cellStyle name="20% - Accent3 3 5 2" xfId="10196" xr:uid="{00000000-0005-0000-0000-0000E9190000}"/>
    <cellStyle name="20% - Accent3 3 5 2 2" xfId="10197" xr:uid="{00000000-0005-0000-0000-0000EA190000}"/>
    <cellStyle name="20% - Accent3 3 5 2 2 2" xfId="10198" xr:uid="{00000000-0005-0000-0000-0000EB190000}"/>
    <cellStyle name="20% - Accent3 3 5 2 2 2 2" xfId="10199" xr:uid="{00000000-0005-0000-0000-0000EC190000}"/>
    <cellStyle name="20% - Accent3 3 5 2 2 2 2 2" xfId="10200" xr:uid="{00000000-0005-0000-0000-0000ED190000}"/>
    <cellStyle name="20% - Accent3 3 5 2 2 2 3" xfId="10201" xr:uid="{00000000-0005-0000-0000-0000EE190000}"/>
    <cellStyle name="20% - Accent3 3 5 2 2 3" xfId="10202" xr:uid="{00000000-0005-0000-0000-0000EF190000}"/>
    <cellStyle name="20% - Accent3 3 5 2 2 3 2" xfId="10203" xr:uid="{00000000-0005-0000-0000-0000F0190000}"/>
    <cellStyle name="20% - Accent3 3 5 2 2 4" xfId="10204" xr:uid="{00000000-0005-0000-0000-0000F1190000}"/>
    <cellStyle name="20% - Accent3 3 5 2 2 5" xfId="10205" xr:uid="{00000000-0005-0000-0000-0000F2190000}"/>
    <cellStyle name="20% - Accent3 3 5 2 2 6" xfId="10206" xr:uid="{00000000-0005-0000-0000-0000F3190000}"/>
    <cellStyle name="20% - Accent3 3 5 2 3" xfId="10207" xr:uid="{00000000-0005-0000-0000-0000F4190000}"/>
    <cellStyle name="20% - Accent3 3 5 2 3 2" xfId="10208" xr:uid="{00000000-0005-0000-0000-0000F5190000}"/>
    <cellStyle name="20% - Accent3 3 5 2 3 2 2" xfId="10209" xr:uid="{00000000-0005-0000-0000-0000F6190000}"/>
    <cellStyle name="20% - Accent3 3 5 2 3 3" xfId="10210" xr:uid="{00000000-0005-0000-0000-0000F7190000}"/>
    <cellStyle name="20% - Accent3 3 5 2 4" xfId="10211" xr:uid="{00000000-0005-0000-0000-0000F8190000}"/>
    <cellStyle name="20% - Accent3 3 5 2 4 2" xfId="10212" xr:uid="{00000000-0005-0000-0000-0000F9190000}"/>
    <cellStyle name="20% - Accent3 3 5 2 5" xfId="10213" xr:uid="{00000000-0005-0000-0000-0000FA190000}"/>
    <cellStyle name="20% - Accent3 3 5 2 5 2" xfId="10214" xr:uid="{00000000-0005-0000-0000-0000FB190000}"/>
    <cellStyle name="20% - Accent3 3 5 2 6" xfId="10215" xr:uid="{00000000-0005-0000-0000-0000FC190000}"/>
    <cellStyle name="20% - Accent3 3 5 2 7" xfId="10216" xr:uid="{00000000-0005-0000-0000-0000FD190000}"/>
    <cellStyle name="20% - Accent3 3 5 2 8" xfId="10217" xr:uid="{00000000-0005-0000-0000-0000FE190000}"/>
    <cellStyle name="20% - Accent3 3 5 3" xfId="10218" xr:uid="{00000000-0005-0000-0000-0000FF190000}"/>
    <cellStyle name="20% - Accent3 3 5 3 2" xfId="10219" xr:uid="{00000000-0005-0000-0000-0000001A0000}"/>
    <cellStyle name="20% - Accent3 3 5 3 2 2" xfId="10220" xr:uid="{00000000-0005-0000-0000-0000011A0000}"/>
    <cellStyle name="20% - Accent3 3 5 3 2 2 2" xfId="10221" xr:uid="{00000000-0005-0000-0000-0000021A0000}"/>
    <cellStyle name="20% - Accent3 3 5 3 2 2 2 2" xfId="10222" xr:uid="{00000000-0005-0000-0000-0000031A0000}"/>
    <cellStyle name="20% - Accent3 3 5 3 2 2 3" xfId="10223" xr:uid="{00000000-0005-0000-0000-0000041A0000}"/>
    <cellStyle name="20% - Accent3 3 5 3 2 3" xfId="10224" xr:uid="{00000000-0005-0000-0000-0000051A0000}"/>
    <cellStyle name="20% - Accent3 3 5 3 2 3 2" xfId="10225" xr:uid="{00000000-0005-0000-0000-0000061A0000}"/>
    <cellStyle name="20% - Accent3 3 5 3 2 4" xfId="10226" xr:uid="{00000000-0005-0000-0000-0000071A0000}"/>
    <cellStyle name="20% - Accent3 3 5 3 2 5" xfId="10227" xr:uid="{00000000-0005-0000-0000-0000081A0000}"/>
    <cellStyle name="20% - Accent3 3 5 3 2 6" xfId="10228" xr:uid="{00000000-0005-0000-0000-0000091A0000}"/>
    <cellStyle name="20% - Accent3 3 5 3 3" xfId="10229" xr:uid="{00000000-0005-0000-0000-00000A1A0000}"/>
    <cellStyle name="20% - Accent3 3 5 3 3 2" xfId="10230" xr:uid="{00000000-0005-0000-0000-00000B1A0000}"/>
    <cellStyle name="20% - Accent3 3 5 3 3 2 2" xfId="10231" xr:uid="{00000000-0005-0000-0000-00000C1A0000}"/>
    <cellStyle name="20% - Accent3 3 5 3 3 3" xfId="10232" xr:uid="{00000000-0005-0000-0000-00000D1A0000}"/>
    <cellStyle name="20% - Accent3 3 5 3 4" xfId="10233" xr:uid="{00000000-0005-0000-0000-00000E1A0000}"/>
    <cellStyle name="20% - Accent3 3 5 3 4 2" xfId="10234" xr:uid="{00000000-0005-0000-0000-00000F1A0000}"/>
    <cellStyle name="20% - Accent3 3 5 3 5" xfId="10235" xr:uid="{00000000-0005-0000-0000-0000101A0000}"/>
    <cellStyle name="20% - Accent3 3 5 3 6" xfId="10236" xr:uid="{00000000-0005-0000-0000-0000111A0000}"/>
    <cellStyle name="20% - Accent3 3 5 3 7" xfId="10237" xr:uid="{00000000-0005-0000-0000-0000121A0000}"/>
    <cellStyle name="20% - Accent3 3 5 4" xfId="10238" xr:uid="{00000000-0005-0000-0000-0000131A0000}"/>
    <cellStyle name="20% - Accent3 3 5 4 2" xfId="10239" xr:uid="{00000000-0005-0000-0000-0000141A0000}"/>
    <cellStyle name="20% - Accent3 3 5 4 2 2" xfId="10240" xr:uid="{00000000-0005-0000-0000-0000151A0000}"/>
    <cellStyle name="20% - Accent3 3 5 4 2 2 2" xfId="10241" xr:uid="{00000000-0005-0000-0000-0000161A0000}"/>
    <cellStyle name="20% - Accent3 3 5 4 2 3" xfId="10242" xr:uid="{00000000-0005-0000-0000-0000171A0000}"/>
    <cellStyle name="20% - Accent3 3 5 4 3" xfId="10243" xr:uid="{00000000-0005-0000-0000-0000181A0000}"/>
    <cellStyle name="20% - Accent3 3 5 4 3 2" xfId="10244" xr:uid="{00000000-0005-0000-0000-0000191A0000}"/>
    <cellStyle name="20% - Accent3 3 5 4 4" xfId="10245" xr:uid="{00000000-0005-0000-0000-00001A1A0000}"/>
    <cellStyle name="20% - Accent3 3 5 4 5" xfId="10246" xr:uid="{00000000-0005-0000-0000-00001B1A0000}"/>
    <cellStyle name="20% - Accent3 3 5 4 6" xfId="10247" xr:uid="{00000000-0005-0000-0000-00001C1A0000}"/>
    <cellStyle name="20% - Accent3 3 5 5" xfId="10248" xr:uid="{00000000-0005-0000-0000-00001D1A0000}"/>
    <cellStyle name="20% - Accent3 3 5 5 2" xfId="10249" xr:uid="{00000000-0005-0000-0000-00001E1A0000}"/>
    <cellStyle name="20% - Accent3 3 5 5 2 2" xfId="10250" xr:uid="{00000000-0005-0000-0000-00001F1A0000}"/>
    <cellStyle name="20% - Accent3 3 5 5 3" xfId="10251" xr:uid="{00000000-0005-0000-0000-0000201A0000}"/>
    <cellStyle name="20% - Accent3 3 5 6" xfId="10252" xr:uid="{00000000-0005-0000-0000-0000211A0000}"/>
    <cellStyle name="20% - Accent3 3 5 6 2" xfId="10253" xr:uid="{00000000-0005-0000-0000-0000221A0000}"/>
    <cellStyle name="20% - Accent3 3 5 6 2 2" xfId="10254" xr:uid="{00000000-0005-0000-0000-0000231A0000}"/>
    <cellStyle name="20% - Accent3 3 5 6 3" xfId="10255" xr:uid="{00000000-0005-0000-0000-0000241A0000}"/>
    <cellStyle name="20% - Accent3 3 5 7" xfId="10256" xr:uid="{00000000-0005-0000-0000-0000251A0000}"/>
    <cellStyle name="20% - Accent3 3 5 7 2" xfId="10257" xr:uid="{00000000-0005-0000-0000-0000261A0000}"/>
    <cellStyle name="20% - Accent3 3 5 8" xfId="10258" xr:uid="{00000000-0005-0000-0000-0000271A0000}"/>
    <cellStyle name="20% - Accent3 3 5 8 2" xfId="10259" xr:uid="{00000000-0005-0000-0000-0000281A0000}"/>
    <cellStyle name="20% - Accent3 3 5 9" xfId="10260" xr:uid="{00000000-0005-0000-0000-0000291A0000}"/>
    <cellStyle name="20% - Accent3 3 6" xfId="10261" xr:uid="{00000000-0005-0000-0000-00002A1A0000}"/>
    <cellStyle name="20% - Accent3 3 6 10" xfId="10262" xr:uid="{00000000-0005-0000-0000-00002B1A0000}"/>
    <cellStyle name="20% - Accent3 3 6 11" xfId="10263" xr:uid="{00000000-0005-0000-0000-00002C1A0000}"/>
    <cellStyle name="20% - Accent3 3 6 2" xfId="10264" xr:uid="{00000000-0005-0000-0000-00002D1A0000}"/>
    <cellStyle name="20% - Accent3 3 6 2 2" xfId="10265" xr:uid="{00000000-0005-0000-0000-00002E1A0000}"/>
    <cellStyle name="20% - Accent3 3 6 2 2 2" xfId="10266" xr:uid="{00000000-0005-0000-0000-00002F1A0000}"/>
    <cellStyle name="20% - Accent3 3 6 2 2 2 2" xfId="10267" xr:uid="{00000000-0005-0000-0000-0000301A0000}"/>
    <cellStyle name="20% - Accent3 3 6 2 2 2 2 2" xfId="10268" xr:uid="{00000000-0005-0000-0000-0000311A0000}"/>
    <cellStyle name="20% - Accent3 3 6 2 2 2 3" xfId="10269" xr:uid="{00000000-0005-0000-0000-0000321A0000}"/>
    <cellStyle name="20% - Accent3 3 6 2 2 3" xfId="10270" xr:uid="{00000000-0005-0000-0000-0000331A0000}"/>
    <cellStyle name="20% - Accent3 3 6 2 2 3 2" xfId="10271" xr:uid="{00000000-0005-0000-0000-0000341A0000}"/>
    <cellStyle name="20% - Accent3 3 6 2 2 4" xfId="10272" xr:uid="{00000000-0005-0000-0000-0000351A0000}"/>
    <cellStyle name="20% - Accent3 3 6 2 2 5" xfId="10273" xr:uid="{00000000-0005-0000-0000-0000361A0000}"/>
    <cellStyle name="20% - Accent3 3 6 2 2 6" xfId="10274" xr:uid="{00000000-0005-0000-0000-0000371A0000}"/>
    <cellStyle name="20% - Accent3 3 6 2 3" xfId="10275" xr:uid="{00000000-0005-0000-0000-0000381A0000}"/>
    <cellStyle name="20% - Accent3 3 6 2 3 2" xfId="10276" xr:uid="{00000000-0005-0000-0000-0000391A0000}"/>
    <cellStyle name="20% - Accent3 3 6 2 3 2 2" xfId="10277" xr:uid="{00000000-0005-0000-0000-00003A1A0000}"/>
    <cellStyle name="20% - Accent3 3 6 2 3 3" xfId="10278" xr:uid="{00000000-0005-0000-0000-00003B1A0000}"/>
    <cellStyle name="20% - Accent3 3 6 2 4" xfId="10279" xr:uid="{00000000-0005-0000-0000-00003C1A0000}"/>
    <cellStyle name="20% - Accent3 3 6 2 4 2" xfId="10280" xr:uid="{00000000-0005-0000-0000-00003D1A0000}"/>
    <cellStyle name="20% - Accent3 3 6 2 5" xfId="10281" xr:uid="{00000000-0005-0000-0000-00003E1A0000}"/>
    <cellStyle name="20% - Accent3 3 6 2 5 2" xfId="10282" xr:uid="{00000000-0005-0000-0000-00003F1A0000}"/>
    <cellStyle name="20% - Accent3 3 6 2 6" xfId="10283" xr:uid="{00000000-0005-0000-0000-0000401A0000}"/>
    <cellStyle name="20% - Accent3 3 6 2 7" xfId="10284" xr:uid="{00000000-0005-0000-0000-0000411A0000}"/>
    <cellStyle name="20% - Accent3 3 6 2 8" xfId="10285" xr:uid="{00000000-0005-0000-0000-0000421A0000}"/>
    <cellStyle name="20% - Accent3 3 6 3" xfId="10286" xr:uid="{00000000-0005-0000-0000-0000431A0000}"/>
    <cellStyle name="20% - Accent3 3 6 3 2" xfId="10287" xr:uid="{00000000-0005-0000-0000-0000441A0000}"/>
    <cellStyle name="20% - Accent3 3 6 3 2 2" xfId="10288" xr:uid="{00000000-0005-0000-0000-0000451A0000}"/>
    <cellStyle name="20% - Accent3 3 6 3 2 2 2" xfId="10289" xr:uid="{00000000-0005-0000-0000-0000461A0000}"/>
    <cellStyle name="20% - Accent3 3 6 3 2 2 2 2" xfId="10290" xr:uid="{00000000-0005-0000-0000-0000471A0000}"/>
    <cellStyle name="20% - Accent3 3 6 3 2 2 3" xfId="10291" xr:uid="{00000000-0005-0000-0000-0000481A0000}"/>
    <cellStyle name="20% - Accent3 3 6 3 2 3" xfId="10292" xr:uid="{00000000-0005-0000-0000-0000491A0000}"/>
    <cellStyle name="20% - Accent3 3 6 3 2 3 2" xfId="10293" xr:uid="{00000000-0005-0000-0000-00004A1A0000}"/>
    <cellStyle name="20% - Accent3 3 6 3 2 4" xfId="10294" xr:uid="{00000000-0005-0000-0000-00004B1A0000}"/>
    <cellStyle name="20% - Accent3 3 6 3 2 5" xfId="10295" xr:uid="{00000000-0005-0000-0000-00004C1A0000}"/>
    <cellStyle name="20% - Accent3 3 6 3 2 6" xfId="10296" xr:uid="{00000000-0005-0000-0000-00004D1A0000}"/>
    <cellStyle name="20% - Accent3 3 6 3 3" xfId="10297" xr:uid="{00000000-0005-0000-0000-00004E1A0000}"/>
    <cellStyle name="20% - Accent3 3 6 3 3 2" xfId="10298" xr:uid="{00000000-0005-0000-0000-00004F1A0000}"/>
    <cellStyle name="20% - Accent3 3 6 3 3 2 2" xfId="10299" xr:uid="{00000000-0005-0000-0000-0000501A0000}"/>
    <cellStyle name="20% - Accent3 3 6 3 3 3" xfId="10300" xr:uid="{00000000-0005-0000-0000-0000511A0000}"/>
    <cellStyle name="20% - Accent3 3 6 3 4" xfId="10301" xr:uid="{00000000-0005-0000-0000-0000521A0000}"/>
    <cellStyle name="20% - Accent3 3 6 3 4 2" xfId="10302" xr:uid="{00000000-0005-0000-0000-0000531A0000}"/>
    <cellStyle name="20% - Accent3 3 6 3 5" xfId="10303" xr:uid="{00000000-0005-0000-0000-0000541A0000}"/>
    <cellStyle name="20% - Accent3 3 6 3 6" xfId="10304" xr:uid="{00000000-0005-0000-0000-0000551A0000}"/>
    <cellStyle name="20% - Accent3 3 6 3 7" xfId="10305" xr:uid="{00000000-0005-0000-0000-0000561A0000}"/>
    <cellStyle name="20% - Accent3 3 6 4" xfId="10306" xr:uid="{00000000-0005-0000-0000-0000571A0000}"/>
    <cellStyle name="20% - Accent3 3 6 4 2" xfId="10307" xr:uid="{00000000-0005-0000-0000-0000581A0000}"/>
    <cellStyle name="20% - Accent3 3 6 4 2 2" xfId="10308" xr:uid="{00000000-0005-0000-0000-0000591A0000}"/>
    <cellStyle name="20% - Accent3 3 6 4 2 2 2" xfId="10309" xr:uid="{00000000-0005-0000-0000-00005A1A0000}"/>
    <cellStyle name="20% - Accent3 3 6 4 2 3" xfId="10310" xr:uid="{00000000-0005-0000-0000-00005B1A0000}"/>
    <cellStyle name="20% - Accent3 3 6 4 3" xfId="10311" xr:uid="{00000000-0005-0000-0000-00005C1A0000}"/>
    <cellStyle name="20% - Accent3 3 6 4 3 2" xfId="10312" xr:uid="{00000000-0005-0000-0000-00005D1A0000}"/>
    <cellStyle name="20% - Accent3 3 6 4 4" xfId="10313" xr:uid="{00000000-0005-0000-0000-00005E1A0000}"/>
    <cellStyle name="20% - Accent3 3 6 4 5" xfId="10314" xr:uid="{00000000-0005-0000-0000-00005F1A0000}"/>
    <cellStyle name="20% - Accent3 3 6 4 6" xfId="10315" xr:uid="{00000000-0005-0000-0000-0000601A0000}"/>
    <cellStyle name="20% - Accent3 3 6 5" xfId="10316" xr:uid="{00000000-0005-0000-0000-0000611A0000}"/>
    <cellStyle name="20% - Accent3 3 6 5 2" xfId="10317" xr:uid="{00000000-0005-0000-0000-0000621A0000}"/>
    <cellStyle name="20% - Accent3 3 6 5 2 2" xfId="10318" xr:uid="{00000000-0005-0000-0000-0000631A0000}"/>
    <cellStyle name="20% - Accent3 3 6 5 3" xfId="10319" xr:uid="{00000000-0005-0000-0000-0000641A0000}"/>
    <cellStyle name="20% - Accent3 3 6 6" xfId="10320" xr:uid="{00000000-0005-0000-0000-0000651A0000}"/>
    <cellStyle name="20% - Accent3 3 6 6 2" xfId="10321" xr:uid="{00000000-0005-0000-0000-0000661A0000}"/>
    <cellStyle name="20% - Accent3 3 6 6 2 2" xfId="10322" xr:uid="{00000000-0005-0000-0000-0000671A0000}"/>
    <cellStyle name="20% - Accent3 3 6 6 3" xfId="10323" xr:uid="{00000000-0005-0000-0000-0000681A0000}"/>
    <cellStyle name="20% - Accent3 3 6 7" xfId="10324" xr:uid="{00000000-0005-0000-0000-0000691A0000}"/>
    <cellStyle name="20% - Accent3 3 6 7 2" xfId="10325" xr:uid="{00000000-0005-0000-0000-00006A1A0000}"/>
    <cellStyle name="20% - Accent3 3 6 8" xfId="10326" xr:uid="{00000000-0005-0000-0000-00006B1A0000}"/>
    <cellStyle name="20% - Accent3 3 6 8 2" xfId="10327" xr:uid="{00000000-0005-0000-0000-00006C1A0000}"/>
    <cellStyle name="20% - Accent3 3 6 9" xfId="10328" xr:uid="{00000000-0005-0000-0000-00006D1A0000}"/>
    <cellStyle name="20% - Accent3 3 7" xfId="10329" xr:uid="{00000000-0005-0000-0000-00006E1A0000}"/>
    <cellStyle name="20% - Accent3 3 7 10" xfId="10330" xr:uid="{00000000-0005-0000-0000-00006F1A0000}"/>
    <cellStyle name="20% - Accent3 3 7 11" xfId="10331" xr:uid="{00000000-0005-0000-0000-0000701A0000}"/>
    <cellStyle name="20% - Accent3 3 7 2" xfId="10332" xr:uid="{00000000-0005-0000-0000-0000711A0000}"/>
    <cellStyle name="20% - Accent3 3 7 2 2" xfId="10333" xr:uid="{00000000-0005-0000-0000-0000721A0000}"/>
    <cellStyle name="20% - Accent3 3 7 2 2 2" xfId="10334" xr:uid="{00000000-0005-0000-0000-0000731A0000}"/>
    <cellStyle name="20% - Accent3 3 7 2 2 2 2" xfId="10335" xr:uid="{00000000-0005-0000-0000-0000741A0000}"/>
    <cellStyle name="20% - Accent3 3 7 2 2 2 2 2" xfId="10336" xr:uid="{00000000-0005-0000-0000-0000751A0000}"/>
    <cellStyle name="20% - Accent3 3 7 2 2 2 3" xfId="10337" xr:uid="{00000000-0005-0000-0000-0000761A0000}"/>
    <cellStyle name="20% - Accent3 3 7 2 2 3" xfId="10338" xr:uid="{00000000-0005-0000-0000-0000771A0000}"/>
    <cellStyle name="20% - Accent3 3 7 2 2 3 2" xfId="10339" xr:uid="{00000000-0005-0000-0000-0000781A0000}"/>
    <cellStyle name="20% - Accent3 3 7 2 2 4" xfId="10340" xr:uid="{00000000-0005-0000-0000-0000791A0000}"/>
    <cellStyle name="20% - Accent3 3 7 2 2 5" xfId="10341" xr:uid="{00000000-0005-0000-0000-00007A1A0000}"/>
    <cellStyle name="20% - Accent3 3 7 2 2 6" xfId="10342" xr:uid="{00000000-0005-0000-0000-00007B1A0000}"/>
    <cellStyle name="20% - Accent3 3 7 2 3" xfId="10343" xr:uid="{00000000-0005-0000-0000-00007C1A0000}"/>
    <cellStyle name="20% - Accent3 3 7 2 3 2" xfId="10344" xr:uid="{00000000-0005-0000-0000-00007D1A0000}"/>
    <cellStyle name="20% - Accent3 3 7 2 3 2 2" xfId="10345" xr:uid="{00000000-0005-0000-0000-00007E1A0000}"/>
    <cellStyle name="20% - Accent3 3 7 2 3 3" xfId="10346" xr:uid="{00000000-0005-0000-0000-00007F1A0000}"/>
    <cellStyle name="20% - Accent3 3 7 2 4" xfId="10347" xr:uid="{00000000-0005-0000-0000-0000801A0000}"/>
    <cellStyle name="20% - Accent3 3 7 2 4 2" xfId="10348" xr:uid="{00000000-0005-0000-0000-0000811A0000}"/>
    <cellStyle name="20% - Accent3 3 7 2 5" xfId="10349" xr:uid="{00000000-0005-0000-0000-0000821A0000}"/>
    <cellStyle name="20% - Accent3 3 7 2 5 2" xfId="10350" xr:uid="{00000000-0005-0000-0000-0000831A0000}"/>
    <cellStyle name="20% - Accent3 3 7 2 6" xfId="10351" xr:uid="{00000000-0005-0000-0000-0000841A0000}"/>
    <cellStyle name="20% - Accent3 3 7 2 7" xfId="10352" xr:uid="{00000000-0005-0000-0000-0000851A0000}"/>
    <cellStyle name="20% - Accent3 3 7 2 8" xfId="10353" xr:uid="{00000000-0005-0000-0000-0000861A0000}"/>
    <cellStyle name="20% - Accent3 3 7 3" xfId="10354" xr:uid="{00000000-0005-0000-0000-0000871A0000}"/>
    <cellStyle name="20% - Accent3 3 7 3 2" xfId="10355" xr:uid="{00000000-0005-0000-0000-0000881A0000}"/>
    <cellStyle name="20% - Accent3 3 7 3 2 2" xfId="10356" xr:uid="{00000000-0005-0000-0000-0000891A0000}"/>
    <cellStyle name="20% - Accent3 3 7 3 2 2 2" xfId="10357" xr:uid="{00000000-0005-0000-0000-00008A1A0000}"/>
    <cellStyle name="20% - Accent3 3 7 3 2 2 2 2" xfId="10358" xr:uid="{00000000-0005-0000-0000-00008B1A0000}"/>
    <cellStyle name="20% - Accent3 3 7 3 2 2 3" xfId="10359" xr:uid="{00000000-0005-0000-0000-00008C1A0000}"/>
    <cellStyle name="20% - Accent3 3 7 3 2 3" xfId="10360" xr:uid="{00000000-0005-0000-0000-00008D1A0000}"/>
    <cellStyle name="20% - Accent3 3 7 3 2 3 2" xfId="10361" xr:uid="{00000000-0005-0000-0000-00008E1A0000}"/>
    <cellStyle name="20% - Accent3 3 7 3 2 4" xfId="10362" xr:uid="{00000000-0005-0000-0000-00008F1A0000}"/>
    <cellStyle name="20% - Accent3 3 7 3 2 5" xfId="10363" xr:uid="{00000000-0005-0000-0000-0000901A0000}"/>
    <cellStyle name="20% - Accent3 3 7 3 2 6" xfId="10364" xr:uid="{00000000-0005-0000-0000-0000911A0000}"/>
    <cellStyle name="20% - Accent3 3 7 3 3" xfId="10365" xr:uid="{00000000-0005-0000-0000-0000921A0000}"/>
    <cellStyle name="20% - Accent3 3 7 3 3 2" xfId="10366" xr:uid="{00000000-0005-0000-0000-0000931A0000}"/>
    <cellStyle name="20% - Accent3 3 7 3 3 2 2" xfId="10367" xr:uid="{00000000-0005-0000-0000-0000941A0000}"/>
    <cellStyle name="20% - Accent3 3 7 3 3 3" xfId="10368" xr:uid="{00000000-0005-0000-0000-0000951A0000}"/>
    <cellStyle name="20% - Accent3 3 7 3 4" xfId="10369" xr:uid="{00000000-0005-0000-0000-0000961A0000}"/>
    <cellStyle name="20% - Accent3 3 7 3 4 2" xfId="10370" xr:uid="{00000000-0005-0000-0000-0000971A0000}"/>
    <cellStyle name="20% - Accent3 3 7 3 5" xfId="10371" xr:uid="{00000000-0005-0000-0000-0000981A0000}"/>
    <cellStyle name="20% - Accent3 3 7 3 6" xfId="10372" xr:uid="{00000000-0005-0000-0000-0000991A0000}"/>
    <cellStyle name="20% - Accent3 3 7 3 7" xfId="10373" xr:uid="{00000000-0005-0000-0000-00009A1A0000}"/>
    <cellStyle name="20% - Accent3 3 7 4" xfId="10374" xr:uid="{00000000-0005-0000-0000-00009B1A0000}"/>
    <cellStyle name="20% - Accent3 3 7 4 2" xfId="10375" xr:uid="{00000000-0005-0000-0000-00009C1A0000}"/>
    <cellStyle name="20% - Accent3 3 7 4 2 2" xfId="10376" xr:uid="{00000000-0005-0000-0000-00009D1A0000}"/>
    <cellStyle name="20% - Accent3 3 7 4 2 2 2" xfId="10377" xr:uid="{00000000-0005-0000-0000-00009E1A0000}"/>
    <cellStyle name="20% - Accent3 3 7 4 2 3" xfId="10378" xr:uid="{00000000-0005-0000-0000-00009F1A0000}"/>
    <cellStyle name="20% - Accent3 3 7 4 3" xfId="10379" xr:uid="{00000000-0005-0000-0000-0000A01A0000}"/>
    <cellStyle name="20% - Accent3 3 7 4 3 2" xfId="10380" xr:uid="{00000000-0005-0000-0000-0000A11A0000}"/>
    <cellStyle name="20% - Accent3 3 7 4 4" xfId="10381" xr:uid="{00000000-0005-0000-0000-0000A21A0000}"/>
    <cellStyle name="20% - Accent3 3 7 4 5" xfId="10382" xr:uid="{00000000-0005-0000-0000-0000A31A0000}"/>
    <cellStyle name="20% - Accent3 3 7 4 6" xfId="10383" xr:uid="{00000000-0005-0000-0000-0000A41A0000}"/>
    <cellStyle name="20% - Accent3 3 7 5" xfId="10384" xr:uid="{00000000-0005-0000-0000-0000A51A0000}"/>
    <cellStyle name="20% - Accent3 3 7 5 2" xfId="10385" xr:uid="{00000000-0005-0000-0000-0000A61A0000}"/>
    <cellStyle name="20% - Accent3 3 7 5 2 2" xfId="10386" xr:uid="{00000000-0005-0000-0000-0000A71A0000}"/>
    <cellStyle name="20% - Accent3 3 7 5 3" xfId="10387" xr:uid="{00000000-0005-0000-0000-0000A81A0000}"/>
    <cellStyle name="20% - Accent3 3 7 6" xfId="10388" xr:uid="{00000000-0005-0000-0000-0000A91A0000}"/>
    <cellStyle name="20% - Accent3 3 7 6 2" xfId="10389" xr:uid="{00000000-0005-0000-0000-0000AA1A0000}"/>
    <cellStyle name="20% - Accent3 3 7 6 2 2" xfId="10390" xr:uid="{00000000-0005-0000-0000-0000AB1A0000}"/>
    <cellStyle name="20% - Accent3 3 7 6 3" xfId="10391" xr:uid="{00000000-0005-0000-0000-0000AC1A0000}"/>
    <cellStyle name="20% - Accent3 3 7 7" xfId="10392" xr:uid="{00000000-0005-0000-0000-0000AD1A0000}"/>
    <cellStyle name="20% - Accent3 3 7 7 2" xfId="10393" xr:uid="{00000000-0005-0000-0000-0000AE1A0000}"/>
    <cellStyle name="20% - Accent3 3 7 8" xfId="10394" xr:uid="{00000000-0005-0000-0000-0000AF1A0000}"/>
    <cellStyle name="20% - Accent3 3 7 8 2" xfId="10395" xr:uid="{00000000-0005-0000-0000-0000B01A0000}"/>
    <cellStyle name="20% - Accent3 3 7 9" xfId="10396" xr:uid="{00000000-0005-0000-0000-0000B11A0000}"/>
    <cellStyle name="20% - Accent3 3 8" xfId="10397" xr:uid="{00000000-0005-0000-0000-0000B21A0000}"/>
    <cellStyle name="20% - Accent3 3 8 10" xfId="10398" xr:uid="{00000000-0005-0000-0000-0000B31A0000}"/>
    <cellStyle name="20% - Accent3 3 8 11" xfId="10399" xr:uid="{00000000-0005-0000-0000-0000B41A0000}"/>
    <cellStyle name="20% - Accent3 3 8 2" xfId="10400" xr:uid="{00000000-0005-0000-0000-0000B51A0000}"/>
    <cellStyle name="20% - Accent3 3 8 2 2" xfId="10401" xr:uid="{00000000-0005-0000-0000-0000B61A0000}"/>
    <cellStyle name="20% - Accent3 3 8 2 2 2" xfId="10402" xr:uid="{00000000-0005-0000-0000-0000B71A0000}"/>
    <cellStyle name="20% - Accent3 3 8 2 2 2 2" xfId="10403" xr:uid="{00000000-0005-0000-0000-0000B81A0000}"/>
    <cellStyle name="20% - Accent3 3 8 2 2 2 2 2" xfId="10404" xr:uid="{00000000-0005-0000-0000-0000B91A0000}"/>
    <cellStyle name="20% - Accent3 3 8 2 2 2 3" xfId="10405" xr:uid="{00000000-0005-0000-0000-0000BA1A0000}"/>
    <cellStyle name="20% - Accent3 3 8 2 2 3" xfId="10406" xr:uid="{00000000-0005-0000-0000-0000BB1A0000}"/>
    <cellStyle name="20% - Accent3 3 8 2 2 3 2" xfId="10407" xr:uid="{00000000-0005-0000-0000-0000BC1A0000}"/>
    <cellStyle name="20% - Accent3 3 8 2 2 4" xfId="10408" xr:uid="{00000000-0005-0000-0000-0000BD1A0000}"/>
    <cellStyle name="20% - Accent3 3 8 2 2 5" xfId="10409" xr:uid="{00000000-0005-0000-0000-0000BE1A0000}"/>
    <cellStyle name="20% - Accent3 3 8 2 2 6" xfId="10410" xr:uid="{00000000-0005-0000-0000-0000BF1A0000}"/>
    <cellStyle name="20% - Accent3 3 8 2 3" xfId="10411" xr:uid="{00000000-0005-0000-0000-0000C01A0000}"/>
    <cellStyle name="20% - Accent3 3 8 2 3 2" xfId="10412" xr:uid="{00000000-0005-0000-0000-0000C11A0000}"/>
    <cellStyle name="20% - Accent3 3 8 2 3 2 2" xfId="10413" xr:uid="{00000000-0005-0000-0000-0000C21A0000}"/>
    <cellStyle name="20% - Accent3 3 8 2 3 3" xfId="10414" xr:uid="{00000000-0005-0000-0000-0000C31A0000}"/>
    <cellStyle name="20% - Accent3 3 8 2 4" xfId="10415" xr:uid="{00000000-0005-0000-0000-0000C41A0000}"/>
    <cellStyle name="20% - Accent3 3 8 2 4 2" xfId="10416" xr:uid="{00000000-0005-0000-0000-0000C51A0000}"/>
    <cellStyle name="20% - Accent3 3 8 2 5" xfId="10417" xr:uid="{00000000-0005-0000-0000-0000C61A0000}"/>
    <cellStyle name="20% - Accent3 3 8 2 5 2" xfId="10418" xr:uid="{00000000-0005-0000-0000-0000C71A0000}"/>
    <cellStyle name="20% - Accent3 3 8 2 6" xfId="10419" xr:uid="{00000000-0005-0000-0000-0000C81A0000}"/>
    <cellStyle name="20% - Accent3 3 8 2 7" xfId="10420" xr:uid="{00000000-0005-0000-0000-0000C91A0000}"/>
    <cellStyle name="20% - Accent3 3 8 2 8" xfId="10421" xr:uid="{00000000-0005-0000-0000-0000CA1A0000}"/>
    <cellStyle name="20% - Accent3 3 8 3" xfId="10422" xr:uid="{00000000-0005-0000-0000-0000CB1A0000}"/>
    <cellStyle name="20% - Accent3 3 8 3 2" xfId="10423" xr:uid="{00000000-0005-0000-0000-0000CC1A0000}"/>
    <cellStyle name="20% - Accent3 3 8 3 2 2" xfId="10424" xr:uid="{00000000-0005-0000-0000-0000CD1A0000}"/>
    <cellStyle name="20% - Accent3 3 8 3 2 2 2" xfId="10425" xr:uid="{00000000-0005-0000-0000-0000CE1A0000}"/>
    <cellStyle name="20% - Accent3 3 8 3 2 2 2 2" xfId="10426" xr:uid="{00000000-0005-0000-0000-0000CF1A0000}"/>
    <cellStyle name="20% - Accent3 3 8 3 2 2 3" xfId="10427" xr:uid="{00000000-0005-0000-0000-0000D01A0000}"/>
    <cellStyle name="20% - Accent3 3 8 3 2 3" xfId="10428" xr:uid="{00000000-0005-0000-0000-0000D11A0000}"/>
    <cellStyle name="20% - Accent3 3 8 3 2 3 2" xfId="10429" xr:uid="{00000000-0005-0000-0000-0000D21A0000}"/>
    <cellStyle name="20% - Accent3 3 8 3 2 4" xfId="10430" xr:uid="{00000000-0005-0000-0000-0000D31A0000}"/>
    <cellStyle name="20% - Accent3 3 8 3 2 5" xfId="10431" xr:uid="{00000000-0005-0000-0000-0000D41A0000}"/>
    <cellStyle name="20% - Accent3 3 8 3 2 6" xfId="10432" xr:uid="{00000000-0005-0000-0000-0000D51A0000}"/>
    <cellStyle name="20% - Accent3 3 8 3 3" xfId="10433" xr:uid="{00000000-0005-0000-0000-0000D61A0000}"/>
    <cellStyle name="20% - Accent3 3 8 3 3 2" xfId="10434" xr:uid="{00000000-0005-0000-0000-0000D71A0000}"/>
    <cellStyle name="20% - Accent3 3 8 3 3 2 2" xfId="10435" xr:uid="{00000000-0005-0000-0000-0000D81A0000}"/>
    <cellStyle name="20% - Accent3 3 8 3 3 3" xfId="10436" xr:uid="{00000000-0005-0000-0000-0000D91A0000}"/>
    <cellStyle name="20% - Accent3 3 8 3 4" xfId="10437" xr:uid="{00000000-0005-0000-0000-0000DA1A0000}"/>
    <cellStyle name="20% - Accent3 3 8 3 4 2" xfId="10438" xr:uid="{00000000-0005-0000-0000-0000DB1A0000}"/>
    <cellStyle name="20% - Accent3 3 8 3 5" xfId="10439" xr:uid="{00000000-0005-0000-0000-0000DC1A0000}"/>
    <cellStyle name="20% - Accent3 3 8 3 6" xfId="10440" xr:uid="{00000000-0005-0000-0000-0000DD1A0000}"/>
    <cellStyle name="20% - Accent3 3 8 3 7" xfId="10441" xr:uid="{00000000-0005-0000-0000-0000DE1A0000}"/>
    <cellStyle name="20% - Accent3 3 8 4" xfId="10442" xr:uid="{00000000-0005-0000-0000-0000DF1A0000}"/>
    <cellStyle name="20% - Accent3 3 8 4 2" xfId="10443" xr:uid="{00000000-0005-0000-0000-0000E01A0000}"/>
    <cellStyle name="20% - Accent3 3 8 4 2 2" xfId="10444" xr:uid="{00000000-0005-0000-0000-0000E11A0000}"/>
    <cellStyle name="20% - Accent3 3 8 4 2 2 2" xfId="10445" xr:uid="{00000000-0005-0000-0000-0000E21A0000}"/>
    <cellStyle name="20% - Accent3 3 8 4 2 3" xfId="10446" xr:uid="{00000000-0005-0000-0000-0000E31A0000}"/>
    <cellStyle name="20% - Accent3 3 8 4 3" xfId="10447" xr:uid="{00000000-0005-0000-0000-0000E41A0000}"/>
    <cellStyle name="20% - Accent3 3 8 4 3 2" xfId="10448" xr:uid="{00000000-0005-0000-0000-0000E51A0000}"/>
    <cellStyle name="20% - Accent3 3 8 4 4" xfId="10449" xr:uid="{00000000-0005-0000-0000-0000E61A0000}"/>
    <cellStyle name="20% - Accent3 3 8 4 5" xfId="10450" xr:uid="{00000000-0005-0000-0000-0000E71A0000}"/>
    <cellStyle name="20% - Accent3 3 8 4 6" xfId="10451" xr:uid="{00000000-0005-0000-0000-0000E81A0000}"/>
    <cellStyle name="20% - Accent3 3 8 5" xfId="10452" xr:uid="{00000000-0005-0000-0000-0000E91A0000}"/>
    <cellStyle name="20% - Accent3 3 8 5 2" xfId="10453" xr:uid="{00000000-0005-0000-0000-0000EA1A0000}"/>
    <cellStyle name="20% - Accent3 3 8 5 2 2" xfId="10454" xr:uid="{00000000-0005-0000-0000-0000EB1A0000}"/>
    <cellStyle name="20% - Accent3 3 8 5 3" xfId="10455" xr:uid="{00000000-0005-0000-0000-0000EC1A0000}"/>
    <cellStyle name="20% - Accent3 3 8 6" xfId="10456" xr:uid="{00000000-0005-0000-0000-0000ED1A0000}"/>
    <cellStyle name="20% - Accent3 3 8 6 2" xfId="10457" xr:uid="{00000000-0005-0000-0000-0000EE1A0000}"/>
    <cellStyle name="20% - Accent3 3 8 6 2 2" xfId="10458" xr:uid="{00000000-0005-0000-0000-0000EF1A0000}"/>
    <cellStyle name="20% - Accent3 3 8 6 3" xfId="10459" xr:uid="{00000000-0005-0000-0000-0000F01A0000}"/>
    <cellStyle name="20% - Accent3 3 8 7" xfId="10460" xr:uid="{00000000-0005-0000-0000-0000F11A0000}"/>
    <cellStyle name="20% - Accent3 3 8 7 2" xfId="10461" xr:uid="{00000000-0005-0000-0000-0000F21A0000}"/>
    <cellStyle name="20% - Accent3 3 8 8" xfId="10462" xr:uid="{00000000-0005-0000-0000-0000F31A0000}"/>
    <cellStyle name="20% - Accent3 3 8 8 2" xfId="10463" xr:uid="{00000000-0005-0000-0000-0000F41A0000}"/>
    <cellStyle name="20% - Accent3 3 8 9" xfId="10464" xr:uid="{00000000-0005-0000-0000-0000F51A0000}"/>
    <cellStyle name="20% - Accent3 3 9" xfId="10465" xr:uid="{00000000-0005-0000-0000-0000F61A0000}"/>
    <cellStyle name="20% - Accent3 3 9 2" xfId="10466" xr:uid="{00000000-0005-0000-0000-0000F71A0000}"/>
    <cellStyle name="20% - Accent3 3 9 2 2" xfId="10467" xr:uid="{00000000-0005-0000-0000-0000F81A0000}"/>
    <cellStyle name="20% - Accent3 4" xfId="173" xr:uid="{00000000-0005-0000-0000-0000F91A0000}"/>
    <cellStyle name="20% - Accent3 4 10" xfId="10468" xr:uid="{00000000-0005-0000-0000-0000FA1A0000}"/>
    <cellStyle name="20% - Accent3 4 10 2" xfId="10469" xr:uid="{00000000-0005-0000-0000-0000FB1A0000}"/>
    <cellStyle name="20% - Accent3 4 10 2 2" xfId="10470" xr:uid="{00000000-0005-0000-0000-0000FC1A0000}"/>
    <cellStyle name="20% - Accent3 4 10 2 2 2" xfId="10471" xr:uid="{00000000-0005-0000-0000-0000FD1A0000}"/>
    <cellStyle name="20% - Accent3 4 10 2 2 2 2" xfId="10472" xr:uid="{00000000-0005-0000-0000-0000FE1A0000}"/>
    <cellStyle name="20% - Accent3 4 10 2 2 3" xfId="10473" xr:uid="{00000000-0005-0000-0000-0000FF1A0000}"/>
    <cellStyle name="20% - Accent3 4 10 2 3" xfId="10474" xr:uid="{00000000-0005-0000-0000-0000001B0000}"/>
    <cellStyle name="20% - Accent3 4 10 2 3 2" xfId="10475" xr:uid="{00000000-0005-0000-0000-0000011B0000}"/>
    <cellStyle name="20% - Accent3 4 10 2 4" xfId="10476" xr:uid="{00000000-0005-0000-0000-0000021B0000}"/>
    <cellStyle name="20% - Accent3 4 10 2 5" xfId="10477" xr:uid="{00000000-0005-0000-0000-0000031B0000}"/>
    <cellStyle name="20% - Accent3 4 10 2 6" xfId="10478" xr:uid="{00000000-0005-0000-0000-0000041B0000}"/>
    <cellStyle name="20% - Accent3 4 10 3" xfId="10479" xr:uid="{00000000-0005-0000-0000-0000051B0000}"/>
    <cellStyle name="20% - Accent3 4 10 3 2" xfId="10480" xr:uid="{00000000-0005-0000-0000-0000061B0000}"/>
    <cellStyle name="20% - Accent3 4 10 3 2 2" xfId="10481" xr:uid="{00000000-0005-0000-0000-0000071B0000}"/>
    <cellStyle name="20% - Accent3 4 10 3 3" xfId="10482" xr:uid="{00000000-0005-0000-0000-0000081B0000}"/>
    <cellStyle name="20% - Accent3 4 10 4" xfId="10483" xr:uid="{00000000-0005-0000-0000-0000091B0000}"/>
    <cellStyle name="20% - Accent3 4 10 4 2" xfId="10484" xr:uid="{00000000-0005-0000-0000-00000A1B0000}"/>
    <cellStyle name="20% - Accent3 4 10 4 2 2" xfId="10485" xr:uid="{00000000-0005-0000-0000-00000B1B0000}"/>
    <cellStyle name="20% - Accent3 4 10 4 3" xfId="10486" xr:uid="{00000000-0005-0000-0000-00000C1B0000}"/>
    <cellStyle name="20% - Accent3 4 10 5" xfId="10487" xr:uid="{00000000-0005-0000-0000-00000D1B0000}"/>
    <cellStyle name="20% - Accent3 4 10 6" xfId="10488" xr:uid="{00000000-0005-0000-0000-00000E1B0000}"/>
    <cellStyle name="20% - Accent3 4 11" xfId="10489" xr:uid="{00000000-0005-0000-0000-00000F1B0000}"/>
    <cellStyle name="20% - Accent3 4 11 2" xfId="10490" xr:uid="{00000000-0005-0000-0000-0000101B0000}"/>
    <cellStyle name="20% - Accent3 4 11 2 2" xfId="10491" xr:uid="{00000000-0005-0000-0000-0000111B0000}"/>
    <cellStyle name="20% - Accent3 4 11 2 2 2" xfId="10492" xr:uid="{00000000-0005-0000-0000-0000121B0000}"/>
    <cellStyle name="20% - Accent3 4 11 2 2 2 2" xfId="10493" xr:uid="{00000000-0005-0000-0000-0000131B0000}"/>
    <cellStyle name="20% - Accent3 4 11 2 2 3" xfId="10494" xr:uid="{00000000-0005-0000-0000-0000141B0000}"/>
    <cellStyle name="20% - Accent3 4 11 2 3" xfId="10495" xr:uid="{00000000-0005-0000-0000-0000151B0000}"/>
    <cellStyle name="20% - Accent3 4 11 2 3 2" xfId="10496" xr:uid="{00000000-0005-0000-0000-0000161B0000}"/>
    <cellStyle name="20% - Accent3 4 11 2 4" xfId="10497" xr:uid="{00000000-0005-0000-0000-0000171B0000}"/>
    <cellStyle name="20% - Accent3 4 11 2 5" xfId="10498" xr:uid="{00000000-0005-0000-0000-0000181B0000}"/>
    <cellStyle name="20% - Accent3 4 11 2 6" xfId="10499" xr:uid="{00000000-0005-0000-0000-0000191B0000}"/>
    <cellStyle name="20% - Accent3 4 11 3" xfId="10500" xr:uid="{00000000-0005-0000-0000-00001A1B0000}"/>
    <cellStyle name="20% - Accent3 4 11 3 2" xfId="10501" xr:uid="{00000000-0005-0000-0000-00001B1B0000}"/>
    <cellStyle name="20% - Accent3 4 11 3 2 2" xfId="10502" xr:uid="{00000000-0005-0000-0000-00001C1B0000}"/>
    <cellStyle name="20% - Accent3 4 11 3 3" xfId="10503" xr:uid="{00000000-0005-0000-0000-00001D1B0000}"/>
    <cellStyle name="20% - Accent3 4 11 4" xfId="10504" xr:uid="{00000000-0005-0000-0000-00001E1B0000}"/>
    <cellStyle name="20% - Accent3 4 11 4 2" xfId="10505" xr:uid="{00000000-0005-0000-0000-00001F1B0000}"/>
    <cellStyle name="20% - Accent3 4 11 5" xfId="10506" xr:uid="{00000000-0005-0000-0000-0000201B0000}"/>
    <cellStyle name="20% - Accent3 4 11 6" xfId="10507" xr:uid="{00000000-0005-0000-0000-0000211B0000}"/>
    <cellStyle name="20% - Accent3 4 11 7" xfId="10508" xr:uid="{00000000-0005-0000-0000-0000221B0000}"/>
    <cellStyle name="20% - Accent3 4 12" xfId="10509" xr:uid="{00000000-0005-0000-0000-0000231B0000}"/>
    <cellStyle name="20% - Accent3 4 13" xfId="10510" xr:uid="{00000000-0005-0000-0000-0000241B0000}"/>
    <cellStyle name="20% - Accent3 4 13 2" xfId="10511" xr:uid="{00000000-0005-0000-0000-0000251B0000}"/>
    <cellStyle name="20% - Accent3 4 13 2 2" xfId="10512" xr:uid="{00000000-0005-0000-0000-0000261B0000}"/>
    <cellStyle name="20% - Accent3 4 13 3" xfId="10513" xr:uid="{00000000-0005-0000-0000-0000271B0000}"/>
    <cellStyle name="20% - Accent3 4 14" xfId="10514" xr:uid="{00000000-0005-0000-0000-0000281B0000}"/>
    <cellStyle name="20% - Accent3 4 14 2" xfId="10515" xr:uid="{00000000-0005-0000-0000-0000291B0000}"/>
    <cellStyle name="20% - Accent3 4 15" xfId="10516" xr:uid="{00000000-0005-0000-0000-00002A1B0000}"/>
    <cellStyle name="20% - Accent3 4 16" xfId="10517" xr:uid="{00000000-0005-0000-0000-00002B1B0000}"/>
    <cellStyle name="20% - Accent3 4 2" xfId="10518" xr:uid="{00000000-0005-0000-0000-00002C1B0000}"/>
    <cellStyle name="20% - Accent3 4 2 10" xfId="10519" xr:uid="{00000000-0005-0000-0000-00002D1B0000}"/>
    <cellStyle name="20% - Accent3 4 2 11" xfId="10520" xr:uid="{00000000-0005-0000-0000-00002E1B0000}"/>
    <cellStyle name="20% - Accent3 4 2 2" xfId="10521" xr:uid="{00000000-0005-0000-0000-00002F1B0000}"/>
    <cellStyle name="20% - Accent3 4 2 2 2" xfId="10522" xr:uid="{00000000-0005-0000-0000-0000301B0000}"/>
    <cellStyle name="20% - Accent3 4 2 2 2 2" xfId="10523" xr:uid="{00000000-0005-0000-0000-0000311B0000}"/>
    <cellStyle name="20% - Accent3 4 2 2 2 2 2" xfId="10524" xr:uid="{00000000-0005-0000-0000-0000321B0000}"/>
    <cellStyle name="20% - Accent3 4 2 2 2 2 2 2" xfId="10525" xr:uid="{00000000-0005-0000-0000-0000331B0000}"/>
    <cellStyle name="20% - Accent3 4 2 2 2 2 3" xfId="10526" xr:uid="{00000000-0005-0000-0000-0000341B0000}"/>
    <cellStyle name="20% - Accent3 4 2 2 2 3" xfId="10527" xr:uid="{00000000-0005-0000-0000-0000351B0000}"/>
    <cellStyle name="20% - Accent3 4 2 2 2 3 2" xfId="10528" xr:uid="{00000000-0005-0000-0000-0000361B0000}"/>
    <cellStyle name="20% - Accent3 4 2 2 2 4" xfId="10529" xr:uid="{00000000-0005-0000-0000-0000371B0000}"/>
    <cellStyle name="20% - Accent3 4 2 2 2 5" xfId="10530" xr:uid="{00000000-0005-0000-0000-0000381B0000}"/>
    <cellStyle name="20% - Accent3 4 2 2 2 6" xfId="10531" xr:uid="{00000000-0005-0000-0000-0000391B0000}"/>
    <cellStyle name="20% - Accent3 4 2 2 3" xfId="10532" xr:uid="{00000000-0005-0000-0000-00003A1B0000}"/>
    <cellStyle name="20% - Accent3 4 2 2 3 2" xfId="10533" xr:uid="{00000000-0005-0000-0000-00003B1B0000}"/>
    <cellStyle name="20% - Accent3 4 2 2 3 2 2" xfId="10534" xr:uid="{00000000-0005-0000-0000-00003C1B0000}"/>
    <cellStyle name="20% - Accent3 4 2 2 3 3" xfId="10535" xr:uid="{00000000-0005-0000-0000-00003D1B0000}"/>
    <cellStyle name="20% - Accent3 4 2 2 4" xfId="10536" xr:uid="{00000000-0005-0000-0000-00003E1B0000}"/>
    <cellStyle name="20% - Accent3 4 2 2 4 2" xfId="10537" xr:uid="{00000000-0005-0000-0000-00003F1B0000}"/>
    <cellStyle name="20% - Accent3 4 2 2 5" xfId="10538" xr:uid="{00000000-0005-0000-0000-0000401B0000}"/>
    <cellStyle name="20% - Accent3 4 2 2 5 2" xfId="10539" xr:uid="{00000000-0005-0000-0000-0000411B0000}"/>
    <cellStyle name="20% - Accent3 4 2 2 6" xfId="10540" xr:uid="{00000000-0005-0000-0000-0000421B0000}"/>
    <cellStyle name="20% - Accent3 4 2 2 7" xfId="10541" xr:uid="{00000000-0005-0000-0000-0000431B0000}"/>
    <cellStyle name="20% - Accent3 4 2 2 8" xfId="10542" xr:uid="{00000000-0005-0000-0000-0000441B0000}"/>
    <cellStyle name="20% - Accent3 4 2 3" xfId="10543" xr:uid="{00000000-0005-0000-0000-0000451B0000}"/>
    <cellStyle name="20% - Accent3 4 2 3 2" xfId="10544" xr:uid="{00000000-0005-0000-0000-0000461B0000}"/>
    <cellStyle name="20% - Accent3 4 2 3 2 2" xfId="10545" xr:uid="{00000000-0005-0000-0000-0000471B0000}"/>
    <cellStyle name="20% - Accent3 4 2 3 2 2 2" xfId="10546" xr:uid="{00000000-0005-0000-0000-0000481B0000}"/>
    <cellStyle name="20% - Accent3 4 2 3 2 2 2 2" xfId="10547" xr:uid="{00000000-0005-0000-0000-0000491B0000}"/>
    <cellStyle name="20% - Accent3 4 2 3 2 2 3" xfId="10548" xr:uid="{00000000-0005-0000-0000-00004A1B0000}"/>
    <cellStyle name="20% - Accent3 4 2 3 2 3" xfId="10549" xr:uid="{00000000-0005-0000-0000-00004B1B0000}"/>
    <cellStyle name="20% - Accent3 4 2 3 2 3 2" xfId="10550" xr:uid="{00000000-0005-0000-0000-00004C1B0000}"/>
    <cellStyle name="20% - Accent3 4 2 3 2 4" xfId="10551" xr:uid="{00000000-0005-0000-0000-00004D1B0000}"/>
    <cellStyle name="20% - Accent3 4 2 3 2 5" xfId="10552" xr:uid="{00000000-0005-0000-0000-00004E1B0000}"/>
    <cellStyle name="20% - Accent3 4 2 3 2 6" xfId="10553" xr:uid="{00000000-0005-0000-0000-00004F1B0000}"/>
    <cellStyle name="20% - Accent3 4 2 3 3" xfId="10554" xr:uid="{00000000-0005-0000-0000-0000501B0000}"/>
    <cellStyle name="20% - Accent3 4 2 3 3 2" xfId="10555" xr:uid="{00000000-0005-0000-0000-0000511B0000}"/>
    <cellStyle name="20% - Accent3 4 2 3 3 2 2" xfId="10556" xr:uid="{00000000-0005-0000-0000-0000521B0000}"/>
    <cellStyle name="20% - Accent3 4 2 3 3 3" xfId="10557" xr:uid="{00000000-0005-0000-0000-0000531B0000}"/>
    <cellStyle name="20% - Accent3 4 2 3 4" xfId="10558" xr:uid="{00000000-0005-0000-0000-0000541B0000}"/>
    <cellStyle name="20% - Accent3 4 2 3 4 2" xfId="10559" xr:uid="{00000000-0005-0000-0000-0000551B0000}"/>
    <cellStyle name="20% - Accent3 4 2 3 5" xfId="10560" xr:uid="{00000000-0005-0000-0000-0000561B0000}"/>
    <cellStyle name="20% - Accent3 4 2 3 6" xfId="10561" xr:uid="{00000000-0005-0000-0000-0000571B0000}"/>
    <cellStyle name="20% - Accent3 4 2 3 7" xfId="10562" xr:uid="{00000000-0005-0000-0000-0000581B0000}"/>
    <cellStyle name="20% - Accent3 4 2 4" xfId="10563" xr:uid="{00000000-0005-0000-0000-0000591B0000}"/>
    <cellStyle name="20% - Accent3 4 2 4 2" xfId="10564" xr:uid="{00000000-0005-0000-0000-00005A1B0000}"/>
    <cellStyle name="20% - Accent3 4 2 4 2 2" xfId="10565" xr:uid="{00000000-0005-0000-0000-00005B1B0000}"/>
    <cellStyle name="20% - Accent3 4 2 4 2 2 2" xfId="10566" xr:uid="{00000000-0005-0000-0000-00005C1B0000}"/>
    <cellStyle name="20% - Accent3 4 2 4 2 3" xfId="10567" xr:uid="{00000000-0005-0000-0000-00005D1B0000}"/>
    <cellStyle name="20% - Accent3 4 2 4 3" xfId="10568" xr:uid="{00000000-0005-0000-0000-00005E1B0000}"/>
    <cellStyle name="20% - Accent3 4 2 4 3 2" xfId="10569" xr:uid="{00000000-0005-0000-0000-00005F1B0000}"/>
    <cellStyle name="20% - Accent3 4 2 4 4" xfId="10570" xr:uid="{00000000-0005-0000-0000-0000601B0000}"/>
    <cellStyle name="20% - Accent3 4 2 4 5" xfId="10571" xr:uid="{00000000-0005-0000-0000-0000611B0000}"/>
    <cellStyle name="20% - Accent3 4 2 4 6" xfId="10572" xr:uid="{00000000-0005-0000-0000-0000621B0000}"/>
    <cellStyle name="20% - Accent3 4 2 5" xfId="10573" xr:uid="{00000000-0005-0000-0000-0000631B0000}"/>
    <cellStyle name="20% - Accent3 4 2 5 2" xfId="10574" xr:uid="{00000000-0005-0000-0000-0000641B0000}"/>
    <cellStyle name="20% - Accent3 4 2 5 2 2" xfId="10575" xr:uid="{00000000-0005-0000-0000-0000651B0000}"/>
    <cellStyle name="20% - Accent3 4 2 5 3" xfId="10576" xr:uid="{00000000-0005-0000-0000-0000661B0000}"/>
    <cellStyle name="20% - Accent3 4 2 6" xfId="10577" xr:uid="{00000000-0005-0000-0000-0000671B0000}"/>
    <cellStyle name="20% - Accent3 4 2 6 2" xfId="10578" xr:uid="{00000000-0005-0000-0000-0000681B0000}"/>
    <cellStyle name="20% - Accent3 4 2 6 2 2" xfId="10579" xr:uid="{00000000-0005-0000-0000-0000691B0000}"/>
    <cellStyle name="20% - Accent3 4 2 6 3" xfId="10580" xr:uid="{00000000-0005-0000-0000-00006A1B0000}"/>
    <cellStyle name="20% - Accent3 4 2 7" xfId="10581" xr:uid="{00000000-0005-0000-0000-00006B1B0000}"/>
    <cellStyle name="20% - Accent3 4 2 7 2" xfId="10582" xr:uid="{00000000-0005-0000-0000-00006C1B0000}"/>
    <cellStyle name="20% - Accent3 4 2 8" xfId="10583" xr:uid="{00000000-0005-0000-0000-00006D1B0000}"/>
    <cellStyle name="20% - Accent3 4 2 8 2" xfId="10584" xr:uid="{00000000-0005-0000-0000-00006E1B0000}"/>
    <cellStyle name="20% - Accent3 4 2 9" xfId="10585" xr:uid="{00000000-0005-0000-0000-00006F1B0000}"/>
    <cellStyle name="20% - Accent3 4 3" xfId="10586" xr:uid="{00000000-0005-0000-0000-0000701B0000}"/>
    <cellStyle name="20% - Accent3 4 3 10" xfId="10587" xr:uid="{00000000-0005-0000-0000-0000711B0000}"/>
    <cellStyle name="20% - Accent3 4 3 11" xfId="10588" xr:uid="{00000000-0005-0000-0000-0000721B0000}"/>
    <cellStyle name="20% - Accent3 4 3 2" xfId="10589" xr:uid="{00000000-0005-0000-0000-0000731B0000}"/>
    <cellStyle name="20% - Accent3 4 3 2 2" xfId="10590" xr:uid="{00000000-0005-0000-0000-0000741B0000}"/>
    <cellStyle name="20% - Accent3 4 3 2 2 2" xfId="10591" xr:uid="{00000000-0005-0000-0000-0000751B0000}"/>
    <cellStyle name="20% - Accent3 4 3 2 2 2 2" xfId="10592" xr:uid="{00000000-0005-0000-0000-0000761B0000}"/>
    <cellStyle name="20% - Accent3 4 3 2 2 2 2 2" xfId="10593" xr:uid="{00000000-0005-0000-0000-0000771B0000}"/>
    <cellStyle name="20% - Accent3 4 3 2 2 2 3" xfId="10594" xr:uid="{00000000-0005-0000-0000-0000781B0000}"/>
    <cellStyle name="20% - Accent3 4 3 2 2 3" xfId="10595" xr:uid="{00000000-0005-0000-0000-0000791B0000}"/>
    <cellStyle name="20% - Accent3 4 3 2 2 3 2" xfId="10596" xr:uid="{00000000-0005-0000-0000-00007A1B0000}"/>
    <cellStyle name="20% - Accent3 4 3 2 2 4" xfId="10597" xr:uid="{00000000-0005-0000-0000-00007B1B0000}"/>
    <cellStyle name="20% - Accent3 4 3 2 2 5" xfId="10598" xr:uid="{00000000-0005-0000-0000-00007C1B0000}"/>
    <cellStyle name="20% - Accent3 4 3 2 2 6" xfId="10599" xr:uid="{00000000-0005-0000-0000-00007D1B0000}"/>
    <cellStyle name="20% - Accent3 4 3 2 3" xfId="10600" xr:uid="{00000000-0005-0000-0000-00007E1B0000}"/>
    <cellStyle name="20% - Accent3 4 3 2 3 2" xfId="10601" xr:uid="{00000000-0005-0000-0000-00007F1B0000}"/>
    <cellStyle name="20% - Accent3 4 3 2 3 2 2" xfId="10602" xr:uid="{00000000-0005-0000-0000-0000801B0000}"/>
    <cellStyle name="20% - Accent3 4 3 2 3 3" xfId="10603" xr:uid="{00000000-0005-0000-0000-0000811B0000}"/>
    <cellStyle name="20% - Accent3 4 3 2 4" xfId="10604" xr:uid="{00000000-0005-0000-0000-0000821B0000}"/>
    <cellStyle name="20% - Accent3 4 3 2 4 2" xfId="10605" xr:uid="{00000000-0005-0000-0000-0000831B0000}"/>
    <cellStyle name="20% - Accent3 4 3 2 5" xfId="10606" xr:uid="{00000000-0005-0000-0000-0000841B0000}"/>
    <cellStyle name="20% - Accent3 4 3 2 5 2" xfId="10607" xr:uid="{00000000-0005-0000-0000-0000851B0000}"/>
    <cellStyle name="20% - Accent3 4 3 2 6" xfId="10608" xr:uid="{00000000-0005-0000-0000-0000861B0000}"/>
    <cellStyle name="20% - Accent3 4 3 2 7" xfId="10609" xr:uid="{00000000-0005-0000-0000-0000871B0000}"/>
    <cellStyle name="20% - Accent3 4 3 2 8" xfId="10610" xr:uid="{00000000-0005-0000-0000-0000881B0000}"/>
    <cellStyle name="20% - Accent3 4 3 3" xfId="10611" xr:uid="{00000000-0005-0000-0000-0000891B0000}"/>
    <cellStyle name="20% - Accent3 4 3 3 2" xfId="10612" xr:uid="{00000000-0005-0000-0000-00008A1B0000}"/>
    <cellStyle name="20% - Accent3 4 3 3 2 2" xfId="10613" xr:uid="{00000000-0005-0000-0000-00008B1B0000}"/>
    <cellStyle name="20% - Accent3 4 3 3 2 2 2" xfId="10614" xr:uid="{00000000-0005-0000-0000-00008C1B0000}"/>
    <cellStyle name="20% - Accent3 4 3 3 2 2 2 2" xfId="10615" xr:uid="{00000000-0005-0000-0000-00008D1B0000}"/>
    <cellStyle name="20% - Accent3 4 3 3 2 2 3" xfId="10616" xr:uid="{00000000-0005-0000-0000-00008E1B0000}"/>
    <cellStyle name="20% - Accent3 4 3 3 2 3" xfId="10617" xr:uid="{00000000-0005-0000-0000-00008F1B0000}"/>
    <cellStyle name="20% - Accent3 4 3 3 2 3 2" xfId="10618" xr:uid="{00000000-0005-0000-0000-0000901B0000}"/>
    <cellStyle name="20% - Accent3 4 3 3 2 4" xfId="10619" xr:uid="{00000000-0005-0000-0000-0000911B0000}"/>
    <cellStyle name="20% - Accent3 4 3 3 2 5" xfId="10620" xr:uid="{00000000-0005-0000-0000-0000921B0000}"/>
    <cellStyle name="20% - Accent3 4 3 3 2 6" xfId="10621" xr:uid="{00000000-0005-0000-0000-0000931B0000}"/>
    <cellStyle name="20% - Accent3 4 3 3 3" xfId="10622" xr:uid="{00000000-0005-0000-0000-0000941B0000}"/>
    <cellStyle name="20% - Accent3 4 3 3 3 2" xfId="10623" xr:uid="{00000000-0005-0000-0000-0000951B0000}"/>
    <cellStyle name="20% - Accent3 4 3 3 3 2 2" xfId="10624" xr:uid="{00000000-0005-0000-0000-0000961B0000}"/>
    <cellStyle name="20% - Accent3 4 3 3 3 3" xfId="10625" xr:uid="{00000000-0005-0000-0000-0000971B0000}"/>
    <cellStyle name="20% - Accent3 4 3 3 4" xfId="10626" xr:uid="{00000000-0005-0000-0000-0000981B0000}"/>
    <cellStyle name="20% - Accent3 4 3 3 4 2" xfId="10627" xr:uid="{00000000-0005-0000-0000-0000991B0000}"/>
    <cellStyle name="20% - Accent3 4 3 3 5" xfId="10628" xr:uid="{00000000-0005-0000-0000-00009A1B0000}"/>
    <cellStyle name="20% - Accent3 4 3 3 6" xfId="10629" xr:uid="{00000000-0005-0000-0000-00009B1B0000}"/>
    <cellStyle name="20% - Accent3 4 3 3 7" xfId="10630" xr:uid="{00000000-0005-0000-0000-00009C1B0000}"/>
    <cellStyle name="20% - Accent3 4 3 4" xfId="10631" xr:uid="{00000000-0005-0000-0000-00009D1B0000}"/>
    <cellStyle name="20% - Accent3 4 3 4 2" xfId="10632" xr:uid="{00000000-0005-0000-0000-00009E1B0000}"/>
    <cellStyle name="20% - Accent3 4 3 4 2 2" xfId="10633" xr:uid="{00000000-0005-0000-0000-00009F1B0000}"/>
    <cellStyle name="20% - Accent3 4 3 4 2 2 2" xfId="10634" xr:uid="{00000000-0005-0000-0000-0000A01B0000}"/>
    <cellStyle name="20% - Accent3 4 3 4 2 3" xfId="10635" xr:uid="{00000000-0005-0000-0000-0000A11B0000}"/>
    <cellStyle name="20% - Accent3 4 3 4 3" xfId="10636" xr:uid="{00000000-0005-0000-0000-0000A21B0000}"/>
    <cellStyle name="20% - Accent3 4 3 4 3 2" xfId="10637" xr:uid="{00000000-0005-0000-0000-0000A31B0000}"/>
    <cellStyle name="20% - Accent3 4 3 4 4" xfId="10638" xr:uid="{00000000-0005-0000-0000-0000A41B0000}"/>
    <cellStyle name="20% - Accent3 4 3 4 5" xfId="10639" xr:uid="{00000000-0005-0000-0000-0000A51B0000}"/>
    <cellStyle name="20% - Accent3 4 3 4 6" xfId="10640" xr:uid="{00000000-0005-0000-0000-0000A61B0000}"/>
    <cellStyle name="20% - Accent3 4 3 5" xfId="10641" xr:uid="{00000000-0005-0000-0000-0000A71B0000}"/>
    <cellStyle name="20% - Accent3 4 3 5 2" xfId="10642" xr:uid="{00000000-0005-0000-0000-0000A81B0000}"/>
    <cellStyle name="20% - Accent3 4 3 5 2 2" xfId="10643" xr:uid="{00000000-0005-0000-0000-0000A91B0000}"/>
    <cellStyle name="20% - Accent3 4 3 5 3" xfId="10644" xr:uid="{00000000-0005-0000-0000-0000AA1B0000}"/>
    <cellStyle name="20% - Accent3 4 3 6" xfId="10645" xr:uid="{00000000-0005-0000-0000-0000AB1B0000}"/>
    <cellStyle name="20% - Accent3 4 3 6 2" xfId="10646" xr:uid="{00000000-0005-0000-0000-0000AC1B0000}"/>
    <cellStyle name="20% - Accent3 4 3 6 2 2" xfId="10647" xr:uid="{00000000-0005-0000-0000-0000AD1B0000}"/>
    <cellStyle name="20% - Accent3 4 3 6 3" xfId="10648" xr:uid="{00000000-0005-0000-0000-0000AE1B0000}"/>
    <cellStyle name="20% - Accent3 4 3 7" xfId="10649" xr:uid="{00000000-0005-0000-0000-0000AF1B0000}"/>
    <cellStyle name="20% - Accent3 4 3 7 2" xfId="10650" xr:uid="{00000000-0005-0000-0000-0000B01B0000}"/>
    <cellStyle name="20% - Accent3 4 3 8" xfId="10651" xr:uid="{00000000-0005-0000-0000-0000B11B0000}"/>
    <cellStyle name="20% - Accent3 4 3 8 2" xfId="10652" xr:uid="{00000000-0005-0000-0000-0000B21B0000}"/>
    <cellStyle name="20% - Accent3 4 3 9" xfId="10653" xr:uid="{00000000-0005-0000-0000-0000B31B0000}"/>
    <cellStyle name="20% - Accent3 4 4" xfId="10654" xr:uid="{00000000-0005-0000-0000-0000B41B0000}"/>
    <cellStyle name="20% - Accent3 4 4 10" xfId="10655" xr:uid="{00000000-0005-0000-0000-0000B51B0000}"/>
    <cellStyle name="20% - Accent3 4 4 11" xfId="10656" xr:uid="{00000000-0005-0000-0000-0000B61B0000}"/>
    <cellStyle name="20% - Accent3 4 4 2" xfId="10657" xr:uid="{00000000-0005-0000-0000-0000B71B0000}"/>
    <cellStyle name="20% - Accent3 4 4 2 2" xfId="10658" xr:uid="{00000000-0005-0000-0000-0000B81B0000}"/>
    <cellStyle name="20% - Accent3 4 4 2 2 2" xfId="10659" xr:uid="{00000000-0005-0000-0000-0000B91B0000}"/>
    <cellStyle name="20% - Accent3 4 4 2 2 2 2" xfId="10660" xr:uid="{00000000-0005-0000-0000-0000BA1B0000}"/>
    <cellStyle name="20% - Accent3 4 4 2 2 2 2 2" xfId="10661" xr:uid="{00000000-0005-0000-0000-0000BB1B0000}"/>
    <cellStyle name="20% - Accent3 4 4 2 2 2 3" xfId="10662" xr:uid="{00000000-0005-0000-0000-0000BC1B0000}"/>
    <cellStyle name="20% - Accent3 4 4 2 2 3" xfId="10663" xr:uid="{00000000-0005-0000-0000-0000BD1B0000}"/>
    <cellStyle name="20% - Accent3 4 4 2 2 3 2" xfId="10664" xr:uid="{00000000-0005-0000-0000-0000BE1B0000}"/>
    <cellStyle name="20% - Accent3 4 4 2 2 4" xfId="10665" xr:uid="{00000000-0005-0000-0000-0000BF1B0000}"/>
    <cellStyle name="20% - Accent3 4 4 2 2 5" xfId="10666" xr:uid="{00000000-0005-0000-0000-0000C01B0000}"/>
    <cellStyle name="20% - Accent3 4 4 2 2 6" xfId="10667" xr:uid="{00000000-0005-0000-0000-0000C11B0000}"/>
    <cellStyle name="20% - Accent3 4 4 2 3" xfId="10668" xr:uid="{00000000-0005-0000-0000-0000C21B0000}"/>
    <cellStyle name="20% - Accent3 4 4 2 3 2" xfId="10669" xr:uid="{00000000-0005-0000-0000-0000C31B0000}"/>
    <cellStyle name="20% - Accent3 4 4 2 3 2 2" xfId="10670" xr:uid="{00000000-0005-0000-0000-0000C41B0000}"/>
    <cellStyle name="20% - Accent3 4 4 2 3 3" xfId="10671" xr:uid="{00000000-0005-0000-0000-0000C51B0000}"/>
    <cellStyle name="20% - Accent3 4 4 2 4" xfId="10672" xr:uid="{00000000-0005-0000-0000-0000C61B0000}"/>
    <cellStyle name="20% - Accent3 4 4 2 4 2" xfId="10673" xr:uid="{00000000-0005-0000-0000-0000C71B0000}"/>
    <cellStyle name="20% - Accent3 4 4 2 5" xfId="10674" xr:uid="{00000000-0005-0000-0000-0000C81B0000}"/>
    <cellStyle name="20% - Accent3 4 4 2 5 2" xfId="10675" xr:uid="{00000000-0005-0000-0000-0000C91B0000}"/>
    <cellStyle name="20% - Accent3 4 4 2 6" xfId="10676" xr:uid="{00000000-0005-0000-0000-0000CA1B0000}"/>
    <cellStyle name="20% - Accent3 4 4 2 7" xfId="10677" xr:uid="{00000000-0005-0000-0000-0000CB1B0000}"/>
    <cellStyle name="20% - Accent3 4 4 2 8" xfId="10678" xr:uid="{00000000-0005-0000-0000-0000CC1B0000}"/>
    <cellStyle name="20% - Accent3 4 4 3" xfId="10679" xr:uid="{00000000-0005-0000-0000-0000CD1B0000}"/>
    <cellStyle name="20% - Accent3 4 4 3 2" xfId="10680" xr:uid="{00000000-0005-0000-0000-0000CE1B0000}"/>
    <cellStyle name="20% - Accent3 4 4 3 2 2" xfId="10681" xr:uid="{00000000-0005-0000-0000-0000CF1B0000}"/>
    <cellStyle name="20% - Accent3 4 4 3 2 2 2" xfId="10682" xr:uid="{00000000-0005-0000-0000-0000D01B0000}"/>
    <cellStyle name="20% - Accent3 4 4 3 2 2 2 2" xfId="10683" xr:uid="{00000000-0005-0000-0000-0000D11B0000}"/>
    <cellStyle name="20% - Accent3 4 4 3 2 2 3" xfId="10684" xr:uid="{00000000-0005-0000-0000-0000D21B0000}"/>
    <cellStyle name="20% - Accent3 4 4 3 2 3" xfId="10685" xr:uid="{00000000-0005-0000-0000-0000D31B0000}"/>
    <cellStyle name="20% - Accent3 4 4 3 2 3 2" xfId="10686" xr:uid="{00000000-0005-0000-0000-0000D41B0000}"/>
    <cellStyle name="20% - Accent3 4 4 3 2 4" xfId="10687" xr:uid="{00000000-0005-0000-0000-0000D51B0000}"/>
    <cellStyle name="20% - Accent3 4 4 3 2 5" xfId="10688" xr:uid="{00000000-0005-0000-0000-0000D61B0000}"/>
    <cellStyle name="20% - Accent3 4 4 3 2 6" xfId="10689" xr:uid="{00000000-0005-0000-0000-0000D71B0000}"/>
    <cellStyle name="20% - Accent3 4 4 3 3" xfId="10690" xr:uid="{00000000-0005-0000-0000-0000D81B0000}"/>
    <cellStyle name="20% - Accent3 4 4 3 3 2" xfId="10691" xr:uid="{00000000-0005-0000-0000-0000D91B0000}"/>
    <cellStyle name="20% - Accent3 4 4 3 3 2 2" xfId="10692" xr:uid="{00000000-0005-0000-0000-0000DA1B0000}"/>
    <cellStyle name="20% - Accent3 4 4 3 3 3" xfId="10693" xr:uid="{00000000-0005-0000-0000-0000DB1B0000}"/>
    <cellStyle name="20% - Accent3 4 4 3 4" xfId="10694" xr:uid="{00000000-0005-0000-0000-0000DC1B0000}"/>
    <cellStyle name="20% - Accent3 4 4 3 4 2" xfId="10695" xr:uid="{00000000-0005-0000-0000-0000DD1B0000}"/>
    <cellStyle name="20% - Accent3 4 4 3 5" xfId="10696" xr:uid="{00000000-0005-0000-0000-0000DE1B0000}"/>
    <cellStyle name="20% - Accent3 4 4 3 6" xfId="10697" xr:uid="{00000000-0005-0000-0000-0000DF1B0000}"/>
    <cellStyle name="20% - Accent3 4 4 3 7" xfId="10698" xr:uid="{00000000-0005-0000-0000-0000E01B0000}"/>
    <cellStyle name="20% - Accent3 4 4 4" xfId="10699" xr:uid="{00000000-0005-0000-0000-0000E11B0000}"/>
    <cellStyle name="20% - Accent3 4 4 4 2" xfId="10700" xr:uid="{00000000-0005-0000-0000-0000E21B0000}"/>
    <cellStyle name="20% - Accent3 4 4 4 2 2" xfId="10701" xr:uid="{00000000-0005-0000-0000-0000E31B0000}"/>
    <cellStyle name="20% - Accent3 4 4 4 2 2 2" xfId="10702" xr:uid="{00000000-0005-0000-0000-0000E41B0000}"/>
    <cellStyle name="20% - Accent3 4 4 4 2 3" xfId="10703" xr:uid="{00000000-0005-0000-0000-0000E51B0000}"/>
    <cellStyle name="20% - Accent3 4 4 4 3" xfId="10704" xr:uid="{00000000-0005-0000-0000-0000E61B0000}"/>
    <cellStyle name="20% - Accent3 4 4 4 3 2" xfId="10705" xr:uid="{00000000-0005-0000-0000-0000E71B0000}"/>
    <cellStyle name="20% - Accent3 4 4 4 4" xfId="10706" xr:uid="{00000000-0005-0000-0000-0000E81B0000}"/>
    <cellStyle name="20% - Accent3 4 4 4 5" xfId="10707" xr:uid="{00000000-0005-0000-0000-0000E91B0000}"/>
    <cellStyle name="20% - Accent3 4 4 4 6" xfId="10708" xr:uid="{00000000-0005-0000-0000-0000EA1B0000}"/>
    <cellStyle name="20% - Accent3 4 4 5" xfId="10709" xr:uid="{00000000-0005-0000-0000-0000EB1B0000}"/>
    <cellStyle name="20% - Accent3 4 4 5 2" xfId="10710" xr:uid="{00000000-0005-0000-0000-0000EC1B0000}"/>
    <cellStyle name="20% - Accent3 4 4 5 2 2" xfId="10711" xr:uid="{00000000-0005-0000-0000-0000ED1B0000}"/>
    <cellStyle name="20% - Accent3 4 4 5 3" xfId="10712" xr:uid="{00000000-0005-0000-0000-0000EE1B0000}"/>
    <cellStyle name="20% - Accent3 4 4 6" xfId="10713" xr:uid="{00000000-0005-0000-0000-0000EF1B0000}"/>
    <cellStyle name="20% - Accent3 4 4 6 2" xfId="10714" xr:uid="{00000000-0005-0000-0000-0000F01B0000}"/>
    <cellStyle name="20% - Accent3 4 4 6 2 2" xfId="10715" xr:uid="{00000000-0005-0000-0000-0000F11B0000}"/>
    <cellStyle name="20% - Accent3 4 4 6 3" xfId="10716" xr:uid="{00000000-0005-0000-0000-0000F21B0000}"/>
    <cellStyle name="20% - Accent3 4 4 7" xfId="10717" xr:uid="{00000000-0005-0000-0000-0000F31B0000}"/>
    <cellStyle name="20% - Accent3 4 4 7 2" xfId="10718" xr:uid="{00000000-0005-0000-0000-0000F41B0000}"/>
    <cellStyle name="20% - Accent3 4 4 8" xfId="10719" xr:uid="{00000000-0005-0000-0000-0000F51B0000}"/>
    <cellStyle name="20% - Accent3 4 4 8 2" xfId="10720" xr:uid="{00000000-0005-0000-0000-0000F61B0000}"/>
    <cellStyle name="20% - Accent3 4 4 9" xfId="10721" xr:uid="{00000000-0005-0000-0000-0000F71B0000}"/>
    <cellStyle name="20% - Accent3 4 5" xfId="10722" xr:uid="{00000000-0005-0000-0000-0000F81B0000}"/>
    <cellStyle name="20% - Accent3 4 5 10" xfId="10723" xr:uid="{00000000-0005-0000-0000-0000F91B0000}"/>
    <cellStyle name="20% - Accent3 4 5 11" xfId="10724" xr:uid="{00000000-0005-0000-0000-0000FA1B0000}"/>
    <cellStyle name="20% - Accent3 4 5 2" xfId="10725" xr:uid="{00000000-0005-0000-0000-0000FB1B0000}"/>
    <cellStyle name="20% - Accent3 4 5 2 2" xfId="10726" xr:uid="{00000000-0005-0000-0000-0000FC1B0000}"/>
    <cellStyle name="20% - Accent3 4 5 2 2 2" xfId="10727" xr:uid="{00000000-0005-0000-0000-0000FD1B0000}"/>
    <cellStyle name="20% - Accent3 4 5 2 2 2 2" xfId="10728" xr:uid="{00000000-0005-0000-0000-0000FE1B0000}"/>
    <cellStyle name="20% - Accent3 4 5 2 2 2 2 2" xfId="10729" xr:uid="{00000000-0005-0000-0000-0000FF1B0000}"/>
    <cellStyle name="20% - Accent3 4 5 2 2 2 3" xfId="10730" xr:uid="{00000000-0005-0000-0000-0000001C0000}"/>
    <cellStyle name="20% - Accent3 4 5 2 2 3" xfId="10731" xr:uid="{00000000-0005-0000-0000-0000011C0000}"/>
    <cellStyle name="20% - Accent3 4 5 2 2 3 2" xfId="10732" xr:uid="{00000000-0005-0000-0000-0000021C0000}"/>
    <cellStyle name="20% - Accent3 4 5 2 2 4" xfId="10733" xr:uid="{00000000-0005-0000-0000-0000031C0000}"/>
    <cellStyle name="20% - Accent3 4 5 2 2 5" xfId="10734" xr:uid="{00000000-0005-0000-0000-0000041C0000}"/>
    <cellStyle name="20% - Accent3 4 5 2 2 6" xfId="10735" xr:uid="{00000000-0005-0000-0000-0000051C0000}"/>
    <cellStyle name="20% - Accent3 4 5 2 3" xfId="10736" xr:uid="{00000000-0005-0000-0000-0000061C0000}"/>
    <cellStyle name="20% - Accent3 4 5 2 3 2" xfId="10737" xr:uid="{00000000-0005-0000-0000-0000071C0000}"/>
    <cellStyle name="20% - Accent3 4 5 2 3 2 2" xfId="10738" xr:uid="{00000000-0005-0000-0000-0000081C0000}"/>
    <cellStyle name="20% - Accent3 4 5 2 3 3" xfId="10739" xr:uid="{00000000-0005-0000-0000-0000091C0000}"/>
    <cellStyle name="20% - Accent3 4 5 2 4" xfId="10740" xr:uid="{00000000-0005-0000-0000-00000A1C0000}"/>
    <cellStyle name="20% - Accent3 4 5 2 4 2" xfId="10741" xr:uid="{00000000-0005-0000-0000-00000B1C0000}"/>
    <cellStyle name="20% - Accent3 4 5 2 5" xfId="10742" xr:uid="{00000000-0005-0000-0000-00000C1C0000}"/>
    <cellStyle name="20% - Accent3 4 5 2 5 2" xfId="10743" xr:uid="{00000000-0005-0000-0000-00000D1C0000}"/>
    <cellStyle name="20% - Accent3 4 5 2 6" xfId="10744" xr:uid="{00000000-0005-0000-0000-00000E1C0000}"/>
    <cellStyle name="20% - Accent3 4 5 2 7" xfId="10745" xr:uid="{00000000-0005-0000-0000-00000F1C0000}"/>
    <cellStyle name="20% - Accent3 4 5 2 8" xfId="10746" xr:uid="{00000000-0005-0000-0000-0000101C0000}"/>
    <cellStyle name="20% - Accent3 4 5 3" xfId="10747" xr:uid="{00000000-0005-0000-0000-0000111C0000}"/>
    <cellStyle name="20% - Accent3 4 5 3 2" xfId="10748" xr:uid="{00000000-0005-0000-0000-0000121C0000}"/>
    <cellStyle name="20% - Accent3 4 5 3 2 2" xfId="10749" xr:uid="{00000000-0005-0000-0000-0000131C0000}"/>
    <cellStyle name="20% - Accent3 4 5 3 2 2 2" xfId="10750" xr:uid="{00000000-0005-0000-0000-0000141C0000}"/>
    <cellStyle name="20% - Accent3 4 5 3 2 2 2 2" xfId="10751" xr:uid="{00000000-0005-0000-0000-0000151C0000}"/>
    <cellStyle name="20% - Accent3 4 5 3 2 2 3" xfId="10752" xr:uid="{00000000-0005-0000-0000-0000161C0000}"/>
    <cellStyle name="20% - Accent3 4 5 3 2 3" xfId="10753" xr:uid="{00000000-0005-0000-0000-0000171C0000}"/>
    <cellStyle name="20% - Accent3 4 5 3 2 3 2" xfId="10754" xr:uid="{00000000-0005-0000-0000-0000181C0000}"/>
    <cellStyle name="20% - Accent3 4 5 3 2 4" xfId="10755" xr:uid="{00000000-0005-0000-0000-0000191C0000}"/>
    <cellStyle name="20% - Accent3 4 5 3 2 5" xfId="10756" xr:uid="{00000000-0005-0000-0000-00001A1C0000}"/>
    <cellStyle name="20% - Accent3 4 5 3 2 6" xfId="10757" xr:uid="{00000000-0005-0000-0000-00001B1C0000}"/>
    <cellStyle name="20% - Accent3 4 5 3 3" xfId="10758" xr:uid="{00000000-0005-0000-0000-00001C1C0000}"/>
    <cellStyle name="20% - Accent3 4 5 3 3 2" xfId="10759" xr:uid="{00000000-0005-0000-0000-00001D1C0000}"/>
    <cellStyle name="20% - Accent3 4 5 3 3 2 2" xfId="10760" xr:uid="{00000000-0005-0000-0000-00001E1C0000}"/>
    <cellStyle name="20% - Accent3 4 5 3 3 3" xfId="10761" xr:uid="{00000000-0005-0000-0000-00001F1C0000}"/>
    <cellStyle name="20% - Accent3 4 5 3 4" xfId="10762" xr:uid="{00000000-0005-0000-0000-0000201C0000}"/>
    <cellStyle name="20% - Accent3 4 5 3 4 2" xfId="10763" xr:uid="{00000000-0005-0000-0000-0000211C0000}"/>
    <cellStyle name="20% - Accent3 4 5 3 5" xfId="10764" xr:uid="{00000000-0005-0000-0000-0000221C0000}"/>
    <cellStyle name="20% - Accent3 4 5 3 6" xfId="10765" xr:uid="{00000000-0005-0000-0000-0000231C0000}"/>
    <cellStyle name="20% - Accent3 4 5 3 7" xfId="10766" xr:uid="{00000000-0005-0000-0000-0000241C0000}"/>
    <cellStyle name="20% - Accent3 4 5 4" xfId="10767" xr:uid="{00000000-0005-0000-0000-0000251C0000}"/>
    <cellStyle name="20% - Accent3 4 5 4 2" xfId="10768" xr:uid="{00000000-0005-0000-0000-0000261C0000}"/>
    <cellStyle name="20% - Accent3 4 5 4 2 2" xfId="10769" xr:uid="{00000000-0005-0000-0000-0000271C0000}"/>
    <cellStyle name="20% - Accent3 4 5 4 2 2 2" xfId="10770" xr:uid="{00000000-0005-0000-0000-0000281C0000}"/>
    <cellStyle name="20% - Accent3 4 5 4 2 3" xfId="10771" xr:uid="{00000000-0005-0000-0000-0000291C0000}"/>
    <cellStyle name="20% - Accent3 4 5 4 3" xfId="10772" xr:uid="{00000000-0005-0000-0000-00002A1C0000}"/>
    <cellStyle name="20% - Accent3 4 5 4 3 2" xfId="10773" xr:uid="{00000000-0005-0000-0000-00002B1C0000}"/>
    <cellStyle name="20% - Accent3 4 5 4 4" xfId="10774" xr:uid="{00000000-0005-0000-0000-00002C1C0000}"/>
    <cellStyle name="20% - Accent3 4 5 4 5" xfId="10775" xr:uid="{00000000-0005-0000-0000-00002D1C0000}"/>
    <cellStyle name="20% - Accent3 4 5 4 6" xfId="10776" xr:uid="{00000000-0005-0000-0000-00002E1C0000}"/>
    <cellStyle name="20% - Accent3 4 5 5" xfId="10777" xr:uid="{00000000-0005-0000-0000-00002F1C0000}"/>
    <cellStyle name="20% - Accent3 4 5 5 2" xfId="10778" xr:uid="{00000000-0005-0000-0000-0000301C0000}"/>
    <cellStyle name="20% - Accent3 4 5 5 2 2" xfId="10779" xr:uid="{00000000-0005-0000-0000-0000311C0000}"/>
    <cellStyle name="20% - Accent3 4 5 5 3" xfId="10780" xr:uid="{00000000-0005-0000-0000-0000321C0000}"/>
    <cellStyle name="20% - Accent3 4 5 6" xfId="10781" xr:uid="{00000000-0005-0000-0000-0000331C0000}"/>
    <cellStyle name="20% - Accent3 4 5 6 2" xfId="10782" xr:uid="{00000000-0005-0000-0000-0000341C0000}"/>
    <cellStyle name="20% - Accent3 4 5 6 2 2" xfId="10783" xr:uid="{00000000-0005-0000-0000-0000351C0000}"/>
    <cellStyle name="20% - Accent3 4 5 6 3" xfId="10784" xr:uid="{00000000-0005-0000-0000-0000361C0000}"/>
    <cellStyle name="20% - Accent3 4 5 7" xfId="10785" xr:uid="{00000000-0005-0000-0000-0000371C0000}"/>
    <cellStyle name="20% - Accent3 4 5 7 2" xfId="10786" xr:uid="{00000000-0005-0000-0000-0000381C0000}"/>
    <cellStyle name="20% - Accent3 4 5 8" xfId="10787" xr:uid="{00000000-0005-0000-0000-0000391C0000}"/>
    <cellStyle name="20% - Accent3 4 5 8 2" xfId="10788" xr:uid="{00000000-0005-0000-0000-00003A1C0000}"/>
    <cellStyle name="20% - Accent3 4 5 9" xfId="10789" xr:uid="{00000000-0005-0000-0000-00003B1C0000}"/>
    <cellStyle name="20% - Accent3 4 6" xfId="10790" xr:uid="{00000000-0005-0000-0000-00003C1C0000}"/>
    <cellStyle name="20% - Accent3 4 6 10" xfId="10791" xr:uid="{00000000-0005-0000-0000-00003D1C0000}"/>
    <cellStyle name="20% - Accent3 4 6 11" xfId="10792" xr:uid="{00000000-0005-0000-0000-00003E1C0000}"/>
    <cellStyle name="20% - Accent3 4 6 2" xfId="10793" xr:uid="{00000000-0005-0000-0000-00003F1C0000}"/>
    <cellStyle name="20% - Accent3 4 6 2 2" xfId="10794" xr:uid="{00000000-0005-0000-0000-0000401C0000}"/>
    <cellStyle name="20% - Accent3 4 6 2 2 2" xfId="10795" xr:uid="{00000000-0005-0000-0000-0000411C0000}"/>
    <cellStyle name="20% - Accent3 4 6 2 2 2 2" xfId="10796" xr:uid="{00000000-0005-0000-0000-0000421C0000}"/>
    <cellStyle name="20% - Accent3 4 6 2 2 2 2 2" xfId="10797" xr:uid="{00000000-0005-0000-0000-0000431C0000}"/>
    <cellStyle name="20% - Accent3 4 6 2 2 2 3" xfId="10798" xr:uid="{00000000-0005-0000-0000-0000441C0000}"/>
    <cellStyle name="20% - Accent3 4 6 2 2 3" xfId="10799" xr:uid="{00000000-0005-0000-0000-0000451C0000}"/>
    <cellStyle name="20% - Accent3 4 6 2 2 3 2" xfId="10800" xr:uid="{00000000-0005-0000-0000-0000461C0000}"/>
    <cellStyle name="20% - Accent3 4 6 2 2 4" xfId="10801" xr:uid="{00000000-0005-0000-0000-0000471C0000}"/>
    <cellStyle name="20% - Accent3 4 6 2 2 5" xfId="10802" xr:uid="{00000000-0005-0000-0000-0000481C0000}"/>
    <cellStyle name="20% - Accent3 4 6 2 2 6" xfId="10803" xr:uid="{00000000-0005-0000-0000-0000491C0000}"/>
    <cellStyle name="20% - Accent3 4 6 2 3" xfId="10804" xr:uid="{00000000-0005-0000-0000-00004A1C0000}"/>
    <cellStyle name="20% - Accent3 4 6 2 3 2" xfId="10805" xr:uid="{00000000-0005-0000-0000-00004B1C0000}"/>
    <cellStyle name="20% - Accent3 4 6 2 3 2 2" xfId="10806" xr:uid="{00000000-0005-0000-0000-00004C1C0000}"/>
    <cellStyle name="20% - Accent3 4 6 2 3 3" xfId="10807" xr:uid="{00000000-0005-0000-0000-00004D1C0000}"/>
    <cellStyle name="20% - Accent3 4 6 2 4" xfId="10808" xr:uid="{00000000-0005-0000-0000-00004E1C0000}"/>
    <cellStyle name="20% - Accent3 4 6 2 4 2" xfId="10809" xr:uid="{00000000-0005-0000-0000-00004F1C0000}"/>
    <cellStyle name="20% - Accent3 4 6 2 5" xfId="10810" xr:uid="{00000000-0005-0000-0000-0000501C0000}"/>
    <cellStyle name="20% - Accent3 4 6 2 5 2" xfId="10811" xr:uid="{00000000-0005-0000-0000-0000511C0000}"/>
    <cellStyle name="20% - Accent3 4 6 2 6" xfId="10812" xr:uid="{00000000-0005-0000-0000-0000521C0000}"/>
    <cellStyle name="20% - Accent3 4 6 2 7" xfId="10813" xr:uid="{00000000-0005-0000-0000-0000531C0000}"/>
    <cellStyle name="20% - Accent3 4 6 2 8" xfId="10814" xr:uid="{00000000-0005-0000-0000-0000541C0000}"/>
    <cellStyle name="20% - Accent3 4 6 3" xfId="10815" xr:uid="{00000000-0005-0000-0000-0000551C0000}"/>
    <cellStyle name="20% - Accent3 4 6 3 2" xfId="10816" xr:uid="{00000000-0005-0000-0000-0000561C0000}"/>
    <cellStyle name="20% - Accent3 4 6 3 2 2" xfId="10817" xr:uid="{00000000-0005-0000-0000-0000571C0000}"/>
    <cellStyle name="20% - Accent3 4 6 3 2 2 2" xfId="10818" xr:uid="{00000000-0005-0000-0000-0000581C0000}"/>
    <cellStyle name="20% - Accent3 4 6 3 2 2 2 2" xfId="10819" xr:uid="{00000000-0005-0000-0000-0000591C0000}"/>
    <cellStyle name="20% - Accent3 4 6 3 2 2 3" xfId="10820" xr:uid="{00000000-0005-0000-0000-00005A1C0000}"/>
    <cellStyle name="20% - Accent3 4 6 3 2 3" xfId="10821" xr:uid="{00000000-0005-0000-0000-00005B1C0000}"/>
    <cellStyle name="20% - Accent3 4 6 3 2 3 2" xfId="10822" xr:uid="{00000000-0005-0000-0000-00005C1C0000}"/>
    <cellStyle name="20% - Accent3 4 6 3 2 4" xfId="10823" xr:uid="{00000000-0005-0000-0000-00005D1C0000}"/>
    <cellStyle name="20% - Accent3 4 6 3 2 5" xfId="10824" xr:uid="{00000000-0005-0000-0000-00005E1C0000}"/>
    <cellStyle name="20% - Accent3 4 6 3 2 6" xfId="10825" xr:uid="{00000000-0005-0000-0000-00005F1C0000}"/>
    <cellStyle name="20% - Accent3 4 6 3 3" xfId="10826" xr:uid="{00000000-0005-0000-0000-0000601C0000}"/>
    <cellStyle name="20% - Accent3 4 6 3 3 2" xfId="10827" xr:uid="{00000000-0005-0000-0000-0000611C0000}"/>
    <cellStyle name="20% - Accent3 4 6 3 3 2 2" xfId="10828" xr:uid="{00000000-0005-0000-0000-0000621C0000}"/>
    <cellStyle name="20% - Accent3 4 6 3 3 3" xfId="10829" xr:uid="{00000000-0005-0000-0000-0000631C0000}"/>
    <cellStyle name="20% - Accent3 4 6 3 4" xfId="10830" xr:uid="{00000000-0005-0000-0000-0000641C0000}"/>
    <cellStyle name="20% - Accent3 4 6 3 4 2" xfId="10831" xr:uid="{00000000-0005-0000-0000-0000651C0000}"/>
    <cellStyle name="20% - Accent3 4 6 3 5" xfId="10832" xr:uid="{00000000-0005-0000-0000-0000661C0000}"/>
    <cellStyle name="20% - Accent3 4 6 3 6" xfId="10833" xr:uid="{00000000-0005-0000-0000-0000671C0000}"/>
    <cellStyle name="20% - Accent3 4 6 3 7" xfId="10834" xr:uid="{00000000-0005-0000-0000-0000681C0000}"/>
    <cellStyle name="20% - Accent3 4 6 4" xfId="10835" xr:uid="{00000000-0005-0000-0000-0000691C0000}"/>
    <cellStyle name="20% - Accent3 4 6 4 2" xfId="10836" xr:uid="{00000000-0005-0000-0000-00006A1C0000}"/>
    <cellStyle name="20% - Accent3 4 6 4 2 2" xfId="10837" xr:uid="{00000000-0005-0000-0000-00006B1C0000}"/>
    <cellStyle name="20% - Accent3 4 6 4 2 2 2" xfId="10838" xr:uid="{00000000-0005-0000-0000-00006C1C0000}"/>
    <cellStyle name="20% - Accent3 4 6 4 2 3" xfId="10839" xr:uid="{00000000-0005-0000-0000-00006D1C0000}"/>
    <cellStyle name="20% - Accent3 4 6 4 3" xfId="10840" xr:uid="{00000000-0005-0000-0000-00006E1C0000}"/>
    <cellStyle name="20% - Accent3 4 6 4 3 2" xfId="10841" xr:uid="{00000000-0005-0000-0000-00006F1C0000}"/>
    <cellStyle name="20% - Accent3 4 6 4 4" xfId="10842" xr:uid="{00000000-0005-0000-0000-0000701C0000}"/>
    <cellStyle name="20% - Accent3 4 6 4 5" xfId="10843" xr:uid="{00000000-0005-0000-0000-0000711C0000}"/>
    <cellStyle name="20% - Accent3 4 6 4 6" xfId="10844" xr:uid="{00000000-0005-0000-0000-0000721C0000}"/>
    <cellStyle name="20% - Accent3 4 6 5" xfId="10845" xr:uid="{00000000-0005-0000-0000-0000731C0000}"/>
    <cellStyle name="20% - Accent3 4 6 5 2" xfId="10846" xr:uid="{00000000-0005-0000-0000-0000741C0000}"/>
    <cellStyle name="20% - Accent3 4 6 5 2 2" xfId="10847" xr:uid="{00000000-0005-0000-0000-0000751C0000}"/>
    <cellStyle name="20% - Accent3 4 6 5 3" xfId="10848" xr:uid="{00000000-0005-0000-0000-0000761C0000}"/>
    <cellStyle name="20% - Accent3 4 6 6" xfId="10849" xr:uid="{00000000-0005-0000-0000-0000771C0000}"/>
    <cellStyle name="20% - Accent3 4 6 6 2" xfId="10850" xr:uid="{00000000-0005-0000-0000-0000781C0000}"/>
    <cellStyle name="20% - Accent3 4 6 6 2 2" xfId="10851" xr:uid="{00000000-0005-0000-0000-0000791C0000}"/>
    <cellStyle name="20% - Accent3 4 6 6 3" xfId="10852" xr:uid="{00000000-0005-0000-0000-00007A1C0000}"/>
    <cellStyle name="20% - Accent3 4 6 7" xfId="10853" xr:uid="{00000000-0005-0000-0000-00007B1C0000}"/>
    <cellStyle name="20% - Accent3 4 6 7 2" xfId="10854" xr:uid="{00000000-0005-0000-0000-00007C1C0000}"/>
    <cellStyle name="20% - Accent3 4 6 8" xfId="10855" xr:uid="{00000000-0005-0000-0000-00007D1C0000}"/>
    <cellStyle name="20% - Accent3 4 6 8 2" xfId="10856" xr:uid="{00000000-0005-0000-0000-00007E1C0000}"/>
    <cellStyle name="20% - Accent3 4 6 9" xfId="10857" xr:uid="{00000000-0005-0000-0000-00007F1C0000}"/>
    <cellStyle name="20% - Accent3 4 7" xfId="10858" xr:uid="{00000000-0005-0000-0000-0000801C0000}"/>
    <cellStyle name="20% - Accent3 4 7 10" xfId="10859" xr:uid="{00000000-0005-0000-0000-0000811C0000}"/>
    <cellStyle name="20% - Accent3 4 7 11" xfId="10860" xr:uid="{00000000-0005-0000-0000-0000821C0000}"/>
    <cellStyle name="20% - Accent3 4 7 2" xfId="10861" xr:uid="{00000000-0005-0000-0000-0000831C0000}"/>
    <cellStyle name="20% - Accent3 4 7 2 2" xfId="10862" xr:uid="{00000000-0005-0000-0000-0000841C0000}"/>
    <cellStyle name="20% - Accent3 4 7 2 2 2" xfId="10863" xr:uid="{00000000-0005-0000-0000-0000851C0000}"/>
    <cellStyle name="20% - Accent3 4 7 2 2 2 2" xfId="10864" xr:uid="{00000000-0005-0000-0000-0000861C0000}"/>
    <cellStyle name="20% - Accent3 4 7 2 2 2 2 2" xfId="10865" xr:uid="{00000000-0005-0000-0000-0000871C0000}"/>
    <cellStyle name="20% - Accent3 4 7 2 2 2 3" xfId="10866" xr:uid="{00000000-0005-0000-0000-0000881C0000}"/>
    <cellStyle name="20% - Accent3 4 7 2 2 3" xfId="10867" xr:uid="{00000000-0005-0000-0000-0000891C0000}"/>
    <cellStyle name="20% - Accent3 4 7 2 2 3 2" xfId="10868" xr:uid="{00000000-0005-0000-0000-00008A1C0000}"/>
    <cellStyle name="20% - Accent3 4 7 2 2 4" xfId="10869" xr:uid="{00000000-0005-0000-0000-00008B1C0000}"/>
    <cellStyle name="20% - Accent3 4 7 2 2 5" xfId="10870" xr:uid="{00000000-0005-0000-0000-00008C1C0000}"/>
    <cellStyle name="20% - Accent3 4 7 2 2 6" xfId="10871" xr:uid="{00000000-0005-0000-0000-00008D1C0000}"/>
    <cellStyle name="20% - Accent3 4 7 2 3" xfId="10872" xr:uid="{00000000-0005-0000-0000-00008E1C0000}"/>
    <cellStyle name="20% - Accent3 4 7 2 3 2" xfId="10873" xr:uid="{00000000-0005-0000-0000-00008F1C0000}"/>
    <cellStyle name="20% - Accent3 4 7 2 3 2 2" xfId="10874" xr:uid="{00000000-0005-0000-0000-0000901C0000}"/>
    <cellStyle name="20% - Accent3 4 7 2 3 3" xfId="10875" xr:uid="{00000000-0005-0000-0000-0000911C0000}"/>
    <cellStyle name="20% - Accent3 4 7 2 4" xfId="10876" xr:uid="{00000000-0005-0000-0000-0000921C0000}"/>
    <cellStyle name="20% - Accent3 4 7 2 4 2" xfId="10877" xr:uid="{00000000-0005-0000-0000-0000931C0000}"/>
    <cellStyle name="20% - Accent3 4 7 2 5" xfId="10878" xr:uid="{00000000-0005-0000-0000-0000941C0000}"/>
    <cellStyle name="20% - Accent3 4 7 2 5 2" xfId="10879" xr:uid="{00000000-0005-0000-0000-0000951C0000}"/>
    <cellStyle name="20% - Accent3 4 7 2 6" xfId="10880" xr:uid="{00000000-0005-0000-0000-0000961C0000}"/>
    <cellStyle name="20% - Accent3 4 7 2 7" xfId="10881" xr:uid="{00000000-0005-0000-0000-0000971C0000}"/>
    <cellStyle name="20% - Accent3 4 7 2 8" xfId="10882" xr:uid="{00000000-0005-0000-0000-0000981C0000}"/>
    <cellStyle name="20% - Accent3 4 7 3" xfId="10883" xr:uid="{00000000-0005-0000-0000-0000991C0000}"/>
    <cellStyle name="20% - Accent3 4 7 3 2" xfId="10884" xr:uid="{00000000-0005-0000-0000-00009A1C0000}"/>
    <cellStyle name="20% - Accent3 4 7 3 2 2" xfId="10885" xr:uid="{00000000-0005-0000-0000-00009B1C0000}"/>
    <cellStyle name="20% - Accent3 4 7 3 2 2 2" xfId="10886" xr:uid="{00000000-0005-0000-0000-00009C1C0000}"/>
    <cellStyle name="20% - Accent3 4 7 3 2 2 2 2" xfId="10887" xr:uid="{00000000-0005-0000-0000-00009D1C0000}"/>
    <cellStyle name="20% - Accent3 4 7 3 2 2 3" xfId="10888" xr:uid="{00000000-0005-0000-0000-00009E1C0000}"/>
    <cellStyle name="20% - Accent3 4 7 3 2 3" xfId="10889" xr:uid="{00000000-0005-0000-0000-00009F1C0000}"/>
    <cellStyle name="20% - Accent3 4 7 3 2 3 2" xfId="10890" xr:uid="{00000000-0005-0000-0000-0000A01C0000}"/>
    <cellStyle name="20% - Accent3 4 7 3 2 4" xfId="10891" xr:uid="{00000000-0005-0000-0000-0000A11C0000}"/>
    <cellStyle name="20% - Accent3 4 7 3 2 5" xfId="10892" xr:uid="{00000000-0005-0000-0000-0000A21C0000}"/>
    <cellStyle name="20% - Accent3 4 7 3 2 6" xfId="10893" xr:uid="{00000000-0005-0000-0000-0000A31C0000}"/>
    <cellStyle name="20% - Accent3 4 7 3 3" xfId="10894" xr:uid="{00000000-0005-0000-0000-0000A41C0000}"/>
    <cellStyle name="20% - Accent3 4 7 3 3 2" xfId="10895" xr:uid="{00000000-0005-0000-0000-0000A51C0000}"/>
    <cellStyle name="20% - Accent3 4 7 3 3 2 2" xfId="10896" xr:uid="{00000000-0005-0000-0000-0000A61C0000}"/>
    <cellStyle name="20% - Accent3 4 7 3 3 3" xfId="10897" xr:uid="{00000000-0005-0000-0000-0000A71C0000}"/>
    <cellStyle name="20% - Accent3 4 7 3 4" xfId="10898" xr:uid="{00000000-0005-0000-0000-0000A81C0000}"/>
    <cellStyle name="20% - Accent3 4 7 3 4 2" xfId="10899" xr:uid="{00000000-0005-0000-0000-0000A91C0000}"/>
    <cellStyle name="20% - Accent3 4 7 3 5" xfId="10900" xr:uid="{00000000-0005-0000-0000-0000AA1C0000}"/>
    <cellStyle name="20% - Accent3 4 7 3 6" xfId="10901" xr:uid="{00000000-0005-0000-0000-0000AB1C0000}"/>
    <cellStyle name="20% - Accent3 4 7 3 7" xfId="10902" xr:uid="{00000000-0005-0000-0000-0000AC1C0000}"/>
    <cellStyle name="20% - Accent3 4 7 4" xfId="10903" xr:uid="{00000000-0005-0000-0000-0000AD1C0000}"/>
    <cellStyle name="20% - Accent3 4 7 4 2" xfId="10904" xr:uid="{00000000-0005-0000-0000-0000AE1C0000}"/>
    <cellStyle name="20% - Accent3 4 7 4 2 2" xfId="10905" xr:uid="{00000000-0005-0000-0000-0000AF1C0000}"/>
    <cellStyle name="20% - Accent3 4 7 4 2 2 2" xfId="10906" xr:uid="{00000000-0005-0000-0000-0000B01C0000}"/>
    <cellStyle name="20% - Accent3 4 7 4 2 3" xfId="10907" xr:uid="{00000000-0005-0000-0000-0000B11C0000}"/>
    <cellStyle name="20% - Accent3 4 7 4 3" xfId="10908" xr:uid="{00000000-0005-0000-0000-0000B21C0000}"/>
    <cellStyle name="20% - Accent3 4 7 4 3 2" xfId="10909" xr:uid="{00000000-0005-0000-0000-0000B31C0000}"/>
    <cellStyle name="20% - Accent3 4 7 4 4" xfId="10910" xr:uid="{00000000-0005-0000-0000-0000B41C0000}"/>
    <cellStyle name="20% - Accent3 4 7 4 5" xfId="10911" xr:uid="{00000000-0005-0000-0000-0000B51C0000}"/>
    <cellStyle name="20% - Accent3 4 7 4 6" xfId="10912" xr:uid="{00000000-0005-0000-0000-0000B61C0000}"/>
    <cellStyle name="20% - Accent3 4 7 5" xfId="10913" xr:uid="{00000000-0005-0000-0000-0000B71C0000}"/>
    <cellStyle name="20% - Accent3 4 7 5 2" xfId="10914" xr:uid="{00000000-0005-0000-0000-0000B81C0000}"/>
    <cellStyle name="20% - Accent3 4 7 5 2 2" xfId="10915" xr:uid="{00000000-0005-0000-0000-0000B91C0000}"/>
    <cellStyle name="20% - Accent3 4 7 5 3" xfId="10916" xr:uid="{00000000-0005-0000-0000-0000BA1C0000}"/>
    <cellStyle name="20% - Accent3 4 7 6" xfId="10917" xr:uid="{00000000-0005-0000-0000-0000BB1C0000}"/>
    <cellStyle name="20% - Accent3 4 7 6 2" xfId="10918" xr:uid="{00000000-0005-0000-0000-0000BC1C0000}"/>
    <cellStyle name="20% - Accent3 4 7 6 2 2" xfId="10919" xr:uid="{00000000-0005-0000-0000-0000BD1C0000}"/>
    <cellStyle name="20% - Accent3 4 7 6 3" xfId="10920" xr:uid="{00000000-0005-0000-0000-0000BE1C0000}"/>
    <cellStyle name="20% - Accent3 4 7 7" xfId="10921" xr:uid="{00000000-0005-0000-0000-0000BF1C0000}"/>
    <cellStyle name="20% - Accent3 4 7 7 2" xfId="10922" xr:uid="{00000000-0005-0000-0000-0000C01C0000}"/>
    <cellStyle name="20% - Accent3 4 7 8" xfId="10923" xr:uid="{00000000-0005-0000-0000-0000C11C0000}"/>
    <cellStyle name="20% - Accent3 4 7 8 2" xfId="10924" xr:uid="{00000000-0005-0000-0000-0000C21C0000}"/>
    <cellStyle name="20% - Accent3 4 7 9" xfId="10925" xr:uid="{00000000-0005-0000-0000-0000C31C0000}"/>
    <cellStyle name="20% - Accent3 4 8" xfId="10926" xr:uid="{00000000-0005-0000-0000-0000C41C0000}"/>
    <cellStyle name="20% - Accent3 4 8 10" xfId="10927" xr:uid="{00000000-0005-0000-0000-0000C51C0000}"/>
    <cellStyle name="20% - Accent3 4 8 11" xfId="10928" xr:uid="{00000000-0005-0000-0000-0000C61C0000}"/>
    <cellStyle name="20% - Accent3 4 8 2" xfId="10929" xr:uid="{00000000-0005-0000-0000-0000C71C0000}"/>
    <cellStyle name="20% - Accent3 4 8 2 2" xfId="10930" xr:uid="{00000000-0005-0000-0000-0000C81C0000}"/>
    <cellStyle name="20% - Accent3 4 8 2 2 2" xfId="10931" xr:uid="{00000000-0005-0000-0000-0000C91C0000}"/>
    <cellStyle name="20% - Accent3 4 8 2 2 2 2" xfId="10932" xr:uid="{00000000-0005-0000-0000-0000CA1C0000}"/>
    <cellStyle name="20% - Accent3 4 8 2 2 2 2 2" xfId="10933" xr:uid="{00000000-0005-0000-0000-0000CB1C0000}"/>
    <cellStyle name="20% - Accent3 4 8 2 2 2 3" xfId="10934" xr:uid="{00000000-0005-0000-0000-0000CC1C0000}"/>
    <cellStyle name="20% - Accent3 4 8 2 2 3" xfId="10935" xr:uid="{00000000-0005-0000-0000-0000CD1C0000}"/>
    <cellStyle name="20% - Accent3 4 8 2 2 3 2" xfId="10936" xr:uid="{00000000-0005-0000-0000-0000CE1C0000}"/>
    <cellStyle name="20% - Accent3 4 8 2 2 4" xfId="10937" xr:uid="{00000000-0005-0000-0000-0000CF1C0000}"/>
    <cellStyle name="20% - Accent3 4 8 2 2 5" xfId="10938" xr:uid="{00000000-0005-0000-0000-0000D01C0000}"/>
    <cellStyle name="20% - Accent3 4 8 2 2 6" xfId="10939" xr:uid="{00000000-0005-0000-0000-0000D11C0000}"/>
    <cellStyle name="20% - Accent3 4 8 2 3" xfId="10940" xr:uid="{00000000-0005-0000-0000-0000D21C0000}"/>
    <cellStyle name="20% - Accent3 4 8 2 3 2" xfId="10941" xr:uid="{00000000-0005-0000-0000-0000D31C0000}"/>
    <cellStyle name="20% - Accent3 4 8 2 3 2 2" xfId="10942" xr:uid="{00000000-0005-0000-0000-0000D41C0000}"/>
    <cellStyle name="20% - Accent3 4 8 2 3 3" xfId="10943" xr:uid="{00000000-0005-0000-0000-0000D51C0000}"/>
    <cellStyle name="20% - Accent3 4 8 2 4" xfId="10944" xr:uid="{00000000-0005-0000-0000-0000D61C0000}"/>
    <cellStyle name="20% - Accent3 4 8 2 4 2" xfId="10945" xr:uid="{00000000-0005-0000-0000-0000D71C0000}"/>
    <cellStyle name="20% - Accent3 4 8 2 5" xfId="10946" xr:uid="{00000000-0005-0000-0000-0000D81C0000}"/>
    <cellStyle name="20% - Accent3 4 8 2 5 2" xfId="10947" xr:uid="{00000000-0005-0000-0000-0000D91C0000}"/>
    <cellStyle name="20% - Accent3 4 8 2 6" xfId="10948" xr:uid="{00000000-0005-0000-0000-0000DA1C0000}"/>
    <cellStyle name="20% - Accent3 4 8 2 7" xfId="10949" xr:uid="{00000000-0005-0000-0000-0000DB1C0000}"/>
    <cellStyle name="20% - Accent3 4 8 2 8" xfId="10950" xr:uid="{00000000-0005-0000-0000-0000DC1C0000}"/>
    <cellStyle name="20% - Accent3 4 8 3" xfId="10951" xr:uid="{00000000-0005-0000-0000-0000DD1C0000}"/>
    <cellStyle name="20% - Accent3 4 8 3 2" xfId="10952" xr:uid="{00000000-0005-0000-0000-0000DE1C0000}"/>
    <cellStyle name="20% - Accent3 4 8 3 2 2" xfId="10953" xr:uid="{00000000-0005-0000-0000-0000DF1C0000}"/>
    <cellStyle name="20% - Accent3 4 8 3 2 2 2" xfId="10954" xr:uid="{00000000-0005-0000-0000-0000E01C0000}"/>
    <cellStyle name="20% - Accent3 4 8 3 2 2 2 2" xfId="10955" xr:uid="{00000000-0005-0000-0000-0000E11C0000}"/>
    <cellStyle name="20% - Accent3 4 8 3 2 2 3" xfId="10956" xr:uid="{00000000-0005-0000-0000-0000E21C0000}"/>
    <cellStyle name="20% - Accent3 4 8 3 2 3" xfId="10957" xr:uid="{00000000-0005-0000-0000-0000E31C0000}"/>
    <cellStyle name="20% - Accent3 4 8 3 2 3 2" xfId="10958" xr:uid="{00000000-0005-0000-0000-0000E41C0000}"/>
    <cellStyle name="20% - Accent3 4 8 3 2 4" xfId="10959" xr:uid="{00000000-0005-0000-0000-0000E51C0000}"/>
    <cellStyle name="20% - Accent3 4 8 3 2 5" xfId="10960" xr:uid="{00000000-0005-0000-0000-0000E61C0000}"/>
    <cellStyle name="20% - Accent3 4 8 3 2 6" xfId="10961" xr:uid="{00000000-0005-0000-0000-0000E71C0000}"/>
    <cellStyle name="20% - Accent3 4 8 3 3" xfId="10962" xr:uid="{00000000-0005-0000-0000-0000E81C0000}"/>
    <cellStyle name="20% - Accent3 4 8 3 3 2" xfId="10963" xr:uid="{00000000-0005-0000-0000-0000E91C0000}"/>
    <cellStyle name="20% - Accent3 4 8 3 3 2 2" xfId="10964" xr:uid="{00000000-0005-0000-0000-0000EA1C0000}"/>
    <cellStyle name="20% - Accent3 4 8 3 3 3" xfId="10965" xr:uid="{00000000-0005-0000-0000-0000EB1C0000}"/>
    <cellStyle name="20% - Accent3 4 8 3 4" xfId="10966" xr:uid="{00000000-0005-0000-0000-0000EC1C0000}"/>
    <cellStyle name="20% - Accent3 4 8 3 4 2" xfId="10967" xr:uid="{00000000-0005-0000-0000-0000ED1C0000}"/>
    <cellStyle name="20% - Accent3 4 8 3 5" xfId="10968" xr:uid="{00000000-0005-0000-0000-0000EE1C0000}"/>
    <cellStyle name="20% - Accent3 4 8 3 6" xfId="10969" xr:uid="{00000000-0005-0000-0000-0000EF1C0000}"/>
    <cellStyle name="20% - Accent3 4 8 3 7" xfId="10970" xr:uid="{00000000-0005-0000-0000-0000F01C0000}"/>
    <cellStyle name="20% - Accent3 4 8 4" xfId="10971" xr:uid="{00000000-0005-0000-0000-0000F11C0000}"/>
    <cellStyle name="20% - Accent3 4 8 4 2" xfId="10972" xr:uid="{00000000-0005-0000-0000-0000F21C0000}"/>
    <cellStyle name="20% - Accent3 4 8 4 2 2" xfId="10973" xr:uid="{00000000-0005-0000-0000-0000F31C0000}"/>
    <cellStyle name="20% - Accent3 4 8 4 2 2 2" xfId="10974" xr:uid="{00000000-0005-0000-0000-0000F41C0000}"/>
    <cellStyle name="20% - Accent3 4 8 4 2 3" xfId="10975" xr:uid="{00000000-0005-0000-0000-0000F51C0000}"/>
    <cellStyle name="20% - Accent3 4 8 4 3" xfId="10976" xr:uid="{00000000-0005-0000-0000-0000F61C0000}"/>
    <cellStyle name="20% - Accent3 4 8 4 3 2" xfId="10977" xr:uid="{00000000-0005-0000-0000-0000F71C0000}"/>
    <cellStyle name="20% - Accent3 4 8 4 4" xfId="10978" xr:uid="{00000000-0005-0000-0000-0000F81C0000}"/>
    <cellStyle name="20% - Accent3 4 8 4 5" xfId="10979" xr:uid="{00000000-0005-0000-0000-0000F91C0000}"/>
    <cellStyle name="20% - Accent3 4 8 4 6" xfId="10980" xr:uid="{00000000-0005-0000-0000-0000FA1C0000}"/>
    <cellStyle name="20% - Accent3 4 8 5" xfId="10981" xr:uid="{00000000-0005-0000-0000-0000FB1C0000}"/>
    <cellStyle name="20% - Accent3 4 8 5 2" xfId="10982" xr:uid="{00000000-0005-0000-0000-0000FC1C0000}"/>
    <cellStyle name="20% - Accent3 4 8 5 2 2" xfId="10983" xr:uid="{00000000-0005-0000-0000-0000FD1C0000}"/>
    <cellStyle name="20% - Accent3 4 8 5 3" xfId="10984" xr:uid="{00000000-0005-0000-0000-0000FE1C0000}"/>
    <cellStyle name="20% - Accent3 4 8 6" xfId="10985" xr:uid="{00000000-0005-0000-0000-0000FF1C0000}"/>
    <cellStyle name="20% - Accent3 4 8 6 2" xfId="10986" xr:uid="{00000000-0005-0000-0000-0000001D0000}"/>
    <cellStyle name="20% - Accent3 4 8 6 2 2" xfId="10987" xr:uid="{00000000-0005-0000-0000-0000011D0000}"/>
    <cellStyle name="20% - Accent3 4 8 6 3" xfId="10988" xr:uid="{00000000-0005-0000-0000-0000021D0000}"/>
    <cellStyle name="20% - Accent3 4 8 7" xfId="10989" xr:uid="{00000000-0005-0000-0000-0000031D0000}"/>
    <cellStyle name="20% - Accent3 4 8 7 2" xfId="10990" xr:uid="{00000000-0005-0000-0000-0000041D0000}"/>
    <cellStyle name="20% - Accent3 4 8 8" xfId="10991" xr:uid="{00000000-0005-0000-0000-0000051D0000}"/>
    <cellStyle name="20% - Accent3 4 8 8 2" xfId="10992" xr:uid="{00000000-0005-0000-0000-0000061D0000}"/>
    <cellStyle name="20% - Accent3 4 8 9" xfId="10993" xr:uid="{00000000-0005-0000-0000-0000071D0000}"/>
    <cellStyle name="20% - Accent3 4 9" xfId="10994" xr:uid="{00000000-0005-0000-0000-0000081D0000}"/>
    <cellStyle name="20% - Accent3 4 9 10" xfId="10995" xr:uid="{00000000-0005-0000-0000-0000091D0000}"/>
    <cellStyle name="20% - Accent3 4 9 2" xfId="10996" xr:uid="{00000000-0005-0000-0000-00000A1D0000}"/>
    <cellStyle name="20% - Accent3 4 9 2 2" xfId="10997" xr:uid="{00000000-0005-0000-0000-00000B1D0000}"/>
    <cellStyle name="20% - Accent3 4 9 2 2 2" xfId="10998" xr:uid="{00000000-0005-0000-0000-00000C1D0000}"/>
    <cellStyle name="20% - Accent3 4 9 2 2 2 2" xfId="10999" xr:uid="{00000000-0005-0000-0000-00000D1D0000}"/>
    <cellStyle name="20% - Accent3 4 9 2 2 2 2 2" xfId="11000" xr:uid="{00000000-0005-0000-0000-00000E1D0000}"/>
    <cellStyle name="20% - Accent3 4 9 2 2 2 3" xfId="11001" xr:uid="{00000000-0005-0000-0000-00000F1D0000}"/>
    <cellStyle name="20% - Accent3 4 9 2 2 3" xfId="11002" xr:uid="{00000000-0005-0000-0000-0000101D0000}"/>
    <cellStyle name="20% - Accent3 4 9 2 2 3 2" xfId="11003" xr:uid="{00000000-0005-0000-0000-0000111D0000}"/>
    <cellStyle name="20% - Accent3 4 9 2 2 4" xfId="11004" xr:uid="{00000000-0005-0000-0000-0000121D0000}"/>
    <cellStyle name="20% - Accent3 4 9 2 2 5" xfId="11005" xr:uid="{00000000-0005-0000-0000-0000131D0000}"/>
    <cellStyle name="20% - Accent3 4 9 2 2 6" xfId="11006" xr:uid="{00000000-0005-0000-0000-0000141D0000}"/>
    <cellStyle name="20% - Accent3 4 9 2 3" xfId="11007" xr:uid="{00000000-0005-0000-0000-0000151D0000}"/>
    <cellStyle name="20% - Accent3 4 9 2 3 2" xfId="11008" xr:uid="{00000000-0005-0000-0000-0000161D0000}"/>
    <cellStyle name="20% - Accent3 4 9 2 3 2 2" xfId="11009" xr:uid="{00000000-0005-0000-0000-0000171D0000}"/>
    <cellStyle name="20% - Accent3 4 9 2 3 3" xfId="11010" xr:uid="{00000000-0005-0000-0000-0000181D0000}"/>
    <cellStyle name="20% - Accent3 4 9 2 4" xfId="11011" xr:uid="{00000000-0005-0000-0000-0000191D0000}"/>
    <cellStyle name="20% - Accent3 4 9 2 4 2" xfId="11012" xr:uid="{00000000-0005-0000-0000-00001A1D0000}"/>
    <cellStyle name="20% - Accent3 4 9 2 5" xfId="11013" xr:uid="{00000000-0005-0000-0000-00001B1D0000}"/>
    <cellStyle name="20% - Accent3 4 9 2 6" xfId="11014" xr:uid="{00000000-0005-0000-0000-00001C1D0000}"/>
    <cellStyle name="20% - Accent3 4 9 2 7" xfId="11015" xr:uid="{00000000-0005-0000-0000-00001D1D0000}"/>
    <cellStyle name="20% - Accent3 4 9 3" xfId="11016" xr:uid="{00000000-0005-0000-0000-00001E1D0000}"/>
    <cellStyle name="20% - Accent3 4 9 3 2" xfId="11017" xr:uid="{00000000-0005-0000-0000-00001F1D0000}"/>
    <cellStyle name="20% - Accent3 4 9 3 2 2" xfId="11018" xr:uid="{00000000-0005-0000-0000-0000201D0000}"/>
    <cellStyle name="20% - Accent3 4 9 3 2 2 2" xfId="11019" xr:uid="{00000000-0005-0000-0000-0000211D0000}"/>
    <cellStyle name="20% - Accent3 4 9 3 2 3" xfId="11020" xr:uid="{00000000-0005-0000-0000-0000221D0000}"/>
    <cellStyle name="20% - Accent3 4 9 3 3" xfId="11021" xr:uid="{00000000-0005-0000-0000-0000231D0000}"/>
    <cellStyle name="20% - Accent3 4 9 3 3 2" xfId="11022" xr:uid="{00000000-0005-0000-0000-0000241D0000}"/>
    <cellStyle name="20% - Accent3 4 9 3 4" xfId="11023" xr:uid="{00000000-0005-0000-0000-0000251D0000}"/>
    <cellStyle name="20% - Accent3 4 9 3 5" xfId="11024" xr:uid="{00000000-0005-0000-0000-0000261D0000}"/>
    <cellStyle name="20% - Accent3 4 9 3 6" xfId="11025" xr:uid="{00000000-0005-0000-0000-0000271D0000}"/>
    <cellStyle name="20% - Accent3 4 9 4" xfId="11026" xr:uid="{00000000-0005-0000-0000-0000281D0000}"/>
    <cellStyle name="20% - Accent3 4 9 4 2" xfId="11027" xr:uid="{00000000-0005-0000-0000-0000291D0000}"/>
    <cellStyle name="20% - Accent3 4 9 4 2 2" xfId="11028" xr:uid="{00000000-0005-0000-0000-00002A1D0000}"/>
    <cellStyle name="20% - Accent3 4 9 4 3" xfId="11029" xr:uid="{00000000-0005-0000-0000-00002B1D0000}"/>
    <cellStyle name="20% - Accent3 4 9 5" xfId="11030" xr:uid="{00000000-0005-0000-0000-00002C1D0000}"/>
    <cellStyle name="20% - Accent3 4 9 5 2" xfId="11031" xr:uid="{00000000-0005-0000-0000-00002D1D0000}"/>
    <cellStyle name="20% - Accent3 4 9 5 2 2" xfId="11032" xr:uid="{00000000-0005-0000-0000-00002E1D0000}"/>
    <cellStyle name="20% - Accent3 4 9 5 3" xfId="11033" xr:uid="{00000000-0005-0000-0000-00002F1D0000}"/>
    <cellStyle name="20% - Accent3 4 9 6" xfId="11034" xr:uid="{00000000-0005-0000-0000-0000301D0000}"/>
    <cellStyle name="20% - Accent3 4 9 6 2" xfId="11035" xr:uid="{00000000-0005-0000-0000-0000311D0000}"/>
    <cellStyle name="20% - Accent3 4 9 7" xfId="11036" xr:uid="{00000000-0005-0000-0000-0000321D0000}"/>
    <cellStyle name="20% - Accent3 4 9 7 2" xfId="11037" xr:uid="{00000000-0005-0000-0000-0000331D0000}"/>
    <cellStyle name="20% - Accent3 4 9 8" xfId="11038" xr:uid="{00000000-0005-0000-0000-0000341D0000}"/>
    <cellStyle name="20% - Accent3 4 9 9" xfId="11039" xr:uid="{00000000-0005-0000-0000-0000351D0000}"/>
    <cellStyle name="20% - Accent3 5" xfId="174" xr:uid="{00000000-0005-0000-0000-0000361D0000}"/>
    <cellStyle name="20% - Accent3 5 10" xfId="11040" xr:uid="{00000000-0005-0000-0000-0000371D0000}"/>
    <cellStyle name="20% - Accent3 5 10 2" xfId="11041" xr:uid="{00000000-0005-0000-0000-0000381D0000}"/>
    <cellStyle name="20% - Accent3 5 11" xfId="11042" xr:uid="{00000000-0005-0000-0000-0000391D0000}"/>
    <cellStyle name="20% - Accent3 5 11 2" xfId="11043" xr:uid="{00000000-0005-0000-0000-00003A1D0000}"/>
    <cellStyle name="20% - Accent3 5 11 2 2" xfId="11044" xr:uid="{00000000-0005-0000-0000-00003B1D0000}"/>
    <cellStyle name="20% - Accent3 5 11 2 2 2" xfId="11045" xr:uid="{00000000-0005-0000-0000-00003C1D0000}"/>
    <cellStyle name="20% - Accent3 5 11 2 2 2 2" xfId="11046" xr:uid="{00000000-0005-0000-0000-00003D1D0000}"/>
    <cellStyle name="20% - Accent3 5 11 2 2 3" xfId="11047" xr:uid="{00000000-0005-0000-0000-00003E1D0000}"/>
    <cellStyle name="20% - Accent3 5 11 2 3" xfId="11048" xr:uid="{00000000-0005-0000-0000-00003F1D0000}"/>
    <cellStyle name="20% - Accent3 5 11 2 3 2" xfId="11049" xr:uid="{00000000-0005-0000-0000-0000401D0000}"/>
    <cellStyle name="20% - Accent3 5 11 2 4" xfId="11050" xr:uid="{00000000-0005-0000-0000-0000411D0000}"/>
    <cellStyle name="20% - Accent3 5 11 2 5" xfId="11051" xr:uid="{00000000-0005-0000-0000-0000421D0000}"/>
    <cellStyle name="20% - Accent3 5 11 2 6" xfId="11052" xr:uid="{00000000-0005-0000-0000-0000431D0000}"/>
    <cellStyle name="20% - Accent3 5 11 3" xfId="11053" xr:uid="{00000000-0005-0000-0000-0000441D0000}"/>
    <cellStyle name="20% - Accent3 5 11 3 2" xfId="11054" xr:uid="{00000000-0005-0000-0000-0000451D0000}"/>
    <cellStyle name="20% - Accent3 5 11 3 2 2" xfId="11055" xr:uid="{00000000-0005-0000-0000-0000461D0000}"/>
    <cellStyle name="20% - Accent3 5 11 3 3" xfId="11056" xr:uid="{00000000-0005-0000-0000-0000471D0000}"/>
    <cellStyle name="20% - Accent3 5 11 4" xfId="11057" xr:uid="{00000000-0005-0000-0000-0000481D0000}"/>
    <cellStyle name="20% - Accent3 5 11 4 2" xfId="11058" xr:uid="{00000000-0005-0000-0000-0000491D0000}"/>
    <cellStyle name="20% - Accent3 5 11 5" xfId="11059" xr:uid="{00000000-0005-0000-0000-00004A1D0000}"/>
    <cellStyle name="20% - Accent3 5 11 6" xfId="11060" xr:uid="{00000000-0005-0000-0000-00004B1D0000}"/>
    <cellStyle name="20% - Accent3 5 11 7" xfId="11061" xr:uid="{00000000-0005-0000-0000-00004C1D0000}"/>
    <cellStyle name="20% - Accent3 5 12" xfId="11062" xr:uid="{00000000-0005-0000-0000-00004D1D0000}"/>
    <cellStyle name="20% - Accent3 5 12 2" xfId="11063" xr:uid="{00000000-0005-0000-0000-00004E1D0000}"/>
    <cellStyle name="20% - Accent3 5 12 2 2" xfId="11064" xr:uid="{00000000-0005-0000-0000-00004F1D0000}"/>
    <cellStyle name="20% - Accent3 5 12 2 2 2" xfId="11065" xr:uid="{00000000-0005-0000-0000-0000501D0000}"/>
    <cellStyle name="20% - Accent3 5 12 2 2 2 2" xfId="11066" xr:uid="{00000000-0005-0000-0000-0000511D0000}"/>
    <cellStyle name="20% - Accent3 5 12 2 2 3" xfId="11067" xr:uid="{00000000-0005-0000-0000-0000521D0000}"/>
    <cellStyle name="20% - Accent3 5 12 2 3" xfId="11068" xr:uid="{00000000-0005-0000-0000-0000531D0000}"/>
    <cellStyle name="20% - Accent3 5 12 2 3 2" xfId="11069" xr:uid="{00000000-0005-0000-0000-0000541D0000}"/>
    <cellStyle name="20% - Accent3 5 12 2 4" xfId="11070" xr:uid="{00000000-0005-0000-0000-0000551D0000}"/>
    <cellStyle name="20% - Accent3 5 12 2 5" xfId="11071" xr:uid="{00000000-0005-0000-0000-0000561D0000}"/>
    <cellStyle name="20% - Accent3 5 12 2 6" xfId="11072" xr:uid="{00000000-0005-0000-0000-0000571D0000}"/>
    <cellStyle name="20% - Accent3 5 12 3" xfId="11073" xr:uid="{00000000-0005-0000-0000-0000581D0000}"/>
    <cellStyle name="20% - Accent3 5 12 3 2" xfId="11074" xr:uid="{00000000-0005-0000-0000-0000591D0000}"/>
    <cellStyle name="20% - Accent3 5 12 3 2 2" xfId="11075" xr:uid="{00000000-0005-0000-0000-00005A1D0000}"/>
    <cellStyle name="20% - Accent3 5 12 3 3" xfId="11076" xr:uid="{00000000-0005-0000-0000-00005B1D0000}"/>
    <cellStyle name="20% - Accent3 5 12 4" xfId="11077" xr:uid="{00000000-0005-0000-0000-00005C1D0000}"/>
    <cellStyle name="20% - Accent3 5 12 4 2" xfId="11078" xr:uid="{00000000-0005-0000-0000-00005D1D0000}"/>
    <cellStyle name="20% - Accent3 5 12 5" xfId="11079" xr:uid="{00000000-0005-0000-0000-00005E1D0000}"/>
    <cellStyle name="20% - Accent3 5 12 6" xfId="11080" xr:uid="{00000000-0005-0000-0000-00005F1D0000}"/>
    <cellStyle name="20% - Accent3 5 12 7" xfId="11081" xr:uid="{00000000-0005-0000-0000-0000601D0000}"/>
    <cellStyle name="20% - Accent3 5 13" xfId="11082" xr:uid="{00000000-0005-0000-0000-0000611D0000}"/>
    <cellStyle name="20% - Accent3 5 13 2" xfId="11083" xr:uid="{00000000-0005-0000-0000-0000621D0000}"/>
    <cellStyle name="20% - Accent3 5 13 2 2" xfId="11084" xr:uid="{00000000-0005-0000-0000-0000631D0000}"/>
    <cellStyle name="20% - Accent3 5 13 2 2 2" xfId="11085" xr:uid="{00000000-0005-0000-0000-0000641D0000}"/>
    <cellStyle name="20% - Accent3 5 13 2 3" xfId="11086" xr:uid="{00000000-0005-0000-0000-0000651D0000}"/>
    <cellStyle name="20% - Accent3 5 13 3" xfId="11087" xr:uid="{00000000-0005-0000-0000-0000661D0000}"/>
    <cellStyle name="20% - Accent3 5 13 3 2" xfId="11088" xr:uid="{00000000-0005-0000-0000-0000671D0000}"/>
    <cellStyle name="20% - Accent3 5 13 4" xfId="11089" xr:uid="{00000000-0005-0000-0000-0000681D0000}"/>
    <cellStyle name="20% - Accent3 5 13 5" xfId="11090" xr:uid="{00000000-0005-0000-0000-0000691D0000}"/>
    <cellStyle name="20% - Accent3 5 13 6" xfId="11091" xr:uid="{00000000-0005-0000-0000-00006A1D0000}"/>
    <cellStyle name="20% - Accent3 5 14" xfId="11092" xr:uid="{00000000-0005-0000-0000-00006B1D0000}"/>
    <cellStyle name="20% - Accent3 5 14 2" xfId="11093" xr:uid="{00000000-0005-0000-0000-00006C1D0000}"/>
    <cellStyle name="20% - Accent3 5 14 2 2" xfId="11094" xr:uid="{00000000-0005-0000-0000-00006D1D0000}"/>
    <cellStyle name="20% - Accent3 5 14 3" xfId="11095" xr:uid="{00000000-0005-0000-0000-00006E1D0000}"/>
    <cellStyle name="20% - Accent3 5 15" xfId="11096" xr:uid="{00000000-0005-0000-0000-00006F1D0000}"/>
    <cellStyle name="20% - Accent3 5 15 2" xfId="11097" xr:uid="{00000000-0005-0000-0000-0000701D0000}"/>
    <cellStyle name="20% - Accent3 5 15 2 2" xfId="11098" xr:uid="{00000000-0005-0000-0000-0000711D0000}"/>
    <cellStyle name="20% - Accent3 5 15 3" xfId="11099" xr:uid="{00000000-0005-0000-0000-0000721D0000}"/>
    <cellStyle name="20% - Accent3 5 16" xfId="11100" xr:uid="{00000000-0005-0000-0000-0000731D0000}"/>
    <cellStyle name="20% - Accent3 5 16 2" xfId="11101" xr:uid="{00000000-0005-0000-0000-0000741D0000}"/>
    <cellStyle name="20% - Accent3 5 17" xfId="11102" xr:uid="{00000000-0005-0000-0000-0000751D0000}"/>
    <cellStyle name="20% - Accent3 5 17 2" xfId="11103" xr:uid="{00000000-0005-0000-0000-0000761D0000}"/>
    <cellStyle name="20% - Accent3 5 18" xfId="11104" xr:uid="{00000000-0005-0000-0000-0000771D0000}"/>
    <cellStyle name="20% - Accent3 5 19" xfId="11105" xr:uid="{00000000-0005-0000-0000-0000781D0000}"/>
    <cellStyle name="20% - Accent3 5 2" xfId="11106" xr:uid="{00000000-0005-0000-0000-0000791D0000}"/>
    <cellStyle name="20% - Accent3 5 2 10" xfId="11107" xr:uid="{00000000-0005-0000-0000-00007A1D0000}"/>
    <cellStyle name="20% - Accent3 5 2 11" xfId="11108" xr:uid="{00000000-0005-0000-0000-00007B1D0000}"/>
    <cellStyle name="20% - Accent3 5 2 2" xfId="11109" xr:uid="{00000000-0005-0000-0000-00007C1D0000}"/>
    <cellStyle name="20% - Accent3 5 2 2 2" xfId="11110" xr:uid="{00000000-0005-0000-0000-00007D1D0000}"/>
    <cellStyle name="20% - Accent3 5 2 2 2 2" xfId="11111" xr:uid="{00000000-0005-0000-0000-00007E1D0000}"/>
    <cellStyle name="20% - Accent3 5 2 2 2 2 2" xfId="11112" xr:uid="{00000000-0005-0000-0000-00007F1D0000}"/>
    <cellStyle name="20% - Accent3 5 2 2 2 2 2 2" xfId="11113" xr:uid="{00000000-0005-0000-0000-0000801D0000}"/>
    <cellStyle name="20% - Accent3 5 2 2 2 2 3" xfId="11114" xr:uid="{00000000-0005-0000-0000-0000811D0000}"/>
    <cellStyle name="20% - Accent3 5 2 2 2 3" xfId="11115" xr:uid="{00000000-0005-0000-0000-0000821D0000}"/>
    <cellStyle name="20% - Accent3 5 2 2 2 3 2" xfId="11116" xr:uid="{00000000-0005-0000-0000-0000831D0000}"/>
    <cellStyle name="20% - Accent3 5 2 2 2 4" xfId="11117" xr:uid="{00000000-0005-0000-0000-0000841D0000}"/>
    <cellStyle name="20% - Accent3 5 2 2 2 5" xfId="11118" xr:uid="{00000000-0005-0000-0000-0000851D0000}"/>
    <cellStyle name="20% - Accent3 5 2 2 2 6" xfId="11119" xr:uid="{00000000-0005-0000-0000-0000861D0000}"/>
    <cellStyle name="20% - Accent3 5 2 2 3" xfId="11120" xr:uid="{00000000-0005-0000-0000-0000871D0000}"/>
    <cellStyle name="20% - Accent3 5 2 2 3 2" xfId="11121" xr:uid="{00000000-0005-0000-0000-0000881D0000}"/>
    <cellStyle name="20% - Accent3 5 2 2 3 2 2" xfId="11122" xr:uid="{00000000-0005-0000-0000-0000891D0000}"/>
    <cellStyle name="20% - Accent3 5 2 2 3 3" xfId="11123" xr:uid="{00000000-0005-0000-0000-00008A1D0000}"/>
    <cellStyle name="20% - Accent3 5 2 2 4" xfId="11124" xr:uid="{00000000-0005-0000-0000-00008B1D0000}"/>
    <cellStyle name="20% - Accent3 5 2 2 4 2" xfId="11125" xr:uid="{00000000-0005-0000-0000-00008C1D0000}"/>
    <cellStyle name="20% - Accent3 5 2 2 5" xfId="11126" xr:uid="{00000000-0005-0000-0000-00008D1D0000}"/>
    <cellStyle name="20% - Accent3 5 2 2 5 2" xfId="11127" xr:uid="{00000000-0005-0000-0000-00008E1D0000}"/>
    <cellStyle name="20% - Accent3 5 2 2 6" xfId="11128" xr:uid="{00000000-0005-0000-0000-00008F1D0000}"/>
    <cellStyle name="20% - Accent3 5 2 2 7" xfId="11129" xr:uid="{00000000-0005-0000-0000-0000901D0000}"/>
    <cellStyle name="20% - Accent3 5 2 2 8" xfId="11130" xr:uid="{00000000-0005-0000-0000-0000911D0000}"/>
    <cellStyle name="20% - Accent3 5 2 3" xfId="11131" xr:uid="{00000000-0005-0000-0000-0000921D0000}"/>
    <cellStyle name="20% - Accent3 5 2 3 2" xfId="11132" xr:uid="{00000000-0005-0000-0000-0000931D0000}"/>
    <cellStyle name="20% - Accent3 5 2 3 2 2" xfId="11133" xr:uid="{00000000-0005-0000-0000-0000941D0000}"/>
    <cellStyle name="20% - Accent3 5 2 3 2 2 2" xfId="11134" xr:uid="{00000000-0005-0000-0000-0000951D0000}"/>
    <cellStyle name="20% - Accent3 5 2 3 2 2 2 2" xfId="11135" xr:uid="{00000000-0005-0000-0000-0000961D0000}"/>
    <cellStyle name="20% - Accent3 5 2 3 2 2 3" xfId="11136" xr:uid="{00000000-0005-0000-0000-0000971D0000}"/>
    <cellStyle name="20% - Accent3 5 2 3 2 3" xfId="11137" xr:uid="{00000000-0005-0000-0000-0000981D0000}"/>
    <cellStyle name="20% - Accent3 5 2 3 2 3 2" xfId="11138" xr:uid="{00000000-0005-0000-0000-0000991D0000}"/>
    <cellStyle name="20% - Accent3 5 2 3 2 4" xfId="11139" xr:uid="{00000000-0005-0000-0000-00009A1D0000}"/>
    <cellStyle name="20% - Accent3 5 2 3 2 5" xfId="11140" xr:uid="{00000000-0005-0000-0000-00009B1D0000}"/>
    <cellStyle name="20% - Accent3 5 2 3 2 6" xfId="11141" xr:uid="{00000000-0005-0000-0000-00009C1D0000}"/>
    <cellStyle name="20% - Accent3 5 2 3 3" xfId="11142" xr:uid="{00000000-0005-0000-0000-00009D1D0000}"/>
    <cellStyle name="20% - Accent3 5 2 3 3 2" xfId="11143" xr:uid="{00000000-0005-0000-0000-00009E1D0000}"/>
    <cellStyle name="20% - Accent3 5 2 3 3 2 2" xfId="11144" xr:uid="{00000000-0005-0000-0000-00009F1D0000}"/>
    <cellStyle name="20% - Accent3 5 2 3 3 3" xfId="11145" xr:uid="{00000000-0005-0000-0000-0000A01D0000}"/>
    <cellStyle name="20% - Accent3 5 2 3 4" xfId="11146" xr:uid="{00000000-0005-0000-0000-0000A11D0000}"/>
    <cellStyle name="20% - Accent3 5 2 3 4 2" xfId="11147" xr:uid="{00000000-0005-0000-0000-0000A21D0000}"/>
    <cellStyle name="20% - Accent3 5 2 3 5" xfId="11148" xr:uid="{00000000-0005-0000-0000-0000A31D0000}"/>
    <cellStyle name="20% - Accent3 5 2 3 6" xfId="11149" xr:uid="{00000000-0005-0000-0000-0000A41D0000}"/>
    <cellStyle name="20% - Accent3 5 2 3 7" xfId="11150" xr:uid="{00000000-0005-0000-0000-0000A51D0000}"/>
    <cellStyle name="20% - Accent3 5 2 4" xfId="11151" xr:uid="{00000000-0005-0000-0000-0000A61D0000}"/>
    <cellStyle name="20% - Accent3 5 2 4 2" xfId="11152" xr:uid="{00000000-0005-0000-0000-0000A71D0000}"/>
    <cellStyle name="20% - Accent3 5 2 4 2 2" xfId="11153" xr:uid="{00000000-0005-0000-0000-0000A81D0000}"/>
    <cellStyle name="20% - Accent3 5 2 4 2 2 2" xfId="11154" xr:uid="{00000000-0005-0000-0000-0000A91D0000}"/>
    <cellStyle name="20% - Accent3 5 2 4 2 3" xfId="11155" xr:uid="{00000000-0005-0000-0000-0000AA1D0000}"/>
    <cellStyle name="20% - Accent3 5 2 4 3" xfId="11156" xr:uid="{00000000-0005-0000-0000-0000AB1D0000}"/>
    <cellStyle name="20% - Accent3 5 2 4 3 2" xfId="11157" xr:uid="{00000000-0005-0000-0000-0000AC1D0000}"/>
    <cellStyle name="20% - Accent3 5 2 4 4" xfId="11158" xr:uid="{00000000-0005-0000-0000-0000AD1D0000}"/>
    <cellStyle name="20% - Accent3 5 2 4 5" xfId="11159" xr:uid="{00000000-0005-0000-0000-0000AE1D0000}"/>
    <cellStyle name="20% - Accent3 5 2 4 6" xfId="11160" xr:uid="{00000000-0005-0000-0000-0000AF1D0000}"/>
    <cellStyle name="20% - Accent3 5 2 5" xfId="11161" xr:uid="{00000000-0005-0000-0000-0000B01D0000}"/>
    <cellStyle name="20% - Accent3 5 2 5 2" xfId="11162" xr:uid="{00000000-0005-0000-0000-0000B11D0000}"/>
    <cellStyle name="20% - Accent3 5 2 5 2 2" xfId="11163" xr:uid="{00000000-0005-0000-0000-0000B21D0000}"/>
    <cellStyle name="20% - Accent3 5 2 5 3" xfId="11164" xr:uid="{00000000-0005-0000-0000-0000B31D0000}"/>
    <cellStyle name="20% - Accent3 5 2 6" xfId="11165" xr:uid="{00000000-0005-0000-0000-0000B41D0000}"/>
    <cellStyle name="20% - Accent3 5 2 6 2" xfId="11166" xr:uid="{00000000-0005-0000-0000-0000B51D0000}"/>
    <cellStyle name="20% - Accent3 5 2 6 2 2" xfId="11167" xr:uid="{00000000-0005-0000-0000-0000B61D0000}"/>
    <cellStyle name="20% - Accent3 5 2 6 3" xfId="11168" xr:uid="{00000000-0005-0000-0000-0000B71D0000}"/>
    <cellStyle name="20% - Accent3 5 2 7" xfId="11169" xr:uid="{00000000-0005-0000-0000-0000B81D0000}"/>
    <cellStyle name="20% - Accent3 5 2 7 2" xfId="11170" xr:uid="{00000000-0005-0000-0000-0000B91D0000}"/>
    <cellStyle name="20% - Accent3 5 2 8" xfId="11171" xr:uid="{00000000-0005-0000-0000-0000BA1D0000}"/>
    <cellStyle name="20% - Accent3 5 2 8 2" xfId="11172" xr:uid="{00000000-0005-0000-0000-0000BB1D0000}"/>
    <cellStyle name="20% - Accent3 5 2 9" xfId="11173" xr:uid="{00000000-0005-0000-0000-0000BC1D0000}"/>
    <cellStyle name="20% - Accent3 5 20" xfId="11174" xr:uid="{00000000-0005-0000-0000-0000BD1D0000}"/>
    <cellStyle name="20% - Accent3 5 3" xfId="11175" xr:uid="{00000000-0005-0000-0000-0000BE1D0000}"/>
    <cellStyle name="20% - Accent3 5 3 10" xfId="11176" xr:uid="{00000000-0005-0000-0000-0000BF1D0000}"/>
    <cellStyle name="20% - Accent3 5 3 11" xfId="11177" xr:uid="{00000000-0005-0000-0000-0000C01D0000}"/>
    <cellStyle name="20% - Accent3 5 3 2" xfId="11178" xr:uid="{00000000-0005-0000-0000-0000C11D0000}"/>
    <cellStyle name="20% - Accent3 5 3 2 2" xfId="11179" xr:uid="{00000000-0005-0000-0000-0000C21D0000}"/>
    <cellStyle name="20% - Accent3 5 3 2 2 2" xfId="11180" xr:uid="{00000000-0005-0000-0000-0000C31D0000}"/>
    <cellStyle name="20% - Accent3 5 3 2 2 2 2" xfId="11181" xr:uid="{00000000-0005-0000-0000-0000C41D0000}"/>
    <cellStyle name="20% - Accent3 5 3 2 2 2 2 2" xfId="11182" xr:uid="{00000000-0005-0000-0000-0000C51D0000}"/>
    <cellStyle name="20% - Accent3 5 3 2 2 2 3" xfId="11183" xr:uid="{00000000-0005-0000-0000-0000C61D0000}"/>
    <cellStyle name="20% - Accent3 5 3 2 2 3" xfId="11184" xr:uid="{00000000-0005-0000-0000-0000C71D0000}"/>
    <cellStyle name="20% - Accent3 5 3 2 2 3 2" xfId="11185" xr:uid="{00000000-0005-0000-0000-0000C81D0000}"/>
    <cellStyle name="20% - Accent3 5 3 2 2 4" xfId="11186" xr:uid="{00000000-0005-0000-0000-0000C91D0000}"/>
    <cellStyle name="20% - Accent3 5 3 2 2 5" xfId="11187" xr:uid="{00000000-0005-0000-0000-0000CA1D0000}"/>
    <cellStyle name="20% - Accent3 5 3 2 2 6" xfId="11188" xr:uid="{00000000-0005-0000-0000-0000CB1D0000}"/>
    <cellStyle name="20% - Accent3 5 3 2 3" xfId="11189" xr:uid="{00000000-0005-0000-0000-0000CC1D0000}"/>
    <cellStyle name="20% - Accent3 5 3 2 3 2" xfId="11190" xr:uid="{00000000-0005-0000-0000-0000CD1D0000}"/>
    <cellStyle name="20% - Accent3 5 3 2 3 2 2" xfId="11191" xr:uid="{00000000-0005-0000-0000-0000CE1D0000}"/>
    <cellStyle name="20% - Accent3 5 3 2 3 3" xfId="11192" xr:uid="{00000000-0005-0000-0000-0000CF1D0000}"/>
    <cellStyle name="20% - Accent3 5 3 2 4" xfId="11193" xr:uid="{00000000-0005-0000-0000-0000D01D0000}"/>
    <cellStyle name="20% - Accent3 5 3 2 4 2" xfId="11194" xr:uid="{00000000-0005-0000-0000-0000D11D0000}"/>
    <cellStyle name="20% - Accent3 5 3 2 5" xfId="11195" xr:uid="{00000000-0005-0000-0000-0000D21D0000}"/>
    <cellStyle name="20% - Accent3 5 3 2 5 2" xfId="11196" xr:uid="{00000000-0005-0000-0000-0000D31D0000}"/>
    <cellStyle name="20% - Accent3 5 3 2 6" xfId="11197" xr:uid="{00000000-0005-0000-0000-0000D41D0000}"/>
    <cellStyle name="20% - Accent3 5 3 2 7" xfId="11198" xr:uid="{00000000-0005-0000-0000-0000D51D0000}"/>
    <cellStyle name="20% - Accent3 5 3 2 8" xfId="11199" xr:uid="{00000000-0005-0000-0000-0000D61D0000}"/>
    <cellStyle name="20% - Accent3 5 3 3" xfId="11200" xr:uid="{00000000-0005-0000-0000-0000D71D0000}"/>
    <cellStyle name="20% - Accent3 5 3 3 2" xfId="11201" xr:uid="{00000000-0005-0000-0000-0000D81D0000}"/>
    <cellStyle name="20% - Accent3 5 3 3 2 2" xfId="11202" xr:uid="{00000000-0005-0000-0000-0000D91D0000}"/>
    <cellStyle name="20% - Accent3 5 3 3 2 2 2" xfId="11203" xr:uid="{00000000-0005-0000-0000-0000DA1D0000}"/>
    <cellStyle name="20% - Accent3 5 3 3 2 2 2 2" xfId="11204" xr:uid="{00000000-0005-0000-0000-0000DB1D0000}"/>
    <cellStyle name="20% - Accent3 5 3 3 2 2 3" xfId="11205" xr:uid="{00000000-0005-0000-0000-0000DC1D0000}"/>
    <cellStyle name="20% - Accent3 5 3 3 2 3" xfId="11206" xr:uid="{00000000-0005-0000-0000-0000DD1D0000}"/>
    <cellStyle name="20% - Accent3 5 3 3 2 3 2" xfId="11207" xr:uid="{00000000-0005-0000-0000-0000DE1D0000}"/>
    <cellStyle name="20% - Accent3 5 3 3 2 4" xfId="11208" xr:uid="{00000000-0005-0000-0000-0000DF1D0000}"/>
    <cellStyle name="20% - Accent3 5 3 3 2 5" xfId="11209" xr:uid="{00000000-0005-0000-0000-0000E01D0000}"/>
    <cellStyle name="20% - Accent3 5 3 3 2 6" xfId="11210" xr:uid="{00000000-0005-0000-0000-0000E11D0000}"/>
    <cellStyle name="20% - Accent3 5 3 3 3" xfId="11211" xr:uid="{00000000-0005-0000-0000-0000E21D0000}"/>
    <cellStyle name="20% - Accent3 5 3 3 3 2" xfId="11212" xr:uid="{00000000-0005-0000-0000-0000E31D0000}"/>
    <cellStyle name="20% - Accent3 5 3 3 3 2 2" xfId="11213" xr:uid="{00000000-0005-0000-0000-0000E41D0000}"/>
    <cellStyle name="20% - Accent3 5 3 3 3 3" xfId="11214" xr:uid="{00000000-0005-0000-0000-0000E51D0000}"/>
    <cellStyle name="20% - Accent3 5 3 3 4" xfId="11215" xr:uid="{00000000-0005-0000-0000-0000E61D0000}"/>
    <cellStyle name="20% - Accent3 5 3 3 4 2" xfId="11216" xr:uid="{00000000-0005-0000-0000-0000E71D0000}"/>
    <cellStyle name="20% - Accent3 5 3 3 5" xfId="11217" xr:uid="{00000000-0005-0000-0000-0000E81D0000}"/>
    <cellStyle name="20% - Accent3 5 3 3 6" xfId="11218" xr:uid="{00000000-0005-0000-0000-0000E91D0000}"/>
    <cellStyle name="20% - Accent3 5 3 3 7" xfId="11219" xr:uid="{00000000-0005-0000-0000-0000EA1D0000}"/>
    <cellStyle name="20% - Accent3 5 3 4" xfId="11220" xr:uid="{00000000-0005-0000-0000-0000EB1D0000}"/>
    <cellStyle name="20% - Accent3 5 3 4 2" xfId="11221" xr:uid="{00000000-0005-0000-0000-0000EC1D0000}"/>
    <cellStyle name="20% - Accent3 5 3 4 2 2" xfId="11222" xr:uid="{00000000-0005-0000-0000-0000ED1D0000}"/>
    <cellStyle name="20% - Accent3 5 3 4 2 2 2" xfId="11223" xr:uid="{00000000-0005-0000-0000-0000EE1D0000}"/>
    <cellStyle name="20% - Accent3 5 3 4 2 3" xfId="11224" xr:uid="{00000000-0005-0000-0000-0000EF1D0000}"/>
    <cellStyle name="20% - Accent3 5 3 4 3" xfId="11225" xr:uid="{00000000-0005-0000-0000-0000F01D0000}"/>
    <cellStyle name="20% - Accent3 5 3 4 3 2" xfId="11226" xr:uid="{00000000-0005-0000-0000-0000F11D0000}"/>
    <cellStyle name="20% - Accent3 5 3 4 4" xfId="11227" xr:uid="{00000000-0005-0000-0000-0000F21D0000}"/>
    <cellStyle name="20% - Accent3 5 3 4 5" xfId="11228" xr:uid="{00000000-0005-0000-0000-0000F31D0000}"/>
    <cellStyle name="20% - Accent3 5 3 4 6" xfId="11229" xr:uid="{00000000-0005-0000-0000-0000F41D0000}"/>
    <cellStyle name="20% - Accent3 5 3 5" xfId="11230" xr:uid="{00000000-0005-0000-0000-0000F51D0000}"/>
    <cellStyle name="20% - Accent3 5 3 5 2" xfId="11231" xr:uid="{00000000-0005-0000-0000-0000F61D0000}"/>
    <cellStyle name="20% - Accent3 5 3 5 2 2" xfId="11232" xr:uid="{00000000-0005-0000-0000-0000F71D0000}"/>
    <cellStyle name="20% - Accent3 5 3 5 3" xfId="11233" xr:uid="{00000000-0005-0000-0000-0000F81D0000}"/>
    <cellStyle name="20% - Accent3 5 3 6" xfId="11234" xr:uid="{00000000-0005-0000-0000-0000F91D0000}"/>
    <cellStyle name="20% - Accent3 5 3 6 2" xfId="11235" xr:uid="{00000000-0005-0000-0000-0000FA1D0000}"/>
    <cellStyle name="20% - Accent3 5 3 6 2 2" xfId="11236" xr:uid="{00000000-0005-0000-0000-0000FB1D0000}"/>
    <cellStyle name="20% - Accent3 5 3 6 3" xfId="11237" xr:uid="{00000000-0005-0000-0000-0000FC1D0000}"/>
    <cellStyle name="20% - Accent3 5 3 7" xfId="11238" xr:uid="{00000000-0005-0000-0000-0000FD1D0000}"/>
    <cellStyle name="20% - Accent3 5 3 7 2" xfId="11239" xr:uid="{00000000-0005-0000-0000-0000FE1D0000}"/>
    <cellStyle name="20% - Accent3 5 3 8" xfId="11240" xr:uid="{00000000-0005-0000-0000-0000FF1D0000}"/>
    <cellStyle name="20% - Accent3 5 3 8 2" xfId="11241" xr:uid="{00000000-0005-0000-0000-0000001E0000}"/>
    <cellStyle name="20% - Accent3 5 3 9" xfId="11242" xr:uid="{00000000-0005-0000-0000-0000011E0000}"/>
    <cellStyle name="20% - Accent3 5 4" xfId="11243" xr:uid="{00000000-0005-0000-0000-0000021E0000}"/>
    <cellStyle name="20% - Accent3 5 4 10" xfId="11244" xr:uid="{00000000-0005-0000-0000-0000031E0000}"/>
    <cellStyle name="20% - Accent3 5 4 11" xfId="11245" xr:uid="{00000000-0005-0000-0000-0000041E0000}"/>
    <cellStyle name="20% - Accent3 5 4 2" xfId="11246" xr:uid="{00000000-0005-0000-0000-0000051E0000}"/>
    <cellStyle name="20% - Accent3 5 4 2 2" xfId="11247" xr:uid="{00000000-0005-0000-0000-0000061E0000}"/>
    <cellStyle name="20% - Accent3 5 4 2 2 2" xfId="11248" xr:uid="{00000000-0005-0000-0000-0000071E0000}"/>
    <cellStyle name="20% - Accent3 5 4 2 2 2 2" xfId="11249" xr:uid="{00000000-0005-0000-0000-0000081E0000}"/>
    <cellStyle name="20% - Accent3 5 4 2 2 2 2 2" xfId="11250" xr:uid="{00000000-0005-0000-0000-0000091E0000}"/>
    <cellStyle name="20% - Accent3 5 4 2 2 2 3" xfId="11251" xr:uid="{00000000-0005-0000-0000-00000A1E0000}"/>
    <cellStyle name="20% - Accent3 5 4 2 2 3" xfId="11252" xr:uid="{00000000-0005-0000-0000-00000B1E0000}"/>
    <cellStyle name="20% - Accent3 5 4 2 2 3 2" xfId="11253" xr:uid="{00000000-0005-0000-0000-00000C1E0000}"/>
    <cellStyle name="20% - Accent3 5 4 2 2 4" xfId="11254" xr:uid="{00000000-0005-0000-0000-00000D1E0000}"/>
    <cellStyle name="20% - Accent3 5 4 2 2 5" xfId="11255" xr:uid="{00000000-0005-0000-0000-00000E1E0000}"/>
    <cellStyle name="20% - Accent3 5 4 2 2 6" xfId="11256" xr:uid="{00000000-0005-0000-0000-00000F1E0000}"/>
    <cellStyle name="20% - Accent3 5 4 2 3" xfId="11257" xr:uid="{00000000-0005-0000-0000-0000101E0000}"/>
    <cellStyle name="20% - Accent3 5 4 2 3 2" xfId="11258" xr:uid="{00000000-0005-0000-0000-0000111E0000}"/>
    <cellStyle name="20% - Accent3 5 4 2 3 2 2" xfId="11259" xr:uid="{00000000-0005-0000-0000-0000121E0000}"/>
    <cellStyle name="20% - Accent3 5 4 2 3 3" xfId="11260" xr:uid="{00000000-0005-0000-0000-0000131E0000}"/>
    <cellStyle name="20% - Accent3 5 4 2 4" xfId="11261" xr:uid="{00000000-0005-0000-0000-0000141E0000}"/>
    <cellStyle name="20% - Accent3 5 4 2 4 2" xfId="11262" xr:uid="{00000000-0005-0000-0000-0000151E0000}"/>
    <cellStyle name="20% - Accent3 5 4 2 5" xfId="11263" xr:uid="{00000000-0005-0000-0000-0000161E0000}"/>
    <cellStyle name="20% - Accent3 5 4 2 5 2" xfId="11264" xr:uid="{00000000-0005-0000-0000-0000171E0000}"/>
    <cellStyle name="20% - Accent3 5 4 2 6" xfId="11265" xr:uid="{00000000-0005-0000-0000-0000181E0000}"/>
    <cellStyle name="20% - Accent3 5 4 2 7" xfId="11266" xr:uid="{00000000-0005-0000-0000-0000191E0000}"/>
    <cellStyle name="20% - Accent3 5 4 2 8" xfId="11267" xr:uid="{00000000-0005-0000-0000-00001A1E0000}"/>
    <cellStyle name="20% - Accent3 5 4 3" xfId="11268" xr:uid="{00000000-0005-0000-0000-00001B1E0000}"/>
    <cellStyle name="20% - Accent3 5 4 3 2" xfId="11269" xr:uid="{00000000-0005-0000-0000-00001C1E0000}"/>
    <cellStyle name="20% - Accent3 5 4 3 2 2" xfId="11270" xr:uid="{00000000-0005-0000-0000-00001D1E0000}"/>
    <cellStyle name="20% - Accent3 5 4 3 2 2 2" xfId="11271" xr:uid="{00000000-0005-0000-0000-00001E1E0000}"/>
    <cellStyle name="20% - Accent3 5 4 3 2 2 2 2" xfId="11272" xr:uid="{00000000-0005-0000-0000-00001F1E0000}"/>
    <cellStyle name="20% - Accent3 5 4 3 2 2 3" xfId="11273" xr:uid="{00000000-0005-0000-0000-0000201E0000}"/>
    <cellStyle name="20% - Accent3 5 4 3 2 3" xfId="11274" xr:uid="{00000000-0005-0000-0000-0000211E0000}"/>
    <cellStyle name="20% - Accent3 5 4 3 2 3 2" xfId="11275" xr:uid="{00000000-0005-0000-0000-0000221E0000}"/>
    <cellStyle name="20% - Accent3 5 4 3 2 4" xfId="11276" xr:uid="{00000000-0005-0000-0000-0000231E0000}"/>
    <cellStyle name="20% - Accent3 5 4 3 2 5" xfId="11277" xr:uid="{00000000-0005-0000-0000-0000241E0000}"/>
    <cellStyle name="20% - Accent3 5 4 3 2 6" xfId="11278" xr:uid="{00000000-0005-0000-0000-0000251E0000}"/>
    <cellStyle name="20% - Accent3 5 4 3 3" xfId="11279" xr:uid="{00000000-0005-0000-0000-0000261E0000}"/>
    <cellStyle name="20% - Accent3 5 4 3 3 2" xfId="11280" xr:uid="{00000000-0005-0000-0000-0000271E0000}"/>
    <cellStyle name="20% - Accent3 5 4 3 3 2 2" xfId="11281" xr:uid="{00000000-0005-0000-0000-0000281E0000}"/>
    <cellStyle name="20% - Accent3 5 4 3 3 3" xfId="11282" xr:uid="{00000000-0005-0000-0000-0000291E0000}"/>
    <cellStyle name="20% - Accent3 5 4 3 4" xfId="11283" xr:uid="{00000000-0005-0000-0000-00002A1E0000}"/>
    <cellStyle name="20% - Accent3 5 4 3 4 2" xfId="11284" xr:uid="{00000000-0005-0000-0000-00002B1E0000}"/>
    <cellStyle name="20% - Accent3 5 4 3 5" xfId="11285" xr:uid="{00000000-0005-0000-0000-00002C1E0000}"/>
    <cellStyle name="20% - Accent3 5 4 3 6" xfId="11286" xr:uid="{00000000-0005-0000-0000-00002D1E0000}"/>
    <cellStyle name="20% - Accent3 5 4 3 7" xfId="11287" xr:uid="{00000000-0005-0000-0000-00002E1E0000}"/>
    <cellStyle name="20% - Accent3 5 4 4" xfId="11288" xr:uid="{00000000-0005-0000-0000-00002F1E0000}"/>
    <cellStyle name="20% - Accent3 5 4 4 2" xfId="11289" xr:uid="{00000000-0005-0000-0000-0000301E0000}"/>
    <cellStyle name="20% - Accent3 5 4 4 2 2" xfId="11290" xr:uid="{00000000-0005-0000-0000-0000311E0000}"/>
    <cellStyle name="20% - Accent3 5 4 4 2 2 2" xfId="11291" xr:uid="{00000000-0005-0000-0000-0000321E0000}"/>
    <cellStyle name="20% - Accent3 5 4 4 2 3" xfId="11292" xr:uid="{00000000-0005-0000-0000-0000331E0000}"/>
    <cellStyle name="20% - Accent3 5 4 4 3" xfId="11293" xr:uid="{00000000-0005-0000-0000-0000341E0000}"/>
    <cellStyle name="20% - Accent3 5 4 4 3 2" xfId="11294" xr:uid="{00000000-0005-0000-0000-0000351E0000}"/>
    <cellStyle name="20% - Accent3 5 4 4 4" xfId="11295" xr:uid="{00000000-0005-0000-0000-0000361E0000}"/>
    <cellStyle name="20% - Accent3 5 4 4 5" xfId="11296" xr:uid="{00000000-0005-0000-0000-0000371E0000}"/>
    <cellStyle name="20% - Accent3 5 4 4 6" xfId="11297" xr:uid="{00000000-0005-0000-0000-0000381E0000}"/>
    <cellStyle name="20% - Accent3 5 4 5" xfId="11298" xr:uid="{00000000-0005-0000-0000-0000391E0000}"/>
    <cellStyle name="20% - Accent3 5 4 5 2" xfId="11299" xr:uid="{00000000-0005-0000-0000-00003A1E0000}"/>
    <cellStyle name="20% - Accent3 5 4 5 2 2" xfId="11300" xr:uid="{00000000-0005-0000-0000-00003B1E0000}"/>
    <cellStyle name="20% - Accent3 5 4 5 3" xfId="11301" xr:uid="{00000000-0005-0000-0000-00003C1E0000}"/>
    <cellStyle name="20% - Accent3 5 4 6" xfId="11302" xr:uid="{00000000-0005-0000-0000-00003D1E0000}"/>
    <cellStyle name="20% - Accent3 5 4 6 2" xfId="11303" xr:uid="{00000000-0005-0000-0000-00003E1E0000}"/>
    <cellStyle name="20% - Accent3 5 4 6 2 2" xfId="11304" xr:uid="{00000000-0005-0000-0000-00003F1E0000}"/>
    <cellStyle name="20% - Accent3 5 4 6 3" xfId="11305" xr:uid="{00000000-0005-0000-0000-0000401E0000}"/>
    <cellStyle name="20% - Accent3 5 4 7" xfId="11306" xr:uid="{00000000-0005-0000-0000-0000411E0000}"/>
    <cellStyle name="20% - Accent3 5 4 7 2" xfId="11307" xr:uid="{00000000-0005-0000-0000-0000421E0000}"/>
    <cellStyle name="20% - Accent3 5 4 8" xfId="11308" xr:uid="{00000000-0005-0000-0000-0000431E0000}"/>
    <cellStyle name="20% - Accent3 5 4 8 2" xfId="11309" xr:uid="{00000000-0005-0000-0000-0000441E0000}"/>
    <cellStyle name="20% - Accent3 5 4 9" xfId="11310" xr:uid="{00000000-0005-0000-0000-0000451E0000}"/>
    <cellStyle name="20% - Accent3 5 5" xfId="11311" xr:uid="{00000000-0005-0000-0000-0000461E0000}"/>
    <cellStyle name="20% - Accent3 5 5 10" xfId="11312" xr:uid="{00000000-0005-0000-0000-0000471E0000}"/>
    <cellStyle name="20% - Accent3 5 5 11" xfId="11313" xr:uid="{00000000-0005-0000-0000-0000481E0000}"/>
    <cellStyle name="20% - Accent3 5 5 2" xfId="11314" xr:uid="{00000000-0005-0000-0000-0000491E0000}"/>
    <cellStyle name="20% - Accent3 5 5 2 2" xfId="11315" xr:uid="{00000000-0005-0000-0000-00004A1E0000}"/>
    <cellStyle name="20% - Accent3 5 5 2 2 2" xfId="11316" xr:uid="{00000000-0005-0000-0000-00004B1E0000}"/>
    <cellStyle name="20% - Accent3 5 5 2 2 2 2" xfId="11317" xr:uid="{00000000-0005-0000-0000-00004C1E0000}"/>
    <cellStyle name="20% - Accent3 5 5 2 2 2 2 2" xfId="11318" xr:uid="{00000000-0005-0000-0000-00004D1E0000}"/>
    <cellStyle name="20% - Accent3 5 5 2 2 2 3" xfId="11319" xr:uid="{00000000-0005-0000-0000-00004E1E0000}"/>
    <cellStyle name="20% - Accent3 5 5 2 2 3" xfId="11320" xr:uid="{00000000-0005-0000-0000-00004F1E0000}"/>
    <cellStyle name="20% - Accent3 5 5 2 2 3 2" xfId="11321" xr:uid="{00000000-0005-0000-0000-0000501E0000}"/>
    <cellStyle name="20% - Accent3 5 5 2 2 4" xfId="11322" xr:uid="{00000000-0005-0000-0000-0000511E0000}"/>
    <cellStyle name="20% - Accent3 5 5 2 2 5" xfId="11323" xr:uid="{00000000-0005-0000-0000-0000521E0000}"/>
    <cellStyle name="20% - Accent3 5 5 2 2 6" xfId="11324" xr:uid="{00000000-0005-0000-0000-0000531E0000}"/>
    <cellStyle name="20% - Accent3 5 5 2 3" xfId="11325" xr:uid="{00000000-0005-0000-0000-0000541E0000}"/>
    <cellStyle name="20% - Accent3 5 5 2 3 2" xfId="11326" xr:uid="{00000000-0005-0000-0000-0000551E0000}"/>
    <cellStyle name="20% - Accent3 5 5 2 3 2 2" xfId="11327" xr:uid="{00000000-0005-0000-0000-0000561E0000}"/>
    <cellStyle name="20% - Accent3 5 5 2 3 3" xfId="11328" xr:uid="{00000000-0005-0000-0000-0000571E0000}"/>
    <cellStyle name="20% - Accent3 5 5 2 4" xfId="11329" xr:uid="{00000000-0005-0000-0000-0000581E0000}"/>
    <cellStyle name="20% - Accent3 5 5 2 4 2" xfId="11330" xr:uid="{00000000-0005-0000-0000-0000591E0000}"/>
    <cellStyle name="20% - Accent3 5 5 2 5" xfId="11331" xr:uid="{00000000-0005-0000-0000-00005A1E0000}"/>
    <cellStyle name="20% - Accent3 5 5 2 5 2" xfId="11332" xr:uid="{00000000-0005-0000-0000-00005B1E0000}"/>
    <cellStyle name="20% - Accent3 5 5 2 6" xfId="11333" xr:uid="{00000000-0005-0000-0000-00005C1E0000}"/>
    <cellStyle name="20% - Accent3 5 5 2 7" xfId="11334" xr:uid="{00000000-0005-0000-0000-00005D1E0000}"/>
    <cellStyle name="20% - Accent3 5 5 2 8" xfId="11335" xr:uid="{00000000-0005-0000-0000-00005E1E0000}"/>
    <cellStyle name="20% - Accent3 5 5 3" xfId="11336" xr:uid="{00000000-0005-0000-0000-00005F1E0000}"/>
    <cellStyle name="20% - Accent3 5 5 3 2" xfId="11337" xr:uid="{00000000-0005-0000-0000-0000601E0000}"/>
    <cellStyle name="20% - Accent3 5 5 3 2 2" xfId="11338" xr:uid="{00000000-0005-0000-0000-0000611E0000}"/>
    <cellStyle name="20% - Accent3 5 5 3 2 2 2" xfId="11339" xr:uid="{00000000-0005-0000-0000-0000621E0000}"/>
    <cellStyle name="20% - Accent3 5 5 3 2 2 2 2" xfId="11340" xr:uid="{00000000-0005-0000-0000-0000631E0000}"/>
    <cellStyle name="20% - Accent3 5 5 3 2 2 3" xfId="11341" xr:uid="{00000000-0005-0000-0000-0000641E0000}"/>
    <cellStyle name="20% - Accent3 5 5 3 2 3" xfId="11342" xr:uid="{00000000-0005-0000-0000-0000651E0000}"/>
    <cellStyle name="20% - Accent3 5 5 3 2 3 2" xfId="11343" xr:uid="{00000000-0005-0000-0000-0000661E0000}"/>
    <cellStyle name="20% - Accent3 5 5 3 2 4" xfId="11344" xr:uid="{00000000-0005-0000-0000-0000671E0000}"/>
    <cellStyle name="20% - Accent3 5 5 3 2 5" xfId="11345" xr:uid="{00000000-0005-0000-0000-0000681E0000}"/>
    <cellStyle name="20% - Accent3 5 5 3 2 6" xfId="11346" xr:uid="{00000000-0005-0000-0000-0000691E0000}"/>
    <cellStyle name="20% - Accent3 5 5 3 3" xfId="11347" xr:uid="{00000000-0005-0000-0000-00006A1E0000}"/>
    <cellStyle name="20% - Accent3 5 5 3 3 2" xfId="11348" xr:uid="{00000000-0005-0000-0000-00006B1E0000}"/>
    <cellStyle name="20% - Accent3 5 5 3 3 2 2" xfId="11349" xr:uid="{00000000-0005-0000-0000-00006C1E0000}"/>
    <cellStyle name="20% - Accent3 5 5 3 3 3" xfId="11350" xr:uid="{00000000-0005-0000-0000-00006D1E0000}"/>
    <cellStyle name="20% - Accent3 5 5 3 4" xfId="11351" xr:uid="{00000000-0005-0000-0000-00006E1E0000}"/>
    <cellStyle name="20% - Accent3 5 5 3 4 2" xfId="11352" xr:uid="{00000000-0005-0000-0000-00006F1E0000}"/>
    <cellStyle name="20% - Accent3 5 5 3 5" xfId="11353" xr:uid="{00000000-0005-0000-0000-0000701E0000}"/>
    <cellStyle name="20% - Accent3 5 5 3 6" xfId="11354" xr:uid="{00000000-0005-0000-0000-0000711E0000}"/>
    <cellStyle name="20% - Accent3 5 5 3 7" xfId="11355" xr:uid="{00000000-0005-0000-0000-0000721E0000}"/>
    <cellStyle name="20% - Accent3 5 5 4" xfId="11356" xr:uid="{00000000-0005-0000-0000-0000731E0000}"/>
    <cellStyle name="20% - Accent3 5 5 4 2" xfId="11357" xr:uid="{00000000-0005-0000-0000-0000741E0000}"/>
    <cellStyle name="20% - Accent3 5 5 4 2 2" xfId="11358" xr:uid="{00000000-0005-0000-0000-0000751E0000}"/>
    <cellStyle name="20% - Accent3 5 5 4 2 2 2" xfId="11359" xr:uid="{00000000-0005-0000-0000-0000761E0000}"/>
    <cellStyle name="20% - Accent3 5 5 4 2 3" xfId="11360" xr:uid="{00000000-0005-0000-0000-0000771E0000}"/>
    <cellStyle name="20% - Accent3 5 5 4 3" xfId="11361" xr:uid="{00000000-0005-0000-0000-0000781E0000}"/>
    <cellStyle name="20% - Accent3 5 5 4 3 2" xfId="11362" xr:uid="{00000000-0005-0000-0000-0000791E0000}"/>
    <cellStyle name="20% - Accent3 5 5 4 4" xfId="11363" xr:uid="{00000000-0005-0000-0000-00007A1E0000}"/>
    <cellStyle name="20% - Accent3 5 5 4 5" xfId="11364" xr:uid="{00000000-0005-0000-0000-00007B1E0000}"/>
    <cellStyle name="20% - Accent3 5 5 4 6" xfId="11365" xr:uid="{00000000-0005-0000-0000-00007C1E0000}"/>
    <cellStyle name="20% - Accent3 5 5 5" xfId="11366" xr:uid="{00000000-0005-0000-0000-00007D1E0000}"/>
    <cellStyle name="20% - Accent3 5 5 5 2" xfId="11367" xr:uid="{00000000-0005-0000-0000-00007E1E0000}"/>
    <cellStyle name="20% - Accent3 5 5 5 2 2" xfId="11368" xr:uid="{00000000-0005-0000-0000-00007F1E0000}"/>
    <cellStyle name="20% - Accent3 5 5 5 3" xfId="11369" xr:uid="{00000000-0005-0000-0000-0000801E0000}"/>
    <cellStyle name="20% - Accent3 5 5 6" xfId="11370" xr:uid="{00000000-0005-0000-0000-0000811E0000}"/>
    <cellStyle name="20% - Accent3 5 5 6 2" xfId="11371" xr:uid="{00000000-0005-0000-0000-0000821E0000}"/>
    <cellStyle name="20% - Accent3 5 5 6 2 2" xfId="11372" xr:uid="{00000000-0005-0000-0000-0000831E0000}"/>
    <cellStyle name="20% - Accent3 5 5 6 3" xfId="11373" xr:uid="{00000000-0005-0000-0000-0000841E0000}"/>
    <cellStyle name="20% - Accent3 5 5 7" xfId="11374" xr:uid="{00000000-0005-0000-0000-0000851E0000}"/>
    <cellStyle name="20% - Accent3 5 5 7 2" xfId="11375" xr:uid="{00000000-0005-0000-0000-0000861E0000}"/>
    <cellStyle name="20% - Accent3 5 5 8" xfId="11376" xr:uid="{00000000-0005-0000-0000-0000871E0000}"/>
    <cellStyle name="20% - Accent3 5 5 8 2" xfId="11377" xr:uid="{00000000-0005-0000-0000-0000881E0000}"/>
    <cellStyle name="20% - Accent3 5 5 9" xfId="11378" xr:uid="{00000000-0005-0000-0000-0000891E0000}"/>
    <cellStyle name="20% - Accent3 5 6" xfId="11379" xr:uid="{00000000-0005-0000-0000-00008A1E0000}"/>
    <cellStyle name="20% - Accent3 5 6 10" xfId="11380" xr:uid="{00000000-0005-0000-0000-00008B1E0000}"/>
    <cellStyle name="20% - Accent3 5 6 11" xfId="11381" xr:uid="{00000000-0005-0000-0000-00008C1E0000}"/>
    <cellStyle name="20% - Accent3 5 6 2" xfId="11382" xr:uid="{00000000-0005-0000-0000-00008D1E0000}"/>
    <cellStyle name="20% - Accent3 5 6 2 2" xfId="11383" xr:uid="{00000000-0005-0000-0000-00008E1E0000}"/>
    <cellStyle name="20% - Accent3 5 6 2 2 2" xfId="11384" xr:uid="{00000000-0005-0000-0000-00008F1E0000}"/>
    <cellStyle name="20% - Accent3 5 6 2 2 2 2" xfId="11385" xr:uid="{00000000-0005-0000-0000-0000901E0000}"/>
    <cellStyle name="20% - Accent3 5 6 2 2 2 2 2" xfId="11386" xr:uid="{00000000-0005-0000-0000-0000911E0000}"/>
    <cellStyle name="20% - Accent3 5 6 2 2 2 3" xfId="11387" xr:uid="{00000000-0005-0000-0000-0000921E0000}"/>
    <cellStyle name="20% - Accent3 5 6 2 2 3" xfId="11388" xr:uid="{00000000-0005-0000-0000-0000931E0000}"/>
    <cellStyle name="20% - Accent3 5 6 2 2 3 2" xfId="11389" xr:uid="{00000000-0005-0000-0000-0000941E0000}"/>
    <cellStyle name="20% - Accent3 5 6 2 2 4" xfId="11390" xr:uid="{00000000-0005-0000-0000-0000951E0000}"/>
    <cellStyle name="20% - Accent3 5 6 2 2 5" xfId="11391" xr:uid="{00000000-0005-0000-0000-0000961E0000}"/>
    <cellStyle name="20% - Accent3 5 6 2 2 6" xfId="11392" xr:uid="{00000000-0005-0000-0000-0000971E0000}"/>
    <cellStyle name="20% - Accent3 5 6 2 3" xfId="11393" xr:uid="{00000000-0005-0000-0000-0000981E0000}"/>
    <cellStyle name="20% - Accent3 5 6 2 3 2" xfId="11394" xr:uid="{00000000-0005-0000-0000-0000991E0000}"/>
    <cellStyle name="20% - Accent3 5 6 2 3 2 2" xfId="11395" xr:uid="{00000000-0005-0000-0000-00009A1E0000}"/>
    <cellStyle name="20% - Accent3 5 6 2 3 3" xfId="11396" xr:uid="{00000000-0005-0000-0000-00009B1E0000}"/>
    <cellStyle name="20% - Accent3 5 6 2 4" xfId="11397" xr:uid="{00000000-0005-0000-0000-00009C1E0000}"/>
    <cellStyle name="20% - Accent3 5 6 2 4 2" xfId="11398" xr:uid="{00000000-0005-0000-0000-00009D1E0000}"/>
    <cellStyle name="20% - Accent3 5 6 2 5" xfId="11399" xr:uid="{00000000-0005-0000-0000-00009E1E0000}"/>
    <cellStyle name="20% - Accent3 5 6 2 5 2" xfId="11400" xr:uid="{00000000-0005-0000-0000-00009F1E0000}"/>
    <cellStyle name="20% - Accent3 5 6 2 6" xfId="11401" xr:uid="{00000000-0005-0000-0000-0000A01E0000}"/>
    <cellStyle name="20% - Accent3 5 6 2 7" xfId="11402" xr:uid="{00000000-0005-0000-0000-0000A11E0000}"/>
    <cellStyle name="20% - Accent3 5 6 2 8" xfId="11403" xr:uid="{00000000-0005-0000-0000-0000A21E0000}"/>
    <cellStyle name="20% - Accent3 5 6 3" xfId="11404" xr:uid="{00000000-0005-0000-0000-0000A31E0000}"/>
    <cellStyle name="20% - Accent3 5 6 3 2" xfId="11405" xr:uid="{00000000-0005-0000-0000-0000A41E0000}"/>
    <cellStyle name="20% - Accent3 5 6 3 2 2" xfId="11406" xr:uid="{00000000-0005-0000-0000-0000A51E0000}"/>
    <cellStyle name="20% - Accent3 5 6 3 2 2 2" xfId="11407" xr:uid="{00000000-0005-0000-0000-0000A61E0000}"/>
    <cellStyle name="20% - Accent3 5 6 3 2 2 2 2" xfId="11408" xr:uid="{00000000-0005-0000-0000-0000A71E0000}"/>
    <cellStyle name="20% - Accent3 5 6 3 2 2 3" xfId="11409" xr:uid="{00000000-0005-0000-0000-0000A81E0000}"/>
    <cellStyle name="20% - Accent3 5 6 3 2 3" xfId="11410" xr:uid="{00000000-0005-0000-0000-0000A91E0000}"/>
    <cellStyle name="20% - Accent3 5 6 3 2 3 2" xfId="11411" xr:uid="{00000000-0005-0000-0000-0000AA1E0000}"/>
    <cellStyle name="20% - Accent3 5 6 3 2 4" xfId="11412" xr:uid="{00000000-0005-0000-0000-0000AB1E0000}"/>
    <cellStyle name="20% - Accent3 5 6 3 2 5" xfId="11413" xr:uid="{00000000-0005-0000-0000-0000AC1E0000}"/>
    <cellStyle name="20% - Accent3 5 6 3 2 6" xfId="11414" xr:uid="{00000000-0005-0000-0000-0000AD1E0000}"/>
    <cellStyle name="20% - Accent3 5 6 3 3" xfId="11415" xr:uid="{00000000-0005-0000-0000-0000AE1E0000}"/>
    <cellStyle name="20% - Accent3 5 6 3 3 2" xfId="11416" xr:uid="{00000000-0005-0000-0000-0000AF1E0000}"/>
    <cellStyle name="20% - Accent3 5 6 3 3 2 2" xfId="11417" xr:uid="{00000000-0005-0000-0000-0000B01E0000}"/>
    <cellStyle name="20% - Accent3 5 6 3 3 3" xfId="11418" xr:uid="{00000000-0005-0000-0000-0000B11E0000}"/>
    <cellStyle name="20% - Accent3 5 6 3 4" xfId="11419" xr:uid="{00000000-0005-0000-0000-0000B21E0000}"/>
    <cellStyle name="20% - Accent3 5 6 3 4 2" xfId="11420" xr:uid="{00000000-0005-0000-0000-0000B31E0000}"/>
    <cellStyle name="20% - Accent3 5 6 3 5" xfId="11421" xr:uid="{00000000-0005-0000-0000-0000B41E0000}"/>
    <cellStyle name="20% - Accent3 5 6 3 6" xfId="11422" xr:uid="{00000000-0005-0000-0000-0000B51E0000}"/>
    <cellStyle name="20% - Accent3 5 6 3 7" xfId="11423" xr:uid="{00000000-0005-0000-0000-0000B61E0000}"/>
    <cellStyle name="20% - Accent3 5 6 4" xfId="11424" xr:uid="{00000000-0005-0000-0000-0000B71E0000}"/>
    <cellStyle name="20% - Accent3 5 6 4 2" xfId="11425" xr:uid="{00000000-0005-0000-0000-0000B81E0000}"/>
    <cellStyle name="20% - Accent3 5 6 4 2 2" xfId="11426" xr:uid="{00000000-0005-0000-0000-0000B91E0000}"/>
    <cellStyle name="20% - Accent3 5 6 4 2 2 2" xfId="11427" xr:uid="{00000000-0005-0000-0000-0000BA1E0000}"/>
    <cellStyle name="20% - Accent3 5 6 4 2 3" xfId="11428" xr:uid="{00000000-0005-0000-0000-0000BB1E0000}"/>
    <cellStyle name="20% - Accent3 5 6 4 3" xfId="11429" xr:uid="{00000000-0005-0000-0000-0000BC1E0000}"/>
    <cellStyle name="20% - Accent3 5 6 4 3 2" xfId="11430" xr:uid="{00000000-0005-0000-0000-0000BD1E0000}"/>
    <cellStyle name="20% - Accent3 5 6 4 4" xfId="11431" xr:uid="{00000000-0005-0000-0000-0000BE1E0000}"/>
    <cellStyle name="20% - Accent3 5 6 4 5" xfId="11432" xr:uid="{00000000-0005-0000-0000-0000BF1E0000}"/>
    <cellStyle name="20% - Accent3 5 6 4 6" xfId="11433" xr:uid="{00000000-0005-0000-0000-0000C01E0000}"/>
    <cellStyle name="20% - Accent3 5 6 5" xfId="11434" xr:uid="{00000000-0005-0000-0000-0000C11E0000}"/>
    <cellStyle name="20% - Accent3 5 6 5 2" xfId="11435" xr:uid="{00000000-0005-0000-0000-0000C21E0000}"/>
    <cellStyle name="20% - Accent3 5 6 5 2 2" xfId="11436" xr:uid="{00000000-0005-0000-0000-0000C31E0000}"/>
    <cellStyle name="20% - Accent3 5 6 5 3" xfId="11437" xr:uid="{00000000-0005-0000-0000-0000C41E0000}"/>
    <cellStyle name="20% - Accent3 5 6 6" xfId="11438" xr:uid="{00000000-0005-0000-0000-0000C51E0000}"/>
    <cellStyle name="20% - Accent3 5 6 6 2" xfId="11439" xr:uid="{00000000-0005-0000-0000-0000C61E0000}"/>
    <cellStyle name="20% - Accent3 5 6 6 2 2" xfId="11440" xr:uid="{00000000-0005-0000-0000-0000C71E0000}"/>
    <cellStyle name="20% - Accent3 5 6 6 3" xfId="11441" xr:uid="{00000000-0005-0000-0000-0000C81E0000}"/>
    <cellStyle name="20% - Accent3 5 6 7" xfId="11442" xr:uid="{00000000-0005-0000-0000-0000C91E0000}"/>
    <cellStyle name="20% - Accent3 5 6 7 2" xfId="11443" xr:uid="{00000000-0005-0000-0000-0000CA1E0000}"/>
    <cellStyle name="20% - Accent3 5 6 8" xfId="11444" xr:uid="{00000000-0005-0000-0000-0000CB1E0000}"/>
    <cellStyle name="20% - Accent3 5 6 8 2" xfId="11445" xr:uid="{00000000-0005-0000-0000-0000CC1E0000}"/>
    <cellStyle name="20% - Accent3 5 6 9" xfId="11446" xr:uid="{00000000-0005-0000-0000-0000CD1E0000}"/>
    <cellStyle name="20% - Accent3 5 7" xfId="11447" xr:uid="{00000000-0005-0000-0000-0000CE1E0000}"/>
    <cellStyle name="20% - Accent3 5 7 10" xfId="11448" xr:uid="{00000000-0005-0000-0000-0000CF1E0000}"/>
    <cellStyle name="20% - Accent3 5 7 11" xfId="11449" xr:uid="{00000000-0005-0000-0000-0000D01E0000}"/>
    <cellStyle name="20% - Accent3 5 7 2" xfId="11450" xr:uid="{00000000-0005-0000-0000-0000D11E0000}"/>
    <cellStyle name="20% - Accent3 5 7 2 2" xfId="11451" xr:uid="{00000000-0005-0000-0000-0000D21E0000}"/>
    <cellStyle name="20% - Accent3 5 7 2 2 2" xfId="11452" xr:uid="{00000000-0005-0000-0000-0000D31E0000}"/>
    <cellStyle name="20% - Accent3 5 7 2 2 2 2" xfId="11453" xr:uid="{00000000-0005-0000-0000-0000D41E0000}"/>
    <cellStyle name="20% - Accent3 5 7 2 2 2 2 2" xfId="11454" xr:uid="{00000000-0005-0000-0000-0000D51E0000}"/>
    <cellStyle name="20% - Accent3 5 7 2 2 2 3" xfId="11455" xr:uid="{00000000-0005-0000-0000-0000D61E0000}"/>
    <cellStyle name="20% - Accent3 5 7 2 2 3" xfId="11456" xr:uid="{00000000-0005-0000-0000-0000D71E0000}"/>
    <cellStyle name="20% - Accent3 5 7 2 2 3 2" xfId="11457" xr:uid="{00000000-0005-0000-0000-0000D81E0000}"/>
    <cellStyle name="20% - Accent3 5 7 2 2 4" xfId="11458" xr:uid="{00000000-0005-0000-0000-0000D91E0000}"/>
    <cellStyle name="20% - Accent3 5 7 2 2 5" xfId="11459" xr:uid="{00000000-0005-0000-0000-0000DA1E0000}"/>
    <cellStyle name="20% - Accent3 5 7 2 2 6" xfId="11460" xr:uid="{00000000-0005-0000-0000-0000DB1E0000}"/>
    <cellStyle name="20% - Accent3 5 7 2 3" xfId="11461" xr:uid="{00000000-0005-0000-0000-0000DC1E0000}"/>
    <cellStyle name="20% - Accent3 5 7 2 3 2" xfId="11462" xr:uid="{00000000-0005-0000-0000-0000DD1E0000}"/>
    <cellStyle name="20% - Accent3 5 7 2 3 2 2" xfId="11463" xr:uid="{00000000-0005-0000-0000-0000DE1E0000}"/>
    <cellStyle name="20% - Accent3 5 7 2 3 3" xfId="11464" xr:uid="{00000000-0005-0000-0000-0000DF1E0000}"/>
    <cellStyle name="20% - Accent3 5 7 2 4" xfId="11465" xr:uid="{00000000-0005-0000-0000-0000E01E0000}"/>
    <cellStyle name="20% - Accent3 5 7 2 4 2" xfId="11466" xr:uid="{00000000-0005-0000-0000-0000E11E0000}"/>
    <cellStyle name="20% - Accent3 5 7 2 5" xfId="11467" xr:uid="{00000000-0005-0000-0000-0000E21E0000}"/>
    <cellStyle name="20% - Accent3 5 7 2 5 2" xfId="11468" xr:uid="{00000000-0005-0000-0000-0000E31E0000}"/>
    <cellStyle name="20% - Accent3 5 7 2 6" xfId="11469" xr:uid="{00000000-0005-0000-0000-0000E41E0000}"/>
    <cellStyle name="20% - Accent3 5 7 2 7" xfId="11470" xr:uid="{00000000-0005-0000-0000-0000E51E0000}"/>
    <cellStyle name="20% - Accent3 5 7 2 8" xfId="11471" xr:uid="{00000000-0005-0000-0000-0000E61E0000}"/>
    <cellStyle name="20% - Accent3 5 7 3" xfId="11472" xr:uid="{00000000-0005-0000-0000-0000E71E0000}"/>
    <cellStyle name="20% - Accent3 5 7 3 2" xfId="11473" xr:uid="{00000000-0005-0000-0000-0000E81E0000}"/>
    <cellStyle name="20% - Accent3 5 7 3 2 2" xfId="11474" xr:uid="{00000000-0005-0000-0000-0000E91E0000}"/>
    <cellStyle name="20% - Accent3 5 7 3 2 2 2" xfId="11475" xr:uid="{00000000-0005-0000-0000-0000EA1E0000}"/>
    <cellStyle name="20% - Accent3 5 7 3 2 2 2 2" xfId="11476" xr:uid="{00000000-0005-0000-0000-0000EB1E0000}"/>
    <cellStyle name="20% - Accent3 5 7 3 2 2 3" xfId="11477" xr:uid="{00000000-0005-0000-0000-0000EC1E0000}"/>
    <cellStyle name="20% - Accent3 5 7 3 2 3" xfId="11478" xr:uid="{00000000-0005-0000-0000-0000ED1E0000}"/>
    <cellStyle name="20% - Accent3 5 7 3 2 3 2" xfId="11479" xr:uid="{00000000-0005-0000-0000-0000EE1E0000}"/>
    <cellStyle name="20% - Accent3 5 7 3 2 4" xfId="11480" xr:uid="{00000000-0005-0000-0000-0000EF1E0000}"/>
    <cellStyle name="20% - Accent3 5 7 3 2 5" xfId="11481" xr:uid="{00000000-0005-0000-0000-0000F01E0000}"/>
    <cellStyle name="20% - Accent3 5 7 3 2 6" xfId="11482" xr:uid="{00000000-0005-0000-0000-0000F11E0000}"/>
    <cellStyle name="20% - Accent3 5 7 3 3" xfId="11483" xr:uid="{00000000-0005-0000-0000-0000F21E0000}"/>
    <cellStyle name="20% - Accent3 5 7 3 3 2" xfId="11484" xr:uid="{00000000-0005-0000-0000-0000F31E0000}"/>
    <cellStyle name="20% - Accent3 5 7 3 3 2 2" xfId="11485" xr:uid="{00000000-0005-0000-0000-0000F41E0000}"/>
    <cellStyle name="20% - Accent3 5 7 3 3 3" xfId="11486" xr:uid="{00000000-0005-0000-0000-0000F51E0000}"/>
    <cellStyle name="20% - Accent3 5 7 3 4" xfId="11487" xr:uid="{00000000-0005-0000-0000-0000F61E0000}"/>
    <cellStyle name="20% - Accent3 5 7 3 4 2" xfId="11488" xr:uid="{00000000-0005-0000-0000-0000F71E0000}"/>
    <cellStyle name="20% - Accent3 5 7 3 5" xfId="11489" xr:uid="{00000000-0005-0000-0000-0000F81E0000}"/>
    <cellStyle name="20% - Accent3 5 7 3 6" xfId="11490" xr:uid="{00000000-0005-0000-0000-0000F91E0000}"/>
    <cellStyle name="20% - Accent3 5 7 3 7" xfId="11491" xr:uid="{00000000-0005-0000-0000-0000FA1E0000}"/>
    <cellStyle name="20% - Accent3 5 7 4" xfId="11492" xr:uid="{00000000-0005-0000-0000-0000FB1E0000}"/>
    <cellStyle name="20% - Accent3 5 7 4 2" xfId="11493" xr:uid="{00000000-0005-0000-0000-0000FC1E0000}"/>
    <cellStyle name="20% - Accent3 5 7 4 2 2" xfId="11494" xr:uid="{00000000-0005-0000-0000-0000FD1E0000}"/>
    <cellStyle name="20% - Accent3 5 7 4 2 2 2" xfId="11495" xr:uid="{00000000-0005-0000-0000-0000FE1E0000}"/>
    <cellStyle name="20% - Accent3 5 7 4 2 3" xfId="11496" xr:uid="{00000000-0005-0000-0000-0000FF1E0000}"/>
    <cellStyle name="20% - Accent3 5 7 4 3" xfId="11497" xr:uid="{00000000-0005-0000-0000-0000001F0000}"/>
    <cellStyle name="20% - Accent3 5 7 4 3 2" xfId="11498" xr:uid="{00000000-0005-0000-0000-0000011F0000}"/>
    <cellStyle name="20% - Accent3 5 7 4 4" xfId="11499" xr:uid="{00000000-0005-0000-0000-0000021F0000}"/>
    <cellStyle name="20% - Accent3 5 7 4 5" xfId="11500" xr:uid="{00000000-0005-0000-0000-0000031F0000}"/>
    <cellStyle name="20% - Accent3 5 7 4 6" xfId="11501" xr:uid="{00000000-0005-0000-0000-0000041F0000}"/>
    <cellStyle name="20% - Accent3 5 7 5" xfId="11502" xr:uid="{00000000-0005-0000-0000-0000051F0000}"/>
    <cellStyle name="20% - Accent3 5 7 5 2" xfId="11503" xr:uid="{00000000-0005-0000-0000-0000061F0000}"/>
    <cellStyle name="20% - Accent3 5 7 5 2 2" xfId="11504" xr:uid="{00000000-0005-0000-0000-0000071F0000}"/>
    <cellStyle name="20% - Accent3 5 7 5 3" xfId="11505" xr:uid="{00000000-0005-0000-0000-0000081F0000}"/>
    <cellStyle name="20% - Accent3 5 7 6" xfId="11506" xr:uid="{00000000-0005-0000-0000-0000091F0000}"/>
    <cellStyle name="20% - Accent3 5 7 6 2" xfId="11507" xr:uid="{00000000-0005-0000-0000-00000A1F0000}"/>
    <cellStyle name="20% - Accent3 5 7 6 2 2" xfId="11508" xr:uid="{00000000-0005-0000-0000-00000B1F0000}"/>
    <cellStyle name="20% - Accent3 5 7 6 3" xfId="11509" xr:uid="{00000000-0005-0000-0000-00000C1F0000}"/>
    <cellStyle name="20% - Accent3 5 7 7" xfId="11510" xr:uid="{00000000-0005-0000-0000-00000D1F0000}"/>
    <cellStyle name="20% - Accent3 5 7 7 2" xfId="11511" xr:uid="{00000000-0005-0000-0000-00000E1F0000}"/>
    <cellStyle name="20% - Accent3 5 7 8" xfId="11512" xr:uid="{00000000-0005-0000-0000-00000F1F0000}"/>
    <cellStyle name="20% - Accent3 5 7 8 2" xfId="11513" xr:uid="{00000000-0005-0000-0000-0000101F0000}"/>
    <cellStyle name="20% - Accent3 5 7 9" xfId="11514" xr:uid="{00000000-0005-0000-0000-0000111F0000}"/>
    <cellStyle name="20% - Accent3 5 8" xfId="11515" xr:uid="{00000000-0005-0000-0000-0000121F0000}"/>
    <cellStyle name="20% - Accent3 5 8 10" xfId="11516" xr:uid="{00000000-0005-0000-0000-0000131F0000}"/>
    <cellStyle name="20% - Accent3 5 8 11" xfId="11517" xr:uid="{00000000-0005-0000-0000-0000141F0000}"/>
    <cellStyle name="20% - Accent3 5 8 2" xfId="11518" xr:uid="{00000000-0005-0000-0000-0000151F0000}"/>
    <cellStyle name="20% - Accent3 5 8 2 2" xfId="11519" xr:uid="{00000000-0005-0000-0000-0000161F0000}"/>
    <cellStyle name="20% - Accent3 5 8 2 2 2" xfId="11520" xr:uid="{00000000-0005-0000-0000-0000171F0000}"/>
    <cellStyle name="20% - Accent3 5 8 2 2 2 2" xfId="11521" xr:uid="{00000000-0005-0000-0000-0000181F0000}"/>
    <cellStyle name="20% - Accent3 5 8 2 2 2 2 2" xfId="11522" xr:uid="{00000000-0005-0000-0000-0000191F0000}"/>
    <cellStyle name="20% - Accent3 5 8 2 2 2 3" xfId="11523" xr:uid="{00000000-0005-0000-0000-00001A1F0000}"/>
    <cellStyle name="20% - Accent3 5 8 2 2 3" xfId="11524" xr:uid="{00000000-0005-0000-0000-00001B1F0000}"/>
    <cellStyle name="20% - Accent3 5 8 2 2 3 2" xfId="11525" xr:uid="{00000000-0005-0000-0000-00001C1F0000}"/>
    <cellStyle name="20% - Accent3 5 8 2 2 4" xfId="11526" xr:uid="{00000000-0005-0000-0000-00001D1F0000}"/>
    <cellStyle name="20% - Accent3 5 8 2 2 5" xfId="11527" xr:uid="{00000000-0005-0000-0000-00001E1F0000}"/>
    <cellStyle name="20% - Accent3 5 8 2 2 6" xfId="11528" xr:uid="{00000000-0005-0000-0000-00001F1F0000}"/>
    <cellStyle name="20% - Accent3 5 8 2 3" xfId="11529" xr:uid="{00000000-0005-0000-0000-0000201F0000}"/>
    <cellStyle name="20% - Accent3 5 8 2 3 2" xfId="11530" xr:uid="{00000000-0005-0000-0000-0000211F0000}"/>
    <cellStyle name="20% - Accent3 5 8 2 3 2 2" xfId="11531" xr:uid="{00000000-0005-0000-0000-0000221F0000}"/>
    <cellStyle name="20% - Accent3 5 8 2 3 3" xfId="11532" xr:uid="{00000000-0005-0000-0000-0000231F0000}"/>
    <cellStyle name="20% - Accent3 5 8 2 4" xfId="11533" xr:uid="{00000000-0005-0000-0000-0000241F0000}"/>
    <cellStyle name="20% - Accent3 5 8 2 4 2" xfId="11534" xr:uid="{00000000-0005-0000-0000-0000251F0000}"/>
    <cellStyle name="20% - Accent3 5 8 2 5" xfId="11535" xr:uid="{00000000-0005-0000-0000-0000261F0000}"/>
    <cellStyle name="20% - Accent3 5 8 2 5 2" xfId="11536" xr:uid="{00000000-0005-0000-0000-0000271F0000}"/>
    <cellStyle name="20% - Accent3 5 8 2 6" xfId="11537" xr:uid="{00000000-0005-0000-0000-0000281F0000}"/>
    <cellStyle name="20% - Accent3 5 8 2 7" xfId="11538" xr:uid="{00000000-0005-0000-0000-0000291F0000}"/>
    <cellStyle name="20% - Accent3 5 8 2 8" xfId="11539" xr:uid="{00000000-0005-0000-0000-00002A1F0000}"/>
    <cellStyle name="20% - Accent3 5 8 3" xfId="11540" xr:uid="{00000000-0005-0000-0000-00002B1F0000}"/>
    <cellStyle name="20% - Accent3 5 8 3 2" xfId="11541" xr:uid="{00000000-0005-0000-0000-00002C1F0000}"/>
    <cellStyle name="20% - Accent3 5 8 3 2 2" xfId="11542" xr:uid="{00000000-0005-0000-0000-00002D1F0000}"/>
    <cellStyle name="20% - Accent3 5 8 3 2 2 2" xfId="11543" xr:uid="{00000000-0005-0000-0000-00002E1F0000}"/>
    <cellStyle name="20% - Accent3 5 8 3 2 2 2 2" xfId="11544" xr:uid="{00000000-0005-0000-0000-00002F1F0000}"/>
    <cellStyle name="20% - Accent3 5 8 3 2 2 3" xfId="11545" xr:uid="{00000000-0005-0000-0000-0000301F0000}"/>
    <cellStyle name="20% - Accent3 5 8 3 2 3" xfId="11546" xr:uid="{00000000-0005-0000-0000-0000311F0000}"/>
    <cellStyle name="20% - Accent3 5 8 3 2 3 2" xfId="11547" xr:uid="{00000000-0005-0000-0000-0000321F0000}"/>
    <cellStyle name="20% - Accent3 5 8 3 2 4" xfId="11548" xr:uid="{00000000-0005-0000-0000-0000331F0000}"/>
    <cellStyle name="20% - Accent3 5 8 3 2 5" xfId="11549" xr:uid="{00000000-0005-0000-0000-0000341F0000}"/>
    <cellStyle name="20% - Accent3 5 8 3 2 6" xfId="11550" xr:uid="{00000000-0005-0000-0000-0000351F0000}"/>
    <cellStyle name="20% - Accent3 5 8 3 3" xfId="11551" xr:uid="{00000000-0005-0000-0000-0000361F0000}"/>
    <cellStyle name="20% - Accent3 5 8 3 3 2" xfId="11552" xr:uid="{00000000-0005-0000-0000-0000371F0000}"/>
    <cellStyle name="20% - Accent3 5 8 3 3 2 2" xfId="11553" xr:uid="{00000000-0005-0000-0000-0000381F0000}"/>
    <cellStyle name="20% - Accent3 5 8 3 3 3" xfId="11554" xr:uid="{00000000-0005-0000-0000-0000391F0000}"/>
    <cellStyle name="20% - Accent3 5 8 3 4" xfId="11555" xr:uid="{00000000-0005-0000-0000-00003A1F0000}"/>
    <cellStyle name="20% - Accent3 5 8 3 4 2" xfId="11556" xr:uid="{00000000-0005-0000-0000-00003B1F0000}"/>
    <cellStyle name="20% - Accent3 5 8 3 5" xfId="11557" xr:uid="{00000000-0005-0000-0000-00003C1F0000}"/>
    <cellStyle name="20% - Accent3 5 8 3 6" xfId="11558" xr:uid="{00000000-0005-0000-0000-00003D1F0000}"/>
    <cellStyle name="20% - Accent3 5 8 3 7" xfId="11559" xr:uid="{00000000-0005-0000-0000-00003E1F0000}"/>
    <cellStyle name="20% - Accent3 5 8 4" xfId="11560" xr:uid="{00000000-0005-0000-0000-00003F1F0000}"/>
    <cellStyle name="20% - Accent3 5 8 4 2" xfId="11561" xr:uid="{00000000-0005-0000-0000-0000401F0000}"/>
    <cellStyle name="20% - Accent3 5 8 4 2 2" xfId="11562" xr:uid="{00000000-0005-0000-0000-0000411F0000}"/>
    <cellStyle name="20% - Accent3 5 8 4 2 2 2" xfId="11563" xr:uid="{00000000-0005-0000-0000-0000421F0000}"/>
    <cellStyle name="20% - Accent3 5 8 4 2 3" xfId="11564" xr:uid="{00000000-0005-0000-0000-0000431F0000}"/>
    <cellStyle name="20% - Accent3 5 8 4 3" xfId="11565" xr:uid="{00000000-0005-0000-0000-0000441F0000}"/>
    <cellStyle name="20% - Accent3 5 8 4 3 2" xfId="11566" xr:uid="{00000000-0005-0000-0000-0000451F0000}"/>
    <cellStyle name="20% - Accent3 5 8 4 4" xfId="11567" xr:uid="{00000000-0005-0000-0000-0000461F0000}"/>
    <cellStyle name="20% - Accent3 5 8 4 5" xfId="11568" xr:uid="{00000000-0005-0000-0000-0000471F0000}"/>
    <cellStyle name="20% - Accent3 5 8 4 6" xfId="11569" xr:uid="{00000000-0005-0000-0000-0000481F0000}"/>
    <cellStyle name="20% - Accent3 5 8 5" xfId="11570" xr:uid="{00000000-0005-0000-0000-0000491F0000}"/>
    <cellStyle name="20% - Accent3 5 8 5 2" xfId="11571" xr:uid="{00000000-0005-0000-0000-00004A1F0000}"/>
    <cellStyle name="20% - Accent3 5 8 5 2 2" xfId="11572" xr:uid="{00000000-0005-0000-0000-00004B1F0000}"/>
    <cellStyle name="20% - Accent3 5 8 5 3" xfId="11573" xr:uid="{00000000-0005-0000-0000-00004C1F0000}"/>
    <cellStyle name="20% - Accent3 5 8 6" xfId="11574" xr:uid="{00000000-0005-0000-0000-00004D1F0000}"/>
    <cellStyle name="20% - Accent3 5 8 6 2" xfId="11575" xr:uid="{00000000-0005-0000-0000-00004E1F0000}"/>
    <cellStyle name="20% - Accent3 5 8 6 2 2" xfId="11576" xr:uid="{00000000-0005-0000-0000-00004F1F0000}"/>
    <cellStyle name="20% - Accent3 5 8 6 3" xfId="11577" xr:uid="{00000000-0005-0000-0000-0000501F0000}"/>
    <cellStyle name="20% - Accent3 5 8 7" xfId="11578" xr:uid="{00000000-0005-0000-0000-0000511F0000}"/>
    <cellStyle name="20% - Accent3 5 8 7 2" xfId="11579" xr:uid="{00000000-0005-0000-0000-0000521F0000}"/>
    <cellStyle name="20% - Accent3 5 8 8" xfId="11580" xr:uid="{00000000-0005-0000-0000-0000531F0000}"/>
    <cellStyle name="20% - Accent3 5 8 8 2" xfId="11581" xr:uid="{00000000-0005-0000-0000-0000541F0000}"/>
    <cellStyle name="20% - Accent3 5 8 9" xfId="11582" xr:uid="{00000000-0005-0000-0000-0000551F0000}"/>
    <cellStyle name="20% - Accent3 5 9" xfId="11583" xr:uid="{00000000-0005-0000-0000-0000561F0000}"/>
    <cellStyle name="20% - Accent3 5 9 10" xfId="11584" xr:uid="{00000000-0005-0000-0000-0000571F0000}"/>
    <cellStyle name="20% - Accent3 5 9 11" xfId="11585" xr:uid="{00000000-0005-0000-0000-0000581F0000}"/>
    <cellStyle name="20% - Accent3 5 9 2" xfId="11586" xr:uid="{00000000-0005-0000-0000-0000591F0000}"/>
    <cellStyle name="20% - Accent3 5 9 2 2" xfId="11587" xr:uid="{00000000-0005-0000-0000-00005A1F0000}"/>
    <cellStyle name="20% - Accent3 5 9 2 2 2" xfId="11588" xr:uid="{00000000-0005-0000-0000-00005B1F0000}"/>
    <cellStyle name="20% - Accent3 5 9 2 2 2 2" xfId="11589" xr:uid="{00000000-0005-0000-0000-00005C1F0000}"/>
    <cellStyle name="20% - Accent3 5 9 2 2 2 2 2" xfId="11590" xr:uid="{00000000-0005-0000-0000-00005D1F0000}"/>
    <cellStyle name="20% - Accent3 5 9 2 2 2 3" xfId="11591" xr:uid="{00000000-0005-0000-0000-00005E1F0000}"/>
    <cellStyle name="20% - Accent3 5 9 2 2 3" xfId="11592" xr:uid="{00000000-0005-0000-0000-00005F1F0000}"/>
    <cellStyle name="20% - Accent3 5 9 2 2 3 2" xfId="11593" xr:uid="{00000000-0005-0000-0000-0000601F0000}"/>
    <cellStyle name="20% - Accent3 5 9 2 2 4" xfId="11594" xr:uid="{00000000-0005-0000-0000-0000611F0000}"/>
    <cellStyle name="20% - Accent3 5 9 2 2 5" xfId="11595" xr:uid="{00000000-0005-0000-0000-0000621F0000}"/>
    <cellStyle name="20% - Accent3 5 9 2 2 6" xfId="11596" xr:uid="{00000000-0005-0000-0000-0000631F0000}"/>
    <cellStyle name="20% - Accent3 5 9 2 3" xfId="11597" xr:uid="{00000000-0005-0000-0000-0000641F0000}"/>
    <cellStyle name="20% - Accent3 5 9 2 3 2" xfId="11598" xr:uid="{00000000-0005-0000-0000-0000651F0000}"/>
    <cellStyle name="20% - Accent3 5 9 2 3 2 2" xfId="11599" xr:uid="{00000000-0005-0000-0000-0000661F0000}"/>
    <cellStyle name="20% - Accent3 5 9 2 3 3" xfId="11600" xr:uid="{00000000-0005-0000-0000-0000671F0000}"/>
    <cellStyle name="20% - Accent3 5 9 2 4" xfId="11601" xr:uid="{00000000-0005-0000-0000-0000681F0000}"/>
    <cellStyle name="20% - Accent3 5 9 2 4 2" xfId="11602" xr:uid="{00000000-0005-0000-0000-0000691F0000}"/>
    <cellStyle name="20% - Accent3 5 9 2 5" xfId="11603" xr:uid="{00000000-0005-0000-0000-00006A1F0000}"/>
    <cellStyle name="20% - Accent3 5 9 2 6" xfId="11604" xr:uid="{00000000-0005-0000-0000-00006B1F0000}"/>
    <cellStyle name="20% - Accent3 5 9 2 7" xfId="11605" xr:uid="{00000000-0005-0000-0000-00006C1F0000}"/>
    <cellStyle name="20% - Accent3 5 9 3" xfId="11606" xr:uid="{00000000-0005-0000-0000-00006D1F0000}"/>
    <cellStyle name="20% - Accent3 5 9 3 2" xfId="11607" xr:uid="{00000000-0005-0000-0000-00006E1F0000}"/>
    <cellStyle name="20% - Accent3 5 9 3 2 2" xfId="11608" xr:uid="{00000000-0005-0000-0000-00006F1F0000}"/>
    <cellStyle name="20% - Accent3 5 9 3 2 2 2" xfId="11609" xr:uid="{00000000-0005-0000-0000-0000701F0000}"/>
    <cellStyle name="20% - Accent3 5 9 3 2 2 2 2" xfId="11610" xr:uid="{00000000-0005-0000-0000-0000711F0000}"/>
    <cellStyle name="20% - Accent3 5 9 3 2 2 3" xfId="11611" xr:uid="{00000000-0005-0000-0000-0000721F0000}"/>
    <cellStyle name="20% - Accent3 5 9 3 2 3" xfId="11612" xr:uid="{00000000-0005-0000-0000-0000731F0000}"/>
    <cellStyle name="20% - Accent3 5 9 3 2 3 2" xfId="11613" xr:uid="{00000000-0005-0000-0000-0000741F0000}"/>
    <cellStyle name="20% - Accent3 5 9 3 2 4" xfId="11614" xr:uid="{00000000-0005-0000-0000-0000751F0000}"/>
    <cellStyle name="20% - Accent3 5 9 3 2 5" xfId="11615" xr:uid="{00000000-0005-0000-0000-0000761F0000}"/>
    <cellStyle name="20% - Accent3 5 9 3 2 6" xfId="11616" xr:uid="{00000000-0005-0000-0000-0000771F0000}"/>
    <cellStyle name="20% - Accent3 5 9 3 3" xfId="11617" xr:uid="{00000000-0005-0000-0000-0000781F0000}"/>
    <cellStyle name="20% - Accent3 5 9 3 3 2" xfId="11618" xr:uid="{00000000-0005-0000-0000-0000791F0000}"/>
    <cellStyle name="20% - Accent3 5 9 3 3 2 2" xfId="11619" xr:uid="{00000000-0005-0000-0000-00007A1F0000}"/>
    <cellStyle name="20% - Accent3 5 9 3 3 3" xfId="11620" xr:uid="{00000000-0005-0000-0000-00007B1F0000}"/>
    <cellStyle name="20% - Accent3 5 9 3 4" xfId="11621" xr:uid="{00000000-0005-0000-0000-00007C1F0000}"/>
    <cellStyle name="20% - Accent3 5 9 3 4 2" xfId="11622" xr:uid="{00000000-0005-0000-0000-00007D1F0000}"/>
    <cellStyle name="20% - Accent3 5 9 3 5" xfId="11623" xr:uid="{00000000-0005-0000-0000-00007E1F0000}"/>
    <cellStyle name="20% - Accent3 5 9 3 6" xfId="11624" xr:uid="{00000000-0005-0000-0000-00007F1F0000}"/>
    <cellStyle name="20% - Accent3 5 9 3 7" xfId="11625" xr:uid="{00000000-0005-0000-0000-0000801F0000}"/>
    <cellStyle name="20% - Accent3 5 9 4" xfId="11626" xr:uid="{00000000-0005-0000-0000-0000811F0000}"/>
    <cellStyle name="20% - Accent3 5 9 4 2" xfId="11627" xr:uid="{00000000-0005-0000-0000-0000821F0000}"/>
    <cellStyle name="20% - Accent3 5 9 4 2 2" xfId="11628" xr:uid="{00000000-0005-0000-0000-0000831F0000}"/>
    <cellStyle name="20% - Accent3 5 9 4 2 2 2" xfId="11629" xr:uid="{00000000-0005-0000-0000-0000841F0000}"/>
    <cellStyle name="20% - Accent3 5 9 4 2 3" xfId="11630" xr:uid="{00000000-0005-0000-0000-0000851F0000}"/>
    <cellStyle name="20% - Accent3 5 9 4 3" xfId="11631" xr:uid="{00000000-0005-0000-0000-0000861F0000}"/>
    <cellStyle name="20% - Accent3 5 9 4 3 2" xfId="11632" xr:uid="{00000000-0005-0000-0000-0000871F0000}"/>
    <cellStyle name="20% - Accent3 5 9 4 4" xfId="11633" xr:uid="{00000000-0005-0000-0000-0000881F0000}"/>
    <cellStyle name="20% - Accent3 5 9 4 5" xfId="11634" xr:uid="{00000000-0005-0000-0000-0000891F0000}"/>
    <cellStyle name="20% - Accent3 5 9 4 6" xfId="11635" xr:uid="{00000000-0005-0000-0000-00008A1F0000}"/>
    <cellStyle name="20% - Accent3 5 9 5" xfId="11636" xr:uid="{00000000-0005-0000-0000-00008B1F0000}"/>
    <cellStyle name="20% - Accent3 5 9 5 2" xfId="11637" xr:uid="{00000000-0005-0000-0000-00008C1F0000}"/>
    <cellStyle name="20% - Accent3 5 9 5 2 2" xfId="11638" xr:uid="{00000000-0005-0000-0000-00008D1F0000}"/>
    <cellStyle name="20% - Accent3 5 9 5 3" xfId="11639" xr:uid="{00000000-0005-0000-0000-00008E1F0000}"/>
    <cellStyle name="20% - Accent3 5 9 6" xfId="11640" xr:uid="{00000000-0005-0000-0000-00008F1F0000}"/>
    <cellStyle name="20% - Accent3 5 9 6 2" xfId="11641" xr:uid="{00000000-0005-0000-0000-0000901F0000}"/>
    <cellStyle name="20% - Accent3 5 9 6 2 2" xfId="11642" xr:uid="{00000000-0005-0000-0000-0000911F0000}"/>
    <cellStyle name="20% - Accent3 5 9 6 3" xfId="11643" xr:uid="{00000000-0005-0000-0000-0000921F0000}"/>
    <cellStyle name="20% - Accent3 5 9 7" xfId="11644" xr:uid="{00000000-0005-0000-0000-0000931F0000}"/>
    <cellStyle name="20% - Accent3 5 9 7 2" xfId="11645" xr:uid="{00000000-0005-0000-0000-0000941F0000}"/>
    <cellStyle name="20% - Accent3 5 9 8" xfId="11646" xr:uid="{00000000-0005-0000-0000-0000951F0000}"/>
    <cellStyle name="20% - Accent3 5 9 8 2" xfId="11647" xr:uid="{00000000-0005-0000-0000-0000961F0000}"/>
    <cellStyle name="20% - Accent3 5 9 9" xfId="11648" xr:uid="{00000000-0005-0000-0000-0000971F0000}"/>
    <cellStyle name="20% - Accent3 6" xfId="175" xr:uid="{00000000-0005-0000-0000-0000981F0000}"/>
    <cellStyle name="20% - Accent3 6 10" xfId="11649" xr:uid="{00000000-0005-0000-0000-0000991F0000}"/>
    <cellStyle name="20% - Accent3 6 11" xfId="11650" xr:uid="{00000000-0005-0000-0000-00009A1F0000}"/>
    <cellStyle name="20% - Accent3 6 12" xfId="11651" xr:uid="{00000000-0005-0000-0000-00009B1F0000}"/>
    <cellStyle name="20% - Accent3 6 2" xfId="11652" xr:uid="{00000000-0005-0000-0000-00009C1F0000}"/>
    <cellStyle name="20% - Accent3 6 2 10" xfId="11653" xr:uid="{00000000-0005-0000-0000-00009D1F0000}"/>
    <cellStyle name="20% - Accent3 6 2 2" xfId="11654" xr:uid="{00000000-0005-0000-0000-00009E1F0000}"/>
    <cellStyle name="20% - Accent3 6 2 2 2" xfId="11655" xr:uid="{00000000-0005-0000-0000-00009F1F0000}"/>
    <cellStyle name="20% - Accent3 6 2 2 2 2" xfId="11656" xr:uid="{00000000-0005-0000-0000-0000A01F0000}"/>
    <cellStyle name="20% - Accent3 6 2 2 2 2 2" xfId="11657" xr:uid="{00000000-0005-0000-0000-0000A11F0000}"/>
    <cellStyle name="20% - Accent3 6 2 2 2 2 2 2" xfId="11658" xr:uid="{00000000-0005-0000-0000-0000A21F0000}"/>
    <cellStyle name="20% - Accent3 6 2 2 2 2 3" xfId="11659" xr:uid="{00000000-0005-0000-0000-0000A31F0000}"/>
    <cellStyle name="20% - Accent3 6 2 2 2 3" xfId="11660" xr:uid="{00000000-0005-0000-0000-0000A41F0000}"/>
    <cellStyle name="20% - Accent3 6 2 2 2 3 2" xfId="11661" xr:uid="{00000000-0005-0000-0000-0000A51F0000}"/>
    <cellStyle name="20% - Accent3 6 2 2 2 4" xfId="11662" xr:uid="{00000000-0005-0000-0000-0000A61F0000}"/>
    <cellStyle name="20% - Accent3 6 2 2 2 5" xfId="11663" xr:uid="{00000000-0005-0000-0000-0000A71F0000}"/>
    <cellStyle name="20% - Accent3 6 2 2 2 6" xfId="11664" xr:uid="{00000000-0005-0000-0000-0000A81F0000}"/>
    <cellStyle name="20% - Accent3 6 2 2 3" xfId="11665" xr:uid="{00000000-0005-0000-0000-0000A91F0000}"/>
    <cellStyle name="20% - Accent3 6 2 2 3 2" xfId="11666" xr:uid="{00000000-0005-0000-0000-0000AA1F0000}"/>
    <cellStyle name="20% - Accent3 6 2 2 3 2 2" xfId="11667" xr:uid="{00000000-0005-0000-0000-0000AB1F0000}"/>
    <cellStyle name="20% - Accent3 6 2 2 3 3" xfId="11668" xr:uid="{00000000-0005-0000-0000-0000AC1F0000}"/>
    <cellStyle name="20% - Accent3 6 2 2 4" xfId="11669" xr:uid="{00000000-0005-0000-0000-0000AD1F0000}"/>
    <cellStyle name="20% - Accent3 6 2 2 4 2" xfId="11670" xr:uid="{00000000-0005-0000-0000-0000AE1F0000}"/>
    <cellStyle name="20% - Accent3 6 2 2 5" xfId="11671" xr:uid="{00000000-0005-0000-0000-0000AF1F0000}"/>
    <cellStyle name="20% - Accent3 6 2 2 6" xfId="11672" xr:uid="{00000000-0005-0000-0000-0000B01F0000}"/>
    <cellStyle name="20% - Accent3 6 2 2 7" xfId="11673" xr:uid="{00000000-0005-0000-0000-0000B11F0000}"/>
    <cellStyle name="20% - Accent3 6 2 3" xfId="11674" xr:uid="{00000000-0005-0000-0000-0000B21F0000}"/>
    <cellStyle name="20% - Accent3 6 2 3 2" xfId="11675" xr:uid="{00000000-0005-0000-0000-0000B31F0000}"/>
    <cellStyle name="20% - Accent3 6 2 3 2 2" xfId="11676" xr:uid="{00000000-0005-0000-0000-0000B41F0000}"/>
    <cellStyle name="20% - Accent3 6 2 3 2 2 2" xfId="11677" xr:uid="{00000000-0005-0000-0000-0000B51F0000}"/>
    <cellStyle name="20% - Accent3 6 2 3 2 3" xfId="11678" xr:uid="{00000000-0005-0000-0000-0000B61F0000}"/>
    <cellStyle name="20% - Accent3 6 2 3 3" xfId="11679" xr:uid="{00000000-0005-0000-0000-0000B71F0000}"/>
    <cellStyle name="20% - Accent3 6 2 3 3 2" xfId="11680" xr:uid="{00000000-0005-0000-0000-0000B81F0000}"/>
    <cellStyle name="20% - Accent3 6 2 3 4" xfId="11681" xr:uid="{00000000-0005-0000-0000-0000B91F0000}"/>
    <cellStyle name="20% - Accent3 6 2 3 5" xfId="11682" xr:uid="{00000000-0005-0000-0000-0000BA1F0000}"/>
    <cellStyle name="20% - Accent3 6 2 3 6" xfId="11683" xr:uid="{00000000-0005-0000-0000-0000BB1F0000}"/>
    <cellStyle name="20% - Accent3 6 2 4" xfId="11684" xr:uid="{00000000-0005-0000-0000-0000BC1F0000}"/>
    <cellStyle name="20% - Accent3 6 2 4 2" xfId="11685" xr:uid="{00000000-0005-0000-0000-0000BD1F0000}"/>
    <cellStyle name="20% - Accent3 6 2 4 2 2" xfId="11686" xr:uid="{00000000-0005-0000-0000-0000BE1F0000}"/>
    <cellStyle name="20% - Accent3 6 2 4 3" xfId="11687" xr:uid="{00000000-0005-0000-0000-0000BF1F0000}"/>
    <cellStyle name="20% - Accent3 6 2 5" xfId="11688" xr:uid="{00000000-0005-0000-0000-0000C01F0000}"/>
    <cellStyle name="20% - Accent3 6 2 5 2" xfId="11689" xr:uid="{00000000-0005-0000-0000-0000C11F0000}"/>
    <cellStyle name="20% - Accent3 6 2 5 2 2" xfId="11690" xr:uid="{00000000-0005-0000-0000-0000C21F0000}"/>
    <cellStyle name="20% - Accent3 6 2 5 3" xfId="11691" xr:uid="{00000000-0005-0000-0000-0000C31F0000}"/>
    <cellStyle name="20% - Accent3 6 2 6" xfId="11692" xr:uid="{00000000-0005-0000-0000-0000C41F0000}"/>
    <cellStyle name="20% - Accent3 6 2 6 2" xfId="11693" xr:uid="{00000000-0005-0000-0000-0000C51F0000}"/>
    <cellStyle name="20% - Accent3 6 2 7" xfId="11694" xr:uid="{00000000-0005-0000-0000-0000C61F0000}"/>
    <cellStyle name="20% - Accent3 6 2 7 2" xfId="11695" xr:uid="{00000000-0005-0000-0000-0000C71F0000}"/>
    <cellStyle name="20% - Accent3 6 2 8" xfId="11696" xr:uid="{00000000-0005-0000-0000-0000C81F0000}"/>
    <cellStyle name="20% - Accent3 6 2 9" xfId="11697" xr:uid="{00000000-0005-0000-0000-0000C91F0000}"/>
    <cellStyle name="20% - Accent3 6 3" xfId="11698" xr:uid="{00000000-0005-0000-0000-0000CA1F0000}"/>
    <cellStyle name="20% - Accent3 6 3 2" xfId="11699" xr:uid="{00000000-0005-0000-0000-0000CB1F0000}"/>
    <cellStyle name="20% - Accent3 6 3 2 2" xfId="11700" xr:uid="{00000000-0005-0000-0000-0000CC1F0000}"/>
    <cellStyle name="20% - Accent3 6 3 2 2 2" xfId="11701" xr:uid="{00000000-0005-0000-0000-0000CD1F0000}"/>
    <cellStyle name="20% - Accent3 6 3 2 2 2 2" xfId="11702" xr:uid="{00000000-0005-0000-0000-0000CE1F0000}"/>
    <cellStyle name="20% - Accent3 6 3 2 2 3" xfId="11703" xr:uid="{00000000-0005-0000-0000-0000CF1F0000}"/>
    <cellStyle name="20% - Accent3 6 3 2 3" xfId="11704" xr:uid="{00000000-0005-0000-0000-0000D01F0000}"/>
    <cellStyle name="20% - Accent3 6 3 2 3 2" xfId="11705" xr:uid="{00000000-0005-0000-0000-0000D11F0000}"/>
    <cellStyle name="20% - Accent3 6 3 2 4" xfId="11706" xr:uid="{00000000-0005-0000-0000-0000D21F0000}"/>
    <cellStyle name="20% - Accent3 6 3 2 5" xfId="11707" xr:uid="{00000000-0005-0000-0000-0000D31F0000}"/>
    <cellStyle name="20% - Accent3 6 3 2 6" xfId="11708" xr:uid="{00000000-0005-0000-0000-0000D41F0000}"/>
    <cellStyle name="20% - Accent3 6 3 3" xfId="11709" xr:uid="{00000000-0005-0000-0000-0000D51F0000}"/>
    <cellStyle name="20% - Accent3 6 3 3 2" xfId="11710" xr:uid="{00000000-0005-0000-0000-0000D61F0000}"/>
    <cellStyle name="20% - Accent3 6 3 3 2 2" xfId="11711" xr:uid="{00000000-0005-0000-0000-0000D71F0000}"/>
    <cellStyle name="20% - Accent3 6 3 3 3" xfId="11712" xr:uid="{00000000-0005-0000-0000-0000D81F0000}"/>
    <cellStyle name="20% - Accent3 6 3 4" xfId="11713" xr:uid="{00000000-0005-0000-0000-0000D91F0000}"/>
    <cellStyle name="20% - Accent3 6 3 4 2" xfId="11714" xr:uid="{00000000-0005-0000-0000-0000DA1F0000}"/>
    <cellStyle name="20% - Accent3 6 3 5" xfId="11715" xr:uid="{00000000-0005-0000-0000-0000DB1F0000}"/>
    <cellStyle name="20% - Accent3 6 3 6" xfId="11716" xr:uid="{00000000-0005-0000-0000-0000DC1F0000}"/>
    <cellStyle name="20% - Accent3 6 3 7" xfId="11717" xr:uid="{00000000-0005-0000-0000-0000DD1F0000}"/>
    <cellStyle name="20% - Accent3 6 4" xfId="11718" xr:uid="{00000000-0005-0000-0000-0000DE1F0000}"/>
    <cellStyle name="20% - Accent3 6 4 2" xfId="11719" xr:uid="{00000000-0005-0000-0000-0000DF1F0000}"/>
    <cellStyle name="20% - Accent3 6 4 2 2" xfId="11720" xr:uid="{00000000-0005-0000-0000-0000E01F0000}"/>
    <cellStyle name="20% - Accent3 6 4 2 2 2" xfId="11721" xr:uid="{00000000-0005-0000-0000-0000E11F0000}"/>
    <cellStyle name="20% - Accent3 6 4 2 2 2 2" xfId="11722" xr:uid="{00000000-0005-0000-0000-0000E21F0000}"/>
    <cellStyle name="20% - Accent3 6 4 2 2 3" xfId="11723" xr:uid="{00000000-0005-0000-0000-0000E31F0000}"/>
    <cellStyle name="20% - Accent3 6 4 2 3" xfId="11724" xr:uid="{00000000-0005-0000-0000-0000E41F0000}"/>
    <cellStyle name="20% - Accent3 6 4 2 3 2" xfId="11725" xr:uid="{00000000-0005-0000-0000-0000E51F0000}"/>
    <cellStyle name="20% - Accent3 6 4 2 4" xfId="11726" xr:uid="{00000000-0005-0000-0000-0000E61F0000}"/>
    <cellStyle name="20% - Accent3 6 4 2 5" xfId="11727" xr:uid="{00000000-0005-0000-0000-0000E71F0000}"/>
    <cellStyle name="20% - Accent3 6 4 2 6" xfId="11728" xr:uid="{00000000-0005-0000-0000-0000E81F0000}"/>
    <cellStyle name="20% - Accent3 6 4 3" xfId="11729" xr:uid="{00000000-0005-0000-0000-0000E91F0000}"/>
    <cellStyle name="20% - Accent3 6 4 3 2" xfId="11730" xr:uid="{00000000-0005-0000-0000-0000EA1F0000}"/>
    <cellStyle name="20% - Accent3 6 4 3 2 2" xfId="11731" xr:uid="{00000000-0005-0000-0000-0000EB1F0000}"/>
    <cellStyle name="20% - Accent3 6 4 3 3" xfId="11732" xr:uid="{00000000-0005-0000-0000-0000EC1F0000}"/>
    <cellStyle name="20% - Accent3 6 4 4" xfId="11733" xr:uid="{00000000-0005-0000-0000-0000ED1F0000}"/>
    <cellStyle name="20% - Accent3 6 4 4 2" xfId="11734" xr:uid="{00000000-0005-0000-0000-0000EE1F0000}"/>
    <cellStyle name="20% - Accent3 6 4 5" xfId="11735" xr:uid="{00000000-0005-0000-0000-0000EF1F0000}"/>
    <cellStyle name="20% - Accent3 6 4 6" xfId="11736" xr:uid="{00000000-0005-0000-0000-0000F01F0000}"/>
    <cellStyle name="20% - Accent3 6 4 7" xfId="11737" xr:uid="{00000000-0005-0000-0000-0000F11F0000}"/>
    <cellStyle name="20% - Accent3 6 5" xfId="11738" xr:uid="{00000000-0005-0000-0000-0000F21F0000}"/>
    <cellStyle name="20% - Accent3 6 5 2" xfId="11739" xr:uid="{00000000-0005-0000-0000-0000F31F0000}"/>
    <cellStyle name="20% - Accent3 6 5 2 2" xfId="11740" xr:uid="{00000000-0005-0000-0000-0000F41F0000}"/>
    <cellStyle name="20% - Accent3 6 5 2 2 2" xfId="11741" xr:uid="{00000000-0005-0000-0000-0000F51F0000}"/>
    <cellStyle name="20% - Accent3 6 5 2 3" xfId="11742" xr:uid="{00000000-0005-0000-0000-0000F61F0000}"/>
    <cellStyle name="20% - Accent3 6 5 3" xfId="11743" xr:uid="{00000000-0005-0000-0000-0000F71F0000}"/>
    <cellStyle name="20% - Accent3 6 5 3 2" xfId="11744" xr:uid="{00000000-0005-0000-0000-0000F81F0000}"/>
    <cellStyle name="20% - Accent3 6 5 4" xfId="11745" xr:uid="{00000000-0005-0000-0000-0000F91F0000}"/>
    <cellStyle name="20% - Accent3 6 5 5" xfId="11746" xr:uid="{00000000-0005-0000-0000-0000FA1F0000}"/>
    <cellStyle name="20% - Accent3 6 5 6" xfId="11747" xr:uid="{00000000-0005-0000-0000-0000FB1F0000}"/>
    <cellStyle name="20% - Accent3 6 6" xfId="11748" xr:uid="{00000000-0005-0000-0000-0000FC1F0000}"/>
    <cellStyle name="20% - Accent3 6 6 2" xfId="11749" xr:uid="{00000000-0005-0000-0000-0000FD1F0000}"/>
    <cellStyle name="20% - Accent3 6 6 2 2" xfId="11750" xr:uid="{00000000-0005-0000-0000-0000FE1F0000}"/>
    <cellStyle name="20% - Accent3 6 6 3" xfId="11751" xr:uid="{00000000-0005-0000-0000-0000FF1F0000}"/>
    <cellStyle name="20% - Accent3 6 7" xfId="11752" xr:uid="{00000000-0005-0000-0000-000000200000}"/>
    <cellStyle name="20% - Accent3 6 7 2" xfId="11753" xr:uid="{00000000-0005-0000-0000-000001200000}"/>
    <cellStyle name="20% - Accent3 6 7 2 2" xfId="11754" xr:uid="{00000000-0005-0000-0000-000002200000}"/>
    <cellStyle name="20% - Accent3 6 7 3" xfId="11755" xr:uid="{00000000-0005-0000-0000-000003200000}"/>
    <cellStyle name="20% - Accent3 6 8" xfId="11756" xr:uid="{00000000-0005-0000-0000-000004200000}"/>
    <cellStyle name="20% - Accent3 6 8 2" xfId="11757" xr:uid="{00000000-0005-0000-0000-000005200000}"/>
    <cellStyle name="20% - Accent3 6 9" xfId="11758" xr:uid="{00000000-0005-0000-0000-000006200000}"/>
    <cellStyle name="20% - Accent3 6 9 2" xfId="11759" xr:uid="{00000000-0005-0000-0000-000007200000}"/>
    <cellStyle name="20% - Accent3 7" xfId="11760" xr:uid="{00000000-0005-0000-0000-000008200000}"/>
    <cellStyle name="20% - Accent3 7 10" xfId="11761" xr:uid="{00000000-0005-0000-0000-000009200000}"/>
    <cellStyle name="20% - Accent3 7 11" xfId="11762" xr:uid="{00000000-0005-0000-0000-00000A200000}"/>
    <cellStyle name="20% - Accent3 7 12" xfId="11763" xr:uid="{00000000-0005-0000-0000-00000B200000}"/>
    <cellStyle name="20% - Accent3 7 2" xfId="11764" xr:uid="{00000000-0005-0000-0000-00000C200000}"/>
    <cellStyle name="20% - Accent3 7 2 10" xfId="11765" xr:uid="{00000000-0005-0000-0000-00000D200000}"/>
    <cellStyle name="20% - Accent3 7 2 2" xfId="11766" xr:uid="{00000000-0005-0000-0000-00000E200000}"/>
    <cellStyle name="20% - Accent3 7 2 2 2" xfId="11767" xr:uid="{00000000-0005-0000-0000-00000F200000}"/>
    <cellStyle name="20% - Accent3 7 2 2 2 2" xfId="11768" xr:uid="{00000000-0005-0000-0000-000010200000}"/>
    <cellStyle name="20% - Accent3 7 2 2 2 2 2" xfId="11769" xr:uid="{00000000-0005-0000-0000-000011200000}"/>
    <cellStyle name="20% - Accent3 7 2 2 2 2 2 2" xfId="11770" xr:uid="{00000000-0005-0000-0000-000012200000}"/>
    <cellStyle name="20% - Accent3 7 2 2 2 2 3" xfId="11771" xr:uid="{00000000-0005-0000-0000-000013200000}"/>
    <cellStyle name="20% - Accent3 7 2 2 2 3" xfId="11772" xr:uid="{00000000-0005-0000-0000-000014200000}"/>
    <cellStyle name="20% - Accent3 7 2 2 2 3 2" xfId="11773" xr:uid="{00000000-0005-0000-0000-000015200000}"/>
    <cellStyle name="20% - Accent3 7 2 2 2 4" xfId="11774" xr:uid="{00000000-0005-0000-0000-000016200000}"/>
    <cellStyle name="20% - Accent3 7 2 2 2 5" xfId="11775" xr:uid="{00000000-0005-0000-0000-000017200000}"/>
    <cellStyle name="20% - Accent3 7 2 2 2 6" xfId="11776" xr:uid="{00000000-0005-0000-0000-000018200000}"/>
    <cellStyle name="20% - Accent3 7 2 2 3" xfId="11777" xr:uid="{00000000-0005-0000-0000-000019200000}"/>
    <cellStyle name="20% - Accent3 7 2 2 3 2" xfId="11778" xr:uid="{00000000-0005-0000-0000-00001A200000}"/>
    <cellStyle name="20% - Accent3 7 2 2 3 2 2" xfId="11779" xr:uid="{00000000-0005-0000-0000-00001B200000}"/>
    <cellStyle name="20% - Accent3 7 2 2 3 3" xfId="11780" xr:uid="{00000000-0005-0000-0000-00001C200000}"/>
    <cellStyle name="20% - Accent3 7 2 2 4" xfId="11781" xr:uid="{00000000-0005-0000-0000-00001D200000}"/>
    <cellStyle name="20% - Accent3 7 2 2 4 2" xfId="11782" xr:uid="{00000000-0005-0000-0000-00001E200000}"/>
    <cellStyle name="20% - Accent3 7 2 2 5" xfId="11783" xr:uid="{00000000-0005-0000-0000-00001F200000}"/>
    <cellStyle name="20% - Accent3 7 2 2 6" xfId="11784" xr:uid="{00000000-0005-0000-0000-000020200000}"/>
    <cellStyle name="20% - Accent3 7 2 2 7" xfId="11785" xr:uid="{00000000-0005-0000-0000-000021200000}"/>
    <cellStyle name="20% - Accent3 7 2 3" xfId="11786" xr:uid="{00000000-0005-0000-0000-000022200000}"/>
    <cellStyle name="20% - Accent3 7 2 3 2" xfId="11787" xr:uid="{00000000-0005-0000-0000-000023200000}"/>
    <cellStyle name="20% - Accent3 7 2 3 2 2" xfId="11788" xr:uid="{00000000-0005-0000-0000-000024200000}"/>
    <cellStyle name="20% - Accent3 7 2 3 2 2 2" xfId="11789" xr:uid="{00000000-0005-0000-0000-000025200000}"/>
    <cellStyle name="20% - Accent3 7 2 3 2 3" xfId="11790" xr:uid="{00000000-0005-0000-0000-000026200000}"/>
    <cellStyle name="20% - Accent3 7 2 3 3" xfId="11791" xr:uid="{00000000-0005-0000-0000-000027200000}"/>
    <cellStyle name="20% - Accent3 7 2 3 3 2" xfId="11792" xr:uid="{00000000-0005-0000-0000-000028200000}"/>
    <cellStyle name="20% - Accent3 7 2 3 4" xfId="11793" xr:uid="{00000000-0005-0000-0000-000029200000}"/>
    <cellStyle name="20% - Accent3 7 2 3 5" xfId="11794" xr:uid="{00000000-0005-0000-0000-00002A200000}"/>
    <cellStyle name="20% - Accent3 7 2 3 6" xfId="11795" xr:uid="{00000000-0005-0000-0000-00002B200000}"/>
    <cellStyle name="20% - Accent3 7 2 4" xfId="11796" xr:uid="{00000000-0005-0000-0000-00002C200000}"/>
    <cellStyle name="20% - Accent3 7 2 4 2" xfId="11797" xr:uid="{00000000-0005-0000-0000-00002D200000}"/>
    <cellStyle name="20% - Accent3 7 2 4 2 2" xfId="11798" xr:uid="{00000000-0005-0000-0000-00002E200000}"/>
    <cellStyle name="20% - Accent3 7 2 4 3" xfId="11799" xr:uid="{00000000-0005-0000-0000-00002F200000}"/>
    <cellStyle name="20% - Accent3 7 2 5" xfId="11800" xr:uid="{00000000-0005-0000-0000-000030200000}"/>
    <cellStyle name="20% - Accent3 7 2 5 2" xfId="11801" xr:uid="{00000000-0005-0000-0000-000031200000}"/>
    <cellStyle name="20% - Accent3 7 2 5 2 2" xfId="11802" xr:uid="{00000000-0005-0000-0000-000032200000}"/>
    <cellStyle name="20% - Accent3 7 2 5 3" xfId="11803" xr:uid="{00000000-0005-0000-0000-000033200000}"/>
    <cellStyle name="20% - Accent3 7 2 6" xfId="11804" xr:uid="{00000000-0005-0000-0000-000034200000}"/>
    <cellStyle name="20% - Accent3 7 2 6 2" xfId="11805" xr:uid="{00000000-0005-0000-0000-000035200000}"/>
    <cellStyle name="20% - Accent3 7 2 7" xfId="11806" xr:uid="{00000000-0005-0000-0000-000036200000}"/>
    <cellStyle name="20% - Accent3 7 2 7 2" xfId="11807" xr:uid="{00000000-0005-0000-0000-000037200000}"/>
    <cellStyle name="20% - Accent3 7 2 8" xfId="11808" xr:uid="{00000000-0005-0000-0000-000038200000}"/>
    <cellStyle name="20% - Accent3 7 2 9" xfId="11809" xr:uid="{00000000-0005-0000-0000-000039200000}"/>
    <cellStyle name="20% - Accent3 7 3" xfId="11810" xr:uid="{00000000-0005-0000-0000-00003A200000}"/>
    <cellStyle name="20% - Accent3 7 3 2" xfId="11811" xr:uid="{00000000-0005-0000-0000-00003B200000}"/>
    <cellStyle name="20% - Accent3 7 3 2 2" xfId="11812" xr:uid="{00000000-0005-0000-0000-00003C200000}"/>
    <cellStyle name="20% - Accent3 7 3 2 2 2" xfId="11813" xr:uid="{00000000-0005-0000-0000-00003D200000}"/>
    <cellStyle name="20% - Accent3 7 3 2 2 2 2" xfId="11814" xr:uid="{00000000-0005-0000-0000-00003E200000}"/>
    <cellStyle name="20% - Accent3 7 3 2 2 3" xfId="11815" xr:uid="{00000000-0005-0000-0000-00003F200000}"/>
    <cellStyle name="20% - Accent3 7 3 2 3" xfId="11816" xr:uid="{00000000-0005-0000-0000-000040200000}"/>
    <cellStyle name="20% - Accent3 7 3 2 3 2" xfId="11817" xr:uid="{00000000-0005-0000-0000-000041200000}"/>
    <cellStyle name="20% - Accent3 7 3 2 4" xfId="11818" xr:uid="{00000000-0005-0000-0000-000042200000}"/>
    <cellStyle name="20% - Accent3 7 3 2 5" xfId="11819" xr:uid="{00000000-0005-0000-0000-000043200000}"/>
    <cellStyle name="20% - Accent3 7 3 2 6" xfId="11820" xr:uid="{00000000-0005-0000-0000-000044200000}"/>
    <cellStyle name="20% - Accent3 7 3 3" xfId="11821" xr:uid="{00000000-0005-0000-0000-000045200000}"/>
    <cellStyle name="20% - Accent3 7 3 3 2" xfId="11822" xr:uid="{00000000-0005-0000-0000-000046200000}"/>
    <cellStyle name="20% - Accent3 7 3 3 2 2" xfId="11823" xr:uid="{00000000-0005-0000-0000-000047200000}"/>
    <cellStyle name="20% - Accent3 7 3 3 3" xfId="11824" xr:uid="{00000000-0005-0000-0000-000048200000}"/>
    <cellStyle name="20% - Accent3 7 3 4" xfId="11825" xr:uid="{00000000-0005-0000-0000-000049200000}"/>
    <cellStyle name="20% - Accent3 7 3 4 2" xfId="11826" xr:uid="{00000000-0005-0000-0000-00004A200000}"/>
    <cellStyle name="20% - Accent3 7 3 5" xfId="11827" xr:uid="{00000000-0005-0000-0000-00004B200000}"/>
    <cellStyle name="20% - Accent3 7 3 6" xfId="11828" xr:uid="{00000000-0005-0000-0000-00004C200000}"/>
    <cellStyle name="20% - Accent3 7 3 7" xfId="11829" xr:uid="{00000000-0005-0000-0000-00004D200000}"/>
    <cellStyle name="20% - Accent3 7 4" xfId="11830" xr:uid="{00000000-0005-0000-0000-00004E200000}"/>
    <cellStyle name="20% - Accent3 7 4 2" xfId="11831" xr:uid="{00000000-0005-0000-0000-00004F200000}"/>
    <cellStyle name="20% - Accent3 7 4 2 2" xfId="11832" xr:uid="{00000000-0005-0000-0000-000050200000}"/>
    <cellStyle name="20% - Accent3 7 4 2 2 2" xfId="11833" xr:uid="{00000000-0005-0000-0000-000051200000}"/>
    <cellStyle name="20% - Accent3 7 4 2 2 2 2" xfId="11834" xr:uid="{00000000-0005-0000-0000-000052200000}"/>
    <cellStyle name="20% - Accent3 7 4 2 2 3" xfId="11835" xr:uid="{00000000-0005-0000-0000-000053200000}"/>
    <cellStyle name="20% - Accent3 7 4 2 3" xfId="11836" xr:uid="{00000000-0005-0000-0000-000054200000}"/>
    <cellStyle name="20% - Accent3 7 4 2 3 2" xfId="11837" xr:uid="{00000000-0005-0000-0000-000055200000}"/>
    <cellStyle name="20% - Accent3 7 4 2 4" xfId="11838" xr:uid="{00000000-0005-0000-0000-000056200000}"/>
    <cellStyle name="20% - Accent3 7 4 2 5" xfId="11839" xr:uid="{00000000-0005-0000-0000-000057200000}"/>
    <cellStyle name="20% - Accent3 7 4 2 6" xfId="11840" xr:uid="{00000000-0005-0000-0000-000058200000}"/>
    <cellStyle name="20% - Accent3 7 4 3" xfId="11841" xr:uid="{00000000-0005-0000-0000-000059200000}"/>
    <cellStyle name="20% - Accent3 7 4 3 2" xfId="11842" xr:uid="{00000000-0005-0000-0000-00005A200000}"/>
    <cellStyle name="20% - Accent3 7 4 3 2 2" xfId="11843" xr:uid="{00000000-0005-0000-0000-00005B200000}"/>
    <cellStyle name="20% - Accent3 7 4 3 3" xfId="11844" xr:uid="{00000000-0005-0000-0000-00005C200000}"/>
    <cellStyle name="20% - Accent3 7 4 4" xfId="11845" xr:uid="{00000000-0005-0000-0000-00005D200000}"/>
    <cellStyle name="20% - Accent3 7 4 4 2" xfId="11846" xr:uid="{00000000-0005-0000-0000-00005E200000}"/>
    <cellStyle name="20% - Accent3 7 4 5" xfId="11847" xr:uid="{00000000-0005-0000-0000-00005F200000}"/>
    <cellStyle name="20% - Accent3 7 4 6" xfId="11848" xr:uid="{00000000-0005-0000-0000-000060200000}"/>
    <cellStyle name="20% - Accent3 7 4 7" xfId="11849" xr:uid="{00000000-0005-0000-0000-000061200000}"/>
    <cellStyle name="20% - Accent3 7 5" xfId="11850" xr:uid="{00000000-0005-0000-0000-000062200000}"/>
    <cellStyle name="20% - Accent3 7 5 2" xfId="11851" xr:uid="{00000000-0005-0000-0000-000063200000}"/>
    <cellStyle name="20% - Accent3 7 5 2 2" xfId="11852" xr:uid="{00000000-0005-0000-0000-000064200000}"/>
    <cellStyle name="20% - Accent3 7 5 2 2 2" xfId="11853" xr:uid="{00000000-0005-0000-0000-000065200000}"/>
    <cellStyle name="20% - Accent3 7 5 2 3" xfId="11854" xr:uid="{00000000-0005-0000-0000-000066200000}"/>
    <cellStyle name="20% - Accent3 7 5 3" xfId="11855" xr:uid="{00000000-0005-0000-0000-000067200000}"/>
    <cellStyle name="20% - Accent3 7 5 3 2" xfId="11856" xr:uid="{00000000-0005-0000-0000-000068200000}"/>
    <cellStyle name="20% - Accent3 7 5 4" xfId="11857" xr:uid="{00000000-0005-0000-0000-000069200000}"/>
    <cellStyle name="20% - Accent3 7 5 5" xfId="11858" xr:uid="{00000000-0005-0000-0000-00006A200000}"/>
    <cellStyle name="20% - Accent3 7 5 6" xfId="11859" xr:uid="{00000000-0005-0000-0000-00006B200000}"/>
    <cellStyle name="20% - Accent3 7 6" xfId="11860" xr:uid="{00000000-0005-0000-0000-00006C200000}"/>
    <cellStyle name="20% - Accent3 7 6 2" xfId="11861" xr:uid="{00000000-0005-0000-0000-00006D200000}"/>
    <cellStyle name="20% - Accent3 7 6 2 2" xfId="11862" xr:uid="{00000000-0005-0000-0000-00006E200000}"/>
    <cellStyle name="20% - Accent3 7 6 3" xfId="11863" xr:uid="{00000000-0005-0000-0000-00006F200000}"/>
    <cellStyle name="20% - Accent3 7 7" xfId="11864" xr:uid="{00000000-0005-0000-0000-000070200000}"/>
    <cellStyle name="20% - Accent3 7 7 2" xfId="11865" xr:uid="{00000000-0005-0000-0000-000071200000}"/>
    <cellStyle name="20% - Accent3 7 7 2 2" xfId="11866" xr:uid="{00000000-0005-0000-0000-000072200000}"/>
    <cellStyle name="20% - Accent3 7 7 3" xfId="11867" xr:uid="{00000000-0005-0000-0000-000073200000}"/>
    <cellStyle name="20% - Accent3 7 8" xfId="11868" xr:uid="{00000000-0005-0000-0000-000074200000}"/>
    <cellStyle name="20% - Accent3 7 8 2" xfId="11869" xr:uid="{00000000-0005-0000-0000-000075200000}"/>
    <cellStyle name="20% - Accent3 7 9" xfId="11870" xr:uid="{00000000-0005-0000-0000-000076200000}"/>
    <cellStyle name="20% - Accent3 7 9 2" xfId="11871" xr:uid="{00000000-0005-0000-0000-000077200000}"/>
    <cellStyle name="20% - Accent3 8" xfId="11872" xr:uid="{00000000-0005-0000-0000-000078200000}"/>
    <cellStyle name="20% - Accent3 8 10" xfId="11873" xr:uid="{00000000-0005-0000-0000-000079200000}"/>
    <cellStyle name="20% - Accent3 8 11" xfId="11874" xr:uid="{00000000-0005-0000-0000-00007A200000}"/>
    <cellStyle name="20% - Accent3 8 12" xfId="11875" xr:uid="{00000000-0005-0000-0000-00007B200000}"/>
    <cellStyle name="20% - Accent3 8 2" xfId="11876" xr:uid="{00000000-0005-0000-0000-00007C200000}"/>
    <cellStyle name="20% - Accent3 8 2 10" xfId="11877" xr:uid="{00000000-0005-0000-0000-00007D200000}"/>
    <cellStyle name="20% - Accent3 8 2 2" xfId="11878" xr:uid="{00000000-0005-0000-0000-00007E200000}"/>
    <cellStyle name="20% - Accent3 8 2 2 2" xfId="11879" xr:uid="{00000000-0005-0000-0000-00007F200000}"/>
    <cellStyle name="20% - Accent3 8 2 2 2 2" xfId="11880" xr:uid="{00000000-0005-0000-0000-000080200000}"/>
    <cellStyle name="20% - Accent3 8 2 2 2 2 2" xfId="11881" xr:uid="{00000000-0005-0000-0000-000081200000}"/>
    <cellStyle name="20% - Accent3 8 2 2 2 2 2 2" xfId="11882" xr:uid="{00000000-0005-0000-0000-000082200000}"/>
    <cellStyle name="20% - Accent3 8 2 2 2 2 3" xfId="11883" xr:uid="{00000000-0005-0000-0000-000083200000}"/>
    <cellStyle name="20% - Accent3 8 2 2 2 3" xfId="11884" xr:uid="{00000000-0005-0000-0000-000084200000}"/>
    <cellStyle name="20% - Accent3 8 2 2 2 3 2" xfId="11885" xr:uid="{00000000-0005-0000-0000-000085200000}"/>
    <cellStyle name="20% - Accent3 8 2 2 2 4" xfId="11886" xr:uid="{00000000-0005-0000-0000-000086200000}"/>
    <cellStyle name="20% - Accent3 8 2 2 2 5" xfId="11887" xr:uid="{00000000-0005-0000-0000-000087200000}"/>
    <cellStyle name="20% - Accent3 8 2 2 2 6" xfId="11888" xr:uid="{00000000-0005-0000-0000-000088200000}"/>
    <cellStyle name="20% - Accent3 8 2 2 3" xfId="11889" xr:uid="{00000000-0005-0000-0000-000089200000}"/>
    <cellStyle name="20% - Accent3 8 2 2 3 2" xfId="11890" xr:uid="{00000000-0005-0000-0000-00008A200000}"/>
    <cellStyle name="20% - Accent3 8 2 2 3 2 2" xfId="11891" xr:uid="{00000000-0005-0000-0000-00008B200000}"/>
    <cellStyle name="20% - Accent3 8 2 2 3 3" xfId="11892" xr:uid="{00000000-0005-0000-0000-00008C200000}"/>
    <cellStyle name="20% - Accent3 8 2 2 4" xfId="11893" xr:uid="{00000000-0005-0000-0000-00008D200000}"/>
    <cellStyle name="20% - Accent3 8 2 2 4 2" xfId="11894" xr:uid="{00000000-0005-0000-0000-00008E200000}"/>
    <cellStyle name="20% - Accent3 8 2 2 5" xfId="11895" xr:uid="{00000000-0005-0000-0000-00008F200000}"/>
    <cellStyle name="20% - Accent3 8 2 2 6" xfId="11896" xr:uid="{00000000-0005-0000-0000-000090200000}"/>
    <cellStyle name="20% - Accent3 8 2 2 7" xfId="11897" xr:uid="{00000000-0005-0000-0000-000091200000}"/>
    <cellStyle name="20% - Accent3 8 2 3" xfId="11898" xr:uid="{00000000-0005-0000-0000-000092200000}"/>
    <cellStyle name="20% - Accent3 8 2 3 2" xfId="11899" xr:uid="{00000000-0005-0000-0000-000093200000}"/>
    <cellStyle name="20% - Accent3 8 2 3 2 2" xfId="11900" xr:uid="{00000000-0005-0000-0000-000094200000}"/>
    <cellStyle name="20% - Accent3 8 2 3 2 2 2" xfId="11901" xr:uid="{00000000-0005-0000-0000-000095200000}"/>
    <cellStyle name="20% - Accent3 8 2 3 2 3" xfId="11902" xr:uid="{00000000-0005-0000-0000-000096200000}"/>
    <cellStyle name="20% - Accent3 8 2 3 3" xfId="11903" xr:uid="{00000000-0005-0000-0000-000097200000}"/>
    <cellStyle name="20% - Accent3 8 2 3 3 2" xfId="11904" xr:uid="{00000000-0005-0000-0000-000098200000}"/>
    <cellStyle name="20% - Accent3 8 2 3 4" xfId="11905" xr:uid="{00000000-0005-0000-0000-000099200000}"/>
    <cellStyle name="20% - Accent3 8 2 3 5" xfId="11906" xr:uid="{00000000-0005-0000-0000-00009A200000}"/>
    <cellStyle name="20% - Accent3 8 2 3 6" xfId="11907" xr:uid="{00000000-0005-0000-0000-00009B200000}"/>
    <cellStyle name="20% - Accent3 8 2 4" xfId="11908" xr:uid="{00000000-0005-0000-0000-00009C200000}"/>
    <cellStyle name="20% - Accent3 8 2 4 2" xfId="11909" xr:uid="{00000000-0005-0000-0000-00009D200000}"/>
    <cellStyle name="20% - Accent3 8 2 4 2 2" xfId="11910" xr:uid="{00000000-0005-0000-0000-00009E200000}"/>
    <cellStyle name="20% - Accent3 8 2 4 3" xfId="11911" xr:uid="{00000000-0005-0000-0000-00009F200000}"/>
    <cellStyle name="20% - Accent3 8 2 5" xfId="11912" xr:uid="{00000000-0005-0000-0000-0000A0200000}"/>
    <cellStyle name="20% - Accent3 8 2 5 2" xfId="11913" xr:uid="{00000000-0005-0000-0000-0000A1200000}"/>
    <cellStyle name="20% - Accent3 8 2 5 2 2" xfId="11914" xr:uid="{00000000-0005-0000-0000-0000A2200000}"/>
    <cellStyle name="20% - Accent3 8 2 5 3" xfId="11915" xr:uid="{00000000-0005-0000-0000-0000A3200000}"/>
    <cellStyle name="20% - Accent3 8 2 6" xfId="11916" xr:uid="{00000000-0005-0000-0000-0000A4200000}"/>
    <cellStyle name="20% - Accent3 8 2 6 2" xfId="11917" xr:uid="{00000000-0005-0000-0000-0000A5200000}"/>
    <cellStyle name="20% - Accent3 8 2 7" xfId="11918" xr:uid="{00000000-0005-0000-0000-0000A6200000}"/>
    <cellStyle name="20% - Accent3 8 2 7 2" xfId="11919" xr:uid="{00000000-0005-0000-0000-0000A7200000}"/>
    <cellStyle name="20% - Accent3 8 2 8" xfId="11920" xr:uid="{00000000-0005-0000-0000-0000A8200000}"/>
    <cellStyle name="20% - Accent3 8 2 9" xfId="11921" xr:uid="{00000000-0005-0000-0000-0000A9200000}"/>
    <cellStyle name="20% - Accent3 8 3" xfId="11922" xr:uid="{00000000-0005-0000-0000-0000AA200000}"/>
    <cellStyle name="20% - Accent3 8 3 2" xfId="11923" xr:uid="{00000000-0005-0000-0000-0000AB200000}"/>
    <cellStyle name="20% - Accent3 8 3 2 2" xfId="11924" xr:uid="{00000000-0005-0000-0000-0000AC200000}"/>
    <cellStyle name="20% - Accent3 8 3 2 2 2" xfId="11925" xr:uid="{00000000-0005-0000-0000-0000AD200000}"/>
    <cellStyle name="20% - Accent3 8 3 2 2 2 2" xfId="11926" xr:uid="{00000000-0005-0000-0000-0000AE200000}"/>
    <cellStyle name="20% - Accent3 8 3 2 2 3" xfId="11927" xr:uid="{00000000-0005-0000-0000-0000AF200000}"/>
    <cellStyle name="20% - Accent3 8 3 2 3" xfId="11928" xr:uid="{00000000-0005-0000-0000-0000B0200000}"/>
    <cellStyle name="20% - Accent3 8 3 2 3 2" xfId="11929" xr:uid="{00000000-0005-0000-0000-0000B1200000}"/>
    <cellStyle name="20% - Accent3 8 3 2 4" xfId="11930" xr:uid="{00000000-0005-0000-0000-0000B2200000}"/>
    <cellStyle name="20% - Accent3 8 3 2 5" xfId="11931" xr:uid="{00000000-0005-0000-0000-0000B3200000}"/>
    <cellStyle name="20% - Accent3 8 3 2 6" xfId="11932" xr:uid="{00000000-0005-0000-0000-0000B4200000}"/>
    <cellStyle name="20% - Accent3 8 3 3" xfId="11933" xr:uid="{00000000-0005-0000-0000-0000B5200000}"/>
    <cellStyle name="20% - Accent3 8 3 3 2" xfId="11934" xr:uid="{00000000-0005-0000-0000-0000B6200000}"/>
    <cellStyle name="20% - Accent3 8 3 3 2 2" xfId="11935" xr:uid="{00000000-0005-0000-0000-0000B7200000}"/>
    <cellStyle name="20% - Accent3 8 3 3 3" xfId="11936" xr:uid="{00000000-0005-0000-0000-0000B8200000}"/>
    <cellStyle name="20% - Accent3 8 3 4" xfId="11937" xr:uid="{00000000-0005-0000-0000-0000B9200000}"/>
    <cellStyle name="20% - Accent3 8 3 4 2" xfId="11938" xr:uid="{00000000-0005-0000-0000-0000BA200000}"/>
    <cellStyle name="20% - Accent3 8 3 5" xfId="11939" xr:uid="{00000000-0005-0000-0000-0000BB200000}"/>
    <cellStyle name="20% - Accent3 8 3 6" xfId="11940" xr:uid="{00000000-0005-0000-0000-0000BC200000}"/>
    <cellStyle name="20% - Accent3 8 3 7" xfId="11941" xr:uid="{00000000-0005-0000-0000-0000BD200000}"/>
    <cellStyle name="20% - Accent3 8 4" xfId="11942" xr:uid="{00000000-0005-0000-0000-0000BE200000}"/>
    <cellStyle name="20% - Accent3 8 4 2" xfId="11943" xr:uid="{00000000-0005-0000-0000-0000BF200000}"/>
    <cellStyle name="20% - Accent3 8 4 2 2" xfId="11944" xr:uid="{00000000-0005-0000-0000-0000C0200000}"/>
    <cellStyle name="20% - Accent3 8 4 2 2 2" xfId="11945" xr:uid="{00000000-0005-0000-0000-0000C1200000}"/>
    <cellStyle name="20% - Accent3 8 4 2 2 2 2" xfId="11946" xr:uid="{00000000-0005-0000-0000-0000C2200000}"/>
    <cellStyle name="20% - Accent3 8 4 2 2 3" xfId="11947" xr:uid="{00000000-0005-0000-0000-0000C3200000}"/>
    <cellStyle name="20% - Accent3 8 4 2 3" xfId="11948" xr:uid="{00000000-0005-0000-0000-0000C4200000}"/>
    <cellStyle name="20% - Accent3 8 4 2 3 2" xfId="11949" xr:uid="{00000000-0005-0000-0000-0000C5200000}"/>
    <cellStyle name="20% - Accent3 8 4 2 4" xfId="11950" xr:uid="{00000000-0005-0000-0000-0000C6200000}"/>
    <cellStyle name="20% - Accent3 8 4 2 5" xfId="11951" xr:uid="{00000000-0005-0000-0000-0000C7200000}"/>
    <cellStyle name="20% - Accent3 8 4 2 6" xfId="11952" xr:uid="{00000000-0005-0000-0000-0000C8200000}"/>
    <cellStyle name="20% - Accent3 8 4 3" xfId="11953" xr:uid="{00000000-0005-0000-0000-0000C9200000}"/>
    <cellStyle name="20% - Accent3 8 4 3 2" xfId="11954" xr:uid="{00000000-0005-0000-0000-0000CA200000}"/>
    <cellStyle name="20% - Accent3 8 4 3 2 2" xfId="11955" xr:uid="{00000000-0005-0000-0000-0000CB200000}"/>
    <cellStyle name="20% - Accent3 8 4 3 3" xfId="11956" xr:uid="{00000000-0005-0000-0000-0000CC200000}"/>
    <cellStyle name="20% - Accent3 8 4 4" xfId="11957" xr:uid="{00000000-0005-0000-0000-0000CD200000}"/>
    <cellStyle name="20% - Accent3 8 4 4 2" xfId="11958" xr:uid="{00000000-0005-0000-0000-0000CE200000}"/>
    <cellStyle name="20% - Accent3 8 4 5" xfId="11959" xr:uid="{00000000-0005-0000-0000-0000CF200000}"/>
    <cellStyle name="20% - Accent3 8 4 6" xfId="11960" xr:uid="{00000000-0005-0000-0000-0000D0200000}"/>
    <cellStyle name="20% - Accent3 8 4 7" xfId="11961" xr:uid="{00000000-0005-0000-0000-0000D1200000}"/>
    <cellStyle name="20% - Accent3 8 5" xfId="11962" xr:uid="{00000000-0005-0000-0000-0000D2200000}"/>
    <cellStyle name="20% - Accent3 8 5 2" xfId="11963" xr:uid="{00000000-0005-0000-0000-0000D3200000}"/>
    <cellStyle name="20% - Accent3 8 5 2 2" xfId="11964" xr:uid="{00000000-0005-0000-0000-0000D4200000}"/>
    <cellStyle name="20% - Accent3 8 5 2 2 2" xfId="11965" xr:uid="{00000000-0005-0000-0000-0000D5200000}"/>
    <cellStyle name="20% - Accent3 8 5 2 3" xfId="11966" xr:uid="{00000000-0005-0000-0000-0000D6200000}"/>
    <cellStyle name="20% - Accent3 8 5 3" xfId="11967" xr:uid="{00000000-0005-0000-0000-0000D7200000}"/>
    <cellStyle name="20% - Accent3 8 5 3 2" xfId="11968" xr:uid="{00000000-0005-0000-0000-0000D8200000}"/>
    <cellStyle name="20% - Accent3 8 5 4" xfId="11969" xr:uid="{00000000-0005-0000-0000-0000D9200000}"/>
    <cellStyle name="20% - Accent3 8 5 5" xfId="11970" xr:uid="{00000000-0005-0000-0000-0000DA200000}"/>
    <cellStyle name="20% - Accent3 8 5 6" xfId="11971" xr:uid="{00000000-0005-0000-0000-0000DB200000}"/>
    <cellStyle name="20% - Accent3 8 6" xfId="11972" xr:uid="{00000000-0005-0000-0000-0000DC200000}"/>
    <cellStyle name="20% - Accent3 8 6 2" xfId="11973" xr:uid="{00000000-0005-0000-0000-0000DD200000}"/>
    <cellStyle name="20% - Accent3 8 6 2 2" xfId="11974" xr:uid="{00000000-0005-0000-0000-0000DE200000}"/>
    <cellStyle name="20% - Accent3 8 6 3" xfId="11975" xr:uid="{00000000-0005-0000-0000-0000DF200000}"/>
    <cellStyle name="20% - Accent3 8 7" xfId="11976" xr:uid="{00000000-0005-0000-0000-0000E0200000}"/>
    <cellStyle name="20% - Accent3 8 7 2" xfId="11977" xr:uid="{00000000-0005-0000-0000-0000E1200000}"/>
    <cellStyle name="20% - Accent3 8 7 2 2" xfId="11978" xr:uid="{00000000-0005-0000-0000-0000E2200000}"/>
    <cellStyle name="20% - Accent3 8 7 3" xfId="11979" xr:uid="{00000000-0005-0000-0000-0000E3200000}"/>
    <cellStyle name="20% - Accent3 8 8" xfId="11980" xr:uid="{00000000-0005-0000-0000-0000E4200000}"/>
    <cellStyle name="20% - Accent3 8 8 2" xfId="11981" xr:uid="{00000000-0005-0000-0000-0000E5200000}"/>
    <cellStyle name="20% - Accent3 8 9" xfId="11982" xr:uid="{00000000-0005-0000-0000-0000E6200000}"/>
    <cellStyle name="20% - Accent3 8 9 2" xfId="11983" xr:uid="{00000000-0005-0000-0000-0000E7200000}"/>
    <cellStyle name="20% - Accent3 9" xfId="11984" xr:uid="{00000000-0005-0000-0000-0000E8200000}"/>
    <cellStyle name="20% - Accent3 9 10" xfId="11985" xr:uid="{00000000-0005-0000-0000-0000E9200000}"/>
    <cellStyle name="20% - Accent3 9 11" xfId="11986" xr:uid="{00000000-0005-0000-0000-0000EA200000}"/>
    <cellStyle name="20% - Accent3 9 12" xfId="11987" xr:uid="{00000000-0005-0000-0000-0000EB200000}"/>
    <cellStyle name="20% - Accent3 9 2" xfId="11988" xr:uid="{00000000-0005-0000-0000-0000EC200000}"/>
    <cellStyle name="20% - Accent3 9 2 10" xfId="11989" xr:uid="{00000000-0005-0000-0000-0000ED200000}"/>
    <cellStyle name="20% - Accent3 9 2 2" xfId="11990" xr:uid="{00000000-0005-0000-0000-0000EE200000}"/>
    <cellStyle name="20% - Accent3 9 2 2 2" xfId="11991" xr:uid="{00000000-0005-0000-0000-0000EF200000}"/>
    <cellStyle name="20% - Accent3 9 2 2 2 2" xfId="11992" xr:uid="{00000000-0005-0000-0000-0000F0200000}"/>
    <cellStyle name="20% - Accent3 9 2 2 2 2 2" xfId="11993" xr:uid="{00000000-0005-0000-0000-0000F1200000}"/>
    <cellStyle name="20% - Accent3 9 2 2 2 2 2 2" xfId="11994" xr:uid="{00000000-0005-0000-0000-0000F2200000}"/>
    <cellStyle name="20% - Accent3 9 2 2 2 2 3" xfId="11995" xr:uid="{00000000-0005-0000-0000-0000F3200000}"/>
    <cellStyle name="20% - Accent3 9 2 2 2 3" xfId="11996" xr:uid="{00000000-0005-0000-0000-0000F4200000}"/>
    <cellStyle name="20% - Accent3 9 2 2 2 3 2" xfId="11997" xr:uid="{00000000-0005-0000-0000-0000F5200000}"/>
    <cellStyle name="20% - Accent3 9 2 2 2 4" xfId="11998" xr:uid="{00000000-0005-0000-0000-0000F6200000}"/>
    <cellStyle name="20% - Accent3 9 2 2 2 5" xfId="11999" xr:uid="{00000000-0005-0000-0000-0000F7200000}"/>
    <cellStyle name="20% - Accent3 9 2 2 2 6" xfId="12000" xr:uid="{00000000-0005-0000-0000-0000F8200000}"/>
    <cellStyle name="20% - Accent3 9 2 2 3" xfId="12001" xr:uid="{00000000-0005-0000-0000-0000F9200000}"/>
    <cellStyle name="20% - Accent3 9 2 2 3 2" xfId="12002" xr:uid="{00000000-0005-0000-0000-0000FA200000}"/>
    <cellStyle name="20% - Accent3 9 2 2 3 2 2" xfId="12003" xr:uid="{00000000-0005-0000-0000-0000FB200000}"/>
    <cellStyle name="20% - Accent3 9 2 2 3 3" xfId="12004" xr:uid="{00000000-0005-0000-0000-0000FC200000}"/>
    <cellStyle name="20% - Accent3 9 2 2 4" xfId="12005" xr:uid="{00000000-0005-0000-0000-0000FD200000}"/>
    <cellStyle name="20% - Accent3 9 2 2 4 2" xfId="12006" xr:uid="{00000000-0005-0000-0000-0000FE200000}"/>
    <cellStyle name="20% - Accent3 9 2 2 5" xfId="12007" xr:uid="{00000000-0005-0000-0000-0000FF200000}"/>
    <cellStyle name="20% - Accent3 9 2 2 6" xfId="12008" xr:uid="{00000000-0005-0000-0000-000000210000}"/>
    <cellStyle name="20% - Accent3 9 2 2 7" xfId="12009" xr:uid="{00000000-0005-0000-0000-000001210000}"/>
    <cellStyle name="20% - Accent3 9 2 3" xfId="12010" xr:uid="{00000000-0005-0000-0000-000002210000}"/>
    <cellStyle name="20% - Accent3 9 2 3 2" xfId="12011" xr:uid="{00000000-0005-0000-0000-000003210000}"/>
    <cellStyle name="20% - Accent3 9 2 3 2 2" xfId="12012" xr:uid="{00000000-0005-0000-0000-000004210000}"/>
    <cellStyle name="20% - Accent3 9 2 3 2 2 2" xfId="12013" xr:uid="{00000000-0005-0000-0000-000005210000}"/>
    <cellStyle name="20% - Accent3 9 2 3 2 3" xfId="12014" xr:uid="{00000000-0005-0000-0000-000006210000}"/>
    <cellStyle name="20% - Accent3 9 2 3 3" xfId="12015" xr:uid="{00000000-0005-0000-0000-000007210000}"/>
    <cellStyle name="20% - Accent3 9 2 3 3 2" xfId="12016" xr:uid="{00000000-0005-0000-0000-000008210000}"/>
    <cellStyle name="20% - Accent3 9 2 3 4" xfId="12017" xr:uid="{00000000-0005-0000-0000-000009210000}"/>
    <cellStyle name="20% - Accent3 9 2 3 5" xfId="12018" xr:uid="{00000000-0005-0000-0000-00000A210000}"/>
    <cellStyle name="20% - Accent3 9 2 3 6" xfId="12019" xr:uid="{00000000-0005-0000-0000-00000B210000}"/>
    <cellStyle name="20% - Accent3 9 2 4" xfId="12020" xr:uid="{00000000-0005-0000-0000-00000C210000}"/>
    <cellStyle name="20% - Accent3 9 2 4 2" xfId="12021" xr:uid="{00000000-0005-0000-0000-00000D210000}"/>
    <cellStyle name="20% - Accent3 9 2 4 2 2" xfId="12022" xr:uid="{00000000-0005-0000-0000-00000E210000}"/>
    <cellStyle name="20% - Accent3 9 2 4 3" xfId="12023" xr:uid="{00000000-0005-0000-0000-00000F210000}"/>
    <cellStyle name="20% - Accent3 9 2 5" xfId="12024" xr:uid="{00000000-0005-0000-0000-000010210000}"/>
    <cellStyle name="20% - Accent3 9 2 5 2" xfId="12025" xr:uid="{00000000-0005-0000-0000-000011210000}"/>
    <cellStyle name="20% - Accent3 9 2 5 2 2" xfId="12026" xr:uid="{00000000-0005-0000-0000-000012210000}"/>
    <cellStyle name="20% - Accent3 9 2 5 3" xfId="12027" xr:uid="{00000000-0005-0000-0000-000013210000}"/>
    <cellStyle name="20% - Accent3 9 2 6" xfId="12028" xr:uid="{00000000-0005-0000-0000-000014210000}"/>
    <cellStyle name="20% - Accent3 9 2 6 2" xfId="12029" xr:uid="{00000000-0005-0000-0000-000015210000}"/>
    <cellStyle name="20% - Accent3 9 2 7" xfId="12030" xr:uid="{00000000-0005-0000-0000-000016210000}"/>
    <cellStyle name="20% - Accent3 9 2 7 2" xfId="12031" xr:uid="{00000000-0005-0000-0000-000017210000}"/>
    <cellStyle name="20% - Accent3 9 2 8" xfId="12032" xr:uid="{00000000-0005-0000-0000-000018210000}"/>
    <cellStyle name="20% - Accent3 9 2 9" xfId="12033" xr:uid="{00000000-0005-0000-0000-000019210000}"/>
    <cellStyle name="20% - Accent3 9 3" xfId="12034" xr:uid="{00000000-0005-0000-0000-00001A210000}"/>
    <cellStyle name="20% - Accent3 9 3 2" xfId="12035" xr:uid="{00000000-0005-0000-0000-00001B210000}"/>
    <cellStyle name="20% - Accent3 9 3 2 2" xfId="12036" xr:uid="{00000000-0005-0000-0000-00001C210000}"/>
    <cellStyle name="20% - Accent3 9 3 2 2 2" xfId="12037" xr:uid="{00000000-0005-0000-0000-00001D210000}"/>
    <cellStyle name="20% - Accent3 9 3 2 2 2 2" xfId="12038" xr:uid="{00000000-0005-0000-0000-00001E210000}"/>
    <cellStyle name="20% - Accent3 9 3 2 2 3" xfId="12039" xr:uid="{00000000-0005-0000-0000-00001F210000}"/>
    <cellStyle name="20% - Accent3 9 3 2 3" xfId="12040" xr:uid="{00000000-0005-0000-0000-000020210000}"/>
    <cellStyle name="20% - Accent3 9 3 2 3 2" xfId="12041" xr:uid="{00000000-0005-0000-0000-000021210000}"/>
    <cellStyle name="20% - Accent3 9 3 2 4" xfId="12042" xr:uid="{00000000-0005-0000-0000-000022210000}"/>
    <cellStyle name="20% - Accent3 9 3 2 5" xfId="12043" xr:uid="{00000000-0005-0000-0000-000023210000}"/>
    <cellStyle name="20% - Accent3 9 3 2 6" xfId="12044" xr:uid="{00000000-0005-0000-0000-000024210000}"/>
    <cellStyle name="20% - Accent3 9 3 3" xfId="12045" xr:uid="{00000000-0005-0000-0000-000025210000}"/>
    <cellStyle name="20% - Accent3 9 3 3 2" xfId="12046" xr:uid="{00000000-0005-0000-0000-000026210000}"/>
    <cellStyle name="20% - Accent3 9 3 3 2 2" xfId="12047" xr:uid="{00000000-0005-0000-0000-000027210000}"/>
    <cellStyle name="20% - Accent3 9 3 3 3" xfId="12048" xr:uid="{00000000-0005-0000-0000-000028210000}"/>
    <cellStyle name="20% - Accent3 9 3 4" xfId="12049" xr:uid="{00000000-0005-0000-0000-000029210000}"/>
    <cellStyle name="20% - Accent3 9 3 4 2" xfId="12050" xr:uid="{00000000-0005-0000-0000-00002A210000}"/>
    <cellStyle name="20% - Accent3 9 3 5" xfId="12051" xr:uid="{00000000-0005-0000-0000-00002B210000}"/>
    <cellStyle name="20% - Accent3 9 3 6" xfId="12052" xr:uid="{00000000-0005-0000-0000-00002C210000}"/>
    <cellStyle name="20% - Accent3 9 3 7" xfId="12053" xr:uid="{00000000-0005-0000-0000-00002D210000}"/>
    <cellStyle name="20% - Accent3 9 4" xfId="12054" xr:uid="{00000000-0005-0000-0000-00002E210000}"/>
    <cellStyle name="20% - Accent3 9 4 2" xfId="12055" xr:uid="{00000000-0005-0000-0000-00002F210000}"/>
    <cellStyle name="20% - Accent3 9 4 2 2" xfId="12056" xr:uid="{00000000-0005-0000-0000-000030210000}"/>
    <cellStyle name="20% - Accent3 9 4 2 2 2" xfId="12057" xr:uid="{00000000-0005-0000-0000-000031210000}"/>
    <cellStyle name="20% - Accent3 9 4 2 2 2 2" xfId="12058" xr:uid="{00000000-0005-0000-0000-000032210000}"/>
    <cellStyle name="20% - Accent3 9 4 2 2 3" xfId="12059" xr:uid="{00000000-0005-0000-0000-000033210000}"/>
    <cellStyle name="20% - Accent3 9 4 2 3" xfId="12060" xr:uid="{00000000-0005-0000-0000-000034210000}"/>
    <cellStyle name="20% - Accent3 9 4 2 3 2" xfId="12061" xr:uid="{00000000-0005-0000-0000-000035210000}"/>
    <cellStyle name="20% - Accent3 9 4 2 4" xfId="12062" xr:uid="{00000000-0005-0000-0000-000036210000}"/>
    <cellStyle name="20% - Accent3 9 4 2 5" xfId="12063" xr:uid="{00000000-0005-0000-0000-000037210000}"/>
    <cellStyle name="20% - Accent3 9 4 2 6" xfId="12064" xr:uid="{00000000-0005-0000-0000-000038210000}"/>
    <cellStyle name="20% - Accent3 9 4 3" xfId="12065" xr:uid="{00000000-0005-0000-0000-000039210000}"/>
    <cellStyle name="20% - Accent3 9 4 3 2" xfId="12066" xr:uid="{00000000-0005-0000-0000-00003A210000}"/>
    <cellStyle name="20% - Accent3 9 4 3 2 2" xfId="12067" xr:uid="{00000000-0005-0000-0000-00003B210000}"/>
    <cellStyle name="20% - Accent3 9 4 3 3" xfId="12068" xr:uid="{00000000-0005-0000-0000-00003C210000}"/>
    <cellStyle name="20% - Accent3 9 4 4" xfId="12069" xr:uid="{00000000-0005-0000-0000-00003D210000}"/>
    <cellStyle name="20% - Accent3 9 4 4 2" xfId="12070" xr:uid="{00000000-0005-0000-0000-00003E210000}"/>
    <cellStyle name="20% - Accent3 9 4 5" xfId="12071" xr:uid="{00000000-0005-0000-0000-00003F210000}"/>
    <cellStyle name="20% - Accent3 9 4 6" xfId="12072" xr:uid="{00000000-0005-0000-0000-000040210000}"/>
    <cellStyle name="20% - Accent3 9 4 7" xfId="12073" xr:uid="{00000000-0005-0000-0000-000041210000}"/>
    <cellStyle name="20% - Accent3 9 5" xfId="12074" xr:uid="{00000000-0005-0000-0000-000042210000}"/>
    <cellStyle name="20% - Accent3 9 5 2" xfId="12075" xr:uid="{00000000-0005-0000-0000-000043210000}"/>
    <cellStyle name="20% - Accent3 9 5 2 2" xfId="12076" xr:uid="{00000000-0005-0000-0000-000044210000}"/>
    <cellStyle name="20% - Accent3 9 5 2 2 2" xfId="12077" xr:uid="{00000000-0005-0000-0000-000045210000}"/>
    <cellStyle name="20% - Accent3 9 5 2 3" xfId="12078" xr:uid="{00000000-0005-0000-0000-000046210000}"/>
    <cellStyle name="20% - Accent3 9 5 3" xfId="12079" xr:uid="{00000000-0005-0000-0000-000047210000}"/>
    <cellStyle name="20% - Accent3 9 5 3 2" xfId="12080" xr:uid="{00000000-0005-0000-0000-000048210000}"/>
    <cellStyle name="20% - Accent3 9 5 4" xfId="12081" xr:uid="{00000000-0005-0000-0000-000049210000}"/>
    <cellStyle name="20% - Accent3 9 5 5" xfId="12082" xr:uid="{00000000-0005-0000-0000-00004A210000}"/>
    <cellStyle name="20% - Accent3 9 5 6" xfId="12083" xr:uid="{00000000-0005-0000-0000-00004B210000}"/>
    <cellStyle name="20% - Accent3 9 6" xfId="12084" xr:uid="{00000000-0005-0000-0000-00004C210000}"/>
    <cellStyle name="20% - Accent3 9 6 2" xfId="12085" xr:uid="{00000000-0005-0000-0000-00004D210000}"/>
    <cellStyle name="20% - Accent3 9 6 2 2" xfId="12086" xr:uid="{00000000-0005-0000-0000-00004E210000}"/>
    <cellStyle name="20% - Accent3 9 6 3" xfId="12087" xr:uid="{00000000-0005-0000-0000-00004F210000}"/>
    <cellStyle name="20% - Accent3 9 7" xfId="12088" xr:uid="{00000000-0005-0000-0000-000050210000}"/>
    <cellStyle name="20% - Accent3 9 7 2" xfId="12089" xr:uid="{00000000-0005-0000-0000-000051210000}"/>
    <cellStyle name="20% - Accent3 9 7 2 2" xfId="12090" xr:uid="{00000000-0005-0000-0000-000052210000}"/>
    <cellStyle name="20% - Accent3 9 7 3" xfId="12091" xr:uid="{00000000-0005-0000-0000-000053210000}"/>
    <cellStyle name="20% - Accent3 9 8" xfId="12092" xr:uid="{00000000-0005-0000-0000-000054210000}"/>
    <cellStyle name="20% - Accent3 9 8 2" xfId="12093" xr:uid="{00000000-0005-0000-0000-000055210000}"/>
    <cellStyle name="20% - Accent3 9 9" xfId="12094" xr:uid="{00000000-0005-0000-0000-000056210000}"/>
    <cellStyle name="20% - Accent3 9 9 2" xfId="12095" xr:uid="{00000000-0005-0000-0000-000057210000}"/>
    <cellStyle name="20% - Accent4" xfId="131" builtinId="42" customBuiltin="1"/>
    <cellStyle name="20% - Accent4 10" xfId="12096" xr:uid="{00000000-0005-0000-0000-000058210000}"/>
    <cellStyle name="20% - Accent4 10 10" xfId="12097" xr:uid="{00000000-0005-0000-0000-000059210000}"/>
    <cellStyle name="20% - Accent4 10 11" xfId="12098" xr:uid="{00000000-0005-0000-0000-00005A210000}"/>
    <cellStyle name="20% - Accent4 10 2" xfId="12099" xr:uid="{00000000-0005-0000-0000-00005B210000}"/>
    <cellStyle name="20% - Accent4 10 2 2" xfId="12100" xr:uid="{00000000-0005-0000-0000-00005C210000}"/>
    <cellStyle name="20% - Accent4 10 2 2 2" xfId="12101" xr:uid="{00000000-0005-0000-0000-00005D210000}"/>
    <cellStyle name="20% - Accent4 10 2 2 2 2" xfId="12102" xr:uid="{00000000-0005-0000-0000-00005E210000}"/>
    <cellStyle name="20% - Accent4 10 2 2 2 2 2" xfId="12103" xr:uid="{00000000-0005-0000-0000-00005F210000}"/>
    <cellStyle name="20% - Accent4 10 2 2 2 3" xfId="12104" xr:uid="{00000000-0005-0000-0000-000060210000}"/>
    <cellStyle name="20% - Accent4 10 2 2 3" xfId="12105" xr:uid="{00000000-0005-0000-0000-000061210000}"/>
    <cellStyle name="20% - Accent4 10 2 2 3 2" xfId="12106" xr:uid="{00000000-0005-0000-0000-000062210000}"/>
    <cellStyle name="20% - Accent4 10 2 2 4" xfId="12107" xr:uid="{00000000-0005-0000-0000-000063210000}"/>
    <cellStyle name="20% - Accent4 10 2 2 5" xfId="12108" xr:uid="{00000000-0005-0000-0000-000064210000}"/>
    <cellStyle name="20% - Accent4 10 2 2 6" xfId="12109" xr:uid="{00000000-0005-0000-0000-000065210000}"/>
    <cellStyle name="20% - Accent4 10 2 3" xfId="12110" xr:uid="{00000000-0005-0000-0000-000066210000}"/>
    <cellStyle name="20% - Accent4 10 2 3 2" xfId="12111" xr:uid="{00000000-0005-0000-0000-000067210000}"/>
    <cellStyle name="20% - Accent4 10 2 3 2 2" xfId="12112" xr:uid="{00000000-0005-0000-0000-000068210000}"/>
    <cellStyle name="20% - Accent4 10 2 3 3" xfId="12113" xr:uid="{00000000-0005-0000-0000-000069210000}"/>
    <cellStyle name="20% - Accent4 10 2 4" xfId="12114" xr:uid="{00000000-0005-0000-0000-00006A210000}"/>
    <cellStyle name="20% - Accent4 10 2 4 2" xfId="12115" xr:uid="{00000000-0005-0000-0000-00006B210000}"/>
    <cellStyle name="20% - Accent4 10 2 5" xfId="12116" xr:uid="{00000000-0005-0000-0000-00006C210000}"/>
    <cellStyle name="20% - Accent4 10 2 5 2" xfId="12117" xr:uid="{00000000-0005-0000-0000-00006D210000}"/>
    <cellStyle name="20% - Accent4 10 2 6" xfId="12118" xr:uid="{00000000-0005-0000-0000-00006E210000}"/>
    <cellStyle name="20% - Accent4 10 2 7" xfId="12119" xr:uid="{00000000-0005-0000-0000-00006F210000}"/>
    <cellStyle name="20% - Accent4 10 2 8" xfId="12120" xr:uid="{00000000-0005-0000-0000-000070210000}"/>
    <cellStyle name="20% - Accent4 10 3" xfId="12121" xr:uid="{00000000-0005-0000-0000-000071210000}"/>
    <cellStyle name="20% - Accent4 10 3 2" xfId="12122" xr:uid="{00000000-0005-0000-0000-000072210000}"/>
    <cellStyle name="20% - Accent4 10 3 2 2" xfId="12123" xr:uid="{00000000-0005-0000-0000-000073210000}"/>
    <cellStyle name="20% - Accent4 10 3 2 2 2" xfId="12124" xr:uid="{00000000-0005-0000-0000-000074210000}"/>
    <cellStyle name="20% - Accent4 10 3 2 2 2 2" xfId="12125" xr:uid="{00000000-0005-0000-0000-000075210000}"/>
    <cellStyle name="20% - Accent4 10 3 2 2 3" xfId="12126" xr:uid="{00000000-0005-0000-0000-000076210000}"/>
    <cellStyle name="20% - Accent4 10 3 2 3" xfId="12127" xr:uid="{00000000-0005-0000-0000-000077210000}"/>
    <cellStyle name="20% - Accent4 10 3 2 3 2" xfId="12128" xr:uid="{00000000-0005-0000-0000-000078210000}"/>
    <cellStyle name="20% - Accent4 10 3 2 4" xfId="12129" xr:uid="{00000000-0005-0000-0000-000079210000}"/>
    <cellStyle name="20% - Accent4 10 3 2 5" xfId="12130" xr:uid="{00000000-0005-0000-0000-00007A210000}"/>
    <cellStyle name="20% - Accent4 10 3 2 6" xfId="12131" xr:uid="{00000000-0005-0000-0000-00007B210000}"/>
    <cellStyle name="20% - Accent4 10 3 3" xfId="12132" xr:uid="{00000000-0005-0000-0000-00007C210000}"/>
    <cellStyle name="20% - Accent4 10 3 3 2" xfId="12133" xr:uid="{00000000-0005-0000-0000-00007D210000}"/>
    <cellStyle name="20% - Accent4 10 3 3 2 2" xfId="12134" xr:uid="{00000000-0005-0000-0000-00007E210000}"/>
    <cellStyle name="20% - Accent4 10 3 3 3" xfId="12135" xr:uid="{00000000-0005-0000-0000-00007F210000}"/>
    <cellStyle name="20% - Accent4 10 3 4" xfId="12136" xr:uid="{00000000-0005-0000-0000-000080210000}"/>
    <cellStyle name="20% - Accent4 10 3 4 2" xfId="12137" xr:uid="{00000000-0005-0000-0000-000081210000}"/>
    <cellStyle name="20% - Accent4 10 3 5" xfId="12138" xr:uid="{00000000-0005-0000-0000-000082210000}"/>
    <cellStyle name="20% - Accent4 10 3 6" xfId="12139" xr:uid="{00000000-0005-0000-0000-000083210000}"/>
    <cellStyle name="20% - Accent4 10 3 7" xfId="12140" xr:uid="{00000000-0005-0000-0000-000084210000}"/>
    <cellStyle name="20% - Accent4 10 4" xfId="12141" xr:uid="{00000000-0005-0000-0000-000085210000}"/>
    <cellStyle name="20% - Accent4 10 4 2" xfId="12142" xr:uid="{00000000-0005-0000-0000-000086210000}"/>
    <cellStyle name="20% - Accent4 10 4 2 2" xfId="12143" xr:uid="{00000000-0005-0000-0000-000087210000}"/>
    <cellStyle name="20% - Accent4 10 4 2 2 2" xfId="12144" xr:uid="{00000000-0005-0000-0000-000088210000}"/>
    <cellStyle name="20% - Accent4 10 4 2 3" xfId="12145" xr:uid="{00000000-0005-0000-0000-000089210000}"/>
    <cellStyle name="20% - Accent4 10 4 3" xfId="12146" xr:uid="{00000000-0005-0000-0000-00008A210000}"/>
    <cellStyle name="20% - Accent4 10 4 3 2" xfId="12147" xr:uid="{00000000-0005-0000-0000-00008B210000}"/>
    <cellStyle name="20% - Accent4 10 4 4" xfId="12148" xr:uid="{00000000-0005-0000-0000-00008C210000}"/>
    <cellStyle name="20% - Accent4 10 4 5" xfId="12149" xr:uid="{00000000-0005-0000-0000-00008D210000}"/>
    <cellStyle name="20% - Accent4 10 4 6" xfId="12150" xr:uid="{00000000-0005-0000-0000-00008E210000}"/>
    <cellStyle name="20% - Accent4 10 5" xfId="12151" xr:uid="{00000000-0005-0000-0000-00008F210000}"/>
    <cellStyle name="20% - Accent4 10 5 2" xfId="12152" xr:uid="{00000000-0005-0000-0000-000090210000}"/>
    <cellStyle name="20% - Accent4 10 5 2 2" xfId="12153" xr:uid="{00000000-0005-0000-0000-000091210000}"/>
    <cellStyle name="20% - Accent4 10 5 3" xfId="12154" xr:uid="{00000000-0005-0000-0000-000092210000}"/>
    <cellStyle name="20% - Accent4 10 6" xfId="12155" xr:uid="{00000000-0005-0000-0000-000093210000}"/>
    <cellStyle name="20% - Accent4 10 6 2" xfId="12156" xr:uid="{00000000-0005-0000-0000-000094210000}"/>
    <cellStyle name="20% - Accent4 10 6 2 2" xfId="12157" xr:uid="{00000000-0005-0000-0000-000095210000}"/>
    <cellStyle name="20% - Accent4 10 6 3" xfId="12158" xr:uid="{00000000-0005-0000-0000-000096210000}"/>
    <cellStyle name="20% - Accent4 10 7" xfId="12159" xr:uid="{00000000-0005-0000-0000-000097210000}"/>
    <cellStyle name="20% - Accent4 10 7 2" xfId="12160" xr:uid="{00000000-0005-0000-0000-000098210000}"/>
    <cellStyle name="20% - Accent4 10 8" xfId="12161" xr:uid="{00000000-0005-0000-0000-000099210000}"/>
    <cellStyle name="20% - Accent4 10 8 2" xfId="12162" xr:uid="{00000000-0005-0000-0000-00009A210000}"/>
    <cellStyle name="20% - Accent4 10 9" xfId="12163" xr:uid="{00000000-0005-0000-0000-00009B210000}"/>
    <cellStyle name="20% - Accent4 11" xfId="12164" xr:uid="{00000000-0005-0000-0000-00009C210000}"/>
    <cellStyle name="20% - Accent4 11 10" xfId="12165" xr:uid="{00000000-0005-0000-0000-00009D210000}"/>
    <cellStyle name="20% - Accent4 11 11" xfId="12166" xr:uid="{00000000-0005-0000-0000-00009E210000}"/>
    <cellStyle name="20% - Accent4 11 2" xfId="12167" xr:uid="{00000000-0005-0000-0000-00009F210000}"/>
    <cellStyle name="20% - Accent4 11 2 2" xfId="12168" xr:uid="{00000000-0005-0000-0000-0000A0210000}"/>
    <cellStyle name="20% - Accent4 11 2 2 2" xfId="12169" xr:uid="{00000000-0005-0000-0000-0000A1210000}"/>
    <cellStyle name="20% - Accent4 11 2 2 2 2" xfId="12170" xr:uid="{00000000-0005-0000-0000-0000A2210000}"/>
    <cellStyle name="20% - Accent4 11 2 2 2 2 2" xfId="12171" xr:uid="{00000000-0005-0000-0000-0000A3210000}"/>
    <cellStyle name="20% - Accent4 11 2 2 2 3" xfId="12172" xr:uid="{00000000-0005-0000-0000-0000A4210000}"/>
    <cellStyle name="20% - Accent4 11 2 2 3" xfId="12173" xr:uid="{00000000-0005-0000-0000-0000A5210000}"/>
    <cellStyle name="20% - Accent4 11 2 2 3 2" xfId="12174" xr:uid="{00000000-0005-0000-0000-0000A6210000}"/>
    <cellStyle name="20% - Accent4 11 2 2 4" xfId="12175" xr:uid="{00000000-0005-0000-0000-0000A7210000}"/>
    <cellStyle name="20% - Accent4 11 2 2 5" xfId="12176" xr:uid="{00000000-0005-0000-0000-0000A8210000}"/>
    <cellStyle name="20% - Accent4 11 2 2 6" xfId="12177" xr:uid="{00000000-0005-0000-0000-0000A9210000}"/>
    <cellStyle name="20% - Accent4 11 2 3" xfId="12178" xr:uid="{00000000-0005-0000-0000-0000AA210000}"/>
    <cellStyle name="20% - Accent4 11 2 3 2" xfId="12179" xr:uid="{00000000-0005-0000-0000-0000AB210000}"/>
    <cellStyle name="20% - Accent4 11 2 3 2 2" xfId="12180" xr:uid="{00000000-0005-0000-0000-0000AC210000}"/>
    <cellStyle name="20% - Accent4 11 2 3 3" xfId="12181" xr:uid="{00000000-0005-0000-0000-0000AD210000}"/>
    <cellStyle name="20% - Accent4 11 2 4" xfId="12182" xr:uid="{00000000-0005-0000-0000-0000AE210000}"/>
    <cellStyle name="20% - Accent4 11 2 4 2" xfId="12183" xr:uid="{00000000-0005-0000-0000-0000AF210000}"/>
    <cellStyle name="20% - Accent4 11 2 5" xfId="12184" xr:uid="{00000000-0005-0000-0000-0000B0210000}"/>
    <cellStyle name="20% - Accent4 11 2 5 2" xfId="12185" xr:uid="{00000000-0005-0000-0000-0000B1210000}"/>
    <cellStyle name="20% - Accent4 11 2 6" xfId="12186" xr:uid="{00000000-0005-0000-0000-0000B2210000}"/>
    <cellStyle name="20% - Accent4 11 2 7" xfId="12187" xr:uid="{00000000-0005-0000-0000-0000B3210000}"/>
    <cellStyle name="20% - Accent4 11 2 8" xfId="12188" xr:uid="{00000000-0005-0000-0000-0000B4210000}"/>
    <cellStyle name="20% - Accent4 11 3" xfId="12189" xr:uid="{00000000-0005-0000-0000-0000B5210000}"/>
    <cellStyle name="20% - Accent4 11 3 2" xfId="12190" xr:uid="{00000000-0005-0000-0000-0000B6210000}"/>
    <cellStyle name="20% - Accent4 11 3 2 2" xfId="12191" xr:uid="{00000000-0005-0000-0000-0000B7210000}"/>
    <cellStyle name="20% - Accent4 11 3 2 2 2" xfId="12192" xr:uid="{00000000-0005-0000-0000-0000B8210000}"/>
    <cellStyle name="20% - Accent4 11 3 2 2 2 2" xfId="12193" xr:uid="{00000000-0005-0000-0000-0000B9210000}"/>
    <cellStyle name="20% - Accent4 11 3 2 2 3" xfId="12194" xr:uid="{00000000-0005-0000-0000-0000BA210000}"/>
    <cellStyle name="20% - Accent4 11 3 2 3" xfId="12195" xr:uid="{00000000-0005-0000-0000-0000BB210000}"/>
    <cellStyle name="20% - Accent4 11 3 2 3 2" xfId="12196" xr:uid="{00000000-0005-0000-0000-0000BC210000}"/>
    <cellStyle name="20% - Accent4 11 3 2 4" xfId="12197" xr:uid="{00000000-0005-0000-0000-0000BD210000}"/>
    <cellStyle name="20% - Accent4 11 3 2 5" xfId="12198" xr:uid="{00000000-0005-0000-0000-0000BE210000}"/>
    <cellStyle name="20% - Accent4 11 3 2 6" xfId="12199" xr:uid="{00000000-0005-0000-0000-0000BF210000}"/>
    <cellStyle name="20% - Accent4 11 3 3" xfId="12200" xr:uid="{00000000-0005-0000-0000-0000C0210000}"/>
    <cellStyle name="20% - Accent4 11 3 3 2" xfId="12201" xr:uid="{00000000-0005-0000-0000-0000C1210000}"/>
    <cellStyle name="20% - Accent4 11 3 3 2 2" xfId="12202" xr:uid="{00000000-0005-0000-0000-0000C2210000}"/>
    <cellStyle name="20% - Accent4 11 3 3 3" xfId="12203" xr:uid="{00000000-0005-0000-0000-0000C3210000}"/>
    <cellStyle name="20% - Accent4 11 3 4" xfId="12204" xr:uid="{00000000-0005-0000-0000-0000C4210000}"/>
    <cellStyle name="20% - Accent4 11 3 4 2" xfId="12205" xr:uid="{00000000-0005-0000-0000-0000C5210000}"/>
    <cellStyle name="20% - Accent4 11 3 5" xfId="12206" xr:uid="{00000000-0005-0000-0000-0000C6210000}"/>
    <cellStyle name="20% - Accent4 11 3 6" xfId="12207" xr:uid="{00000000-0005-0000-0000-0000C7210000}"/>
    <cellStyle name="20% - Accent4 11 3 7" xfId="12208" xr:uid="{00000000-0005-0000-0000-0000C8210000}"/>
    <cellStyle name="20% - Accent4 11 4" xfId="12209" xr:uid="{00000000-0005-0000-0000-0000C9210000}"/>
    <cellStyle name="20% - Accent4 11 4 2" xfId="12210" xr:uid="{00000000-0005-0000-0000-0000CA210000}"/>
    <cellStyle name="20% - Accent4 11 4 2 2" xfId="12211" xr:uid="{00000000-0005-0000-0000-0000CB210000}"/>
    <cellStyle name="20% - Accent4 11 4 2 2 2" xfId="12212" xr:uid="{00000000-0005-0000-0000-0000CC210000}"/>
    <cellStyle name="20% - Accent4 11 4 2 3" xfId="12213" xr:uid="{00000000-0005-0000-0000-0000CD210000}"/>
    <cellStyle name="20% - Accent4 11 4 3" xfId="12214" xr:uid="{00000000-0005-0000-0000-0000CE210000}"/>
    <cellStyle name="20% - Accent4 11 4 3 2" xfId="12215" xr:uid="{00000000-0005-0000-0000-0000CF210000}"/>
    <cellStyle name="20% - Accent4 11 4 4" xfId="12216" xr:uid="{00000000-0005-0000-0000-0000D0210000}"/>
    <cellStyle name="20% - Accent4 11 4 5" xfId="12217" xr:uid="{00000000-0005-0000-0000-0000D1210000}"/>
    <cellStyle name="20% - Accent4 11 4 6" xfId="12218" xr:uid="{00000000-0005-0000-0000-0000D2210000}"/>
    <cellStyle name="20% - Accent4 11 5" xfId="12219" xr:uid="{00000000-0005-0000-0000-0000D3210000}"/>
    <cellStyle name="20% - Accent4 11 5 2" xfId="12220" xr:uid="{00000000-0005-0000-0000-0000D4210000}"/>
    <cellStyle name="20% - Accent4 11 5 2 2" xfId="12221" xr:uid="{00000000-0005-0000-0000-0000D5210000}"/>
    <cellStyle name="20% - Accent4 11 5 3" xfId="12222" xr:uid="{00000000-0005-0000-0000-0000D6210000}"/>
    <cellStyle name="20% - Accent4 11 6" xfId="12223" xr:uid="{00000000-0005-0000-0000-0000D7210000}"/>
    <cellStyle name="20% - Accent4 11 6 2" xfId="12224" xr:uid="{00000000-0005-0000-0000-0000D8210000}"/>
    <cellStyle name="20% - Accent4 11 6 2 2" xfId="12225" xr:uid="{00000000-0005-0000-0000-0000D9210000}"/>
    <cellStyle name="20% - Accent4 11 6 3" xfId="12226" xr:uid="{00000000-0005-0000-0000-0000DA210000}"/>
    <cellStyle name="20% - Accent4 11 7" xfId="12227" xr:uid="{00000000-0005-0000-0000-0000DB210000}"/>
    <cellStyle name="20% - Accent4 11 7 2" xfId="12228" xr:uid="{00000000-0005-0000-0000-0000DC210000}"/>
    <cellStyle name="20% - Accent4 11 8" xfId="12229" xr:uid="{00000000-0005-0000-0000-0000DD210000}"/>
    <cellStyle name="20% - Accent4 11 8 2" xfId="12230" xr:uid="{00000000-0005-0000-0000-0000DE210000}"/>
    <cellStyle name="20% - Accent4 11 9" xfId="12231" xr:uid="{00000000-0005-0000-0000-0000DF210000}"/>
    <cellStyle name="20% - Accent4 12" xfId="12232" xr:uid="{00000000-0005-0000-0000-0000E0210000}"/>
    <cellStyle name="20% - Accent4 12 2" xfId="12233" xr:uid="{00000000-0005-0000-0000-0000E1210000}"/>
    <cellStyle name="20% - Accent4 12 2 2" xfId="12234" xr:uid="{00000000-0005-0000-0000-0000E2210000}"/>
    <cellStyle name="20% - Accent4 12 2 2 2" xfId="12235" xr:uid="{00000000-0005-0000-0000-0000E3210000}"/>
    <cellStyle name="20% - Accent4 12 2 2 2 2" xfId="12236" xr:uid="{00000000-0005-0000-0000-0000E4210000}"/>
    <cellStyle name="20% - Accent4 12 2 2 2 2 2" xfId="12237" xr:uid="{00000000-0005-0000-0000-0000E5210000}"/>
    <cellStyle name="20% - Accent4 12 2 2 2 3" xfId="12238" xr:uid="{00000000-0005-0000-0000-0000E6210000}"/>
    <cellStyle name="20% - Accent4 12 2 2 3" xfId="12239" xr:uid="{00000000-0005-0000-0000-0000E7210000}"/>
    <cellStyle name="20% - Accent4 12 2 2 3 2" xfId="12240" xr:uid="{00000000-0005-0000-0000-0000E8210000}"/>
    <cellStyle name="20% - Accent4 12 2 2 4" xfId="12241" xr:uid="{00000000-0005-0000-0000-0000E9210000}"/>
    <cellStyle name="20% - Accent4 12 2 2 5" xfId="12242" xr:uid="{00000000-0005-0000-0000-0000EA210000}"/>
    <cellStyle name="20% - Accent4 12 2 2 6" xfId="12243" xr:uid="{00000000-0005-0000-0000-0000EB210000}"/>
    <cellStyle name="20% - Accent4 12 2 3" xfId="12244" xr:uid="{00000000-0005-0000-0000-0000EC210000}"/>
    <cellStyle name="20% - Accent4 12 2 3 2" xfId="12245" xr:uid="{00000000-0005-0000-0000-0000ED210000}"/>
    <cellStyle name="20% - Accent4 12 2 3 2 2" xfId="12246" xr:uid="{00000000-0005-0000-0000-0000EE210000}"/>
    <cellStyle name="20% - Accent4 12 2 3 3" xfId="12247" xr:uid="{00000000-0005-0000-0000-0000EF210000}"/>
    <cellStyle name="20% - Accent4 12 2 4" xfId="12248" xr:uid="{00000000-0005-0000-0000-0000F0210000}"/>
    <cellStyle name="20% - Accent4 12 2 4 2" xfId="12249" xr:uid="{00000000-0005-0000-0000-0000F1210000}"/>
    <cellStyle name="20% - Accent4 12 2 5" xfId="12250" xr:uid="{00000000-0005-0000-0000-0000F2210000}"/>
    <cellStyle name="20% - Accent4 12 2 6" xfId="12251" xr:uid="{00000000-0005-0000-0000-0000F3210000}"/>
    <cellStyle name="20% - Accent4 12 2 7" xfId="12252" xr:uid="{00000000-0005-0000-0000-0000F4210000}"/>
    <cellStyle name="20% - Accent4 12 3" xfId="12253" xr:uid="{00000000-0005-0000-0000-0000F5210000}"/>
    <cellStyle name="20% - Accent4 12 3 2" xfId="12254" xr:uid="{00000000-0005-0000-0000-0000F6210000}"/>
    <cellStyle name="20% - Accent4 12 3 2 2" xfId="12255" xr:uid="{00000000-0005-0000-0000-0000F7210000}"/>
    <cellStyle name="20% - Accent4 12 3 2 2 2" xfId="12256" xr:uid="{00000000-0005-0000-0000-0000F8210000}"/>
    <cellStyle name="20% - Accent4 12 3 2 2 2 2" xfId="12257" xr:uid="{00000000-0005-0000-0000-0000F9210000}"/>
    <cellStyle name="20% - Accent4 12 3 2 2 3" xfId="12258" xr:uid="{00000000-0005-0000-0000-0000FA210000}"/>
    <cellStyle name="20% - Accent4 12 3 2 3" xfId="12259" xr:uid="{00000000-0005-0000-0000-0000FB210000}"/>
    <cellStyle name="20% - Accent4 12 3 2 3 2" xfId="12260" xr:uid="{00000000-0005-0000-0000-0000FC210000}"/>
    <cellStyle name="20% - Accent4 12 3 2 4" xfId="12261" xr:uid="{00000000-0005-0000-0000-0000FD210000}"/>
    <cellStyle name="20% - Accent4 12 3 2 5" xfId="12262" xr:uid="{00000000-0005-0000-0000-0000FE210000}"/>
    <cellStyle name="20% - Accent4 12 3 2 6" xfId="12263" xr:uid="{00000000-0005-0000-0000-0000FF210000}"/>
    <cellStyle name="20% - Accent4 12 3 3" xfId="12264" xr:uid="{00000000-0005-0000-0000-000000220000}"/>
    <cellStyle name="20% - Accent4 12 3 3 2" xfId="12265" xr:uid="{00000000-0005-0000-0000-000001220000}"/>
    <cellStyle name="20% - Accent4 12 3 3 2 2" xfId="12266" xr:uid="{00000000-0005-0000-0000-000002220000}"/>
    <cellStyle name="20% - Accent4 12 3 3 3" xfId="12267" xr:uid="{00000000-0005-0000-0000-000003220000}"/>
    <cellStyle name="20% - Accent4 12 3 4" xfId="12268" xr:uid="{00000000-0005-0000-0000-000004220000}"/>
    <cellStyle name="20% - Accent4 12 3 4 2" xfId="12269" xr:uid="{00000000-0005-0000-0000-000005220000}"/>
    <cellStyle name="20% - Accent4 12 3 5" xfId="12270" xr:uid="{00000000-0005-0000-0000-000006220000}"/>
    <cellStyle name="20% - Accent4 12 3 6" xfId="12271" xr:uid="{00000000-0005-0000-0000-000007220000}"/>
    <cellStyle name="20% - Accent4 12 3 7" xfId="12272" xr:uid="{00000000-0005-0000-0000-000008220000}"/>
    <cellStyle name="20% - Accent4 12 4" xfId="12273" xr:uid="{00000000-0005-0000-0000-000009220000}"/>
    <cellStyle name="20% - Accent4 12 5" xfId="12274" xr:uid="{00000000-0005-0000-0000-00000A220000}"/>
    <cellStyle name="20% - Accent4 12 6" xfId="12275" xr:uid="{00000000-0005-0000-0000-00000B220000}"/>
    <cellStyle name="20% - Accent4 12 6 2" xfId="12276" xr:uid="{00000000-0005-0000-0000-00000C220000}"/>
    <cellStyle name="20% - Accent4 12 7" xfId="12277" xr:uid="{00000000-0005-0000-0000-00000D220000}"/>
    <cellStyle name="20% - Accent4 12 8" xfId="12278" xr:uid="{00000000-0005-0000-0000-00000E220000}"/>
    <cellStyle name="20% - Accent4 13" xfId="12279" xr:uid="{00000000-0005-0000-0000-00000F220000}"/>
    <cellStyle name="20% - Accent4 13 2" xfId="12280" xr:uid="{00000000-0005-0000-0000-000010220000}"/>
    <cellStyle name="20% - Accent4 13 2 2" xfId="12281" xr:uid="{00000000-0005-0000-0000-000011220000}"/>
    <cellStyle name="20% - Accent4 13 2 2 2" xfId="12282" xr:uid="{00000000-0005-0000-0000-000012220000}"/>
    <cellStyle name="20% - Accent4 13 2 3" xfId="12283" xr:uid="{00000000-0005-0000-0000-000013220000}"/>
    <cellStyle name="20% - Accent4 13 3" xfId="12284" xr:uid="{00000000-0005-0000-0000-000014220000}"/>
    <cellStyle name="20% - Accent4 13 3 2" xfId="12285" xr:uid="{00000000-0005-0000-0000-000015220000}"/>
    <cellStyle name="20% - Accent4 13 4" xfId="12286" xr:uid="{00000000-0005-0000-0000-000016220000}"/>
    <cellStyle name="20% - Accent4 13 5" xfId="12287" xr:uid="{00000000-0005-0000-0000-000017220000}"/>
    <cellStyle name="20% - Accent4 13 6" xfId="12288" xr:uid="{00000000-0005-0000-0000-000018220000}"/>
    <cellStyle name="20% - Accent4 14" xfId="12289" xr:uid="{00000000-0005-0000-0000-000019220000}"/>
    <cellStyle name="20% - Accent4 14 2" xfId="12290" xr:uid="{00000000-0005-0000-0000-00001A220000}"/>
    <cellStyle name="20% - Accent4 14 2 2" xfId="12291" xr:uid="{00000000-0005-0000-0000-00001B220000}"/>
    <cellStyle name="20% - Accent4 14 2 2 2" xfId="12292" xr:uid="{00000000-0005-0000-0000-00001C220000}"/>
    <cellStyle name="20% - Accent4 14 2 3" xfId="12293" xr:uid="{00000000-0005-0000-0000-00001D220000}"/>
    <cellStyle name="20% - Accent4 14 3" xfId="12294" xr:uid="{00000000-0005-0000-0000-00001E220000}"/>
    <cellStyle name="20% - Accent4 14 3 2" xfId="12295" xr:uid="{00000000-0005-0000-0000-00001F220000}"/>
    <cellStyle name="20% - Accent4 14 4" xfId="12296" xr:uid="{00000000-0005-0000-0000-000020220000}"/>
    <cellStyle name="20% - Accent4 15" xfId="12297" xr:uid="{00000000-0005-0000-0000-000021220000}"/>
    <cellStyle name="20% - Accent4 15 2" xfId="12298" xr:uid="{00000000-0005-0000-0000-000022220000}"/>
    <cellStyle name="20% - Accent4 15 2 2" xfId="12299" xr:uid="{00000000-0005-0000-0000-000023220000}"/>
    <cellStyle name="20% - Accent4 15 2 2 2" xfId="12300" xr:uid="{00000000-0005-0000-0000-000024220000}"/>
    <cellStyle name="20% - Accent4 15 2 3" xfId="12301" xr:uid="{00000000-0005-0000-0000-000025220000}"/>
    <cellStyle name="20% - Accent4 15 3" xfId="12302" xr:uid="{00000000-0005-0000-0000-000026220000}"/>
    <cellStyle name="20% - Accent4 15 3 2" xfId="12303" xr:uid="{00000000-0005-0000-0000-000027220000}"/>
    <cellStyle name="20% - Accent4 15 4" xfId="12304" xr:uid="{00000000-0005-0000-0000-000028220000}"/>
    <cellStyle name="20% - Accent4 16" xfId="12305" xr:uid="{00000000-0005-0000-0000-000029220000}"/>
    <cellStyle name="20% - Accent4 16 2" xfId="12306" xr:uid="{00000000-0005-0000-0000-00002A220000}"/>
    <cellStyle name="20% - Accent4 16 2 2" xfId="12307" xr:uid="{00000000-0005-0000-0000-00002B220000}"/>
    <cellStyle name="20% - Accent4 16 3" xfId="12308" xr:uid="{00000000-0005-0000-0000-00002C220000}"/>
    <cellStyle name="20% - Accent4 17" xfId="12309" xr:uid="{00000000-0005-0000-0000-00002D220000}"/>
    <cellStyle name="20% - Accent4 18" xfId="12310" xr:uid="{00000000-0005-0000-0000-00002E220000}"/>
    <cellStyle name="20% - Accent4 19" xfId="12311" xr:uid="{00000000-0005-0000-0000-00002F220000}"/>
    <cellStyle name="20% - Accent4 2" xfId="176" xr:uid="{00000000-0005-0000-0000-000030220000}"/>
    <cellStyle name="20% - Accent4 2 2" xfId="12312" xr:uid="{00000000-0005-0000-0000-000031220000}"/>
    <cellStyle name="20% - Accent4 2 2 10" xfId="12313" xr:uid="{00000000-0005-0000-0000-000032220000}"/>
    <cellStyle name="20% - Accent4 2 2 10 2" xfId="12314" xr:uid="{00000000-0005-0000-0000-000033220000}"/>
    <cellStyle name="20% - Accent4 2 2 10 2 2" xfId="12315" xr:uid="{00000000-0005-0000-0000-000034220000}"/>
    <cellStyle name="20% - Accent4 2 2 10 3" xfId="12316" xr:uid="{00000000-0005-0000-0000-000035220000}"/>
    <cellStyle name="20% - Accent4 2 2 11" xfId="12317" xr:uid="{00000000-0005-0000-0000-000036220000}"/>
    <cellStyle name="20% - Accent4 2 2 11 2" xfId="12318" xr:uid="{00000000-0005-0000-0000-000037220000}"/>
    <cellStyle name="20% - Accent4 2 2 11 2 2" xfId="12319" xr:uid="{00000000-0005-0000-0000-000038220000}"/>
    <cellStyle name="20% - Accent4 2 2 11 3" xfId="12320" xr:uid="{00000000-0005-0000-0000-000039220000}"/>
    <cellStyle name="20% - Accent4 2 2 12" xfId="12321" xr:uid="{00000000-0005-0000-0000-00003A220000}"/>
    <cellStyle name="20% - Accent4 2 2 12 2" xfId="12322" xr:uid="{00000000-0005-0000-0000-00003B220000}"/>
    <cellStyle name="20% - Accent4 2 2 12 2 2" xfId="12323" xr:uid="{00000000-0005-0000-0000-00003C220000}"/>
    <cellStyle name="20% - Accent4 2 2 12 3" xfId="12324" xr:uid="{00000000-0005-0000-0000-00003D220000}"/>
    <cellStyle name="20% - Accent4 2 2 13" xfId="12325" xr:uid="{00000000-0005-0000-0000-00003E220000}"/>
    <cellStyle name="20% - Accent4 2 2 13 2" xfId="12326" xr:uid="{00000000-0005-0000-0000-00003F220000}"/>
    <cellStyle name="20% - Accent4 2 2 14" xfId="12327" xr:uid="{00000000-0005-0000-0000-000040220000}"/>
    <cellStyle name="20% - Accent4 2 2 15" xfId="12328" xr:uid="{00000000-0005-0000-0000-000041220000}"/>
    <cellStyle name="20% - Accent4 2 2 16" xfId="12329" xr:uid="{00000000-0005-0000-0000-000042220000}"/>
    <cellStyle name="20% - Accent4 2 2 2" xfId="12330" xr:uid="{00000000-0005-0000-0000-000043220000}"/>
    <cellStyle name="20% - Accent4 2 2 2 10" xfId="12331" xr:uid="{00000000-0005-0000-0000-000044220000}"/>
    <cellStyle name="20% - Accent4 2 2 2 11" xfId="12332" xr:uid="{00000000-0005-0000-0000-000045220000}"/>
    <cellStyle name="20% - Accent4 2 2 2 2" xfId="12333" xr:uid="{00000000-0005-0000-0000-000046220000}"/>
    <cellStyle name="20% - Accent4 2 2 2 2 2" xfId="12334" xr:uid="{00000000-0005-0000-0000-000047220000}"/>
    <cellStyle name="20% - Accent4 2 2 2 2 2 2" xfId="12335" xr:uid="{00000000-0005-0000-0000-000048220000}"/>
    <cellStyle name="20% - Accent4 2 2 2 2 2 2 2" xfId="12336" xr:uid="{00000000-0005-0000-0000-000049220000}"/>
    <cellStyle name="20% - Accent4 2 2 2 2 2 2 2 2" xfId="12337" xr:uid="{00000000-0005-0000-0000-00004A220000}"/>
    <cellStyle name="20% - Accent4 2 2 2 2 2 2 3" xfId="12338" xr:uid="{00000000-0005-0000-0000-00004B220000}"/>
    <cellStyle name="20% - Accent4 2 2 2 2 2 3" xfId="12339" xr:uid="{00000000-0005-0000-0000-00004C220000}"/>
    <cellStyle name="20% - Accent4 2 2 2 2 2 3 2" xfId="12340" xr:uid="{00000000-0005-0000-0000-00004D220000}"/>
    <cellStyle name="20% - Accent4 2 2 2 2 2 4" xfId="12341" xr:uid="{00000000-0005-0000-0000-00004E220000}"/>
    <cellStyle name="20% - Accent4 2 2 2 2 2 5" xfId="12342" xr:uid="{00000000-0005-0000-0000-00004F220000}"/>
    <cellStyle name="20% - Accent4 2 2 2 2 2 6" xfId="12343" xr:uid="{00000000-0005-0000-0000-000050220000}"/>
    <cellStyle name="20% - Accent4 2 2 2 2 3" xfId="12344" xr:uid="{00000000-0005-0000-0000-000051220000}"/>
    <cellStyle name="20% - Accent4 2 2 2 2 3 2" xfId="12345" xr:uid="{00000000-0005-0000-0000-000052220000}"/>
    <cellStyle name="20% - Accent4 2 2 2 2 3 2 2" xfId="12346" xr:uid="{00000000-0005-0000-0000-000053220000}"/>
    <cellStyle name="20% - Accent4 2 2 2 2 3 3" xfId="12347" xr:uid="{00000000-0005-0000-0000-000054220000}"/>
    <cellStyle name="20% - Accent4 2 2 2 2 4" xfId="12348" xr:uid="{00000000-0005-0000-0000-000055220000}"/>
    <cellStyle name="20% - Accent4 2 2 2 2 4 2" xfId="12349" xr:uid="{00000000-0005-0000-0000-000056220000}"/>
    <cellStyle name="20% - Accent4 2 2 2 2 5" xfId="12350" xr:uid="{00000000-0005-0000-0000-000057220000}"/>
    <cellStyle name="20% - Accent4 2 2 2 2 5 2" xfId="12351" xr:uid="{00000000-0005-0000-0000-000058220000}"/>
    <cellStyle name="20% - Accent4 2 2 2 2 6" xfId="12352" xr:uid="{00000000-0005-0000-0000-000059220000}"/>
    <cellStyle name="20% - Accent4 2 2 2 2 7" xfId="12353" xr:uid="{00000000-0005-0000-0000-00005A220000}"/>
    <cellStyle name="20% - Accent4 2 2 2 2 8" xfId="12354" xr:uid="{00000000-0005-0000-0000-00005B220000}"/>
    <cellStyle name="20% - Accent4 2 2 2 3" xfId="12355" xr:uid="{00000000-0005-0000-0000-00005C220000}"/>
    <cellStyle name="20% - Accent4 2 2 2 3 2" xfId="12356" xr:uid="{00000000-0005-0000-0000-00005D220000}"/>
    <cellStyle name="20% - Accent4 2 2 2 3 2 2" xfId="12357" xr:uid="{00000000-0005-0000-0000-00005E220000}"/>
    <cellStyle name="20% - Accent4 2 2 2 3 2 2 2" xfId="12358" xr:uid="{00000000-0005-0000-0000-00005F220000}"/>
    <cellStyle name="20% - Accent4 2 2 2 3 2 2 2 2" xfId="12359" xr:uid="{00000000-0005-0000-0000-000060220000}"/>
    <cellStyle name="20% - Accent4 2 2 2 3 2 2 3" xfId="12360" xr:uid="{00000000-0005-0000-0000-000061220000}"/>
    <cellStyle name="20% - Accent4 2 2 2 3 2 3" xfId="12361" xr:uid="{00000000-0005-0000-0000-000062220000}"/>
    <cellStyle name="20% - Accent4 2 2 2 3 2 3 2" xfId="12362" xr:uid="{00000000-0005-0000-0000-000063220000}"/>
    <cellStyle name="20% - Accent4 2 2 2 3 2 4" xfId="12363" xr:uid="{00000000-0005-0000-0000-000064220000}"/>
    <cellStyle name="20% - Accent4 2 2 2 3 2 5" xfId="12364" xr:uid="{00000000-0005-0000-0000-000065220000}"/>
    <cellStyle name="20% - Accent4 2 2 2 3 2 6" xfId="12365" xr:uid="{00000000-0005-0000-0000-000066220000}"/>
    <cellStyle name="20% - Accent4 2 2 2 3 3" xfId="12366" xr:uid="{00000000-0005-0000-0000-000067220000}"/>
    <cellStyle name="20% - Accent4 2 2 2 3 3 2" xfId="12367" xr:uid="{00000000-0005-0000-0000-000068220000}"/>
    <cellStyle name="20% - Accent4 2 2 2 3 3 2 2" xfId="12368" xr:uid="{00000000-0005-0000-0000-000069220000}"/>
    <cellStyle name="20% - Accent4 2 2 2 3 3 3" xfId="12369" xr:uid="{00000000-0005-0000-0000-00006A220000}"/>
    <cellStyle name="20% - Accent4 2 2 2 3 4" xfId="12370" xr:uid="{00000000-0005-0000-0000-00006B220000}"/>
    <cellStyle name="20% - Accent4 2 2 2 3 4 2" xfId="12371" xr:uid="{00000000-0005-0000-0000-00006C220000}"/>
    <cellStyle name="20% - Accent4 2 2 2 3 5" xfId="12372" xr:uid="{00000000-0005-0000-0000-00006D220000}"/>
    <cellStyle name="20% - Accent4 2 2 2 3 6" xfId="12373" xr:uid="{00000000-0005-0000-0000-00006E220000}"/>
    <cellStyle name="20% - Accent4 2 2 2 3 7" xfId="12374" xr:uid="{00000000-0005-0000-0000-00006F220000}"/>
    <cellStyle name="20% - Accent4 2 2 2 4" xfId="12375" xr:uid="{00000000-0005-0000-0000-000070220000}"/>
    <cellStyle name="20% - Accent4 2 2 2 4 2" xfId="12376" xr:uid="{00000000-0005-0000-0000-000071220000}"/>
    <cellStyle name="20% - Accent4 2 2 2 4 2 2" xfId="12377" xr:uid="{00000000-0005-0000-0000-000072220000}"/>
    <cellStyle name="20% - Accent4 2 2 2 4 2 2 2" xfId="12378" xr:uid="{00000000-0005-0000-0000-000073220000}"/>
    <cellStyle name="20% - Accent4 2 2 2 4 2 3" xfId="12379" xr:uid="{00000000-0005-0000-0000-000074220000}"/>
    <cellStyle name="20% - Accent4 2 2 2 4 3" xfId="12380" xr:uid="{00000000-0005-0000-0000-000075220000}"/>
    <cellStyle name="20% - Accent4 2 2 2 4 3 2" xfId="12381" xr:uid="{00000000-0005-0000-0000-000076220000}"/>
    <cellStyle name="20% - Accent4 2 2 2 4 4" xfId="12382" xr:uid="{00000000-0005-0000-0000-000077220000}"/>
    <cellStyle name="20% - Accent4 2 2 2 4 5" xfId="12383" xr:uid="{00000000-0005-0000-0000-000078220000}"/>
    <cellStyle name="20% - Accent4 2 2 2 4 6" xfId="12384" xr:uid="{00000000-0005-0000-0000-000079220000}"/>
    <cellStyle name="20% - Accent4 2 2 2 5" xfId="12385" xr:uid="{00000000-0005-0000-0000-00007A220000}"/>
    <cellStyle name="20% - Accent4 2 2 2 5 2" xfId="12386" xr:uid="{00000000-0005-0000-0000-00007B220000}"/>
    <cellStyle name="20% - Accent4 2 2 2 5 2 2" xfId="12387" xr:uid="{00000000-0005-0000-0000-00007C220000}"/>
    <cellStyle name="20% - Accent4 2 2 2 5 3" xfId="12388" xr:uid="{00000000-0005-0000-0000-00007D220000}"/>
    <cellStyle name="20% - Accent4 2 2 2 6" xfId="12389" xr:uid="{00000000-0005-0000-0000-00007E220000}"/>
    <cellStyle name="20% - Accent4 2 2 2 6 2" xfId="12390" xr:uid="{00000000-0005-0000-0000-00007F220000}"/>
    <cellStyle name="20% - Accent4 2 2 2 6 2 2" xfId="12391" xr:uid="{00000000-0005-0000-0000-000080220000}"/>
    <cellStyle name="20% - Accent4 2 2 2 6 3" xfId="12392" xr:uid="{00000000-0005-0000-0000-000081220000}"/>
    <cellStyle name="20% - Accent4 2 2 2 7" xfId="12393" xr:uid="{00000000-0005-0000-0000-000082220000}"/>
    <cellStyle name="20% - Accent4 2 2 2 7 2" xfId="12394" xr:uid="{00000000-0005-0000-0000-000083220000}"/>
    <cellStyle name="20% - Accent4 2 2 2 8" xfId="12395" xr:uid="{00000000-0005-0000-0000-000084220000}"/>
    <cellStyle name="20% - Accent4 2 2 2 8 2" xfId="12396" xr:uid="{00000000-0005-0000-0000-000085220000}"/>
    <cellStyle name="20% - Accent4 2 2 2 9" xfId="12397" xr:uid="{00000000-0005-0000-0000-000086220000}"/>
    <cellStyle name="20% - Accent4 2 2 3" xfId="12398" xr:uid="{00000000-0005-0000-0000-000087220000}"/>
    <cellStyle name="20% - Accent4 2 2 3 10" xfId="12399" xr:uid="{00000000-0005-0000-0000-000088220000}"/>
    <cellStyle name="20% - Accent4 2 2 3 11" xfId="12400" xr:uid="{00000000-0005-0000-0000-000089220000}"/>
    <cellStyle name="20% - Accent4 2 2 3 2" xfId="12401" xr:uid="{00000000-0005-0000-0000-00008A220000}"/>
    <cellStyle name="20% - Accent4 2 2 3 2 2" xfId="12402" xr:uid="{00000000-0005-0000-0000-00008B220000}"/>
    <cellStyle name="20% - Accent4 2 2 3 2 2 2" xfId="12403" xr:uid="{00000000-0005-0000-0000-00008C220000}"/>
    <cellStyle name="20% - Accent4 2 2 3 2 2 2 2" xfId="12404" xr:uid="{00000000-0005-0000-0000-00008D220000}"/>
    <cellStyle name="20% - Accent4 2 2 3 2 2 2 2 2" xfId="12405" xr:uid="{00000000-0005-0000-0000-00008E220000}"/>
    <cellStyle name="20% - Accent4 2 2 3 2 2 2 3" xfId="12406" xr:uid="{00000000-0005-0000-0000-00008F220000}"/>
    <cellStyle name="20% - Accent4 2 2 3 2 2 3" xfId="12407" xr:uid="{00000000-0005-0000-0000-000090220000}"/>
    <cellStyle name="20% - Accent4 2 2 3 2 2 3 2" xfId="12408" xr:uid="{00000000-0005-0000-0000-000091220000}"/>
    <cellStyle name="20% - Accent4 2 2 3 2 2 4" xfId="12409" xr:uid="{00000000-0005-0000-0000-000092220000}"/>
    <cellStyle name="20% - Accent4 2 2 3 2 2 5" xfId="12410" xr:uid="{00000000-0005-0000-0000-000093220000}"/>
    <cellStyle name="20% - Accent4 2 2 3 2 2 6" xfId="12411" xr:uid="{00000000-0005-0000-0000-000094220000}"/>
    <cellStyle name="20% - Accent4 2 2 3 2 3" xfId="12412" xr:uid="{00000000-0005-0000-0000-000095220000}"/>
    <cellStyle name="20% - Accent4 2 2 3 2 3 2" xfId="12413" xr:uid="{00000000-0005-0000-0000-000096220000}"/>
    <cellStyle name="20% - Accent4 2 2 3 2 3 2 2" xfId="12414" xr:uid="{00000000-0005-0000-0000-000097220000}"/>
    <cellStyle name="20% - Accent4 2 2 3 2 3 3" xfId="12415" xr:uid="{00000000-0005-0000-0000-000098220000}"/>
    <cellStyle name="20% - Accent4 2 2 3 2 4" xfId="12416" xr:uid="{00000000-0005-0000-0000-000099220000}"/>
    <cellStyle name="20% - Accent4 2 2 3 2 4 2" xfId="12417" xr:uid="{00000000-0005-0000-0000-00009A220000}"/>
    <cellStyle name="20% - Accent4 2 2 3 2 5" xfId="12418" xr:uid="{00000000-0005-0000-0000-00009B220000}"/>
    <cellStyle name="20% - Accent4 2 2 3 2 5 2" xfId="12419" xr:uid="{00000000-0005-0000-0000-00009C220000}"/>
    <cellStyle name="20% - Accent4 2 2 3 2 6" xfId="12420" xr:uid="{00000000-0005-0000-0000-00009D220000}"/>
    <cellStyle name="20% - Accent4 2 2 3 2 7" xfId="12421" xr:uid="{00000000-0005-0000-0000-00009E220000}"/>
    <cellStyle name="20% - Accent4 2 2 3 2 8" xfId="12422" xr:uid="{00000000-0005-0000-0000-00009F220000}"/>
    <cellStyle name="20% - Accent4 2 2 3 3" xfId="12423" xr:uid="{00000000-0005-0000-0000-0000A0220000}"/>
    <cellStyle name="20% - Accent4 2 2 3 3 2" xfId="12424" xr:uid="{00000000-0005-0000-0000-0000A1220000}"/>
    <cellStyle name="20% - Accent4 2 2 3 3 2 2" xfId="12425" xr:uid="{00000000-0005-0000-0000-0000A2220000}"/>
    <cellStyle name="20% - Accent4 2 2 3 3 2 2 2" xfId="12426" xr:uid="{00000000-0005-0000-0000-0000A3220000}"/>
    <cellStyle name="20% - Accent4 2 2 3 3 2 2 2 2" xfId="12427" xr:uid="{00000000-0005-0000-0000-0000A4220000}"/>
    <cellStyle name="20% - Accent4 2 2 3 3 2 2 3" xfId="12428" xr:uid="{00000000-0005-0000-0000-0000A5220000}"/>
    <cellStyle name="20% - Accent4 2 2 3 3 2 3" xfId="12429" xr:uid="{00000000-0005-0000-0000-0000A6220000}"/>
    <cellStyle name="20% - Accent4 2 2 3 3 2 3 2" xfId="12430" xr:uid="{00000000-0005-0000-0000-0000A7220000}"/>
    <cellStyle name="20% - Accent4 2 2 3 3 2 4" xfId="12431" xr:uid="{00000000-0005-0000-0000-0000A8220000}"/>
    <cellStyle name="20% - Accent4 2 2 3 3 2 5" xfId="12432" xr:uid="{00000000-0005-0000-0000-0000A9220000}"/>
    <cellStyle name="20% - Accent4 2 2 3 3 2 6" xfId="12433" xr:uid="{00000000-0005-0000-0000-0000AA220000}"/>
    <cellStyle name="20% - Accent4 2 2 3 3 3" xfId="12434" xr:uid="{00000000-0005-0000-0000-0000AB220000}"/>
    <cellStyle name="20% - Accent4 2 2 3 3 3 2" xfId="12435" xr:uid="{00000000-0005-0000-0000-0000AC220000}"/>
    <cellStyle name="20% - Accent4 2 2 3 3 3 2 2" xfId="12436" xr:uid="{00000000-0005-0000-0000-0000AD220000}"/>
    <cellStyle name="20% - Accent4 2 2 3 3 3 3" xfId="12437" xr:uid="{00000000-0005-0000-0000-0000AE220000}"/>
    <cellStyle name="20% - Accent4 2 2 3 3 4" xfId="12438" xr:uid="{00000000-0005-0000-0000-0000AF220000}"/>
    <cellStyle name="20% - Accent4 2 2 3 3 4 2" xfId="12439" xr:uid="{00000000-0005-0000-0000-0000B0220000}"/>
    <cellStyle name="20% - Accent4 2 2 3 3 5" xfId="12440" xr:uid="{00000000-0005-0000-0000-0000B1220000}"/>
    <cellStyle name="20% - Accent4 2 2 3 3 6" xfId="12441" xr:uid="{00000000-0005-0000-0000-0000B2220000}"/>
    <cellStyle name="20% - Accent4 2 2 3 3 7" xfId="12442" xr:uid="{00000000-0005-0000-0000-0000B3220000}"/>
    <cellStyle name="20% - Accent4 2 2 3 4" xfId="12443" xr:uid="{00000000-0005-0000-0000-0000B4220000}"/>
    <cellStyle name="20% - Accent4 2 2 3 4 2" xfId="12444" xr:uid="{00000000-0005-0000-0000-0000B5220000}"/>
    <cellStyle name="20% - Accent4 2 2 3 4 2 2" xfId="12445" xr:uid="{00000000-0005-0000-0000-0000B6220000}"/>
    <cellStyle name="20% - Accent4 2 2 3 4 2 2 2" xfId="12446" xr:uid="{00000000-0005-0000-0000-0000B7220000}"/>
    <cellStyle name="20% - Accent4 2 2 3 4 2 3" xfId="12447" xr:uid="{00000000-0005-0000-0000-0000B8220000}"/>
    <cellStyle name="20% - Accent4 2 2 3 4 3" xfId="12448" xr:uid="{00000000-0005-0000-0000-0000B9220000}"/>
    <cellStyle name="20% - Accent4 2 2 3 4 3 2" xfId="12449" xr:uid="{00000000-0005-0000-0000-0000BA220000}"/>
    <cellStyle name="20% - Accent4 2 2 3 4 4" xfId="12450" xr:uid="{00000000-0005-0000-0000-0000BB220000}"/>
    <cellStyle name="20% - Accent4 2 2 3 4 5" xfId="12451" xr:uid="{00000000-0005-0000-0000-0000BC220000}"/>
    <cellStyle name="20% - Accent4 2 2 3 4 6" xfId="12452" xr:uid="{00000000-0005-0000-0000-0000BD220000}"/>
    <cellStyle name="20% - Accent4 2 2 3 5" xfId="12453" xr:uid="{00000000-0005-0000-0000-0000BE220000}"/>
    <cellStyle name="20% - Accent4 2 2 3 5 2" xfId="12454" xr:uid="{00000000-0005-0000-0000-0000BF220000}"/>
    <cellStyle name="20% - Accent4 2 2 3 5 2 2" xfId="12455" xr:uid="{00000000-0005-0000-0000-0000C0220000}"/>
    <cellStyle name="20% - Accent4 2 2 3 5 3" xfId="12456" xr:uid="{00000000-0005-0000-0000-0000C1220000}"/>
    <cellStyle name="20% - Accent4 2 2 3 6" xfId="12457" xr:uid="{00000000-0005-0000-0000-0000C2220000}"/>
    <cellStyle name="20% - Accent4 2 2 3 6 2" xfId="12458" xr:uid="{00000000-0005-0000-0000-0000C3220000}"/>
    <cellStyle name="20% - Accent4 2 2 3 6 2 2" xfId="12459" xr:uid="{00000000-0005-0000-0000-0000C4220000}"/>
    <cellStyle name="20% - Accent4 2 2 3 6 3" xfId="12460" xr:uid="{00000000-0005-0000-0000-0000C5220000}"/>
    <cellStyle name="20% - Accent4 2 2 3 7" xfId="12461" xr:uid="{00000000-0005-0000-0000-0000C6220000}"/>
    <cellStyle name="20% - Accent4 2 2 3 7 2" xfId="12462" xr:uid="{00000000-0005-0000-0000-0000C7220000}"/>
    <cellStyle name="20% - Accent4 2 2 3 8" xfId="12463" xr:uid="{00000000-0005-0000-0000-0000C8220000}"/>
    <cellStyle name="20% - Accent4 2 2 3 8 2" xfId="12464" xr:uid="{00000000-0005-0000-0000-0000C9220000}"/>
    <cellStyle name="20% - Accent4 2 2 3 9" xfId="12465" xr:uid="{00000000-0005-0000-0000-0000CA220000}"/>
    <cellStyle name="20% - Accent4 2 2 4" xfId="12466" xr:uid="{00000000-0005-0000-0000-0000CB220000}"/>
    <cellStyle name="20% - Accent4 2 2 4 10" xfId="12467" xr:uid="{00000000-0005-0000-0000-0000CC220000}"/>
    <cellStyle name="20% - Accent4 2 2 4 11" xfId="12468" xr:uid="{00000000-0005-0000-0000-0000CD220000}"/>
    <cellStyle name="20% - Accent4 2 2 4 2" xfId="12469" xr:uid="{00000000-0005-0000-0000-0000CE220000}"/>
    <cellStyle name="20% - Accent4 2 2 4 2 2" xfId="12470" xr:uid="{00000000-0005-0000-0000-0000CF220000}"/>
    <cellStyle name="20% - Accent4 2 2 4 2 2 2" xfId="12471" xr:uid="{00000000-0005-0000-0000-0000D0220000}"/>
    <cellStyle name="20% - Accent4 2 2 4 2 2 2 2" xfId="12472" xr:uid="{00000000-0005-0000-0000-0000D1220000}"/>
    <cellStyle name="20% - Accent4 2 2 4 2 2 2 2 2" xfId="12473" xr:uid="{00000000-0005-0000-0000-0000D2220000}"/>
    <cellStyle name="20% - Accent4 2 2 4 2 2 2 3" xfId="12474" xr:uid="{00000000-0005-0000-0000-0000D3220000}"/>
    <cellStyle name="20% - Accent4 2 2 4 2 2 3" xfId="12475" xr:uid="{00000000-0005-0000-0000-0000D4220000}"/>
    <cellStyle name="20% - Accent4 2 2 4 2 2 3 2" xfId="12476" xr:uid="{00000000-0005-0000-0000-0000D5220000}"/>
    <cellStyle name="20% - Accent4 2 2 4 2 2 4" xfId="12477" xr:uid="{00000000-0005-0000-0000-0000D6220000}"/>
    <cellStyle name="20% - Accent4 2 2 4 2 2 5" xfId="12478" xr:uid="{00000000-0005-0000-0000-0000D7220000}"/>
    <cellStyle name="20% - Accent4 2 2 4 2 2 6" xfId="12479" xr:uid="{00000000-0005-0000-0000-0000D8220000}"/>
    <cellStyle name="20% - Accent4 2 2 4 2 3" xfId="12480" xr:uid="{00000000-0005-0000-0000-0000D9220000}"/>
    <cellStyle name="20% - Accent4 2 2 4 2 3 2" xfId="12481" xr:uid="{00000000-0005-0000-0000-0000DA220000}"/>
    <cellStyle name="20% - Accent4 2 2 4 2 3 2 2" xfId="12482" xr:uid="{00000000-0005-0000-0000-0000DB220000}"/>
    <cellStyle name="20% - Accent4 2 2 4 2 3 3" xfId="12483" xr:uid="{00000000-0005-0000-0000-0000DC220000}"/>
    <cellStyle name="20% - Accent4 2 2 4 2 4" xfId="12484" xr:uid="{00000000-0005-0000-0000-0000DD220000}"/>
    <cellStyle name="20% - Accent4 2 2 4 2 4 2" xfId="12485" xr:uid="{00000000-0005-0000-0000-0000DE220000}"/>
    <cellStyle name="20% - Accent4 2 2 4 2 5" xfId="12486" xr:uid="{00000000-0005-0000-0000-0000DF220000}"/>
    <cellStyle name="20% - Accent4 2 2 4 2 5 2" xfId="12487" xr:uid="{00000000-0005-0000-0000-0000E0220000}"/>
    <cellStyle name="20% - Accent4 2 2 4 2 6" xfId="12488" xr:uid="{00000000-0005-0000-0000-0000E1220000}"/>
    <cellStyle name="20% - Accent4 2 2 4 2 7" xfId="12489" xr:uid="{00000000-0005-0000-0000-0000E2220000}"/>
    <cellStyle name="20% - Accent4 2 2 4 2 8" xfId="12490" xr:uid="{00000000-0005-0000-0000-0000E3220000}"/>
    <cellStyle name="20% - Accent4 2 2 4 3" xfId="12491" xr:uid="{00000000-0005-0000-0000-0000E4220000}"/>
    <cellStyle name="20% - Accent4 2 2 4 3 2" xfId="12492" xr:uid="{00000000-0005-0000-0000-0000E5220000}"/>
    <cellStyle name="20% - Accent4 2 2 4 3 2 2" xfId="12493" xr:uid="{00000000-0005-0000-0000-0000E6220000}"/>
    <cellStyle name="20% - Accent4 2 2 4 3 2 2 2" xfId="12494" xr:uid="{00000000-0005-0000-0000-0000E7220000}"/>
    <cellStyle name="20% - Accent4 2 2 4 3 2 2 2 2" xfId="12495" xr:uid="{00000000-0005-0000-0000-0000E8220000}"/>
    <cellStyle name="20% - Accent4 2 2 4 3 2 2 3" xfId="12496" xr:uid="{00000000-0005-0000-0000-0000E9220000}"/>
    <cellStyle name="20% - Accent4 2 2 4 3 2 3" xfId="12497" xr:uid="{00000000-0005-0000-0000-0000EA220000}"/>
    <cellStyle name="20% - Accent4 2 2 4 3 2 3 2" xfId="12498" xr:uid="{00000000-0005-0000-0000-0000EB220000}"/>
    <cellStyle name="20% - Accent4 2 2 4 3 2 4" xfId="12499" xr:uid="{00000000-0005-0000-0000-0000EC220000}"/>
    <cellStyle name="20% - Accent4 2 2 4 3 2 5" xfId="12500" xr:uid="{00000000-0005-0000-0000-0000ED220000}"/>
    <cellStyle name="20% - Accent4 2 2 4 3 2 6" xfId="12501" xr:uid="{00000000-0005-0000-0000-0000EE220000}"/>
    <cellStyle name="20% - Accent4 2 2 4 3 3" xfId="12502" xr:uid="{00000000-0005-0000-0000-0000EF220000}"/>
    <cellStyle name="20% - Accent4 2 2 4 3 3 2" xfId="12503" xr:uid="{00000000-0005-0000-0000-0000F0220000}"/>
    <cellStyle name="20% - Accent4 2 2 4 3 3 2 2" xfId="12504" xr:uid="{00000000-0005-0000-0000-0000F1220000}"/>
    <cellStyle name="20% - Accent4 2 2 4 3 3 3" xfId="12505" xr:uid="{00000000-0005-0000-0000-0000F2220000}"/>
    <cellStyle name="20% - Accent4 2 2 4 3 4" xfId="12506" xr:uid="{00000000-0005-0000-0000-0000F3220000}"/>
    <cellStyle name="20% - Accent4 2 2 4 3 4 2" xfId="12507" xr:uid="{00000000-0005-0000-0000-0000F4220000}"/>
    <cellStyle name="20% - Accent4 2 2 4 3 5" xfId="12508" xr:uid="{00000000-0005-0000-0000-0000F5220000}"/>
    <cellStyle name="20% - Accent4 2 2 4 3 6" xfId="12509" xr:uid="{00000000-0005-0000-0000-0000F6220000}"/>
    <cellStyle name="20% - Accent4 2 2 4 3 7" xfId="12510" xr:uid="{00000000-0005-0000-0000-0000F7220000}"/>
    <cellStyle name="20% - Accent4 2 2 4 4" xfId="12511" xr:uid="{00000000-0005-0000-0000-0000F8220000}"/>
    <cellStyle name="20% - Accent4 2 2 4 4 2" xfId="12512" xr:uid="{00000000-0005-0000-0000-0000F9220000}"/>
    <cellStyle name="20% - Accent4 2 2 4 4 2 2" xfId="12513" xr:uid="{00000000-0005-0000-0000-0000FA220000}"/>
    <cellStyle name="20% - Accent4 2 2 4 4 2 2 2" xfId="12514" xr:uid="{00000000-0005-0000-0000-0000FB220000}"/>
    <cellStyle name="20% - Accent4 2 2 4 4 2 3" xfId="12515" xr:uid="{00000000-0005-0000-0000-0000FC220000}"/>
    <cellStyle name="20% - Accent4 2 2 4 4 3" xfId="12516" xr:uid="{00000000-0005-0000-0000-0000FD220000}"/>
    <cellStyle name="20% - Accent4 2 2 4 4 3 2" xfId="12517" xr:uid="{00000000-0005-0000-0000-0000FE220000}"/>
    <cellStyle name="20% - Accent4 2 2 4 4 4" xfId="12518" xr:uid="{00000000-0005-0000-0000-0000FF220000}"/>
    <cellStyle name="20% - Accent4 2 2 4 4 5" xfId="12519" xr:uid="{00000000-0005-0000-0000-000000230000}"/>
    <cellStyle name="20% - Accent4 2 2 4 4 6" xfId="12520" xr:uid="{00000000-0005-0000-0000-000001230000}"/>
    <cellStyle name="20% - Accent4 2 2 4 5" xfId="12521" xr:uid="{00000000-0005-0000-0000-000002230000}"/>
    <cellStyle name="20% - Accent4 2 2 4 5 2" xfId="12522" xr:uid="{00000000-0005-0000-0000-000003230000}"/>
    <cellStyle name="20% - Accent4 2 2 4 5 2 2" xfId="12523" xr:uid="{00000000-0005-0000-0000-000004230000}"/>
    <cellStyle name="20% - Accent4 2 2 4 5 3" xfId="12524" xr:uid="{00000000-0005-0000-0000-000005230000}"/>
    <cellStyle name="20% - Accent4 2 2 4 6" xfId="12525" xr:uid="{00000000-0005-0000-0000-000006230000}"/>
    <cellStyle name="20% - Accent4 2 2 4 6 2" xfId="12526" xr:uid="{00000000-0005-0000-0000-000007230000}"/>
    <cellStyle name="20% - Accent4 2 2 4 6 2 2" xfId="12527" xr:uid="{00000000-0005-0000-0000-000008230000}"/>
    <cellStyle name="20% - Accent4 2 2 4 6 3" xfId="12528" xr:uid="{00000000-0005-0000-0000-000009230000}"/>
    <cellStyle name="20% - Accent4 2 2 4 7" xfId="12529" xr:uid="{00000000-0005-0000-0000-00000A230000}"/>
    <cellStyle name="20% - Accent4 2 2 4 7 2" xfId="12530" xr:uid="{00000000-0005-0000-0000-00000B230000}"/>
    <cellStyle name="20% - Accent4 2 2 4 8" xfId="12531" xr:uid="{00000000-0005-0000-0000-00000C230000}"/>
    <cellStyle name="20% - Accent4 2 2 4 8 2" xfId="12532" xr:uid="{00000000-0005-0000-0000-00000D230000}"/>
    <cellStyle name="20% - Accent4 2 2 4 9" xfId="12533" xr:uid="{00000000-0005-0000-0000-00000E230000}"/>
    <cellStyle name="20% - Accent4 2 2 5" xfId="12534" xr:uid="{00000000-0005-0000-0000-00000F230000}"/>
    <cellStyle name="20% - Accent4 2 2 5 10" xfId="12535" xr:uid="{00000000-0005-0000-0000-000010230000}"/>
    <cellStyle name="20% - Accent4 2 2 5 11" xfId="12536" xr:uid="{00000000-0005-0000-0000-000011230000}"/>
    <cellStyle name="20% - Accent4 2 2 5 2" xfId="12537" xr:uid="{00000000-0005-0000-0000-000012230000}"/>
    <cellStyle name="20% - Accent4 2 2 5 2 2" xfId="12538" xr:uid="{00000000-0005-0000-0000-000013230000}"/>
    <cellStyle name="20% - Accent4 2 2 5 2 2 2" xfId="12539" xr:uid="{00000000-0005-0000-0000-000014230000}"/>
    <cellStyle name="20% - Accent4 2 2 5 2 2 2 2" xfId="12540" xr:uid="{00000000-0005-0000-0000-000015230000}"/>
    <cellStyle name="20% - Accent4 2 2 5 2 2 2 2 2" xfId="12541" xr:uid="{00000000-0005-0000-0000-000016230000}"/>
    <cellStyle name="20% - Accent4 2 2 5 2 2 2 3" xfId="12542" xr:uid="{00000000-0005-0000-0000-000017230000}"/>
    <cellStyle name="20% - Accent4 2 2 5 2 2 3" xfId="12543" xr:uid="{00000000-0005-0000-0000-000018230000}"/>
    <cellStyle name="20% - Accent4 2 2 5 2 2 3 2" xfId="12544" xr:uid="{00000000-0005-0000-0000-000019230000}"/>
    <cellStyle name="20% - Accent4 2 2 5 2 2 4" xfId="12545" xr:uid="{00000000-0005-0000-0000-00001A230000}"/>
    <cellStyle name="20% - Accent4 2 2 5 2 2 5" xfId="12546" xr:uid="{00000000-0005-0000-0000-00001B230000}"/>
    <cellStyle name="20% - Accent4 2 2 5 2 2 6" xfId="12547" xr:uid="{00000000-0005-0000-0000-00001C230000}"/>
    <cellStyle name="20% - Accent4 2 2 5 2 3" xfId="12548" xr:uid="{00000000-0005-0000-0000-00001D230000}"/>
    <cellStyle name="20% - Accent4 2 2 5 2 3 2" xfId="12549" xr:uid="{00000000-0005-0000-0000-00001E230000}"/>
    <cellStyle name="20% - Accent4 2 2 5 2 3 2 2" xfId="12550" xr:uid="{00000000-0005-0000-0000-00001F230000}"/>
    <cellStyle name="20% - Accent4 2 2 5 2 3 3" xfId="12551" xr:uid="{00000000-0005-0000-0000-000020230000}"/>
    <cellStyle name="20% - Accent4 2 2 5 2 4" xfId="12552" xr:uid="{00000000-0005-0000-0000-000021230000}"/>
    <cellStyle name="20% - Accent4 2 2 5 2 4 2" xfId="12553" xr:uid="{00000000-0005-0000-0000-000022230000}"/>
    <cellStyle name="20% - Accent4 2 2 5 2 5" xfId="12554" xr:uid="{00000000-0005-0000-0000-000023230000}"/>
    <cellStyle name="20% - Accent4 2 2 5 2 5 2" xfId="12555" xr:uid="{00000000-0005-0000-0000-000024230000}"/>
    <cellStyle name="20% - Accent4 2 2 5 2 6" xfId="12556" xr:uid="{00000000-0005-0000-0000-000025230000}"/>
    <cellStyle name="20% - Accent4 2 2 5 2 7" xfId="12557" xr:uid="{00000000-0005-0000-0000-000026230000}"/>
    <cellStyle name="20% - Accent4 2 2 5 2 8" xfId="12558" xr:uid="{00000000-0005-0000-0000-000027230000}"/>
    <cellStyle name="20% - Accent4 2 2 5 3" xfId="12559" xr:uid="{00000000-0005-0000-0000-000028230000}"/>
    <cellStyle name="20% - Accent4 2 2 5 3 2" xfId="12560" xr:uid="{00000000-0005-0000-0000-000029230000}"/>
    <cellStyle name="20% - Accent4 2 2 5 3 2 2" xfId="12561" xr:uid="{00000000-0005-0000-0000-00002A230000}"/>
    <cellStyle name="20% - Accent4 2 2 5 3 2 2 2" xfId="12562" xr:uid="{00000000-0005-0000-0000-00002B230000}"/>
    <cellStyle name="20% - Accent4 2 2 5 3 2 2 2 2" xfId="12563" xr:uid="{00000000-0005-0000-0000-00002C230000}"/>
    <cellStyle name="20% - Accent4 2 2 5 3 2 2 3" xfId="12564" xr:uid="{00000000-0005-0000-0000-00002D230000}"/>
    <cellStyle name="20% - Accent4 2 2 5 3 2 3" xfId="12565" xr:uid="{00000000-0005-0000-0000-00002E230000}"/>
    <cellStyle name="20% - Accent4 2 2 5 3 2 3 2" xfId="12566" xr:uid="{00000000-0005-0000-0000-00002F230000}"/>
    <cellStyle name="20% - Accent4 2 2 5 3 2 4" xfId="12567" xr:uid="{00000000-0005-0000-0000-000030230000}"/>
    <cellStyle name="20% - Accent4 2 2 5 3 2 5" xfId="12568" xr:uid="{00000000-0005-0000-0000-000031230000}"/>
    <cellStyle name="20% - Accent4 2 2 5 3 2 6" xfId="12569" xr:uid="{00000000-0005-0000-0000-000032230000}"/>
    <cellStyle name="20% - Accent4 2 2 5 3 3" xfId="12570" xr:uid="{00000000-0005-0000-0000-000033230000}"/>
    <cellStyle name="20% - Accent4 2 2 5 3 3 2" xfId="12571" xr:uid="{00000000-0005-0000-0000-000034230000}"/>
    <cellStyle name="20% - Accent4 2 2 5 3 3 2 2" xfId="12572" xr:uid="{00000000-0005-0000-0000-000035230000}"/>
    <cellStyle name="20% - Accent4 2 2 5 3 3 3" xfId="12573" xr:uid="{00000000-0005-0000-0000-000036230000}"/>
    <cellStyle name="20% - Accent4 2 2 5 3 4" xfId="12574" xr:uid="{00000000-0005-0000-0000-000037230000}"/>
    <cellStyle name="20% - Accent4 2 2 5 3 4 2" xfId="12575" xr:uid="{00000000-0005-0000-0000-000038230000}"/>
    <cellStyle name="20% - Accent4 2 2 5 3 5" xfId="12576" xr:uid="{00000000-0005-0000-0000-000039230000}"/>
    <cellStyle name="20% - Accent4 2 2 5 3 6" xfId="12577" xr:uid="{00000000-0005-0000-0000-00003A230000}"/>
    <cellStyle name="20% - Accent4 2 2 5 3 7" xfId="12578" xr:uid="{00000000-0005-0000-0000-00003B230000}"/>
    <cellStyle name="20% - Accent4 2 2 5 4" xfId="12579" xr:uid="{00000000-0005-0000-0000-00003C230000}"/>
    <cellStyle name="20% - Accent4 2 2 5 4 2" xfId="12580" xr:uid="{00000000-0005-0000-0000-00003D230000}"/>
    <cellStyle name="20% - Accent4 2 2 5 4 2 2" xfId="12581" xr:uid="{00000000-0005-0000-0000-00003E230000}"/>
    <cellStyle name="20% - Accent4 2 2 5 4 2 2 2" xfId="12582" xr:uid="{00000000-0005-0000-0000-00003F230000}"/>
    <cellStyle name="20% - Accent4 2 2 5 4 2 3" xfId="12583" xr:uid="{00000000-0005-0000-0000-000040230000}"/>
    <cellStyle name="20% - Accent4 2 2 5 4 3" xfId="12584" xr:uid="{00000000-0005-0000-0000-000041230000}"/>
    <cellStyle name="20% - Accent4 2 2 5 4 3 2" xfId="12585" xr:uid="{00000000-0005-0000-0000-000042230000}"/>
    <cellStyle name="20% - Accent4 2 2 5 4 4" xfId="12586" xr:uid="{00000000-0005-0000-0000-000043230000}"/>
    <cellStyle name="20% - Accent4 2 2 5 4 5" xfId="12587" xr:uid="{00000000-0005-0000-0000-000044230000}"/>
    <cellStyle name="20% - Accent4 2 2 5 4 6" xfId="12588" xr:uid="{00000000-0005-0000-0000-000045230000}"/>
    <cellStyle name="20% - Accent4 2 2 5 5" xfId="12589" xr:uid="{00000000-0005-0000-0000-000046230000}"/>
    <cellStyle name="20% - Accent4 2 2 5 5 2" xfId="12590" xr:uid="{00000000-0005-0000-0000-000047230000}"/>
    <cellStyle name="20% - Accent4 2 2 5 5 2 2" xfId="12591" xr:uid="{00000000-0005-0000-0000-000048230000}"/>
    <cellStyle name="20% - Accent4 2 2 5 5 3" xfId="12592" xr:uid="{00000000-0005-0000-0000-000049230000}"/>
    <cellStyle name="20% - Accent4 2 2 5 6" xfId="12593" xr:uid="{00000000-0005-0000-0000-00004A230000}"/>
    <cellStyle name="20% - Accent4 2 2 5 6 2" xfId="12594" xr:uid="{00000000-0005-0000-0000-00004B230000}"/>
    <cellStyle name="20% - Accent4 2 2 5 6 2 2" xfId="12595" xr:uid="{00000000-0005-0000-0000-00004C230000}"/>
    <cellStyle name="20% - Accent4 2 2 5 6 3" xfId="12596" xr:uid="{00000000-0005-0000-0000-00004D230000}"/>
    <cellStyle name="20% - Accent4 2 2 5 7" xfId="12597" xr:uid="{00000000-0005-0000-0000-00004E230000}"/>
    <cellStyle name="20% - Accent4 2 2 5 7 2" xfId="12598" xr:uid="{00000000-0005-0000-0000-00004F230000}"/>
    <cellStyle name="20% - Accent4 2 2 5 8" xfId="12599" xr:uid="{00000000-0005-0000-0000-000050230000}"/>
    <cellStyle name="20% - Accent4 2 2 5 8 2" xfId="12600" xr:uid="{00000000-0005-0000-0000-000051230000}"/>
    <cellStyle name="20% - Accent4 2 2 5 9" xfId="12601" xr:uid="{00000000-0005-0000-0000-000052230000}"/>
    <cellStyle name="20% - Accent4 2 2 6" xfId="12602" xr:uid="{00000000-0005-0000-0000-000053230000}"/>
    <cellStyle name="20% - Accent4 2 2 6 10" xfId="12603" xr:uid="{00000000-0005-0000-0000-000054230000}"/>
    <cellStyle name="20% - Accent4 2 2 6 11" xfId="12604" xr:uid="{00000000-0005-0000-0000-000055230000}"/>
    <cellStyle name="20% - Accent4 2 2 6 2" xfId="12605" xr:uid="{00000000-0005-0000-0000-000056230000}"/>
    <cellStyle name="20% - Accent4 2 2 6 2 2" xfId="12606" xr:uid="{00000000-0005-0000-0000-000057230000}"/>
    <cellStyle name="20% - Accent4 2 2 6 2 2 2" xfId="12607" xr:uid="{00000000-0005-0000-0000-000058230000}"/>
    <cellStyle name="20% - Accent4 2 2 6 2 2 2 2" xfId="12608" xr:uid="{00000000-0005-0000-0000-000059230000}"/>
    <cellStyle name="20% - Accent4 2 2 6 2 2 2 2 2" xfId="12609" xr:uid="{00000000-0005-0000-0000-00005A230000}"/>
    <cellStyle name="20% - Accent4 2 2 6 2 2 2 3" xfId="12610" xr:uid="{00000000-0005-0000-0000-00005B230000}"/>
    <cellStyle name="20% - Accent4 2 2 6 2 2 3" xfId="12611" xr:uid="{00000000-0005-0000-0000-00005C230000}"/>
    <cellStyle name="20% - Accent4 2 2 6 2 2 3 2" xfId="12612" xr:uid="{00000000-0005-0000-0000-00005D230000}"/>
    <cellStyle name="20% - Accent4 2 2 6 2 2 4" xfId="12613" xr:uid="{00000000-0005-0000-0000-00005E230000}"/>
    <cellStyle name="20% - Accent4 2 2 6 2 2 5" xfId="12614" xr:uid="{00000000-0005-0000-0000-00005F230000}"/>
    <cellStyle name="20% - Accent4 2 2 6 2 2 6" xfId="12615" xr:uid="{00000000-0005-0000-0000-000060230000}"/>
    <cellStyle name="20% - Accent4 2 2 6 2 3" xfId="12616" xr:uid="{00000000-0005-0000-0000-000061230000}"/>
    <cellStyle name="20% - Accent4 2 2 6 2 3 2" xfId="12617" xr:uid="{00000000-0005-0000-0000-000062230000}"/>
    <cellStyle name="20% - Accent4 2 2 6 2 3 2 2" xfId="12618" xr:uid="{00000000-0005-0000-0000-000063230000}"/>
    <cellStyle name="20% - Accent4 2 2 6 2 3 3" xfId="12619" xr:uid="{00000000-0005-0000-0000-000064230000}"/>
    <cellStyle name="20% - Accent4 2 2 6 2 4" xfId="12620" xr:uid="{00000000-0005-0000-0000-000065230000}"/>
    <cellStyle name="20% - Accent4 2 2 6 2 4 2" xfId="12621" xr:uid="{00000000-0005-0000-0000-000066230000}"/>
    <cellStyle name="20% - Accent4 2 2 6 2 5" xfId="12622" xr:uid="{00000000-0005-0000-0000-000067230000}"/>
    <cellStyle name="20% - Accent4 2 2 6 2 5 2" xfId="12623" xr:uid="{00000000-0005-0000-0000-000068230000}"/>
    <cellStyle name="20% - Accent4 2 2 6 2 6" xfId="12624" xr:uid="{00000000-0005-0000-0000-000069230000}"/>
    <cellStyle name="20% - Accent4 2 2 6 2 7" xfId="12625" xr:uid="{00000000-0005-0000-0000-00006A230000}"/>
    <cellStyle name="20% - Accent4 2 2 6 2 8" xfId="12626" xr:uid="{00000000-0005-0000-0000-00006B230000}"/>
    <cellStyle name="20% - Accent4 2 2 6 3" xfId="12627" xr:uid="{00000000-0005-0000-0000-00006C230000}"/>
    <cellStyle name="20% - Accent4 2 2 6 3 2" xfId="12628" xr:uid="{00000000-0005-0000-0000-00006D230000}"/>
    <cellStyle name="20% - Accent4 2 2 6 3 2 2" xfId="12629" xr:uid="{00000000-0005-0000-0000-00006E230000}"/>
    <cellStyle name="20% - Accent4 2 2 6 3 2 2 2" xfId="12630" xr:uid="{00000000-0005-0000-0000-00006F230000}"/>
    <cellStyle name="20% - Accent4 2 2 6 3 2 2 2 2" xfId="12631" xr:uid="{00000000-0005-0000-0000-000070230000}"/>
    <cellStyle name="20% - Accent4 2 2 6 3 2 2 3" xfId="12632" xr:uid="{00000000-0005-0000-0000-000071230000}"/>
    <cellStyle name="20% - Accent4 2 2 6 3 2 3" xfId="12633" xr:uid="{00000000-0005-0000-0000-000072230000}"/>
    <cellStyle name="20% - Accent4 2 2 6 3 2 3 2" xfId="12634" xr:uid="{00000000-0005-0000-0000-000073230000}"/>
    <cellStyle name="20% - Accent4 2 2 6 3 2 4" xfId="12635" xr:uid="{00000000-0005-0000-0000-000074230000}"/>
    <cellStyle name="20% - Accent4 2 2 6 3 2 5" xfId="12636" xr:uid="{00000000-0005-0000-0000-000075230000}"/>
    <cellStyle name="20% - Accent4 2 2 6 3 2 6" xfId="12637" xr:uid="{00000000-0005-0000-0000-000076230000}"/>
    <cellStyle name="20% - Accent4 2 2 6 3 3" xfId="12638" xr:uid="{00000000-0005-0000-0000-000077230000}"/>
    <cellStyle name="20% - Accent4 2 2 6 3 3 2" xfId="12639" xr:uid="{00000000-0005-0000-0000-000078230000}"/>
    <cellStyle name="20% - Accent4 2 2 6 3 3 2 2" xfId="12640" xr:uid="{00000000-0005-0000-0000-000079230000}"/>
    <cellStyle name="20% - Accent4 2 2 6 3 3 3" xfId="12641" xr:uid="{00000000-0005-0000-0000-00007A230000}"/>
    <cellStyle name="20% - Accent4 2 2 6 3 4" xfId="12642" xr:uid="{00000000-0005-0000-0000-00007B230000}"/>
    <cellStyle name="20% - Accent4 2 2 6 3 4 2" xfId="12643" xr:uid="{00000000-0005-0000-0000-00007C230000}"/>
    <cellStyle name="20% - Accent4 2 2 6 3 5" xfId="12644" xr:uid="{00000000-0005-0000-0000-00007D230000}"/>
    <cellStyle name="20% - Accent4 2 2 6 3 6" xfId="12645" xr:uid="{00000000-0005-0000-0000-00007E230000}"/>
    <cellStyle name="20% - Accent4 2 2 6 3 7" xfId="12646" xr:uid="{00000000-0005-0000-0000-00007F230000}"/>
    <cellStyle name="20% - Accent4 2 2 6 4" xfId="12647" xr:uid="{00000000-0005-0000-0000-000080230000}"/>
    <cellStyle name="20% - Accent4 2 2 6 4 2" xfId="12648" xr:uid="{00000000-0005-0000-0000-000081230000}"/>
    <cellStyle name="20% - Accent4 2 2 6 4 2 2" xfId="12649" xr:uid="{00000000-0005-0000-0000-000082230000}"/>
    <cellStyle name="20% - Accent4 2 2 6 4 2 2 2" xfId="12650" xr:uid="{00000000-0005-0000-0000-000083230000}"/>
    <cellStyle name="20% - Accent4 2 2 6 4 2 3" xfId="12651" xr:uid="{00000000-0005-0000-0000-000084230000}"/>
    <cellStyle name="20% - Accent4 2 2 6 4 3" xfId="12652" xr:uid="{00000000-0005-0000-0000-000085230000}"/>
    <cellStyle name="20% - Accent4 2 2 6 4 3 2" xfId="12653" xr:uid="{00000000-0005-0000-0000-000086230000}"/>
    <cellStyle name="20% - Accent4 2 2 6 4 4" xfId="12654" xr:uid="{00000000-0005-0000-0000-000087230000}"/>
    <cellStyle name="20% - Accent4 2 2 6 4 5" xfId="12655" xr:uid="{00000000-0005-0000-0000-000088230000}"/>
    <cellStyle name="20% - Accent4 2 2 6 4 6" xfId="12656" xr:uid="{00000000-0005-0000-0000-000089230000}"/>
    <cellStyle name="20% - Accent4 2 2 6 5" xfId="12657" xr:uid="{00000000-0005-0000-0000-00008A230000}"/>
    <cellStyle name="20% - Accent4 2 2 6 5 2" xfId="12658" xr:uid="{00000000-0005-0000-0000-00008B230000}"/>
    <cellStyle name="20% - Accent4 2 2 6 5 2 2" xfId="12659" xr:uid="{00000000-0005-0000-0000-00008C230000}"/>
    <cellStyle name="20% - Accent4 2 2 6 5 3" xfId="12660" xr:uid="{00000000-0005-0000-0000-00008D230000}"/>
    <cellStyle name="20% - Accent4 2 2 6 6" xfId="12661" xr:uid="{00000000-0005-0000-0000-00008E230000}"/>
    <cellStyle name="20% - Accent4 2 2 6 6 2" xfId="12662" xr:uid="{00000000-0005-0000-0000-00008F230000}"/>
    <cellStyle name="20% - Accent4 2 2 6 6 2 2" xfId="12663" xr:uid="{00000000-0005-0000-0000-000090230000}"/>
    <cellStyle name="20% - Accent4 2 2 6 6 3" xfId="12664" xr:uid="{00000000-0005-0000-0000-000091230000}"/>
    <cellStyle name="20% - Accent4 2 2 6 7" xfId="12665" xr:uid="{00000000-0005-0000-0000-000092230000}"/>
    <cellStyle name="20% - Accent4 2 2 6 7 2" xfId="12666" xr:uid="{00000000-0005-0000-0000-000093230000}"/>
    <cellStyle name="20% - Accent4 2 2 6 8" xfId="12667" xr:uid="{00000000-0005-0000-0000-000094230000}"/>
    <cellStyle name="20% - Accent4 2 2 6 8 2" xfId="12668" xr:uid="{00000000-0005-0000-0000-000095230000}"/>
    <cellStyle name="20% - Accent4 2 2 6 9" xfId="12669" xr:uid="{00000000-0005-0000-0000-000096230000}"/>
    <cellStyle name="20% - Accent4 2 2 7" xfId="12670" xr:uid="{00000000-0005-0000-0000-000097230000}"/>
    <cellStyle name="20% - Accent4 2 2 7 2" xfId="12671" xr:uid="{00000000-0005-0000-0000-000098230000}"/>
    <cellStyle name="20% - Accent4 2 2 7 2 2" xfId="12672" xr:uid="{00000000-0005-0000-0000-000099230000}"/>
    <cellStyle name="20% - Accent4 2 2 7 2 2 2" xfId="12673" xr:uid="{00000000-0005-0000-0000-00009A230000}"/>
    <cellStyle name="20% - Accent4 2 2 7 2 2 2 2" xfId="12674" xr:uid="{00000000-0005-0000-0000-00009B230000}"/>
    <cellStyle name="20% - Accent4 2 2 7 2 2 3" xfId="12675" xr:uid="{00000000-0005-0000-0000-00009C230000}"/>
    <cellStyle name="20% - Accent4 2 2 7 2 3" xfId="12676" xr:uid="{00000000-0005-0000-0000-00009D230000}"/>
    <cellStyle name="20% - Accent4 2 2 7 2 3 2" xfId="12677" xr:uid="{00000000-0005-0000-0000-00009E230000}"/>
    <cellStyle name="20% - Accent4 2 2 7 2 4" xfId="12678" xr:uid="{00000000-0005-0000-0000-00009F230000}"/>
    <cellStyle name="20% - Accent4 2 2 7 2 5" xfId="12679" xr:uid="{00000000-0005-0000-0000-0000A0230000}"/>
    <cellStyle name="20% - Accent4 2 2 7 2 6" xfId="12680" xr:uid="{00000000-0005-0000-0000-0000A1230000}"/>
    <cellStyle name="20% - Accent4 2 2 7 3" xfId="12681" xr:uid="{00000000-0005-0000-0000-0000A2230000}"/>
    <cellStyle name="20% - Accent4 2 2 7 3 2" xfId="12682" xr:uid="{00000000-0005-0000-0000-0000A3230000}"/>
    <cellStyle name="20% - Accent4 2 2 7 3 2 2" xfId="12683" xr:uid="{00000000-0005-0000-0000-0000A4230000}"/>
    <cellStyle name="20% - Accent4 2 2 7 3 3" xfId="12684" xr:uid="{00000000-0005-0000-0000-0000A5230000}"/>
    <cellStyle name="20% - Accent4 2 2 7 4" xfId="12685" xr:uid="{00000000-0005-0000-0000-0000A6230000}"/>
    <cellStyle name="20% - Accent4 2 2 7 4 2" xfId="12686" xr:uid="{00000000-0005-0000-0000-0000A7230000}"/>
    <cellStyle name="20% - Accent4 2 2 7 5" xfId="12687" xr:uid="{00000000-0005-0000-0000-0000A8230000}"/>
    <cellStyle name="20% - Accent4 2 2 7 5 2" xfId="12688" xr:uid="{00000000-0005-0000-0000-0000A9230000}"/>
    <cellStyle name="20% - Accent4 2 2 7 6" xfId="12689" xr:uid="{00000000-0005-0000-0000-0000AA230000}"/>
    <cellStyle name="20% - Accent4 2 2 7 7" xfId="12690" xr:uid="{00000000-0005-0000-0000-0000AB230000}"/>
    <cellStyle name="20% - Accent4 2 2 7 8" xfId="12691" xr:uid="{00000000-0005-0000-0000-0000AC230000}"/>
    <cellStyle name="20% - Accent4 2 2 8" xfId="12692" xr:uid="{00000000-0005-0000-0000-0000AD230000}"/>
    <cellStyle name="20% - Accent4 2 2 8 2" xfId="12693" xr:uid="{00000000-0005-0000-0000-0000AE230000}"/>
    <cellStyle name="20% - Accent4 2 2 8 2 2" xfId="12694" xr:uid="{00000000-0005-0000-0000-0000AF230000}"/>
    <cellStyle name="20% - Accent4 2 2 8 2 2 2" xfId="12695" xr:uid="{00000000-0005-0000-0000-0000B0230000}"/>
    <cellStyle name="20% - Accent4 2 2 8 2 2 2 2" xfId="12696" xr:uid="{00000000-0005-0000-0000-0000B1230000}"/>
    <cellStyle name="20% - Accent4 2 2 8 2 2 3" xfId="12697" xr:uid="{00000000-0005-0000-0000-0000B2230000}"/>
    <cellStyle name="20% - Accent4 2 2 8 2 3" xfId="12698" xr:uid="{00000000-0005-0000-0000-0000B3230000}"/>
    <cellStyle name="20% - Accent4 2 2 8 2 3 2" xfId="12699" xr:uid="{00000000-0005-0000-0000-0000B4230000}"/>
    <cellStyle name="20% - Accent4 2 2 8 2 4" xfId="12700" xr:uid="{00000000-0005-0000-0000-0000B5230000}"/>
    <cellStyle name="20% - Accent4 2 2 8 2 5" xfId="12701" xr:uid="{00000000-0005-0000-0000-0000B6230000}"/>
    <cellStyle name="20% - Accent4 2 2 8 2 6" xfId="12702" xr:uid="{00000000-0005-0000-0000-0000B7230000}"/>
    <cellStyle name="20% - Accent4 2 2 8 3" xfId="12703" xr:uid="{00000000-0005-0000-0000-0000B8230000}"/>
    <cellStyle name="20% - Accent4 2 2 8 3 2" xfId="12704" xr:uid="{00000000-0005-0000-0000-0000B9230000}"/>
    <cellStyle name="20% - Accent4 2 2 8 3 2 2" xfId="12705" xr:uid="{00000000-0005-0000-0000-0000BA230000}"/>
    <cellStyle name="20% - Accent4 2 2 8 3 3" xfId="12706" xr:uid="{00000000-0005-0000-0000-0000BB230000}"/>
    <cellStyle name="20% - Accent4 2 2 8 4" xfId="12707" xr:uid="{00000000-0005-0000-0000-0000BC230000}"/>
    <cellStyle name="20% - Accent4 2 2 8 4 2" xfId="12708" xr:uid="{00000000-0005-0000-0000-0000BD230000}"/>
    <cellStyle name="20% - Accent4 2 2 8 5" xfId="12709" xr:uid="{00000000-0005-0000-0000-0000BE230000}"/>
    <cellStyle name="20% - Accent4 2 2 8 6" xfId="12710" xr:uid="{00000000-0005-0000-0000-0000BF230000}"/>
    <cellStyle name="20% - Accent4 2 2 8 7" xfId="12711" xr:uid="{00000000-0005-0000-0000-0000C0230000}"/>
    <cellStyle name="20% - Accent4 2 2 9" xfId="12712" xr:uid="{00000000-0005-0000-0000-0000C1230000}"/>
    <cellStyle name="20% - Accent4 2 2 9 2" xfId="12713" xr:uid="{00000000-0005-0000-0000-0000C2230000}"/>
    <cellStyle name="20% - Accent4 2 2 9 2 2" xfId="12714" xr:uid="{00000000-0005-0000-0000-0000C3230000}"/>
    <cellStyle name="20% - Accent4 2 2 9 2 2 2" xfId="12715" xr:uid="{00000000-0005-0000-0000-0000C4230000}"/>
    <cellStyle name="20% - Accent4 2 2 9 2 3" xfId="12716" xr:uid="{00000000-0005-0000-0000-0000C5230000}"/>
    <cellStyle name="20% - Accent4 2 2 9 3" xfId="12717" xr:uid="{00000000-0005-0000-0000-0000C6230000}"/>
    <cellStyle name="20% - Accent4 2 2 9 3 2" xfId="12718" xr:uid="{00000000-0005-0000-0000-0000C7230000}"/>
    <cellStyle name="20% - Accent4 2 2 9 4" xfId="12719" xr:uid="{00000000-0005-0000-0000-0000C8230000}"/>
    <cellStyle name="20% - Accent4 2 2 9 5" xfId="12720" xr:uid="{00000000-0005-0000-0000-0000C9230000}"/>
    <cellStyle name="20% - Accent4 2 2 9 6" xfId="12721" xr:uid="{00000000-0005-0000-0000-0000CA230000}"/>
    <cellStyle name="20% - Accent4 2 3" xfId="12722" xr:uid="{00000000-0005-0000-0000-0000CB230000}"/>
    <cellStyle name="20% - Accent4 2 3 2" xfId="12723" xr:uid="{00000000-0005-0000-0000-0000CC230000}"/>
    <cellStyle name="20% - Accent4 2 3 2 2" xfId="12724" xr:uid="{00000000-0005-0000-0000-0000CD230000}"/>
    <cellStyle name="20% - Accent4 2 3 2 2 2" xfId="12725" xr:uid="{00000000-0005-0000-0000-0000CE230000}"/>
    <cellStyle name="20% - Accent4 2 3 2 2 2 2" xfId="12726" xr:uid="{00000000-0005-0000-0000-0000CF230000}"/>
    <cellStyle name="20% - Accent4 2 3 2 2 3" xfId="12727" xr:uid="{00000000-0005-0000-0000-0000D0230000}"/>
    <cellStyle name="20% - Accent4 2 3 2 3" xfId="12728" xr:uid="{00000000-0005-0000-0000-0000D1230000}"/>
    <cellStyle name="20% - Accent4 2 3 2 3 2" xfId="12729" xr:uid="{00000000-0005-0000-0000-0000D2230000}"/>
    <cellStyle name="20% - Accent4 2 3 2 4" xfId="12730" xr:uid="{00000000-0005-0000-0000-0000D3230000}"/>
    <cellStyle name="20% - Accent4 2 3 3" xfId="12731" xr:uid="{00000000-0005-0000-0000-0000D4230000}"/>
    <cellStyle name="20% - Accent4 2 3 3 2" xfId="12732" xr:uid="{00000000-0005-0000-0000-0000D5230000}"/>
    <cellStyle name="20% - Accent4 2 3 3 2 2" xfId="12733" xr:uid="{00000000-0005-0000-0000-0000D6230000}"/>
    <cellStyle name="20% - Accent4 2 3 3 2 2 2" xfId="12734" xr:uid="{00000000-0005-0000-0000-0000D7230000}"/>
    <cellStyle name="20% - Accent4 2 3 3 2 3" xfId="12735" xr:uid="{00000000-0005-0000-0000-0000D8230000}"/>
    <cellStyle name="20% - Accent4 2 3 3 3" xfId="12736" xr:uid="{00000000-0005-0000-0000-0000D9230000}"/>
    <cellStyle name="20% - Accent4 2 3 3 3 2" xfId="12737" xr:uid="{00000000-0005-0000-0000-0000DA230000}"/>
    <cellStyle name="20% - Accent4 2 3 3 4" xfId="12738" xr:uid="{00000000-0005-0000-0000-0000DB230000}"/>
    <cellStyle name="20% - Accent4 2 3 4" xfId="12739" xr:uid="{00000000-0005-0000-0000-0000DC230000}"/>
    <cellStyle name="20% - Accent4 2 3 4 2" xfId="12740" xr:uid="{00000000-0005-0000-0000-0000DD230000}"/>
    <cellStyle name="20% - Accent4 2 3 4 2 2" xfId="12741" xr:uid="{00000000-0005-0000-0000-0000DE230000}"/>
    <cellStyle name="20% - Accent4 2 3 4 2 2 2" xfId="12742" xr:uid="{00000000-0005-0000-0000-0000DF230000}"/>
    <cellStyle name="20% - Accent4 2 3 4 2 3" xfId="12743" xr:uid="{00000000-0005-0000-0000-0000E0230000}"/>
    <cellStyle name="20% - Accent4 2 3 4 3" xfId="12744" xr:uid="{00000000-0005-0000-0000-0000E1230000}"/>
    <cellStyle name="20% - Accent4 2 3 4 3 2" xfId="12745" xr:uid="{00000000-0005-0000-0000-0000E2230000}"/>
    <cellStyle name="20% - Accent4 2 3 4 4" xfId="12746" xr:uid="{00000000-0005-0000-0000-0000E3230000}"/>
    <cellStyle name="20% - Accent4 2 4" xfId="12747" xr:uid="{00000000-0005-0000-0000-0000E4230000}"/>
    <cellStyle name="20% - Accent4 2 4 2" xfId="12748" xr:uid="{00000000-0005-0000-0000-0000E5230000}"/>
    <cellStyle name="20% - Accent4 2 5" xfId="12749" xr:uid="{00000000-0005-0000-0000-0000E6230000}"/>
    <cellStyle name="20% - Accent4 2 5 2" xfId="12750" xr:uid="{00000000-0005-0000-0000-0000E7230000}"/>
    <cellStyle name="20% - Accent4 2 6" xfId="12751" xr:uid="{00000000-0005-0000-0000-0000E8230000}"/>
    <cellStyle name="20% - Accent4 2 6 2" xfId="12752" xr:uid="{00000000-0005-0000-0000-0000E9230000}"/>
    <cellStyle name="20% - Accent4 2 7" xfId="12753" xr:uid="{00000000-0005-0000-0000-0000EA230000}"/>
    <cellStyle name="20% - Accent4 2 7 2" xfId="12754" xr:uid="{00000000-0005-0000-0000-0000EB230000}"/>
    <cellStyle name="20% - Accent4 2 7 2 2" xfId="12755" xr:uid="{00000000-0005-0000-0000-0000EC230000}"/>
    <cellStyle name="20% - Accent4 2 7 3" xfId="12756" xr:uid="{00000000-0005-0000-0000-0000ED230000}"/>
    <cellStyle name="20% - Accent4 3" xfId="177" xr:uid="{00000000-0005-0000-0000-0000EE230000}"/>
    <cellStyle name="20% - Accent4 3 10" xfId="12757" xr:uid="{00000000-0005-0000-0000-0000EF230000}"/>
    <cellStyle name="20% - Accent4 3 10 2" xfId="12758" xr:uid="{00000000-0005-0000-0000-0000F0230000}"/>
    <cellStyle name="20% - Accent4 3 10 2 2" xfId="12759" xr:uid="{00000000-0005-0000-0000-0000F1230000}"/>
    <cellStyle name="20% - Accent4 3 10 2 2 2" xfId="12760" xr:uid="{00000000-0005-0000-0000-0000F2230000}"/>
    <cellStyle name="20% - Accent4 3 10 2 2 2 2" xfId="12761" xr:uid="{00000000-0005-0000-0000-0000F3230000}"/>
    <cellStyle name="20% - Accent4 3 10 2 2 3" xfId="12762" xr:uid="{00000000-0005-0000-0000-0000F4230000}"/>
    <cellStyle name="20% - Accent4 3 10 2 3" xfId="12763" xr:uid="{00000000-0005-0000-0000-0000F5230000}"/>
    <cellStyle name="20% - Accent4 3 10 2 3 2" xfId="12764" xr:uid="{00000000-0005-0000-0000-0000F6230000}"/>
    <cellStyle name="20% - Accent4 3 10 2 4" xfId="12765" xr:uid="{00000000-0005-0000-0000-0000F7230000}"/>
    <cellStyle name="20% - Accent4 3 10 2 5" xfId="12766" xr:uid="{00000000-0005-0000-0000-0000F8230000}"/>
    <cellStyle name="20% - Accent4 3 10 2 6" xfId="12767" xr:uid="{00000000-0005-0000-0000-0000F9230000}"/>
    <cellStyle name="20% - Accent4 3 10 3" xfId="12768" xr:uid="{00000000-0005-0000-0000-0000FA230000}"/>
    <cellStyle name="20% - Accent4 3 10 3 2" xfId="12769" xr:uid="{00000000-0005-0000-0000-0000FB230000}"/>
    <cellStyle name="20% - Accent4 3 10 3 2 2" xfId="12770" xr:uid="{00000000-0005-0000-0000-0000FC230000}"/>
    <cellStyle name="20% - Accent4 3 10 3 3" xfId="12771" xr:uid="{00000000-0005-0000-0000-0000FD230000}"/>
    <cellStyle name="20% - Accent4 3 10 4" xfId="12772" xr:uid="{00000000-0005-0000-0000-0000FE230000}"/>
    <cellStyle name="20% - Accent4 3 10 4 2" xfId="12773" xr:uid="{00000000-0005-0000-0000-0000FF230000}"/>
    <cellStyle name="20% - Accent4 3 10 4 2 2" xfId="12774" xr:uid="{00000000-0005-0000-0000-000000240000}"/>
    <cellStyle name="20% - Accent4 3 10 4 3" xfId="12775" xr:uid="{00000000-0005-0000-0000-000001240000}"/>
    <cellStyle name="20% - Accent4 3 10 5" xfId="12776" xr:uid="{00000000-0005-0000-0000-000002240000}"/>
    <cellStyle name="20% - Accent4 3 10 6" xfId="12777" xr:uid="{00000000-0005-0000-0000-000003240000}"/>
    <cellStyle name="20% - Accent4 3 11" xfId="12778" xr:uid="{00000000-0005-0000-0000-000004240000}"/>
    <cellStyle name="20% - Accent4 3 11 2" xfId="12779" xr:uid="{00000000-0005-0000-0000-000005240000}"/>
    <cellStyle name="20% - Accent4 3 11 2 2" xfId="12780" xr:uid="{00000000-0005-0000-0000-000006240000}"/>
    <cellStyle name="20% - Accent4 3 11 2 2 2" xfId="12781" xr:uid="{00000000-0005-0000-0000-000007240000}"/>
    <cellStyle name="20% - Accent4 3 11 2 2 2 2" xfId="12782" xr:uid="{00000000-0005-0000-0000-000008240000}"/>
    <cellStyle name="20% - Accent4 3 11 2 2 3" xfId="12783" xr:uid="{00000000-0005-0000-0000-000009240000}"/>
    <cellStyle name="20% - Accent4 3 11 2 3" xfId="12784" xr:uid="{00000000-0005-0000-0000-00000A240000}"/>
    <cellStyle name="20% - Accent4 3 11 2 3 2" xfId="12785" xr:uid="{00000000-0005-0000-0000-00000B240000}"/>
    <cellStyle name="20% - Accent4 3 11 2 4" xfId="12786" xr:uid="{00000000-0005-0000-0000-00000C240000}"/>
    <cellStyle name="20% - Accent4 3 11 2 5" xfId="12787" xr:uid="{00000000-0005-0000-0000-00000D240000}"/>
    <cellStyle name="20% - Accent4 3 11 2 6" xfId="12788" xr:uid="{00000000-0005-0000-0000-00000E240000}"/>
    <cellStyle name="20% - Accent4 3 11 3" xfId="12789" xr:uid="{00000000-0005-0000-0000-00000F240000}"/>
    <cellStyle name="20% - Accent4 3 11 3 2" xfId="12790" xr:uid="{00000000-0005-0000-0000-000010240000}"/>
    <cellStyle name="20% - Accent4 3 11 3 2 2" xfId="12791" xr:uid="{00000000-0005-0000-0000-000011240000}"/>
    <cellStyle name="20% - Accent4 3 11 3 3" xfId="12792" xr:uid="{00000000-0005-0000-0000-000012240000}"/>
    <cellStyle name="20% - Accent4 3 11 4" xfId="12793" xr:uid="{00000000-0005-0000-0000-000013240000}"/>
    <cellStyle name="20% - Accent4 3 11 4 2" xfId="12794" xr:uid="{00000000-0005-0000-0000-000014240000}"/>
    <cellStyle name="20% - Accent4 3 11 5" xfId="12795" xr:uid="{00000000-0005-0000-0000-000015240000}"/>
    <cellStyle name="20% - Accent4 3 11 6" xfId="12796" xr:uid="{00000000-0005-0000-0000-000016240000}"/>
    <cellStyle name="20% - Accent4 3 11 7" xfId="12797" xr:uid="{00000000-0005-0000-0000-000017240000}"/>
    <cellStyle name="20% - Accent4 3 12" xfId="12798" xr:uid="{00000000-0005-0000-0000-000018240000}"/>
    <cellStyle name="20% - Accent4 3 13" xfId="12799" xr:uid="{00000000-0005-0000-0000-000019240000}"/>
    <cellStyle name="20% - Accent4 3 13 2" xfId="12800" xr:uid="{00000000-0005-0000-0000-00001A240000}"/>
    <cellStyle name="20% - Accent4 3 13 2 2" xfId="12801" xr:uid="{00000000-0005-0000-0000-00001B240000}"/>
    <cellStyle name="20% - Accent4 3 13 2 2 2" xfId="12802" xr:uid="{00000000-0005-0000-0000-00001C240000}"/>
    <cellStyle name="20% - Accent4 3 13 2 3" xfId="12803" xr:uid="{00000000-0005-0000-0000-00001D240000}"/>
    <cellStyle name="20% - Accent4 3 13 3" xfId="12804" xr:uid="{00000000-0005-0000-0000-00001E240000}"/>
    <cellStyle name="20% - Accent4 3 13 3 2" xfId="12805" xr:uid="{00000000-0005-0000-0000-00001F240000}"/>
    <cellStyle name="20% - Accent4 3 13 4" xfId="12806" xr:uid="{00000000-0005-0000-0000-000020240000}"/>
    <cellStyle name="20% - Accent4 3 14" xfId="12807" xr:uid="{00000000-0005-0000-0000-000021240000}"/>
    <cellStyle name="20% - Accent4 3 14 2" xfId="12808" xr:uid="{00000000-0005-0000-0000-000022240000}"/>
    <cellStyle name="20% - Accent4 3 14 2 2" xfId="12809" xr:uid="{00000000-0005-0000-0000-000023240000}"/>
    <cellStyle name="20% - Accent4 3 14 2 2 2" xfId="12810" xr:uid="{00000000-0005-0000-0000-000024240000}"/>
    <cellStyle name="20% - Accent4 3 14 2 3" xfId="12811" xr:uid="{00000000-0005-0000-0000-000025240000}"/>
    <cellStyle name="20% - Accent4 3 14 3" xfId="12812" xr:uid="{00000000-0005-0000-0000-000026240000}"/>
    <cellStyle name="20% - Accent4 3 14 3 2" xfId="12813" xr:uid="{00000000-0005-0000-0000-000027240000}"/>
    <cellStyle name="20% - Accent4 3 14 4" xfId="12814" xr:uid="{00000000-0005-0000-0000-000028240000}"/>
    <cellStyle name="20% - Accent4 3 15" xfId="12815" xr:uid="{00000000-0005-0000-0000-000029240000}"/>
    <cellStyle name="20% - Accent4 3 15 2" xfId="12816" xr:uid="{00000000-0005-0000-0000-00002A240000}"/>
    <cellStyle name="20% - Accent4 3 15 2 2" xfId="12817" xr:uid="{00000000-0005-0000-0000-00002B240000}"/>
    <cellStyle name="20% - Accent4 3 15 2 2 2" xfId="12818" xr:uid="{00000000-0005-0000-0000-00002C240000}"/>
    <cellStyle name="20% - Accent4 3 15 2 3" xfId="12819" xr:uid="{00000000-0005-0000-0000-00002D240000}"/>
    <cellStyle name="20% - Accent4 3 15 3" xfId="12820" xr:uid="{00000000-0005-0000-0000-00002E240000}"/>
    <cellStyle name="20% - Accent4 3 15 3 2" xfId="12821" xr:uid="{00000000-0005-0000-0000-00002F240000}"/>
    <cellStyle name="20% - Accent4 3 15 4" xfId="12822" xr:uid="{00000000-0005-0000-0000-000030240000}"/>
    <cellStyle name="20% - Accent4 3 16" xfId="12823" xr:uid="{00000000-0005-0000-0000-000031240000}"/>
    <cellStyle name="20% - Accent4 3 16 2" xfId="12824" xr:uid="{00000000-0005-0000-0000-000032240000}"/>
    <cellStyle name="20% - Accent4 3 16 2 2" xfId="12825" xr:uid="{00000000-0005-0000-0000-000033240000}"/>
    <cellStyle name="20% - Accent4 3 16 3" xfId="12826" xr:uid="{00000000-0005-0000-0000-000034240000}"/>
    <cellStyle name="20% - Accent4 3 2" xfId="12827" xr:uid="{00000000-0005-0000-0000-000035240000}"/>
    <cellStyle name="20% - Accent4 3 2 10" xfId="12828" xr:uid="{00000000-0005-0000-0000-000036240000}"/>
    <cellStyle name="20% - Accent4 3 2 11" xfId="12829" xr:uid="{00000000-0005-0000-0000-000037240000}"/>
    <cellStyle name="20% - Accent4 3 2 2" xfId="12830" xr:uid="{00000000-0005-0000-0000-000038240000}"/>
    <cellStyle name="20% - Accent4 3 2 2 2" xfId="12831" xr:uid="{00000000-0005-0000-0000-000039240000}"/>
    <cellStyle name="20% - Accent4 3 2 2 2 2" xfId="12832" xr:uid="{00000000-0005-0000-0000-00003A240000}"/>
    <cellStyle name="20% - Accent4 3 2 2 2 2 2" xfId="12833" xr:uid="{00000000-0005-0000-0000-00003B240000}"/>
    <cellStyle name="20% - Accent4 3 2 2 2 2 2 2" xfId="12834" xr:uid="{00000000-0005-0000-0000-00003C240000}"/>
    <cellStyle name="20% - Accent4 3 2 2 2 2 3" xfId="12835" xr:uid="{00000000-0005-0000-0000-00003D240000}"/>
    <cellStyle name="20% - Accent4 3 2 2 2 3" xfId="12836" xr:uid="{00000000-0005-0000-0000-00003E240000}"/>
    <cellStyle name="20% - Accent4 3 2 2 2 3 2" xfId="12837" xr:uid="{00000000-0005-0000-0000-00003F240000}"/>
    <cellStyle name="20% - Accent4 3 2 2 2 4" xfId="12838" xr:uid="{00000000-0005-0000-0000-000040240000}"/>
    <cellStyle name="20% - Accent4 3 2 2 2 5" xfId="12839" xr:uid="{00000000-0005-0000-0000-000041240000}"/>
    <cellStyle name="20% - Accent4 3 2 2 2 6" xfId="12840" xr:uid="{00000000-0005-0000-0000-000042240000}"/>
    <cellStyle name="20% - Accent4 3 2 2 3" xfId="12841" xr:uid="{00000000-0005-0000-0000-000043240000}"/>
    <cellStyle name="20% - Accent4 3 2 2 3 2" xfId="12842" xr:uid="{00000000-0005-0000-0000-000044240000}"/>
    <cellStyle name="20% - Accent4 3 2 2 3 2 2" xfId="12843" xr:uid="{00000000-0005-0000-0000-000045240000}"/>
    <cellStyle name="20% - Accent4 3 2 2 3 3" xfId="12844" xr:uid="{00000000-0005-0000-0000-000046240000}"/>
    <cellStyle name="20% - Accent4 3 2 2 4" xfId="12845" xr:uid="{00000000-0005-0000-0000-000047240000}"/>
    <cellStyle name="20% - Accent4 3 2 2 4 2" xfId="12846" xr:uid="{00000000-0005-0000-0000-000048240000}"/>
    <cellStyle name="20% - Accent4 3 2 2 5" xfId="12847" xr:uid="{00000000-0005-0000-0000-000049240000}"/>
    <cellStyle name="20% - Accent4 3 2 2 5 2" xfId="12848" xr:uid="{00000000-0005-0000-0000-00004A240000}"/>
    <cellStyle name="20% - Accent4 3 2 2 6" xfId="12849" xr:uid="{00000000-0005-0000-0000-00004B240000}"/>
    <cellStyle name="20% - Accent4 3 2 2 7" xfId="12850" xr:uid="{00000000-0005-0000-0000-00004C240000}"/>
    <cellStyle name="20% - Accent4 3 2 2 8" xfId="12851" xr:uid="{00000000-0005-0000-0000-00004D240000}"/>
    <cellStyle name="20% - Accent4 3 2 3" xfId="12852" xr:uid="{00000000-0005-0000-0000-00004E240000}"/>
    <cellStyle name="20% - Accent4 3 2 3 2" xfId="12853" xr:uid="{00000000-0005-0000-0000-00004F240000}"/>
    <cellStyle name="20% - Accent4 3 2 3 2 2" xfId="12854" xr:uid="{00000000-0005-0000-0000-000050240000}"/>
    <cellStyle name="20% - Accent4 3 2 3 2 2 2" xfId="12855" xr:uid="{00000000-0005-0000-0000-000051240000}"/>
    <cellStyle name="20% - Accent4 3 2 3 2 2 2 2" xfId="12856" xr:uid="{00000000-0005-0000-0000-000052240000}"/>
    <cellStyle name="20% - Accent4 3 2 3 2 2 3" xfId="12857" xr:uid="{00000000-0005-0000-0000-000053240000}"/>
    <cellStyle name="20% - Accent4 3 2 3 2 3" xfId="12858" xr:uid="{00000000-0005-0000-0000-000054240000}"/>
    <cellStyle name="20% - Accent4 3 2 3 2 3 2" xfId="12859" xr:uid="{00000000-0005-0000-0000-000055240000}"/>
    <cellStyle name="20% - Accent4 3 2 3 2 4" xfId="12860" xr:uid="{00000000-0005-0000-0000-000056240000}"/>
    <cellStyle name="20% - Accent4 3 2 3 2 5" xfId="12861" xr:uid="{00000000-0005-0000-0000-000057240000}"/>
    <cellStyle name="20% - Accent4 3 2 3 2 6" xfId="12862" xr:uid="{00000000-0005-0000-0000-000058240000}"/>
    <cellStyle name="20% - Accent4 3 2 3 3" xfId="12863" xr:uid="{00000000-0005-0000-0000-000059240000}"/>
    <cellStyle name="20% - Accent4 3 2 3 3 2" xfId="12864" xr:uid="{00000000-0005-0000-0000-00005A240000}"/>
    <cellStyle name="20% - Accent4 3 2 3 3 2 2" xfId="12865" xr:uid="{00000000-0005-0000-0000-00005B240000}"/>
    <cellStyle name="20% - Accent4 3 2 3 3 3" xfId="12866" xr:uid="{00000000-0005-0000-0000-00005C240000}"/>
    <cellStyle name="20% - Accent4 3 2 3 4" xfId="12867" xr:uid="{00000000-0005-0000-0000-00005D240000}"/>
    <cellStyle name="20% - Accent4 3 2 3 4 2" xfId="12868" xr:uid="{00000000-0005-0000-0000-00005E240000}"/>
    <cellStyle name="20% - Accent4 3 2 3 5" xfId="12869" xr:uid="{00000000-0005-0000-0000-00005F240000}"/>
    <cellStyle name="20% - Accent4 3 2 3 6" xfId="12870" xr:uid="{00000000-0005-0000-0000-000060240000}"/>
    <cellStyle name="20% - Accent4 3 2 3 7" xfId="12871" xr:uid="{00000000-0005-0000-0000-000061240000}"/>
    <cellStyle name="20% - Accent4 3 2 4" xfId="12872" xr:uid="{00000000-0005-0000-0000-000062240000}"/>
    <cellStyle name="20% - Accent4 3 2 4 2" xfId="12873" xr:uid="{00000000-0005-0000-0000-000063240000}"/>
    <cellStyle name="20% - Accent4 3 2 4 2 2" xfId="12874" xr:uid="{00000000-0005-0000-0000-000064240000}"/>
    <cellStyle name="20% - Accent4 3 2 4 2 2 2" xfId="12875" xr:uid="{00000000-0005-0000-0000-000065240000}"/>
    <cellStyle name="20% - Accent4 3 2 4 2 3" xfId="12876" xr:uid="{00000000-0005-0000-0000-000066240000}"/>
    <cellStyle name="20% - Accent4 3 2 4 3" xfId="12877" xr:uid="{00000000-0005-0000-0000-000067240000}"/>
    <cellStyle name="20% - Accent4 3 2 4 3 2" xfId="12878" xr:uid="{00000000-0005-0000-0000-000068240000}"/>
    <cellStyle name="20% - Accent4 3 2 4 4" xfId="12879" xr:uid="{00000000-0005-0000-0000-000069240000}"/>
    <cellStyle name="20% - Accent4 3 2 4 5" xfId="12880" xr:uid="{00000000-0005-0000-0000-00006A240000}"/>
    <cellStyle name="20% - Accent4 3 2 4 6" xfId="12881" xr:uid="{00000000-0005-0000-0000-00006B240000}"/>
    <cellStyle name="20% - Accent4 3 2 5" xfId="12882" xr:uid="{00000000-0005-0000-0000-00006C240000}"/>
    <cellStyle name="20% - Accent4 3 2 5 2" xfId="12883" xr:uid="{00000000-0005-0000-0000-00006D240000}"/>
    <cellStyle name="20% - Accent4 3 2 5 2 2" xfId="12884" xr:uid="{00000000-0005-0000-0000-00006E240000}"/>
    <cellStyle name="20% - Accent4 3 2 5 3" xfId="12885" xr:uid="{00000000-0005-0000-0000-00006F240000}"/>
    <cellStyle name="20% - Accent4 3 2 6" xfId="12886" xr:uid="{00000000-0005-0000-0000-000070240000}"/>
    <cellStyle name="20% - Accent4 3 2 6 2" xfId="12887" xr:uid="{00000000-0005-0000-0000-000071240000}"/>
    <cellStyle name="20% - Accent4 3 2 6 2 2" xfId="12888" xr:uid="{00000000-0005-0000-0000-000072240000}"/>
    <cellStyle name="20% - Accent4 3 2 6 3" xfId="12889" xr:uid="{00000000-0005-0000-0000-000073240000}"/>
    <cellStyle name="20% - Accent4 3 2 7" xfId="12890" xr:uid="{00000000-0005-0000-0000-000074240000}"/>
    <cellStyle name="20% - Accent4 3 2 7 2" xfId="12891" xr:uid="{00000000-0005-0000-0000-000075240000}"/>
    <cellStyle name="20% - Accent4 3 2 8" xfId="12892" xr:uid="{00000000-0005-0000-0000-000076240000}"/>
    <cellStyle name="20% - Accent4 3 2 8 2" xfId="12893" xr:uid="{00000000-0005-0000-0000-000077240000}"/>
    <cellStyle name="20% - Accent4 3 2 9" xfId="12894" xr:uid="{00000000-0005-0000-0000-000078240000}"/>
    <cellStyle name="20% - Accent4 3 3" xfId="12895" xr:uid="{00000000-0005-0000-0000-000079240000}"/>
    <cellStyle name="20% - Accent4 3 3 10" xfId="12896" xr:uid="{00000000-0005-0000-0000-00007A240000}"/>
    <cellStyle name="20% - Accent4 3 3 11" xfId="12897" xr:uid="{00000000-0005-0000-0000-00007B240000}"/>
    <cellStyle name="20% - Accent4 3 3 2" xfId="12898" xr:uid="{00000000-0005-0000-0000-00007C240000}"/>
    <cellStyle name="20% - Accent4 3 3 2 2" xfId="12899" xr:uid="{00000000-0005-0000-0000-00007D240000}"/>
    <cellStyle name="20% - Accent4 3 3 2 2 2" xfId="12900" xr:uid="{00000000-0005-0000-0000-00007E240000}"/>
    <cellStyle name="20% - Accent4 3 3 2 2 2 2" xfId="12901" xr:uid="{00000000-0005-0000-0000-00007F240000}"/>
    <cellStyle name="20% - Accent4 3 3 2 2 2 2 2" xfId="12902" xr:uid="{00000000-0005-0000-0000-000080240000}"/>
    <cellStyle name="20% - Accent4 3 3 2 2 2 3" xfId="12903" xr:uid="{00000000-0005-0000-0000-000081240000}"/>
    <cellStyle name="20% - Accent4 3 3 2 2 3" xfId="12904" xr:uid="{00000000-0005-0000-0000-000082240000}"/>
    <cellStyle name="20% - Accent4 3 3 2 2 3 2" xfId="12905" xr:uid="{00000000-0005-0000-0000-000083240000}"/>
    <cellStyle name="20% - Accent4 3 3 2 2 4" xfId="12906" xr:uid="{00000000-0005-0000-0000-000084240000}"/>
    <cellStyle name="20% - Accent4 3 3 2 2 5" xfId="12907" xr:uid="{00000000-0005-0000-0000-000085240000}"/>
    <cellStyle name="20% - Accent4 3 3 2 2 6" xfId="12908" xr:uid="{00000000-0005-0000-0000-000086240000}"/>
    <cellStyle name="20% - Accent4 3 3 2 3" xfId="12909" xr:uid="{00000000-0005-0000-0000-000087240000}"/>
    <cellStyle name="20% - Accent4 3 3 2 3 2" xfId="12910" xr:uid="{00000000-0005-0000-0000-000088240000}"/>
    <cellStyle name="20% - Accent4 3 3 2 3 2 2" xfId="12911" xr:uid="{00000000-0005-0000-0000-000089240000}"/>
    <cellStyle name="20% - Accent4 3 3 2 3 3" xfId="12912" xr:uid="{00000000-0005-0000-0000-00008A240000}"/>
    <cellStyle name="20% - Accent4 3 3 2 4" xfId="12913" xr:uid="{00000000-0005-0000-0000-00008B240000}"/>
    <cellStyle name="20% - Accent4 3 3 2 4 2" xfId="12914" xr:uid="{00000000-0005-0000-0000-00008C240000}"/>
    <cellStyle name="20% - Accent4 3 3 2 5" xfId="12915" xr:uid="{00000000-0005-0000-0000-00008D240000}"/>
    <cellStyle name="20% - Accent4 3 3 2 5 2" xfId="12916" xr:uid="{00000000-0005-0000-0000-00008E240000}"/>
    <cellStyle name="20% - Accent4 3 3 2 6" xfId="12917" xr:uid="{00000000-0005-0000-0000-00008F240000}"/>
    <cellStyle name="20% - Accent4 3 3 2 7" xfId="12918" xr:uid="{00000000-0005-0000-0000-000090240000}"/>
    <cellStyle name="20% - Accent4 3 3 2 8" xfId="12919" xr:uid="{00000000-0005-0000-0000-000091240000}"/>
    <cellStyle name="20% - Accent4 3 3 3" xfId="12920" xr:uid="{00000000-0005-0000-0000-000092240000}"/>
    <cellStyle name="20% - Accent4 3 3 3 2" xfId="12921" xr:uid="{00000000-0005-0000-0000-000093240000}"/>
    <cellStyle name="20% - Accent4 3 3 3 2 2" xfId="12922" xr:uid="{00000000-0005-0000-0000-000094240000}"/>
    <cellStyle name="20% - Accent4 3 3 3 2 2 2" xfId="12923" xr:uid="{00000000-0005-0000-0000-000095240000}"/>
    <cellStyle name="20% - Accent4 3 3 3 2 2 2 2" xfId="12924" xr:uid="{00000000-0005-0000-0000-000096240000}"/>
    <cellStyle name="20% - Accent4 3 3 3 2 2 3" xfId="12925" xr:uid="{00000000-0005-0000-0000-000097240000}"/>
    <cellStyle name="20% - Accent4 3 3 3 2 3" xfId="12926" xr:uid="{00000000-0005-0000-0000-000098240000}"/>
    <cellStyle name="20% - Accent4 3 3 3 2 3 2" xfId="12927" xr:uid="{00000000-0005-0000-0000-000099240000}"/>
    <cellStyle name="20% - Accent4 3 3 3 2 4" xfId="12928" xr:uid="{00000000-0005-0000-0000-00009A240000}"/>
    <cellStyle name="20% - Accent4 3 3 3 2 5" xfId="12929" xr:uid="{00000000-0005-0000-0000-00009B240000}"/>
    <cellStyle name="20% - Accent4 3 3 3 2 6" xfId="12930" xr:uid="{00000000-0005-0000-0000-00009C240000}"/>
    <cellStyle name="20% - Accent4 3 3 3 3" xfId="12931" xr:uid="{00000000-0005-0000-0000-00009D240000}"/>
    <cellStyle name="20% - Accent4 3 3 3 3 2" xfId="12932" xr:uid="{00000000-0005-0000-0000-00009E240000}"/>
    <cellStyle name="20% - Accent4 3 3 3 3 2 2" xfId="12933" xr:uid="{00000000-0005-0000-0000-00009F240000}"/>
    <cellStyle name="20% - Accent4 3 3 3 3 3" xfId="12934" xr:uid="{00000000-0005-0000-0000-0000A0240000}"/>
    <cellStyle name="20% - Accent4 3 3 3 4" xfId="12935" xr:uid="{00000000-0005-0000-0000-0000A1240000}"/>
    <cellStyle name="20% - Accent4 3 3 3 4 2" xfId="12936" xr:uid="{00000000-0005-0000-0000-0000A2240000}"/>
    <cellStyle name="20% - Accent4 3 3 3 5" xfId="12937" xr:uid="{00000000-0005-0000-0000-0000A3240000}"/>
    <cellStyle name="20% - Accent4 3 3 3 6" xfId="12938" xr:uid="{00000000-0005-0000-0000-0000A4240000}"/>
    <cellStyle name="20% - Accent4 3 3 3 7" xfId="12939" xr:uid="{00000000-0005-0000-0000-0000A5240000}"/>
    <cellStyle name="20% - Accent4 3 3 4" xfId="12940" xr:uid="{00000000-0005-0000-0000-0000A6240000}"/>
    <cellStyle name="20% - Accent4 3 3 4 2" xfId="12941" xr:uid="{00000000-0005-0000-0000-0000A7240000}"/>
    <cellStyle name="20% - Accent4 3 3 4 2 2" xfId="12942" xr:uid="{00000000-0005-0000-0000-0000A8240000}"/>
    <cellStyle name="20% - Accent4 3 3 4 2 2 2" xfId="12943" xr:uid="{00000000-0005-0000-0000-0000A9240000}"/>
    <cellStyle name="20% - Accent4 3 3 4 2 3" xfId="12944" xr:uid="{00000000-0005-0000-0000-0000AA240000}"/>
    <cellStyle name="20% - Accent4 3 3 4 3" xfId="12945" xr:uid="{00000000-0005-0000-0000-0000AB240000}"/>
    <cellStyle name="20% - Accent4 3 3 4 3 2" xfId="12946" xr:uid="{00000000-0005-0000-0000-0000AC240000}"/>
    <cellStyle name="20% - Accent4 3 3 4 4" xfId="12947" xr:uid="{00000000-0005-0000-0000-0000AD240000}"/>
    <cellStyle name="20% - Accent4 3 3 4 5" xfId="12948" xr:uid="{00000000-0005-0000-0000-0000AE240000}"/>
    <cellStyle name="20% - Accent4 3 3 4 6" xfId="12949" xr:uid="{00000000-0005-0000-0000-0000AF240000}"/>
    <cellStyle name="20% - Accent4 3 3 5" xfId="12950" xr:uid="{00000000-0005-0000-0000-0000B0240000}"/>
    <cellStyle name="20% - Accent4 3 3 5 2" xfId="12951" xr:uid="{00000000-0005-0000-0000-0000B1240000}"/>
    <cellStyle name="20% - Accent4 3 3 5 2 2" xfId="12952" xr:uid="{00000000-0005-0000-0000-0000B2240000}"/>
    <cellStyle name="20% - Accent4 3 3 5 3" xfId="12953" xr:uid="{00000000-0005-0000-0000-0000B3240000}"/>
    <cellStyle name="20% - Accent4 3 3 6" xfId="12954" xr:uid="{00000000-0005-0000-0000-0000B4240000}"/>
    <cellStyle name="20% - Accent4 3 3 6 2" xfId="12955" xr:uid="{00000000-0005-0000-0000-0000B5240000}"/>
    <cellStyle name="20% - Accent4 3 3 6 2 2" xfId="12956" xr:uid="{00000000-0005-0000-0000-0000B6240000}"/>
    <cellStyle name="20% - Accent4 3 3 6 3" xfId="12957" xr:uid="{00000000-0005-0000-0000-0000B7240000}"/>
    <cellStyle name="20% - Accent4 3 3 7" xfId="12958" xr:uid="{00000000-0005-0000-0000-0000B8240000}"/>
    <cellStyle name="20% - Accent4 3 3 7 2" xfId="12959" xr:uid="{00000000-0005-0000-0000-0000B9240000}"/>
    <cellStyle name="20% - Accent4 3 3 8" xfId="12960" xr:uid="{00000000-0005-0000-0000-0000BA240000}"/>
    <cellStyle name="20% - Accent4 3 3 8 2" xfId="12961" xr:uid="{00000000-0005-0000-0000-0000BB240000}"/>
    <cellStyle name="20% - Accent4 3 3 9" xfId="12962" xr:uid="{00000000-0005-0000-0000-0000BC240000}"/>
    <cellStyle name="20% - Accent4 3 4" xfId="12963" xr:uid="{00000000-0005-0000-0000-0000BD240000}"/>
    <cellStyle name="20% - Accent4 3 4 10" xfId="12964" xr:uid="{00000000-0005-0000-0000-0000BE240000}"/>
    <cellStyle name="20% - Accent4 3 4 11" xfId="12965" xr:uid="{00000000-0005-0000-0000-0000BF240000}"/>
    <cellStyle name="20% - Accent4 3 4 2" xfId="12966" xr:uid="{00000000-0005-0000-0000-0000C0240000}"/>
    <cellStyle name="20% - Accent4 3 4 2 2" xfId="12967" xr:uid="{00000000-0005-0000-0000-0000C1240000}"/>
    <cellStyle name="20% - Accent4 3 4 2 2 2" xfId="12968" xr:uid="{00000000-0005-0000-0000-0000C2240000}"/>
    <cellStyle name="20% - Accent4 3 4 2 2 2 2" xfId="12969" xr:uid="{00000000-0005-0000-0000-0000C3240000}"/>
    <cellStyle name="20% - Accent4 3 4 2 2 2 2 2" xfId="12970" xr:uid="{00000000-0005-0000-0000-0000C4240000}"/>
    <cellStyle name="20% - Accent4 3 4 2 2 2 3" xfId="12971" xr:uid="{00000000-0005-0000-0000-0000C5240000}"/>
    <cellStyle name="20% - Accent4 3 4 2 2 3" xfId="12972" xr:uid="{00000000-0005-0000-0000-0000C6240000}"/>
    <cellStyle name="20% - Accent4 3 4 2 2 3 2" xfId="12973" xr:uid="{00000000-0005-0000-0000-0000C7240000}"/>
    <cellStyle name="20% - Accent4 3 4 2 2 4" xfId="12974" xr:uid="{00000000-0005-0000-0000-0000C8240000}"/>
    <cellStyle name="20% - Accent4 3 4 2 2 5" xfId="12975" xr:uid="{00000000-0005-0000-0000-0000C9240000}"/>
    <cellStyle name="20% - Accent4 3 4 2 2 6" xfId="12976" xr:uid="{00000000-0005-0000-0000-0000CA240000}"/>
    <cellStyle name="20% - Accent4 3 4 2 3" xfId="12977" xr:uid="{00000000-0005-0000-0000-0000CB240000}"/>
    <cellStyle name="20% - Accent4 3 4 2 3 2" xfId="12978" xr:uid="{00000000-0005-0000-0000-0000CC240000}"/>
    <cellStyle name="20% - Accent4 3 4 2 3 2 2" xfId="12979" xr:uid="{00000000-0005-0000-0000-0000CD240000}"/>
    <cellStyle name="20% - Accent4 3 4 2 3 3" xfId="12980" xr:uid="{00000000-0005-0000-0000-0000CE240000}"/>
    <cellStyle name="20% - Accent4 3 4 2 4" xfId="12981" xr:uid="{00000000-0005-0000-0000-0000CF240000}"/>
    <cellStyle name="20% - Accent4 3 4 2 4 2" xfId="12982" xr:uid="{00000000-0005-0000-0000-0000D0240000}"/>
    <cellStyle name="20% - Accent4 3 4 2 5" xfId="12983" xr:uid="{00000000-0005-0000-0000-0000D1240000}"/>
    <cellStyle name="20% - Accent4 3 4 2 5 2" xfId="12984" xr:uid="{00000000-0005-0000-0000-0000D2240000}"/>
    <cellStyle name="20% - Accent4 3 4 2 6" xfId="12985" xr:uid="{00000000-0005-0000-0000-0000D3240000}"/>
    <cellStyle name="20% - Accent4 3 4 2 7" xfId="12986" xr:uid="{00000000-0005-0000-0000-0000D4240000}"/>
    <cellStyle name="20% - Accent4 3 4 2 8" xfId="12987" xr:uid="{00000000-0005-0000-0000-0000D5240000}"/>
    <cellStyle name="20% - Accent4 3 4 3" xfId="12988" xr:uid="{00000000-0005-0000-0000-0000D6240000}"/>
    <cellStyle name="20% - Accent4 3 4 3 2" xfId="12989" xr:uid="{00000000-0005-0000-0000-0000D7240000}"/>
    <cellStyle name="20% - Accent4 3 4 3 2 2" xfId="12990" xr:uid="{00000000-0005-0000-0000-0000D8240000}"/>
    <cellStyle name="20% - Accent4 3 4 3 2 2 2" xfId="12991" xr:uid="{00000000-0005-0000-0000-0000D9240000}"/>
    <cellStyle name="20% - Accent4 3 4 3 2 2 2 2" xfId="12992" xr:uid="{00000000-0005-0000-0000-0000DA240000}"/>
    <cellStyle name="20% - Accent4 3 4 3 2 2 3" xfId="12993" xr:uid="{00000000-0005-0000-0000-0000DB240000}"/>
    <cellStyle name="20% - Accent4 3 4 3 2 3" xfId="12994" xr:uid="{00000000-0005-0000-0000-0000DC240000}"/>
    <cellStyle name="20% - Accent4 3 4 3 2 3 2" xfId="12995" xr:uid="{00000000-0005-0000-0000-0000DD240000}"/>
    <cellStyle name="20% - Accent4 3 4 3 2 4" xfId="12996" xr:uid="{00000000-0005-0000-0000-0000DE240000}"/>
    <cellStyle name="20% - Accent4 3 4 3 2 5" xfId="12997" xr:uid="{00000000-0005-0000-0000-0000DF240000}"/>
    <cellStyle name="20% - Accent4 3 4 3 2 6" xfId="12998" xr:uid="{00000000-0005-0000-0000-0000E0240000}"/>
    <cellStyle name="20% - Accent4 3 4 3 3" xfId="12999" xr:uid="{00000000-0005-0000-0000-0000E1240000}"/>
    <cellStyle name="20% - Accent4 3 4 3 3 2" xfId="13000" xr:uid="{00000000-0005-0000-0000-0000E2240000}"/>
    <cellStyle name="20% - Accent4 3 4 3 3 2 2" xfId="13001" xr:uid="{00000000-0005-0000-0000-0000E3240000}"/>
    <cellStyle name="20% - Accent4 3 4 3 3 3" xfId="13002" xr:uid="{00000000-0005-0000-0000-0000E4240000}"/>
    <cellStyle name="20% - Accent4 3 4 3 4" xfId="13003" xr:uid="{00000000-0005-0000-0000-0000E5240000}"/>
    <cellStyle name="20% - Accent4 3 4 3 4 2" xfId="13004" xr:uid="{00000000-0005-0000-0000-0000E6240000}"/>
    <cellStyle name="20% - Accent4 3 4 3 5" xfId="13005" xr:uid="{00000000-0005-0000-0000-0000E7240000}"/>
    <cellStyle name="20% - Accent4 3 4 3 6" xfId="13006" xr:uid="{00000000-0005-0000-0000-0000E8240000}"/>
    <cellStyle name="20% - Accent4 3 4 3 7" xfId="13007" xr:uid="{00000000-0005-0000-0000-0000E9240000}"/>
    <cellStyle name="20% - Accent4 3 4 4" xfId="13008" xr:uid="{00000000-0005-0000-0000-0000EA240000}"/>
    <cellStyle name="20% - Accent4 3 4 4 2" xfId="13009" xr:uid="{00000000-0005-0000-0000-0000EB240000}"/>
    <cellStyle name="20% - Accent4 3 4 4 2 2" xfId="13010" xr:uid="{00000000-0005-0000-0000-0000EC240000}"/>
    <cellStyle name="20% - Accent4 3 4 4 2 2 2" xfId="13011" xr:uid="{00000000-0005-0000-0000-0000ED240000}"/>
    <cellStyle name="20% - Accent4 3 4 4 2 3" xfId="13012" xr:uid="{00000000-0005-0000-0000-0000EE240000}"/>
    <cellStyle name="20% - Accent4 3 4 4 3" xfId="13013" xr:uid="{00000000-0005-0000-0000-0000EF240000}"/>
    <cellStyle name="20% - Accent4 3 4 4 3 2" xfId="13014" xr:uid="{00000000-0005-0000-0000-0000F0240000}"/>
    <cellStyle name="20% - Accent4 3 4 4 4" xfId="13015" xr:uid="{00000000-0005-0000-0000-0000F1240000}"/>
    <cellStyle name="20% - Accent4 3 4 4 5" xfId="13016" xr:uid="{00000000-0005-0000-0000-0000F2240000}"/>
    <cellStyle name="20% - Accent4 3 4 4 6" xfId="13017" xr:uid="{00000000-0005-0000-0000-0000F3240000}"/>
    <cellStyle name="20% - Accent4 3 4 5" xfId="13018" xr:uid="{00000000-0005-0000-0000-0000F4240000}"/>
    <cellStyle name="20% - Accent4 3 4 5 2" xfId="13019" xr:uid="{00000000-0005-0000-0000-0000F5240000}"/>
    <cellStyle name="20% - Accent4 3 4 5 2 2" xfId="13020" xr:uid="{00000000-0005-0000-0000-0000F6240000}"/>
    <cellStyle name="20% - Accent4 3 4 5 3" xfId="13021" xr:uid="{00000000-0005-0000-0000-0000F7240000}"/>
    <cellStyle name="20% - Accent4 3 4 6" xfId="13022" xr:uid="{00000000-0005-0000-0000-0000F8240000}"/>
    <cellStyle name="20% - Accent4 3 4 6 2" xfId="13023" xr:uid="{00000000-0005-0000-0000-0000F9240000}"/>
    <cellStyle name="20% - Accent4 3 4 6 2 2" xfId="13024" xr:uid="{00000000-0005-0000-0000-0000FA240000}"/>
    <cellStyle name="20% - Accent4 3 4 6 3" xfId="13025" xr:uid="{00000000-0005-0000-0000-0000FB240000}"/>
    <cellStyle name="20% - Accent4 3 4 7" xfId="13026" xr:uid="{00000000-0005-0000-0000-0000FC240000}"/>
    <cellStyle name="20% - Accent4 3 4 7 2" xfId="13027" xr:uid="{00000000-0005-0000-0000-0000FD240000}"/>
    <cellStyle name="20% - Accent4 3 4 8" xfId="13028" xr:uid="{00000000-0005-0000-0000-0000FE240000}"/>
    <cellStyle name="20% - Accent4 3 4 8 2" xfId="13029" xr:uid="{00000000-0005-0000-0000-0000FF240000}"/>
    <cellStyle name="20% - Accent4 3 4 9" xfId="13030" xr:uid="{00000000-0005-0000-0000-000000250000}"/>
    <cellStyle name="20% - Accent4 3 5" xfId="13031" xr:uid="{00000000-0005-0000-0000-000001250000}"/>
    <cellStyle name="20% - Accent4 3 5 10" xfId="13032" xr:uid="{00000000-0005-0000-0000-000002250000}"/>
    <cellStyle name="20% - Accent4 3 5 11" xfId="13033" xr:uid="{00000000-0005-0000-0000-000003250000}"/>
    <cellStyle name="20% - Accent4 3 5 2" xfId="13034" xr:uid="{00000000-0005-0000-0000-000004250000}"/>
    <cellStyle name="20% - Accent4 3 5 2 2" xfId="13035" xr:uid="{00000000-0005-0000-0000-000005250000}"/>
    <cellStyle name="20% - Accent4 3 5 2 2 2" xfId="13036" xr:uid="{00000000-0005-0000-0000-000006250000}"/>
    <cellStyle name="20% - Accent4 3 5 2 2 2 2" xfId="13037" xr:uid="{00000000-0005-0000-0000-000007250000}"/>
    <cellStyle name="20% - Accent4 3 5 2 2 2 2 2" xfId="13038" xr:uid="{00000000-0005-0000-0000-000008250000}"/>
    <cellStyle name="20% - Accent4 3 5 2 2 2 3" xfId="13039" xr:uid="{00000000-0005-0000-0000-000009250000}"/>
    <cellStyle name="20% - Accent4 3 5 2 2 3" xfId="13040" xr:uid="{00000000-0005-0000-0000-00000A250000}"/>
    <cellStyle name="20% - Accent4 3 5 2 2 3 2" xfId="13041" xr:uid="{00000000-0005-0000-0000-00000B250000}"/>
    <cellStyle name="20% - Accent4 3 5 2 2 4" xfId="13042" xr:uid="{00000000-0005-0000-0000-00000C250000}"/>
    <cellStyle name="20% - Accent4 3 5 2 2 5" xfId="13043" xr:uid="{00000000-0005-0000-0000-00000D250000}"/>
    <cellStyle name="20% - Accent4 3 5 2 2 6" xfId="13044" xr:uid="{00000000-0005-0000-0000-00000E250000}"/>
    <cellStyle name="20% - Accent4 3 5 2 3" xfId="13045" xr:uid="{00000000-0005-0000-0000-00000F250000}"/>
    <cellStyle name="20% - Accent4 3 5 2 3 2" xfId="13046" xr:uid="{00000000-0005-0000-0000-000010250000}"/>
    <cellStyle name="20% - Accent4 3 5 2 3 2 2" xfId="13047" xr:uid="{00000000-0005-0000-0000-000011250000}"/>
    <cellStyle name="20% - Accent4 3 5 2 3 3" xfId="13048" xr:uid="{00000000-0005-0000-0000-000012250000}"/>
    <cellStyle name="20% - Accent4 3 5 2 4" xfId="13049" xr:uid="{00000000-0005-0000-0000-000013250000}"/>
    <cellStyle name="20% - Accent4 3 5 2 4 2" xfId="13050" xr:uid="{00000000-0005-0000-0000-000014250000}"/>
    <cellStyle name="20% - Accent4 3 5 2 5" xfId="13051" xr:uid="{00000000-0005-0000-0000-000015250000}"/>
    <cellStyle name="20% - Accent4 3 5 2 5 2" xfId="13052" xr:uid="{00000000-0005-0000-0000-000016250000}"/>
    <cellStyle name="20% - Accent4 3 5 2 6" xfId="13053" xr:uid="{00000000-0005-0000-0000-000017250000}"/>
    <cellStyle name="20% - Accent4 3 5 2 7" xfId="13054" xr:uid="{00000000-0005-0000-0000-000018250000}"/>
    <cellStyle name="20% - Accent4 3 5 2 8" xfId="13055" xr:uid="{00000000-0005-0000-0000-000019250000}"/>
    <cellStyle name="20% - Accent4 3 5 3" xfId="13056" xr:uid="{00000000-0005-0000-0000-00001A250000}"/>
    <cellStyle name="20% - Accent4 3 5 3 2" xfId="13057" xr:uid="{00000000-0005-0000-0000-00001B250000}"/>
    <cellStyle name="20% - Accent4 3 5 3 2 2" xfId="13058" xr:uid="{00000000-0005-0000-0000-00001C250000}"/>
    <cellStyle name="20% - Accent4 3 5 3 2 2 2" xfId="13059" xr:uid="{00000000-0005-0000-0000-00001D250000}"/>
    <cellStyle name="20% - Accent4 3 5 3 2 2 2 2" xfId="13060" xr:uid="{00000000-0005-0000-0000-00001E250000}"/>
    <cellStyle name="20% - Accent4 3 5 3 2 2 3" xfId="13061" xr:uid="{00000000-0005-0000-0000-00001F250000}"/>
    <cellStyle name="20% - Accent4 3 5 3 2 3" xfId="13062" xr:uid="{00000000-0005-0000-0000-000020250000}"/>
    <cellStyle name="20% - Accent4 3 5 3 2 3 2" xfId="13063" xr:uid="{00000000-0005-0000-0000-000021250000}"/>
    <cellStyle name="20% - Accent4 3 5 3 2 4" xfId="13064" xr:uid="{00000000-0005-0000-0000-000022250000}"/>
    <cellStyle name="20% - Accent4 3 5 3 2 5" xfId="13065" xr:uid="{00000000-0005-0000-0000-000023250000}"/>
    <cellStyle name="20% - Accent4 3 5 3 2 6" xfId="13066" xr:uid="{00000000-0005-0000-0000-000024250000}"/>
    <cellStyle name="20% - Accent4 3 5 3 3" xfId="13067" xr:uid="{00000000-0005-0000-0000-000025250000}"/>
    <cellStyle name="20% - Accent4 3 5 3 3 2" xfId="13068" xr:uid="{00000000-0005-0000-0000-000026250000}"/>
    <cellStyle name="20% - Accent4 3 5 3 3 2 2" xfId="13069" xr:uid="{00000000-0005-0000-0000-000027250000}"/>
    <cellStyle name="20% - Accent4 3 5 3 3 3" xfId="13070" xr:uid="{00000000-0005-0000-0000-000028250000}"/>
    <cellStyle name="20% - Accent4 3 5 3 4" xfId="13071" xr:uid="{00000000-0005-0000-0000-000029250000}"/>
    <cellStyle name="20% - Accent4 3 5 3 4 2" xfId="13072" xr:uid="{00000000-0005-0000-0000-00002A250000}"/>
    <cellStyle name="20% - Accent4 3 5 3 5" xfId="13073" xr:uid="{00000000-0005-0000-0000-00002B250000}"/>
    <cellStyle name="20% - Accent4 3 5 3 6" xfId="13074" xr:uid="{00000000-0005-0000-0000-00002C250000}"/>
    <cellStyle name="20% - Accent4 3 5 3 7" xfId="13075" xr:uid="{00000000-0005-0000-0000-00002D250000}"/>
    <cellStyle name="20% - Accent4 3 5 4" xfId="13076" xr:uid="{00000000-0005-0000-0000-00002E250000}"/>
    <cellStyle name="20% - Accent4 3 5 4 2" xfId="13077" xr:uid="{00000000-0005-0000-0000-00002F250000}"/>
    <cellStyle name="20% - Accent4 3 5 4 2 2" xfId="13078" xr:uid="{00000000-0005-0000-0000-000030250000}"/>
    <cellStyle name="20% - Accent4 3 5 4 2 2 2" xfId="13079" xr:uid="{00000000-0005-0000-0000-000031250000}"/>
    <cellStyle name="20% - Accent4 3 5 4 2 3" xfId="13080" xr:uid="{00000000-0005-0000-0000-000032250000}"/>
    <cellStyle name="20% - Accent4 3 5 4 3" xfId="13081" xr:uid="{00000000-0005-0000-0000-000033250000}"/>
    <cellStyle name="20% - Accent4 3 5 4 3 2" xfId="13082" xr:uid="{00000000-0005-0000-0000-000034250000}"/>
    <cellStyle name="20% - Accent4 3 5 4 4" xfId="13083" xr:uid="{00000000-0005-0000-0000-000035250000}"/>
    <cellStyle name="20% - Accent4 3 5 4 5" xfId="13084" xr:uid="{00000000-0005-0000-0000-000036250000}"/>
    <cellStyle name="20% - Accent4 3 5 4 6" xfId="13085" xr:uid="{00000000-0005-0000-0000-000037250000}"/>
    <cellStyle name="20% - Accent4 3 5 5" xfId="13086" xr:uid="{00000000-0005-0000-0000-000038250000}"/>
    <cellStyle name="20% - Accent4 3 5 5 2" xfId="13087" xr:uid="{00000000-0005-0000-0000-000039250000}"/>
    <cellStyle name="20% - Accent4 3 5 5 2 2" xfId="13088" xr:uid="{00000000-0005-0000-0000-00003A250000}"/>
    <cellStyle name="20% - Accent4 3 5 5 3" xfId="13089" xr:uid="{00000000-0005-0000-0000-00003B250000}"/>
    <cellStyle name="20% - Accent4 3 5 6" xfId="13090" xr:uid="{00000000-0005-0000-0000-00003C250000}"/>
    <cellStyle name="20% - Accent4 3 5 6 2" xfId="13091" xr:uid="{00000000-0005-0000-0000-00003D250000}"/>
    <cellStyle name="20% - Accent4 3 5 6 2 2" xfId="13092" xr:uid="{00000000-0005-0000-0000-00003E250000}"/>
    <cellStyle name="20% - Accent4 3 5 6 3" xfId="13093" xr:uid="{00000000-0005-0000-0000-00003F250000}"/>
    <cellStyle name="20% - Accent4 3 5 7" xfId="13094" xr:uid="{00000000-0005-0000-0000-000040250000}"/>
    <cellStyle name="20% - Accent4 3 5 7 2" xfId="13095" xr:uid="{00000000-0005-0000-0000-000041250000}"/>
    <cellStyle name="20% - Accent4 3 5 8" xfId="13096" xr:uid="{00000000-0005-0000-0000-000042250000}"/>
    <cellStyle name="20% - Accent4 3 5 8 2" xfId="13097" xr:uid="{00000000-0005-0000-0000-000043250000}"/>
    <cellStyle name="20% - Accent4 3 5 9" xfId="13098" xr:uid="{00000000-0005-0000-0000-000044250000}"/>
    <cellStyle name="20% - Accent4 3 6" xfId="13099" xr:uid="{00000000-0005-0000-0000-000045250000}"/>
    <cellStyle name="20% - Accent4 3 6 10" xfId="13100" xr:uid="{00000000-0005-0000-0000-000046250000}"/>
    <cellStyle name="20% - Accent4 3 6 11" xfId="13101" xr:uid="{00000000-0005-0000-0000-000047250000}"/>
    <cellStyle name="20% - Accent4 3 6 2" xfId="13102" xr:uid="{00000000-0005-0000-0000-000048250000}"/>
    <cellStyle name="20% - Accent4 3 6 2 2" xfId="13103" xr:uid="{00000000-0005-0000-0000-000049250000}"/>
    <cellStyle name="20% - Accent4 3 6 2 2 2" xfId="13104" xr:uid="{00000000-0005-0000-0000-00004A250000}"/>
    <cellStyle name="20% - Accent4 3 6 2 2 2 2" xfId="13105" xr:uid="{00000000-0005-0000-0000-00004B250000}"/>
    <cellStyle name="20% - Accent4 3 6 2 2 2 2 2" xfId="13106" xr:uid="{00000000-0005-0000-0000-00004C250000}"/>
    <cellStyle name="20% - Accent4 3 6 2 2 2 3" xfId="13107" xr:uid="{00000000-0005-0000-0000-00004D250000}"/>
    <cellStyle name="20% - Accent4 3 6 2 2 3" xfId="13108" xr:uid="{00000000-0005-0000-0000-00004E250000}"/>
    <cellStyle name="20% - Accent4 3 6 2 2 3 2" xfId="13109" xr:uid="{00000000-0005-0000-0000-00004F250000}"/>
    <cellStyle name="20% - Accent4 3 6 2 2 4" xfId="13110" xr:uid="{00000000-0005-0000-0000-000050250000}"/>
    <cellStyle name="20% - Accent4 3 6 2 2 5" xfId="13111" xr:uid="{00000000-0005-0000-0000-000051250000}"/>
    <cellStyle name="20% - Accent4 3 6 2 2 6" xfId="13112" xr:uid="{00000000-0005-0000-0000-000052250000}"/>
    <cellStyle name="20% - Accent4 3 6 2 3" xfId="13113" xr:uid="{00000000-0005-0000-0000-000053250000}"/>
    <cellStyle name="20% - Accent4 3 6 2 3 2" xfId="13114" xr:uid="{00000000-0005-0000-0000-000054250000}"/>
    <cellStyle name="20% - Accent4 3 6 2 3 2 2" xfId="13115" xr:uid="{00000000-0005-0000-0000-000055250000}"/>
    <cellStyle name="20% - Accent4 3 6 2 3 3" xfId="13116" xr:uid="{00000000-0005-0000-0000-000056250000}"/>
    <cellStyle name="20% - Accent4 3 6 2 4" xfId="13117" xr:uid="{00000000-0005-0000-0000-000057250000}"/>
    <cellStyle name="20% - Accent4 3 6 2 4 2" xfId="13118" xr:uid="{00000000-0005-0000-0000-000058250000}"/>
    <cellStyle name="20% - Accent4 3 6 2 5" xfId="13119" xr:uid="{00000000-0005-0000-0000-000059250000}"/>
    <cellStyle name="20% - Accent4 3 6 2 5 2" xfId="13120" xr:uid="{00000000-0005-0000-0000-00005A250000}"/>
    <cellStyle name="20% - Accent4 3 6 2 6" xfId="13121" xr:uid="{00000000-0005-0000-0000-00005B250000}"/>
    <cellStyle name="20% - Accent4 3 6 2 7" xfId="13122" xr:uid="{00000000-0005-0000-0000-00005C250000}"/>
    <cellStyle name="20% - Accent4 3 6 2 8" xfId="13123" xr:uid="{00000000-0005-0000-0000-00005D250000}"/>
    <cellStyle name="20% - Accent4 3 6 3" xfId="13124" xr:uid="{00000000-0005-0000-0000-00005E250000}"/>
    <cellStyle name="20% - Accent4 3 6 3 2" xfId="13125" xr:uid="{00000000-0005-0000-0000-00005F250000}"/>
    <cellStyle name="20% - Accent4 3 6 3 2 2" xfId="13126" xr:uid="{00000000-0005-0000-0000-000060250000}"/>
    <cellStyle name="20% - Accent4 3 6 3 2 2 2" xfId="13127" xr:uid="{00000000-0005-0000-0000-000061250000}"/>
    <cellStyle name="20% - Accent4 3 6 3 2 2 2 2" xfId="13128" xr:uid="{00000000-0005-0000-0000-000062250000}"/>
    <cellStyle name="20% - Accent4 3 6 3 2 2 3" xfId="13129" xr:uid="{00000000-0005-0000-0000-000063250000}"/>
    <cellStyle name="20% - Accent4 3 6 3 2 3" xfId="13130" xr:uid="{00000000-0005-0000-0000-000064250000}"/>
    <cellStyle name="20% - Accent4 3 6 3 2 3 2" xfId="13131" xr:uid="{00000000-0005-0000-0000-000065250000}"/>
    <cellStyle name="20% - Accent4 3 6 3 2 4" xfId="13132" xr:uid="{00000000-0005-0000-0000-000066250000}"/>
    <cellStyle name="20% - Accent4 3 6 3 2 5" xfId="13133" xr:uid="{00000000-0005-0000-0000-000067250000}"/>
    <cellStyle name="20% - Accent4 3 6 3 2 6" xfId="13134" xr:uid="{00000000-0005-0000-0000-000068250000}"/>
    <cellStyle name="20% - Accent4 3 6 3 3" xfId="13135" xr:uid="{00000000-0005-0000-0000-000069250000}"/>
    <cellStyle name="20% - Accent4 3 6 3 3 2" xfId="13136" xr:uid="{00000000-0005-0000-0000-00006A250000}"/>
    <cellStyle name="20% - Accent4 3 6 3 3 2 2" xfId="13137" xr:uid="{00000000-0005-0000-0000-00006B250000}"/>
    <cellStyle name="20% - Accent4 3 6 3 3 3" xfId="13138" xr:uid="{00000000-0005-0000-0000-00006C250000}"/>
    <cellStyle name="20% - Accent4 3 6 3 4" xfId="13139" xr:uid="{00000000-0005-0000-0000-00006D250000}"/>
    <cellStyle name="20% - Accent4 3 6 3 4 2" xfId="13140" xr:uid="{00000000-0005-0000-0000-00006E250000}"/>
    <cellStyle name="20% - Accent4 3 6 3 5" xfId="13141" xr:uid="{00000000-0005-0000-0000-00006F250000}"/>
    <cellStyle name="20% - Accent4 3 6 3 6" xfId="13142" xr:uid="{00000000-0005-0000-0000-000070250000}"/>
    <cellStyle name="20% - Accent4 3 6 3 7" xfId="13143" xr:uid="{00000000-0005-0000-0000-000071250000}"/>
    <cellStyle name="20% - Accent4 3 6 4" xfId="13144" xr:uid="{00000000-0005-0000-0000-000072250000}"/>
    <cellStyle name="20% - Accent4 3 6 4 2" xfId="13145" xr:uid="{00000000-0005-0000-0000-000073250000}"/>
    <cellStyle name="20% - Accent4 3 6 4 2 2" xfId="13146" xr:uid="{00000000-0005-0000-0000-000074250000}"/>
    <cellStyle name="20% - Accent4 3 6 4 2 2 2" xfId="13147" xr:uid="{00000000-0005-0000-0000-000075250000}"/>
    <cellStyle name="20% - Accent4 3 6 4 2 3" xfId="13148" xr:uid="{00000000-0005-0000-0000-000076250000}"/>
    <cellStyle name="20% - Accent4 3 6 4 3" xfId="13149" xr:uid="{00000000-0005-0000-0000-000077250000}"/>
    <cellStyle name="20% - Accent4 3 6 4 3 2" xfId="13150" xr:uid="{00000000-0005-0000-0000-000078250000}"/>
    <cellStyle name="20% - Accent4 3 6 4 4" xfId="13151" xr:uid="{00000000-0005-0000-0000-000079250000}"/>
    <cellStyle name="20% - Accent4 3 6 4 5" xfId="13152" xr:uid="{00000000-0005-0000-0000-00007A250000}"/>
    <cellStyle name="20% - Accent4 3 6 4 6" xfId="13153" xr:uid="{00000000-0005-0000-0000-00007B250000}"/>
    <cellStyle name="20% - Accent4 3 6 5" xfId="13154" xr:uid="{00000000-0005-0000-0000-00007C250000}"/>
    <cellStyle name="20% - Accent4 3 6 5 2" xfId="13155" xr:uid="{00000000-0005-0000-0000-00007D250000}"/>
    <cellStyle name="20% - Accent4 3 6 5 2 2" xfId="13156" xr:uid="{00000000-0005-0000-0000-00007E250000}"/>
    <cellStyle name="20% - Accent4 3 6 5 3" xfId="13157" xr:uid="{00000000-0005-0000-0000-00007F250000}"/>
    <cellStyle name="20% - Accent4 3 6 6" xfId="13158" xr:uid="{00000000-0005-0000-0000-000080250000}"/>
    <cellStyle name="20% - Accent4 3 6 6 2" xfId="13159" xr:uid="{00000000-0005-0000-0000-000081250000}"/>
    <cellStyle name="20% - Accent4 3 6 6 2 2" xfId="13160" xr:uid="{00000000-0005-0000-0000-000082250000}"/>
    <cellStyle name="20% - Accent4 3 6 6 3" xfId="13161" xr:uid="{00000000-0005-0000-0000-000083250000}"/>
    <cellStyle name="20% - Accent4 3 6 7" xfId="13162" xr:uid="{00000000-0005-0000-0000-000084250000}"/>
    <cellStyle name="20% - Accent4 3 6 7 2" xfId="13163" xr:uid="{00000000-0005-0000-0000-000085250000}"/>
    <cellStyle name="20% - Accent4 3 6 8" xfId="13164" xr:uid="{00000000-0005-0000-0000-000086250000}"/>
    <cellStyle name="20% - Accent4 3 6 8 2" xfId="13165" xr:uid="{00000000-0005-0000-0000-000087250000}"/>
    <cellStyle name="20% - Accent4 3 6 9" xfId="13166" xr:uid="{00000000-0005-0000-0000-000088250000}"/>
    <cellStyle name="20% - Accent4 3 7" xfId="13167" xr:uid="{00000000-0005-0000-0000-000089250000}"/>
    <cellStyle name="20% - Accent4 3 7 10" xfId="13168" xr:uid="{00000000-0005-0000-0000-00008A250000}"/>
    <cellStyle name="20% - Accent4 3 7 11" xfId="13169" xr:uid="{00000000-0005-0000-0000-00008B250000}"/>
    <cellStyle name="20% - Accent4 3 7 2" xfId="13170" xr:uid="{00000000-0005-0000-0000-00008C250000}"/>
    <cellStyle name="20% - Accent4 3 7 2 2" xfId="13171" xr:uid="{00000000-0005-0000-0000-00008D250000}"/>
    <cellStyle name="20% - Accent4 3 7 2 2 2" xfId="13172" xr:uid="{00000000-0005-0000-0000-00008E250000}"/>
    <cellStyle name="20% - Accent4 3 7 2 2 2 2" xfId="13173" xr:uid="{00000000-0005-0000-0000-00008F250000}"/>
    <cellStyle name="20% - Accent4 3 7 2 2 2 2 2" xfId="13174" xr:uid="{00000000-0005-0000-0000-000090250000}"/>
    <cellStyle name="20% - Accent4 3 7 2 2 2 3" xfId="13175" xr:uid="{00000000-0005-0000-0000-000091250000}"/>
    <cellStyle name="20% - Accent4 3 7 2 2 3" xfId="13176" xr:uid="{00000000-0005-0000-0000-000092250000}"/>
    <cellStyle name="20% - Accent4 3 7 2 2 3 2" xfId="13177" xr:uid="{00000000-0005-0000-0000-000093250000}"/>
    <cellStyle name="20% - Accent4 3 7 2 2 4" xfId="13178" xr:uid="{00000000-0005-0000-0000-000094250000}"/>
    <cellStyle name="20% - Accent4 3 7 2 2 5" xfId="13179" xr:uid="{00000000-0005-0000-0000-000095250000}"/>
    <cellStyle name="20% - Accent4 3 7 2 2 6" xfId="13180" xr:uid="{00000000-0005-0000-0000-000096250000}"/>
    <cellStyle name="20% - Accent4 3 7 2 3" xfId="13181" xr:uid="{00000000-0005-0000-0000-000097250000}"/>
    <cellStyle name="20% - Accent4 3 7 2 3 2" xfId="13182" xr:uid="{00000000-0005-0000-0000-000098250000}"/>
    <cellStyle name="20% - Accent4 3 7 2 3 2 2" xfId="13183" xr:uid="{00000000-0005-0000-0000-000099250000}"/>
    <cellStyle name="20% - Accent4 3 7 2 3 3" xfId="13184" xr:uid="{00000000-0005-0000-0000-00009A250000}"/>
    <cellStyle name="20% - Accent4 3 7 2 4" xfId="13185" xr:uid="{00000000-0005-0000-0000-00009B250000}"/>
    <cellStyle name="20% - Accent4 3 7 2 4 2" xfId="13186" xr:uid="{00000000-0005-0000-0000-00009C250000}"/>
    <cellStyle name="20% - Accent4 3 7 2 5" xfId="13187" xr:uid="{00000000-0005-0000-0000-00009D250000}"/>
    <cellStyle name="20% - Accent4 3 7 2 5 2" xfId="13188" xr:uid="{00000000-0005-0000-0000-00009E250000}"/>
    <cellStyle name="20% - Accent4 3 7 2 6" xfId="13189" xr:uid="{00000000-0005-0000-0000-00009F250000}"/>
    <cellStyle name="20% - Accent4 3 7 2 7" xfId="13190" xr:uid="{00000000-0005-0000-0000-0000A0250000}"/>
    <cellStyle name="20% - Accent4 3 7 2 8" xfId="13191" xr:uid="{00000000-0005-0000-0000-0000A1250000}"/>
    <cellStyle name="20% - Accent4 3 7 3" xfId="13192" xr:uid="{00000000-0005-0000-0000-0000A2250000}"/>
    <cellStyle name="20% - Accent4 3 7 3 2" xfId="13193" xr:uid="{00000000-0005-0000-0000-0000A3250000}"/>
    <cellStyle name="20% - Accent4 3 7 3 2 2" xfId="13194" xr:uid="{00000000-0005-0000-0000-0000A4250000}"/>
    <cellStyle name="20% - Accent4 3 7 3 2 2 2" xfId="13195" xr:uid="{00000000-0005-0000-0000-0000A5250000}"/>
    <cellStyle name="20% - Accent4 3 7 3 2 2 2 2" xfId="13196" xr:uid="{00000000-0005-0000-0000-0000A6250000}"/>
    <cellStyle name="20% - Accent4 3 7 3 2 2 3" xfId="13197" xr:uid="{00000000-0005-0000-0000-0000A7250000}"/>
    <cellStyle name="20% - Accent4 3 7 3 2 3" xfId="13198" xr:uid="{00000000-0005-0000-0000-0000A8250000}"/>
    <cellStyle name="20% - Accent4 3 7 3 2 3 2" xfId="13199" xr:uid="{00000000-0005-0000-0000-0000A9250000}"/>
    <cellStyle name="20% - Accent4 3 7 3 2 4" xfId="13200" xr:uid="{00000000-0005-0000-0000-0000AA250000}"/>
    <cellStyle name="20% - Accent4 3 7 3 2 5" xfId="13201" xr:uid="{00000000-0005-0000-0000-0000AB250000}"/>
    <cellStyle name="20% - Accent4 3 7 3 2 6" xfId="13202" xr:uid="{00000000-0005-0000-0000-0000AC250000}"/>
    <cellStyle name="20% - Accent4 3 7 3 3" xfId="13203" xr:uid="{00000000-0005-0000-0000-0000AD250000}"/>
    <cellStyle name="20% - Accent4 3 7 3 3 2" xfId="13204" xr:uid="{00000000-0005-0000-0000-0000AE250000}"/>
    <cellStyle name="20% - Accent4 3 7 3 3 2 2" xfId="13205" xr:uid="{00000000-0005-0000-0000-0000AF250000}"/>
    <cellStyle name="20% - Accent4 3 7 3 3 3" xfId="13206" xr:uid="{00000000-0005-0000-0000-0000B0250000}"/>
    <cellStyle name="20% - Accent4 3 7 3 4" xfId="13207" xr:uid="{00000000-0005-0000-0000-0000B1250000}"/>
    <cellStyle name="20% - Accent4 3 7 3 4 2" xfId="13208" xr:uid="{00000000-0005-0000-0000-0000B2250000}"/>
    <cellStyle name="20% - Accent4 3 7 3 5" xfId="13209" xr:uid="{00000000-0005-0000-0000-0000B3250000}"/>
    <cellStyle name="20% - Accent4 3 7 3 6" xfId="13210" xr:uid="{00000000-0005-0000-0000-0000B4250000}"/>
    <cellStyle name="20% - Accent4 3 7 3 7" xfId="13211" xr:uid="{00000000-0005-0000-0000-0000B5250000}"/>
    <cellStyle name="20% - Accent4 3 7 4" xfId="13212" xr:uid="{00000000-0005-0000-0000-0000B6250000}"/>
    <cellStyle name="20% - Accent4 3 7 4 2" xfId="13213" xr:uid="{00000000-0005-0000-0000-0000B7250000}"/>
    <cellStyle name="20% - Accent4 3 7 4 2 2" xfId="13214" xr:uid="{00000000-0005-0000-0000-0000B8250000}"/>
    <cellStyle name="20% - Accent4 3 7 4 2 2 2" xfId="13215" xr:uid="{00000000-0005-0000-0000-0000B9250000}"/>
    <cellStyle name="20% - Accent4 3 7 4 2 3" xfId="13216" xr:uid="{00000000-0005-0000-0000-0000BA250000}"/>
    <cellStyle name="20% - Accent4 3 7 4 3" xfId="13217" xr:uid="{00000000-0005-0000-0000-0000BB250000}"/>
    <cellStyle name="20% - Accent4 3 7 4 3 2" xfId="13218" xr:uid="{00000000-0005-0000-0000-0000BC250000}"/>
    <cellStyle name="20% - Accent4 3 7 4 4" xfId="13219" xr:uid="{00000000-0005-0000-0000-0000BD250000}"/>
    <cellStyle name="20% - Accent4 3 7 4 5" xfId="13220" xr:uid="{00000000-0005-0000-0000-0000BE250000}"/>
    <cellStyle name="20% - Accent4 3 7 4 6" xfId="13221" xr:uid="{00000000-0005-0000-0000-0000BF250000}"/>
    <cellStyle name="20% - Accent4 3 7 5" xfId="13222" xr:uid="{00000000-0005-0000-0000-0000C0250000}"/>
    <cellStyle name="20% - Accent4 3 7 5 2" xfId="13223" xr:uid="{00000000-0005-0000-0000-0000C1250000}"/>
    <cellStyle name="20% - Accent4 3 7 5 2 2" xfId="13224" xr:uid="{00000000-0005-0000-0000-0000C2250000}"/>
    <cellStyle name="20% - Accent4 3 7 5 3" xfId="13225" xr:uid="{00000000-0005-0000-0000-0000C3250000}"/>
    <cellStyle name="20% - Accent4 3 7 6" xfId="13226" xr:uid="{00000000-0005-0000-0000-0000C4250000}"/>
    <cellStyle name="20% - Accent4 3 7 6 2" xfId="13227" xr:uid="{00000000-0005-0000-0000-0000C5250000}"/>
    <cellStyle name="20% - Accent4 3 7 6 2 2" xfId="13228" xr:uid="{00000000-0005-0000-0000-0000C6250000}"/>
    <cellStyle name="20% - Accent4 3 7 6 3" xfId="13229" xr:uid="{00000000-0005-0000-0000-0000C7250000}"/>
    <cellStyle name="20% - Accent4 3 7 7" xfId="13230" xr:uid="{00000000-0005-0000-0000-0000C8250000}"/>
    <cellStyle name="20% - Accent4 3 7 7 2" xfId="13231" xr:uid="{00000000-0005-0000-0000-0000C9250000}"/>
    <cellStyle name="20% - Accent4 3 7 8" xfId="13232" xr:uid="{00000000-0005-0000-0000-0000CA250000}"/>
    <cellStyle name="20% - Accent4 3 7 8 2" xfId="13233" xr:uid="{00000000-0005-0000-0000-0000CB250000}"/>
    <cellStyle name="20% - Accent4 3 7 9" xfId="13234" xr:uid="{00000000-0005-0000-0000-0000CC250000}"/>
    <cellStyle name="20% - Accent4 3 8" xfId="13235" xr:uid="{00000000-0005-0000-0000-0000CD250000}"/>
    <cellStyle name="20% - Accent4 3 8 10" xfId="13236" xr:uid="{00000000-0005-0000-0000-0000CE250000}"/>
    <cellStyle name="20% - Accent4 3 8 11" xfId="13237" xr:uid="{00000000-0005-0000-0000-0000CF250000}"/>
    <cellStyle name="20% - Accent4 3 8 2" xfId="13238" xr:uid="{00000000-0005-0000-0000-0000D0250000}"/>
    <cellStyle name="20% - Accent4 3 8 2 2" xfId="13239" xr:uid="{00000000-0005-0000-0000-0000D1250000}"/>
    <cellStyle name="20% - Accent4 3 8 2 2 2" xfId="13240" xr:uid="{00000000-0005-0000-0000-0000D2250000}"/>
    <cellStyle name="20% - Accent4 3 8 2 2 2 2" xfId="13241" xr:uid="{00000000-0005-0000-0000-0000D3250000}"/>
    <cellStyle name="20% - Accent4 3 8 2 2 2 2 2" xfId="13242" xr:uid="{00000000-0005-0000-0000-0000D4250000}"/>
    <cellStyle name="20% - Accent4 3 8 2 2 2 3" xfId="13243" xr:uid="{00000000-0005-0000-0000-0000D5250000}"/>
    <cellStyle name="20% - Accent4 3 8 2 2 3" xfId="13244" xr:uid="{00000000-0005-0000-0000-0000D6250000}"/>
    <cellStyle name="20% - Accent4 3 8 2 2 3 2" xfId="13245" xr:uid="{00000000-0005-0000-0000-0000D7250000}"/>
    <cellStyle name="20% - Accent4 3 8 2 2 4" xfId="13246" xr:uid="{00000000-0005-0000-0000-0000D8250000}"/>
    <cellStyle name="20% - Accent4 3 8 2 2 5" xfId="13247" xr:uid="{00000000-0005-0000-0000-0000D9250000}"/>
    <cellStyle name="20% - Accent4 3 8 2 2 6" xfId="13248" xr:uid="{00000000-0005-0000-0000-0000DA250000}"/>
    <cellStyle name="20% - Accent4 3 8 2 3" xfId="13249" xr:uid="{00000000-0005-0000-0000-0000DB250000}"/>
    <cellStyle name="20% - Accent4 3 8 2 3 2" xfId="13250" xr:uid="{00000000-0005-0000-0000-0000DC250000}"/>
    <cellStyle name="20% - Accent4 3 8 2 3 2 2" xfId="13251" xr:uid="{00000000-0005-0000-0000-0000DD250000}"/>
    <cellStyle name="20% - Accent4 3 8 2 3 3" xfId="13252" xr:uid="{00000000-0005-0000-0000-0000DE250000}"/>
    <cellStyle name="20% - Accent4 3 8 2 4" xfId="13253" xr:uid="{00000000-0005-0000-0000-0000DF250000}"/>
    <cellStyle name="20% - Accent4 3 8 2 4 2" xfId="13254" xr:uid="{00000000-0005-0000-0000-0000E0250000}"/>
    <cellStyle name="20% - Accent4 3 8 2 5" xfId="13255" xr:uid="{00000000-0005-0000-0000-0000E1250000}"/>
    <cellStyle name="20% - Accent4 3 8 2 5 2" xfId="13256" xr:uid="{00000000-0005-0000-0000-0000E2250000}"/>
    <cellStyle name="20% - Accent4 3 8 2 6" xfId="13257" xr:uid="{00000000-0005-0000-0000-0000E3250000}"/>
    <cellStyle name="20% - Accent4 3 8 2 7" xfId="13258" xr:uid="{00000000-0005-0000-0000-0000E4250000}"/>
    <cellStyle name="20% - Accent4 3 8 2 8" xfId="13259" xr:uid="{00000000-0005-0000-0000-0000E5250000}"/>
    <cellStyle name="20% - Accent4 3 8 3" xfId="13260" xr:uid="{00000000-0005-0000-0000-0000E6250000}"/>
    <cellStyle name="20% - Accent4 3 8 3 2" xfId="13261" xr:uid="{00000000-0005-0000-0000-0000E7250000}"/>
    <cellStyle name="20% - Accent4 3 8 3 2 2" xfId="13262" xr:uid="{00000000-0005-0000-0000-0000E8250000}"/>
    <cellStyle name="20% - Accent4 3 8 3 2 2 2" xfId="13263" xr:uid="{00000000-0005-0000-0000-0000E9250000}"/>
    <cellStyle name="20% - Accent4 3 8 3 2 2 2 2" xfId="13264" xr:uid="{00000000-0005-0000-0000-0000EA250000}"/>
    <cellStyle name="20% - Accent4 3 8 3 2 2 3" xfId="13265" xr:uid="{00000000-0005-0000-0000-0000EB250000}"/>
    <cellStyle name="20% - Accent4 3 8 3 2 3" xfId="13266" xr:uid="{00000000-0005-0000-0000-0000EC250000}"/>
    <cellStyle name="20% - Accent4 3 8 3 2 3 2" xfId="13267" xr:uid="{00000000-0005-0000-0000-0000ED250000}"/>
    <cellStyle name="20% - Accent4 3 8 3 2 4" xfId="13268" xr:uid="{00000000-0005-0000-0000-0000EE250000}"/>
    <cellStyle name="20% - Accent4 3 8 3 2 5" xfId="13269" xr:uid="{00000000-0005-0000-0000-0000EF250000}"/>
    <cellStyle name="20% - Accent4 3 8 3 2 6" xfId="13270" xr:uid="{00000000-0005-0000-0000-0000F0250000}"/>
    <cellStyle name="20% - Accent4 3 8 3 3" xfId="13271" xr:uid="{00000000-0005-0000-0000-0000F1250000}"/>
    <cellStyle name="20% - Accent4 3 8 3 3 2" xfId="13272" xr:uid="{00000000-0005-0000-0000-0000F2250000}"/>
    <cellStyle name="20% - Accent4 3 8 3 3 2 2" xfId="13273" xr:uid="{00000000-0005-0000-0000-0000F3250000}"/>
    <cellStyle name="20% - Accent4 3 8 3 3 3" xfId="13274" xr:uid="{00000000-0005-0000-0000-0000F4250000}"/>
    <cellStyle name="20% - Accent4 3 8 3 4" xfId="13275" xr:uid="{00000000-0005-0000-0000-0000F5250000}"/>
    <cellStyle name="20% - Accent4 3 8 3 4 2" xfId="13276" xr:uid="{00000000-0005-0000-0000-0000F6250000}"/>
    <cellStyle name="20% - Accent4 3 8 3 5" xfId="13277" xr:uid="{00000000-0005-0000-0000-0000F7250000}"/>
    <cellStyle name="20% - Accent4 3 8 3 6" xfId="13278" xr:uid="{00000000-0005-0000-0000-0000F8250000}"/>
    <cellStyle name="20% - Accent4 3 8 3 7" xfId="13279" xr:uid="{00000000-0005-0000-0000-0000F9250000}"/>
    <cellStyle name="20% - Accent4 3 8 4" xfId="13280" xr:uid="{00000000-0005-0000-0000-0000FA250000}"/>
    <cellStyle name="20% - Accent4 3 8 4 2" xfId="13281" xr:uid="{00000000-0005-0000-0000-0000FB250000}"/>
    <cellStyle name="20% - Accent4 3 8 4 2 2" xfId="13282" xr:uid="{00000000-0005-0000-0000-0000FC250000}"/>
    <cellStyle name="20% - Accent4 3 8 4 2 2 2" xfId="13283" xr:uid="{00000000-0005-0000-0000-0000FD250000}"/>
    <cellStyle name="20% - Accent4 3 8 4 2 3" xfId="13284" xr:uid="{00000000-0005-0000-0000-0000FE250000}"/>
    <cellStyle name="20% - Accent4 3 8 4 3" xfId="13285" xr:uid="{00000000-0005-0000-0000-0000FF250000}"/>
    <cellStyle name="20% - Accent4 3 8 4 3 2" xfId="13286" xr:uid="{00000000-0005-0000-0000-000000260000}"/>
    <cellStyle name="20% - Accent4 3 8 4 4" xfId="13287" xr:uid="{00000000-0005-0000-0000-000001260000}"/>
    <cellStyle name="20% - Accent4 3 8 4 5" xfId="13288" xr:uid="{00000000-0005-0000-0000-000002260000}"/>
    <cellStyle name="20% - Accent4 3 8 4 6" xfId="13289" xr:uid="{00000000-0005-0000-0000-000003260000}"/>
    <cellStyle name="20% - Accent4 3 8 5" xfId="13290" xr:uid="{00000000-0005-0000-0000-000004260000}"/>
    <cellStyle name="20% - Accent4 3 8 5 2" xfId="13291" xr:uid="{00000000-0005-0000-0000-000005260000}"/>
    <cellStyle name="20% - Accent4 3 8 5 2 2" xfId="13292" xr:uid="{00000000-0005-0000-0000-000006260000}"/>
    <cellStyle name="20% - Accent4 3 8 5 3" xfId="13293" xr:uid="{00000000-0005-0000-0000-000007260000}"/>
    <cellStyle name="20% - Accent4 3 8 6" xfId="13294" xr:uid="{00000000-0005-0000-0000-000008260000}"/>
    <cellStyle name="20% - Accent4 3 8 6 2" xfId="13295" xr:uid="{00000000-0005-0000-0000-000009260000}"/>
    <cellStyle name="20% - Accent4 3 8 6 2 2" xfId="13296" xr:uid="{00000000-0005-0000-0000-00000A260000}"/>
    <cellStyle name="20% - Accent4 3 8 6 3" xfId="13297" xr:uid="{00000000-0005-0000-0000-00000B260000}"/>
    <cellStyle name="20% - Accent4 3 8 7" xfId="13298" xr:uid="{00000000-0005-0000-0000-00000C260000}"/>
    <cellStyle name="20% - Accent4 3 8 7 2" xfId="13299" xr:uid="{00000000-0005-0000-0000-00000D260000}"/>
    <cellStyle name="20% - Accent4 3 8 8" xfId="13300" xr:uid="{00000000-0005-0000-0000-00000E260000}"/>
    <cellStyle name="20% - Accent4 3 8 8 2" xfId="13301" xr:uid="{00000000-0005-0000-0000-00000F260000}"/>
    <cellStyle name="20% - Accent4 3 8 9" xfId="13302" xr:uid="{00000000-0005-0000-0000-000010260000}"/>
    <cellStyle name="20% - Accent4 3 9" xfId="13303" xr:uid="{00000000-0005-0000-0000-000011260000}"/>
    <cellStyle name="20% - Accent4 3 9 2" xfId="13304" xr:uid="{00000000-0005-0000-0000-000012260000}"/>
    <cellStyle name="20% - Accent4 3 9 2 2" xfId="13305" xr:uid="{00000000-0005-0000-0000-000013260000}"/>
    <cellStyle name="20% - Accent4 4" xfId="178" xr:uid="{00000000-0005-0000-0000-000014260000}"/>
    <cellStyle name="20% - Accent4 4 10" xfId="13306" xr:uid="{00000000-0005-0000-0000-000015260000}"/>
    <cellStyle name="20% - Accent4 4 10 2" xfId="13307" xr:uid="{00000000-0005-0000-0000-000016260000}"/>
    <cellStyle name="20% - Accent4 4 10 2 2" xfId="13308" xr:uid="{00000000-0005-0000-0000-000017260000}"/>
    <cellStyle name="20% - Accent4 4 10 2 2 2" xfId="13309" xr:uid="{00000000-0005-0000-0000-000018260000}"/>
    <cellStyle name="20% - Accent4 4 10 2 2 2 2" xfId="13310" xr:uid="{00000000-0005-0000-0000-000019260000}"/>
    <cellStyle name="20% - Accent4 4 10 2 2 3" xfId="13311" xr:uid="{00000000-0005-0000-0000-00001A260000}"/>
    <cellStyle name="20% - Accent4 4 10 2 3" xfId="13312" xr:uid="{00000000-0005-0000-0000-00001B260000}"/>
    <cellStyle name="20% - Accent4 4 10 2 3 2" xfId="13313" xr:uid="{00000000-0005-0000-0000-00001C260000}"/>
    <cellStyle name="20% - Accent4 4 10 2 4" xfId="13314" xr:uid="{00000000-0005-0000-0000-00001D260000}"/>
    <cellStyle name="20% - Accent4 4 10 2 5" xfId="13315" xr:uid="{00000000-0005-0000-0000-00001E260000}"/>
    <cellStyle name="20% - Accent4 4 10 2 6" xfId="13316" xr:uid="{00000000-0005-0000-0000-00001F260000}"/>
    <cellStyle name="20% - Accent4 4 10 3" xfId="13317" xr:uid="{00000000-0005-0000-0000-000020260000}"/>
    <cellStyle name="20% - Accent4 4 10 3 2" xfId="13318" xr:uid="{00000000-0005-0000-0000-000021260000}"/>
    <cellStyle name="20% - Accent4 4 10 3 2 2" xfId="13319" xr:uid="{00000000-0005-0000-0000-000022260000}"/>
    <cellStyle name="20% - Accent4 4 10 3 3" xfId="13320" xr:uid="{00000000-0005-0000-0000-000023260000}"/>
    <cellStyle name="20% - Accent4 4 10 4" xfId="13321" xr:uid="{00000000-0005-0000-0000-000024260000}"/>
    <cellStyle name="20% - Accent4 4 10 4 2" xfId="13322" xr:uid="{00000000-0005-0000-0000-000025260000}"/>
    <cellStyle name="20% - Accent4 4 10 4 2 2" xfId="13323" xr:uid="{00000000-0005-0000-0000-000026260000}"/>
    <cellStyle name="20% - Accent4 4 10 4 3" xfId="13324" xr:uid="{00000000-0005-0000-0000-000027260000}"/>
    <cellStyle name="20% - Accent4 4 10 5" xfId="13325" xr:uid="{00000000-0005-0000-0000-000028260000}"/>
    <cellStyle name="20% - Accent4 4 10 6" xfId="13326" xr:uid="{00000000-0005-0000-0000-000029260000}"/>
    <cellStyle name="20% - Accent4 4 11" xfId="13327" xr:uid="{00000000-0005-0000-0000-00002A260000}"/>
    <cellStyle name="20% - Accent4 4 11 2" xfId="13328" xr:uid="{00000000-0005-0000-0000-00002B260000}"/>
    <cellStyle name="20% - Accent4 4 11 2 2" xfId="13329" xr:uid="{00000000-0005-0000-0000-00002C260000}"/>
    <cellStyle name="20% - Accent4 4 11 2 2 2" xfId="13330" xr:uid="{00000000-0005-0000-0000-00002D260000}"/>
    <cellStyle name="20% - Accent4 4 11 2 2 2 2" xfId="13331" xr:uid="{00000000-0005-0000-0000-00002E260000}"/>
    <cellStyle name="20% - Accent4 4 11 2 2 3" xfId="13332" xr:uid="{00000000-0005-0000-0000-00002F260000}"/>
    <cellStyle name="20% - Accent4 4 11 2 3" xfId="13333" xr:uid="{00000000-0005-0000-0000-000030260000}"/>
    <cellStyle name="20% - Accent4 4 11 2 3 2" xfId="13334" xr:uid="{00000000-0005-0000-0000-000031260000}"/>
    <cellStyle name="20% - Accent4 4 11 2 4" xfId="13335" xr:uid="{00000000-0005-0000-0000-000032260000}"/>
    <cellStyle name="20% - Accent4 4 11 2 5" xfId="13336" xr:uid="{00000000-0005-0000-0000-000033260000}"/>
    <cellStyle name="20% - Accent4 4 11 2 6" xfId="13337" xr:uid="{00000000-0005-0000-0000-000034260000}"/>
    <cellStyle name="20% - Accent4 4 11 3" xfId="13338" xr:uid="{00000000-0005-0000-0000-000035260000}"/>
    <cellStyle name="20% - Accent4 4 11 3 2" xfId="13339" xr:uid="{00000000-0005-0000-0000-000036260000}"/>
    <cellStyle name="20% - Accent4 4 11 3 2 2" xfId="13340" xr:uid="{00000000-0005-0000-0000-000037260000}"/>
    <cellStyle name="20% - Accent4 4 11 3 3" xfId="13341" xr:uid="{00000000-0005-0000-0000-000038260000}"/>
    <cellStyle name="20% - Accent4 4 11 4" xfId="13342" xr:uid="{00000000-0005-0000-0000-000039260000}"/>
    <cellStyle name="20% - Accent4 4 11 4 2" xfId="13343" xr:uid="{00000000-0005-0000-0000-00003A260000}"/>
    <cellStyle name="20% - Accent4 4 11 5" xfId="13344" xr:uid="{00000000-0005-0000-0000-00003B260000}"/>
    <cellStyle name="20% - Accent4 4 11 6" xfId="13345" xr:uid="{00000000-0005-0000-0000-00003C260000}"/>
    <cellStyle name="20% - Accent4 4 11 7" xfId="13346" xr:uid="{00000000-0005-0000-0000-00003D260000}"/>
    <cellStyle name="20% - Accent4 4 12" xfId="13347" xr:uid="{00000000-0005-0000-0000-00003E260000}"/>
    <cellStyle name="20% - Accent4 4 13" xfId="13348" xr:uid="{00000000-0005-0000-0000-00003F260000}"/>
    <cellStyle name="20% - Accent4 4 13 2" xfId="13349" xr:uid="{00000000-0005-0000-0000-000040260000}"/>
    <cellStyle name="20% - Accent4 4 13 2 2" xfId="13350" xr:uid="{00000000-0005-0000-0000-000041260000}"/>
    <cellStyle name="20% - Accent4 4 13 3" xfId="13351" xr:uid="{00000000-0005-0000-0000-000042260000}"/>
    <cellStyle name="20% - Accent4 4 14" xfId="13352" xr:uid="{00000000-0005-0000-0000-000043260000}"/>
    <cellStyle name="20% - Accent4 4 14 2" xfId="13353" xr:uid="{00000000-0005-0000-0000-000044260000}"/>
    <cellStyle name="20% - Accent4 4 15" xfId="13354" xr:uid="{00000000-0005-0000-0000-000045260000}"/>
    <cellStyle name="20% - Accent4 4 16" xfId="13355" xr:uid="{00000000-0005-0000-0000-000046260000}"/>
    <cellStyle name="20% - Accent4 4 2" xfId="13356" xr:uid="{00000000-0005-0000-0000-000047260000}"/>
    <cellStyle name="20% - Accent4 4 2 10" xfId="13357" xr:uid="{00000000-0005-0000-0000-000048260000}"/>
    <cellStyle name="20% - Accent4 4 2 11" xfId="13358" xr:uid="{00000000-0005-0000-0000-000049260000}"/>
    <cellStyle name="20% - Accent4 4 2 2" xfId="13359" xr:uid="{00000000-0005-0000-0000-00004A260000}"/>
    <cellStyle name="20% - Accent4 4 2 2 2" xfId="13360" xr:uid="{00000000-0005-0000-0000-00004B260000}"/>
    <cellStyle name="20% - Accent4 4 2 2 2 2" xfId="13361" xr:uid="{00000000-0005-0000-0000-00004C260000}"/>
    <cellStyle name="20% - Accent4 4 2 2 2 2 2" xfId="13362" xr:uid="{00000000-0005-0000-0000-00004D260000}"/>
    <cellStyle name="20% - Accent4 4 2 2 2 2 2 2" xfId="13363" xr:uid="{00000000-0005-0000-0000-00004E260000}"/>
    <cellStyle name="20% - Accent4 4 2 2 2 2 3" xfId="13364" xr:uid="{00000000-0005-0000-0000-00004F260000}"/>
    <cellStyle name="20% - Accent4 4 2 2 2 3" xfId="13365" xr:uid="{00000000-0005-0000-0000-000050260000}"/>
    <cellStyle name="20% - Accent4 4 2 2 2 3 2" xfId="13366" xr:uid="{00000000-0005-0000-0000-000051260000}"/>
    <cellStyle name="20% - Accent4 4 2 2 2 4" xfId="13367" xr:uid="{00000000-0005-0000-0000-000052260000}"/>
    <cellStyle name="20% - Accent4 4 2 2 2 5" xfId="13368" xr:uid="{00000000-0005-0000-0000-000053260000}"/>
    <cellStyle name="20% - Accent4 4 2 2 2 6" xfId="13369" xr:uid="{00000000-0005-0000-0000-000054260000}"/>
    <cellStyle name="20% - Accent4 4 2 2 3" xfId="13370" xr:uid="{00000000-0005-0000-0000-000055260000}"/>
    <cellStyle name="20% - Accent4 4 2 2 3 2" xfId="13371" xr:uid="{00000000-0005-0000-0000-000056260000}"/>
    <cellStyle name="20% - Accent4 4 2 2 3 2 2" xfId="13372" xr:uid="{00000000-0005-0000-0000-000057260000}"/>
    <cellStyle name="20% - Accent4 4 2 2 3 3" xfId="13373" xr:uid="{00000000-0005-0000-0000-000058260000}"/>
    <cellStyle name="20% - Accent4 4 2 2 4" xfId="13374" xr:uid="{00000000-0005-0000-0000-000059260000}"/>
    <cellStyle name="20% - Accent4 4 2 2 4 2" xfId="13375" xr:uid="{00000000-0005-0000-0000-00005A260000}"/>
    <cellStyle name="20% - Accent4 4 2 2 5" xfId="13376" xr:uid="{00000000-0005-0000-0000-00005B260000}"/>
    <cellStyle name="20% - Accent4 4 2 2 5 2" xfId="13377" xr:uid="{00000000-0005-0000-0000-00005C260000}"/>
    <cellStyle name="20% - Accent4 4 2 2 6" xfId="13378" xr:uid="{00000000-0005-0000-0000-00005D260000}"/>
    <cellStyle name="20% - Accent4 4 2 2 7" xfId="13379" xr:uid="{00000000-0005-0000-0000-00005E260000}"/>
    <cellStyle name="20% - Accent4 4 2 2 8" xfId="13380" xr:uid="{00000000-0005-0000-0000-00005F260000}"/>
    <cellStyle name="20% - Accent4 4 2 3" xfId="13381" xr:uid="{00000000-0005-0000-0000-000060260000}"/>
    <cellStyle name="20% - Accent4 4 2 3 2" xfId="13382" xr:uid="{00000000-0005-0000-0000-000061260000}"/>
    <cellStyle name="20% - Accent4 4 2 3 2 2" xfId="13383" xr:uid="{00000000-0005-0000-0000-000062260000}"/>
    <cellStyle name="20% - Accent4 4 2 3 2 2 2" xfId="13384" xr:uid="{00000000-0005-0000-0000-000063260000}"/>
    <cellStyle name="20% - Accent4 4 2 3 2 2 2 2" xfId="13385" xr:uid="{00000000-0005-0000-0000-000064260000}"/>
    <cellStyle name="20% - Accent4 4 2 3 2 2 3" xfId="13386" xr:uid="{00000000-0005-0000-0000-000065260000}"/>
    <cellStyle name="20% - Accent4 4 2 3 2 3" xfId="13387" xr:uid="{00000000-0005-0000-0000-000066260000}"/>
    <cellStyle name="20% - Accent4 4 2 3 2 3 2" xfId="13388" xr:uid="{00000000-0005-0000-0000-000067260000}"/>
    <cellStyle name="20% - Accent4 4 2 3 2 4" xfId="13389" xr:uid="{00000000-0005-0000-0000-000068260000}"/>
    <cellStyle name="20% - Accent4 4 2 3 2 5" xfId="13390" xr:uid="{00000000-0005-0000-0000-000069260000}"/>
    <cellStyle name="20% - Accent4 4 2 3 2 6" xfId="13391" xr:uid="{00000000-0005-0000-0000-00006A260000}"/>
    <cellStyle name="20% - Accent4 4 2 3 3" xfId="13392" xr:uid="{00000000-0005-0000-0000-00006B260000}"/>
    <cellStyle name="20% - Accent4 4 2 3 3 2" xfId="13393" xr:uid="{00000000-0005-0000-0000-00006C260000}"/>
    <cellStyle name="20% - Accent4 4 2 3 3 2 2" xfId="13394" xr:uid="{00000000-0005-0000-0000-00006D260000}"/>
    <cellStyle name="20% - Accent4 4 2 3 3 3" xfId="13395" xr:uid="{00000000-0005-0000-0000-00006E260000}"/>
    <cellStyle name="20% - Accent4 4 2 3 4" xfId="13396" xr:uid="{00000000-0005-0000-0000-00006F260000}"/>
    <cellStyle name="20% - Accent4 4 2 3 4 2" xfId="13397" xr:uid="{00000000-0005-0000-0000-000070260000}"/>
    <cellStyle name="20% - Accent4 4 2 3 5" xfId="13398" xr:uid="{00000000-0005-0000-0000-000071260000}"/>
    <cellStyle name="20% - Accent4 4 2 3 6" xfId="13399" xr:uid="{00000000-0005-0000-0000-000072260000}"/>
    <cellStyle name="20% - Accent4 4 2 3 7" xfId="13400" xr:uid="{00000000-0005-0000-0000-000073260000}"/>
    <cellStyle name="20% - Accent4 4 2 4" xfId="13401" xr:uid="{00000000-0005-0000-0000-000074260000}"/>
    <cellStyle name="20% - Accent4 4 2 4 2" xfId="13402" xr:uid="{00000000-0005-0000-0000-000075260000}"/>
    <cellStyle name="20% - Accent4 4 2 4 2 2" xfId="13403" xr:uid="{00000000-0005-0000-0000-000076260000}"/>
    <cellStyle name="20% - Accent4 4 2 4 2 2 2" xfId="13404" xr:uid="{00000000-0005-0000-0000-000077260000}"/>
    <cellStyle name="20% - Accent4 4 2 4 2 3" xfId="13405" xr:uid="{00000000-0005-0000-0000-000078260000}"/>
    <cellStyle name="20% - Accent4 4 2 4 3" xfId="13406" xr:uid="{00000000-0005-0000-0000-000079260000}"/>
    <cellStyle name="20% - Accent4 4 2 4 3 2" xfId="13407" xr:uid="{00000000-0005-0000-0000-00007A260000}"/>
    <cellStyle name="20% - Accent4 4 2 4 4" xfId="13408" xr:uid="{00000000-0005-0000-0000-00007B260000}"/>
    <cellStyle name="20% - Accent4 4 2 4 5" xfId="13409" xr:uid="{00000000-0005-0000-0000-00007C260000}"/>
    <cellStyle name="20% - Accent4 4 2 4 6" xfId="13410" xr:uid="{00000000-0005-0000-0000-00007D260000}"/>
    <cellStyle name="20% - Accent4 4 2 5" xfId="13411" xr:uid="{00000000-0005-0000-0000-00007E260000}"/>
    <cellStyle name="20% - Accent4 4 2 5 2" xfId="13412" xr:uid="{00000000-0005-0000-0000-00007F260000}"/>
    <cellStyle name="20% - Accent4 4 2 5 2 2" xfId="13413" xr:uid="{00000000-0005-0000-0000-000080260000}"/>
    <cellStyle name="20% - Accent4 4 2 5 3" xfId="13414" xr:uid="{00000000-0005-0000-0000-000081260000}"/>
    <cellStyle name="20% - Accent4 4 2 6" xfId="13415" xr:uid="{00000000-0005-0000-0000-000082260000}"/>
    <cellStyle name="20% - Accent4 4 2 6 2" xfId="13416" xr:uid="{00000000-0005-0000-0000-000083260000}"/>
    <cellStyle name="20% - Accent4 4 2 6 2 2" xfId="13417" xr:uid="{00000000-0005-0000-0000-000084260000}"/>
    <cellStyle name="20% - Accent4 4 2 6 3" xfId="13418" xr:uid="{00000000-0005-0000-0000-000085260000}"/>
    <cellStyle name="20% - Accent4 4 2 7" xfId="13419" xr:uid="{00000000-0005-0000-0000-000086260000}"/>
    <cellStyle name="20% - Accent4 4 2 7 2" xfId="13420" xr:uid="{00000000-0005-0000-0000-000087260000}"/>
    <cellStyle name="20% - Accent4 4 2 8" xfId="13421" xr:uid="{00000000-0005-0000-0000-000088260000}"/>
    <cellStyle name="20% - Accent4 4 2 8 2" xfId="13422" xr:uid="{00000000-0005-0000-0000-000089260000}"/>
    <cellStyle name="20% - Accent4 4 2 9" xfId="13423" xr:uid="{00000000-0005-0000-0000-00008A260000}"/>
    <cellStyle name="20% - Accent4 4 3" xfId="13424" xr:uid="{00000000-0005-0000-0000-00008B260000}"/>
    <cellStyle name="20% - Accent4 4 3 10" xfId="13425" xr:uid="{00000000-0005-0000-0000-00008C260000}"/>
    <cellStyle name="20% - Accent4 4 3 11" xfId="13426" xr:uid="{00000000-0005-0000-0000-00008D260000}"/>
    <cellStyle name="20% - Accent4 4 3 2" xfId="13427" xr:uid="{00000000-0005-0000-0000-00008E260000}"/>
    <cellStyle name="20% - Accent4 4 3 2 2" xfId="13428" xr:uid="{00000000-0005-0000-0000-00008F260000}"/>
    <cellStyle name="20% - Accent4 4 3 2 2 2" xfId="13429" xr:uid="{00000000-0005-0000-0000-000090260000}"/>
    <cellStyle name="20% - Accent4 4 3 2 2 2 2" xfId="13430" xr:uid="{00000000-0005-0000-0000-000091260000}"/>
    <cellStyle name="20% - Accent4 4 3 2 2 2 2 2" xfId="13431" xr:uid="{00000000-0005-0000-0000-000092260000}"/>
    <cellStyle name="20% - Accent4 4 3 2 2 2 3" xfId="13432" xr:uid="{00000000-0005-0000-0000-000093260000}"/>
    <cellStyle name="20% - Accent4 4 3 2 2 3" xfId="13433" xr:uid="{00000000-0005-0000-0000-000094260000}"/>
    <cellStyle name="20% - Accent4 4 3 2 2 3 2" xfId="13434" xr:uid="{00000000-0005-0000-0000-000095260000}"/>
    <cellStyle name="20% - Accent4 4 3 2 2 4" xfId="13435" xr:uid="{00000000-0005-0000-0000-000096260000}"/>
    <cellStyle name="20% - Accent4 4 3 2 2 5" xfId="13436" xr:uid="{00000000-0005-0000-0000-000097260000}"/>
    <cellStyle name="20% - Accent4 4 3 2 2 6" xfId="13437" xr:uid="{00000000-0005-0000-0000-000098260000}"/>
    <cellStyle name="20% - Accent4 4 3 2 3" xfId="13438" xr:uid="{00000000-0005-0000-0000-000099260000}"/>
    <cellStyle name="20% - Accent4 4 3 2 3 2" xfId="13439" xr:uid="{00000000-0005-0000-0000-00009A260000}"/>
    <cellStyle name="20% - Accent4 4 3 2 3 2 2" xfId="13440" xr:uid="{00000000-0005-0000-0000-00009B260000}"/>
    <cellStyle name="20% - Accent4 4 3 2 3 3" xfId="13441" xr:uid="{00000000-0005-0000-0000-00009C260000}"/>
    <cellStyle name="20% - Accent4 4 3 2 4" xfId="13442" xr:uid="{00000000-0005-0000-0000-00009D260000}"/>
    <cellStyle name="20% - Accent4 4 3 2 4 2" xfId="13443" xr:uid="{00000000-0005-0000-0000-00009E260000}"/>
    <cellStyle name="20% - Accent4 4 3 2 5" xfId="13444" xr:uid="{00000000-0005-0000-0000-00009F260000}"/>
    <cellStyle name="20% - Accent4 4 3 2 5 2" xfId="13445" xr:uid="{00000000-0005-0000-0000-0000A0260000}"/>
    <cellStyle name="20% - Accent4 4 3 2 6" xfId="13446" xr:uid="{00000000-0005-0000-0000-0000A1260000}"/>
    <cellStyle name="20% - Accent4 4 3 2 7" xfId="13447" xr:uid="{00000000-0005-0000-0000-0000A2260000}"/>
    <cellStyle name="20% - Accent4 4 3 2 8" xfId="13448" xr:uid="{00000000-0005-0000-0000-0000A3260000}"/>
    <cellStyle name="20% - Accent4 4 3 3" xfId="13449" xr:uid="{00000000-0005-0000-0000-0000A4260000}"/>
    <cellStyle name="20% - Accent4 4 3 3 2" xfId="13450" xr:uid="{00000000-0005-0000-0000-0000A5260000}"/>
    <cellStyle name="20% - Accent4 4 3 3 2 2" xfId="13451" xr:uid="{00000000-0005-0000-0000-0000A6260000}"/>
    <cellStyle name="20% - Accent4 4 3 3 2 2 2" xfId="13452" xr:uid="{00000000-0005-0000-0000-0000A7260000}"/>
    <cellStyle name="20% - Accent4 4 3 3 2 2 2 2" xfId="13453" xr:uid="{00000000-0005-0000-0000-0000A8260000}"/>
    <cellStyle name="20% - Accent4 4 3 3 2 2 3" xfId="13454" xr:uid="{00000000-0005-0000-0000-0000A9260000}"/>
    <cellStyle name="20% - Accent4 4 3 3 2 3" xfId="13455" xr:uid="{00000000-0005-0000-0000-0000AA260000}"/>
    <cellStyle name="20% - Accent4 4 3 3 2 3 2" xfId="13456" xr:uid="{00000000-0005-0000-0000-0000AB260000}"/>
    <cellStyle name="20% - Accent4 4 3 3 2 4" xfId="13457" xr:uid="{00000000-0005-0000-0000-0000AC260000}"/>
    <cellStyle name="20% - Accent4 4 3 3 2 5" xfId="13458" xr:uid="{00000000-0005-0000-0000-0000AD260000}"/>
    <cellStyle name="20% - Accent4 4 3 3 2 6" xfId="13459" xr:uid="{00000000-0005-0000-0000-0000AE260000}"/>
    <cellStyle name="20% - Accent4 4 3 3 3" xfId="13460" xr:uid="{00000000-0005-0000-0000-0000AF260000}"/>
    <cellStyle name="20% - Accent4 4 3 3 3 2" xfId="13461" xr:uid="{00000000-0005-0000-0000-0000B0260000}"/>
    <cellStyle name="20% - Accent4 4 3 3 3 2 2" xfId="13462" xr:uid="{00000000-0005-0000-0000-0000B1260000}"/>
    <cellStyle name="20% - Accent4 4 3 3 3 3" xfId="13463" xr:uid="{00000000-0005-0000-0000-0000B2260000}"/>
    <cellStyle name="20% - Accent4 4 3 3 4" xfId="13464" xr:uid="{00000000-0005-0000-0000-0000B3260000}"/>
    <cellStyle name="20% - Accent4 4 3 3 4 2" xfId="13465" xr:uid="{00000000-0005-0000-0000-0000B4260000}"/>
    <cellStyle name="20% - Accent4 4 3 3 5" xfId="13466" xr:uid="{00000000-0005-0000-0000-0000B5260000}"/>
    <cellStyle name="20% - Accent4 4 3 3 6" xfId="13467" xr:uid="{00000000-0005-0000-0000-0000B6260000}"/>
    <cellStyle name="20% - Accent4 4 3 3 7" xfId="13468" xr:uid="{00000000-0005-0000-0000-0000B7260000}"/>
    <cellStyle name="20% - Accent4 4 3 4" xfId="13469" xr:uid="{00000000-0005-0000-0000-0000B8260000}"/>
    <cellStyle name="20% - Accent4 4 3 4 2" xfId="13470" xr:uid="{00000000-0005-0000-0000-0000B9260000}"/>
    <cellStyle name="20% - Accent4 4 3 4 2 2" xfId="13471" xr:uid="{00000000-0005-0000-0000-0000BA260000}"/>
    <cellStyle name="20% - Accent4 4 3 4 2 2 2" xfId="13472" xr:uid="{00000000-0005-0000-0000-0000BB260000}"/>
    <cellStyle name="20% - Accent4 4 3 4 2 3" xfId="13473" xr:uid="{00000000-0005-0000-0000-0000BC260000}"/>
    <cellStyle name="20% - Accent4 4 3 4 3" xfId="13474" xr:uid="{00000000-0005-0000-0000-0000BD260000}"/>
    <cellStyle name="20% - Accent4 4 3 4 3 2" xfId="13475" xr:uid="{00000000-0005-0000-0000-0000BE260000}"/>
    <cellStyle name="20% - Accent4 4 3 4 4" xfId="13476" xr:uid="{00000000-0005-0000-0000-0000BF260000}"/>
    <cellStyle name="20% - Accent4 4 3 4 5" xfId="13477" xr:uid="{00000000-0005-0000-0000-0000C0260000}"/>
    <cellStyle name="20% - Accent4 4 3 4 6" xfId="13478" xr:uid="{00000000-0005-0000-0000-0000C1260000}"/>
    <cellStyle name="20% - Accent4 4 3 5" xfId="13479" xr:uid="{00000000-0005-0000-0000-0000C2260000}"/>
    <cellStyle name="20% - Accent4 4 3 5 2" xfId="13480" xr:uid="{00000000-0005-0000-0000-0000C3260000}"/>
    <cellStyle name="20% - Accent4 4 3 5 2 2" xfId="13481" xr:uid="{00000000-0005-0000-0000-0000C4260000}"/>
    <cellStyle name="20% - Accent4 4 3 5 3" xfId="13482" xr:uid="{00000000-0005-0000-0000-0000C5260000}"/>
    <cellStyle name="20% - Accent4 4 3 6" xfId="13483" xr:uid="{00000000-0005-0000-0000-0000C6260000}"/>
    <cellStyle name="20% - Accent4 4 3 6 2" xfId="13484" xr:uid="{00000000-0005-0000-0000-0000C7260000}"/>
    <cellStyle name="20% - Accent4 4 3 6 2 2" xfId="13485" xr:uid="{00000000-0005-0000-0000-0000C8260000}"/>
    <cellStyle name="20% - Accent4 4 3 6 3" xfId="13486" xr:uid="{00000000-0005-0000-0000-0000C9260000}"/>
    <cellStyle name="20% - Accent4 4 3 7" xfId="13487" xr:uid="{00000000-0005-0000-0000-0000CA260000}"/>
    <cellStyle name="20% - Accent4 4 3 7 2" xfId="13488" xr:uid="{00000000-0005-0000-0000-0000CB260000}"/>
    <cellStyle name="20% - Accent4 4 3 8" xfId="13489" xr:uid="{00000000-0005-0000-0000-0000CC260000}"/>
    <cellStyle name="20% - Accent4 4 3 8 2" xfId="13490" xr:uid="{00000000-0005-0000-0000-0000CD260000}"/>
    <cellStyle name="20% - Accent4 4 3 9" xfId="13491" xr:uid="{00000000-0005-0000-0000-0000CE260000}"/>
    <cellStyle name="20% - Accent4 4 4" xfId="13492" xr:uid="{00000000-0005-0000-0000-0000CF260000}"/>
    <cellStyle name="20% - Accent4 4 4 10" xfId="13493" xr:uid="{00000000-0005-0000-0000-0000D0260000}"/>
    <cellStyle name="20% - Accent4 4 4 11" xfId="13494" xr:uid="{00000000-0005-0000-0000-0000D1260000}"/>
    <cellStyle name="20% - Accent4 4 4 2" xfId="13495" xr:uid="{00000000-0005-0000-0000-0000D2260000}"/>
    <cellStyle name="20% - Accent4 4 4 2 2" xfId="13496" xr:uid="{00000000-0005-0000-0000-0000D3260000}"/>
    <cellStyle name="20% - Accent4 4 4 2 2 2" xfId="13497" xr:uid="{00000000-0005-0000-0000-0000D4260000}"/>
    <cellStyle name="20% - Accent4 4 4 2 2 2 2" xfId="13498" xr:uid="{00000000-0005-0000-0000-0000D5260000}"/>
    <cellStyle name="20% - Accent4 4 4 2 2 2 2 2" xfId="13499" xr:uid="{00000000-0005-0000-0000-0000D6260000}"/>
    <cellStyle name="20% - Accent4 4 4 2 2 2 3" xfId="13500" xr:uid="{00000000-0005-0000-0000-0000D7260000}"/>
    <cellStyle name="20% - Accent4 4 4 2 2 3" xfId="13501" xr:uid="{00000000-0005-0000-0000-0000D8260000}"/>
    <cellStyle name="20% - Accent4 4 4 2 2 3 2" xfId="13502" xr:uid="{00000000-0005-0000-0000-0000D9260000}"/>
    <cellStyle name="20% - Accent4 4 4 2 2 4" xfId="13503" xr:uid="{00000000-0005-0000-0000-0000DA260000}"/>
    <cellStyle name="20% - Accent4 4 4 2 2 5" xfId="13504" xr:uid="{00000000-0005-0000-0000-0000DB260000}"/>
    <cellStyle name="20% - Accent4 4 4 2 2 6" xfId="13505" xr:uid="{00000000-0005-0000-0000-0000DC260000}"/>
    <cellStyle name="20% - Accent4 4 4 2 3" xfId="13506" xr:uid="{00000000-0005-0000-0000-0000DD260000}"/>
    <cellStyle name="20% - Accent4 4 4 2 3 2" xfId="13507" xr:uid="{00000000-0005-0000-0000-0000DE260000}"/>
    <cellStyle name="20% - Accent4 4 4 2 3 2 2" xfId="13508" xr:uid="{00000000-0005-0000-0000-0000DF260000}"/>
    <cellStyle name="20% - Accent4 4 4 2 3 3" xfId="13509" xr:uid="{00000000-0005-0000-0000-0000E0260000}"/>
    <cellStyle name="20% - Accent4 4 4 2 4" xfId="13510" xr:uid="{00000000-0005-0000-0000-0000E1260000}"/>
    <cellStyle name="20% - Accent4 4 4 2 4 2" xfId="13511" xr:uid="{00000000-0005-0000-0000-0000E2260000}"/>
    <cellStyle name="20% - Accent4 4 4 2 5" xfId="13512" xr:uid="{00000000-0005-0000-0000-0000E3260000}"/>
    <cellStyle name="20% - Accent4 4 4 2 5 2" xfId="13513" xr:uid="{00000000-0005-0000-0000-0000E4260000}"/>
    <cellStyle name="20% - Accent4 4 4 2 6" xfId="13514" xr:uid="{00000000-0005-0000-0000-0000E5260000}"/>
    <cellStyle name="20% - Accent4 4 4 2 7" xfId="13515" xr:uid="{00000000-0005-0000-0000-0000E6260000}"/>
    <cellStyle name="20% - Accent4 4 4 2 8" xfId="13516" xr:uid="{00000000-0005-0000-0000-0000E7260000}"/>
    <cellStyle name="20% - Accent4 4 4 3" xfId="13517" xr:uid="{00000000-0005-0000-0000-0000E8260000}"/>
    <cellStyle name="20% - Accent4 4 4 3 2" xfId="13518" xr:uid="{00000000-0005-0000-0000-0000E9260000}"/>
    <cellStyle name="20% - Accent4 4 4 3 2 2" xfId="13519" xr:uid="{00000000-0005-0000-0000-0000EA260000}"/>
    <cellStyle name="20% - Accent4 4 4 3 2 2 2" xfId="13520" xr:uid="{00000000-0005-0000-0000-0000EB260000}"/>
    <cellStyle name="20% - Accent4 4 4 3 2 2 2 2" xfId="13521" xr:uid="{00000000-0005-0000-0000-0000EC260000}"/>
    <cellStyle name="20% - Accent4 4 4 3 2 2 3" xfId="13522" xr:uid="{00000000-0005-0000-0000-0000ED260000}"/>
    <cellStyle name="20% - Accent4 4 4 3 2 3" xfId="13523" xr:uid="{00000000-0005-0000-0000-0000EE260000}"/>
    <cellStyle name="20% - Accent4 4 4 3 2 3 2" xfId="13524" xr:uid="{00000000-0005-0000-0000-0000EF260000}"/>
    <cellStyle name="20% - Accent4 4 4 3 2 4" xfId="13525" xr:uid="{00000000-0005-0000-0000-0000F0260000}"/>
    <cellStyle name="20% - Accent4 4 4 3 2 5" xfId="13526" xr:uid="{00000000-0005-0000-0000-0000F1260000}"/>
    <cellStyle name="20% - Accent4 4 4 3 2 6" xfId="13527" xr:uid="{00000000-0005-0000-0000-0000F2260000}"/>
    <cellStyle name="20% - Accent4 4 4 3 3" xfId="13528" xr:uid="{00000000-0005-0000-0000-0000F3260000}"/>
    <cellStyle name="20% - Accent4 4 4 3 3 2" xfId="13529" xr:uid="{00000000-0005-0000-0000-0000F4260000}"/>
    <cellStyle name="20% - Accent4 4 4 3 3 2 2" xfId="13530" xr:uid="{00000000-0005-0000-0000-0000F5260000}"/>
    <cellStyle name="20% - Accent4 4 4 3 3 3" xfId="13531" xr:uid="{00000000-0005-0000-0000-0000F6260000}"/>
    <cellStyle name="20% - Accent4 4 4 3 4" xfId="13532" xr:uid="{00000000-0005-0000-0000-0000F7260000}"/>
    <cellStyle name="20% - Accent4 4 4 3 4 2" xfId="13533" xr:uid="{00000000-0005-0000-0000-0000F8260000}"/>
    <cellStyle name="20% - Accent4 4 4 3 5" xfId="13534" xr:uid="{00000000-0005-0000-0000-0000F9260000}"/>
    <cellStyle name="20% - Accent4 4 4 3 6" xfId="13535" xr:uid="{00000000-0005-0000-0000-0000FA260000}"/>
    <cellStyle name="20% - Accent4 4 4 3 7" xfId="13536" xr:uid="{00000000-0005-0000-0000-0000FB260000}"/>
    <cellStyle name="20% - Accent4 4 4 4" xfId="13537" xr:uid="{00000000-0005-0000-0000-0000FC260000}"/>
    <cellStyle name="20% - Accent4 4 4 4 2" xfId="13538" xr:uid="{00000000-0005-0000-0000-0000FD260000}"/>
    <cellStyle name="20% - Accent4 4 4 4 2 2" xfId="13539" xr:uid="{00000000-0005-0000-0000-0000FE260000}"/>
    <cellStyle name="20% - Accent4 4 4 4 2 2 2" xfId="13540" xr:uid="{00000000-0005-0000-0000-0000FF260000}"/>
    <cellStyle name="20% - Accent4 4 4 4 2 3" xfId="13541" xr:uid="{00000000-0005-0000-0000-000000270000}"/>
    <cellStyle name="20% - Accent4 4 4 4 3" xfId="13542" xr:uid="{00000000-0005-0000-0000-000001270000}"/>
    <cellStyle name="20% - Accent4 4 4 4 3 2" xfId="13543" xr:uid="{00000000-0005-0000-0000-000002270000}"/>
    <cellStyle name="20% - Accent4 4 4 4 4" xfId="13544" xr:uid="{00000000-0005-0000-0000-000003270000}"/>
    <cellStyle name="20% - Accent4 4 4 4 5" xfId="13545" xr:uid="{00000000-0005-0000-0000-000004270000}"/>
    <cellStyle name="20% - Accent4 4 4 4 6" xfId="13546" xr:uid="{00000000-0005-0000-0000-000005270000}"/>
    <cellStyle name="20% - Accent4 4 4 5" xfId="13547" xr:uid="{00000000-0005-0000-0000-000006270000}"/>
    <cellStyle name="20% - Accent4 4 4 5 2" xfId="13548" xr:uid="{00000000-0005-0000-0000-000007270000}"/>
    <cellStyle name="20% - Accent4 4 4 5 2 2" xfId="13549" xr:uid="{00000000-0005-0000-0000-000008270000}"/>
    <cellStyle name="20% - Accent4 4 4 5 3" xfId="13550" xr:uid="{00000000-0005-0000-0000-000009270000}"/>
    <cellStyle name="20% - Accent4 4 4 6" xfId="13551" xr:uid="{00000000-0005-0000-0000-00000A270000}"/>
    <cellStyle name="20% - Accent4 4 4 6 2" xfId="13552" xr:uid="{00000000-0005-0000-0000-00000B270000}"/>
    <cellStyle name="20% - Accent4 4 4 6 2 2" xfId="13553" xr:uid="{00000000-0005-0000-0000-00000C270000}"/>
    <cellStyle name="20% - Accent4 4 4 6 3" xfId="13554" xr:uid="{00000000-0005-0000-0000-00000D270000}"/>
    <cellStyle name="20% - Accent4 4 4 7" xfId="13555" xr:uid="{00000000-0005-0000-0000-00000E270000}"/>
    <cellStyle name="20% - Accent4 4 4 7 2" xfId="13556" xr:uid="{00000000-0005-0000-0000-00000F270000}"/>
    <cellStyle name="20% - Accent4 4 4 8" xfId="13557" xr:uid="{00000000-0005-0000-0000-000010270000}"/>
    <cellStyle name="20% - Accent4 4 4 8 2" xfId="13558" xr:uid="{00000000-0005-0000-0000-000011270000}"/>
    <cellStyle name="20% - Accent4 4 4 9" xfId="13559" xr:uid="{00000000-0005-0000-0000-000012270000}"/>
    <cellStyle name="20% - Accent4 4 5" xfId="13560" xr:uid="{00000000-0005-0000-0000-000013270000}"/>
    <cellStyle name="20% - Accent4 4 5 10" xfId="13561" xr:uid="{00000000-0005-0000-0000-000014270000}"/>
    <cellStyle name="20% - Accent4 4 5 11" xfId="13562" xr:uid="{00000000-0005-0000-0000-000015270000}"/>
    <cellStyle name="20% - Accent4 4 5 2" xfId="13563" xr:uid="{00000000-0005-0000-0000-000016270000}"/>
    <cellStyle name="20% - Accent4 4 5 2 2" xfId="13564" xr:uid="{00000000-0005-0000-0000-000017270000}"/>
    <cellStyle name="20% - Accent4 4 5 2 2 2" xfId="13565" xr:uid="{00000000-0005-0000-0000-000018270000}"/>
    <cellStyle name="20% - Accent4 4 5 2 2 2 2" xfId="13566" xr:uid="{00000000-0005-0000-0000-000019270000}"/>
    <cellStyle name="20% - Accent4 4 5 2 2 2 2 2" xfId="13567" xr:uid="{00000000-0005-0000-0000-00001A270000}"/>
    <cellStyle name="20% - Accent4 4 5 2 2 2 3" xfId="13568" xr:uid="{00000000-0005-0000-0000-00001B270000}"/>
    <cellStyle name="20% - Accent4 4 5 2 2 3" xfId="13569" xr:uid="{00000000-0005-0000-0000-00001C270000}"/>
    <cellStyle name="20% - Accent4 4 5 2 2 3 2" xfId="13570" xr:uid="{00000000-0005-0000-0000-00001D270000}"/>
    <cellStyle name="20% - Accent4 4 5 2 2 4" xfId="13571" xr:uid="{00000000-0005-0000-0000-00001E270000}"/>
    <cellStyle name="20% - Accent4 4 5 2 2 5" xfId="13572" xr:uid="{00000000-0005-0000-0000-00001F270000}"/>
    <cellStyle name="20% - Accent4 4 5 2 2 6" xfId="13573" xr:uid="{00000000-0005-0000-0000-000020270000}"/>
    <cellStyle name="20% - Accent4 4 5 2 3" xfId="13574" xr:uid="{00000000-0005-0000-0000-000021270000}"/>
    <cellStyle name="20% - Accent4 4 5 2 3 2" xfId="13575" xr:uid="{00000000-0005-0000-0000-000022270000}"/>
    <cellStyle name="20% - Accent4 4 5 2 3 2 2" xfId="13576" xr:uid="{00000000-0005-0000-0000-000023270000}"/>
    <cellStyle name="20% - Accent4 4 5 2 3 3" xfId="13577" xr:uid="{00000000-0005-0000-0000-000024270000}"/>
    <cellStyle name="20% - Accent4 4 5 2 4" xfId="13578" xr:uid="{00000000-0005-0000-0000-000025270000}"/>
    <cellStyle name="20% - Accent4 4 5 2 4 2" xfId="13579" xr:uid="{00000000-0005-0000-0000-000026270000}"/>
    <cellStyle name="20% - Accent4 4 5 2 5" xfId="13580" xr:uid="{00000000-0005-0000-0000-000027270000}"/>
    <cellStyle name="20% - Accent4 4 5 2 5 2" xfId="13581" xr:uid="{00000000-0005-0000-0000-000028270000}"/>
    <cellStyle name="20% - Accent4 4 5 2 6" xfId="13582" xr:uid="{00000000-0005-0000-0000-000029270000}"/>
    <cellStyle name="20% - Accent4 4 5 2 7" xfId="13583" xr:uid="{00000000-0005-0000-0000-00002A270000}"/>
    <cellStyle name="20% - Accent4 4 5 2 8" xfId="13584" xr:uid="{00000000-0005-0000-0000-00002B270000}"/>
    <cellStyle name="20% - Accent4 4 5 3" xfId="13585" xr:uid="{00000000-0005-0000-0000-00002C270000}"/>
    <cellStyle name="20% - Accent4 4 5 3 2" xfId="13586" xr:uid="{00000000-0005-0000-0000-00002D270000}"/>
    <cellStyle name="20% - Accent4 4 5 3 2 2" xfId="13587" xr:uid="{00000000-0005-0000-0000-00002E270000}"/>
    <cellStyle name="20% - Accent4 4 5 3 2 2 2" xfId="13588" xr:uid="{00000000-0005-0000-0000-00002F270000}"/>
    <cellStyle name="20% - Accent4 4 5 3 2 2 2 2" xfId="13589" xr:uid="{00000000-0005-0000-0000-000030270000}"/>
    <cellStyle name="20% - Accent4 4 5 3 2 2 3" xfId="13590" xr:uid="{00000000-0005-0000-0000-000031270000}"/>
    <cellStyle name="20% - Accent4 4 5 3 2 3" xfId="13591" xr:uid="{00000000-0005-0000-0000-000032270000}"/>
    <cellStyle name="20% - Accent4 4 5 3 2 3 2" xfId="13592" xr:uid="{00000000-0005-0000-0000-000033270000}"/>
    <cellStyle name="20% - Accent4 4 5 3 2 4" xfId="13593" xr:uid="{00000000-0005-0000-0000-000034270000}"/>
    <cellStyle name="20% - Accent4 4 5 3 2 5" xfId="13594" xr:uid="{00000000-0005-0000-0000-000035270000}"/>
    <cellStyle name="20% - Accent4 4 5 3 2 6" xfId="13595" xr:uid="{00000000-0005-0000-0000-000036270000}"/>
    <cellStyle name="20% - Accent4 4 5 3 3" xfId="13596" xr:uid="{00000000-0005-0000-0000-000037270000}"/>
    <cellStyle name="20% - Accent4 4 5 3 3 2" xfId="13597" xr:uid="{00000000-0005-0000-0000-000038270000}"/>
    <cellStyle name="20% - Accent4 4 5 3 3 2 2" xfId="13598" xr:uid="{00000000-0005-0000-0000-000039270000}"/>
    <cellStyle name="20% - Accent4 4 5 3 3 3" xfId="13599" xr:uid="{00000000-0005-0000-0000-00003A270000}"/>
    <cellStyle name="20% - Accent4 4 5 3 4" xfId="13600" xr:uid="{00000000-0005-0000-0000-00003B270000}"/>
    <cellStyle name="20% - Accent4 4 5 3 4 2" xfId="13601" xr:uid="{00000000-0005-0000-0000-00003C270000}"/>
    <cellStyle name="20% - Accent4 4 5 3 5" xfId="13602" xr:uid="{00000000-0005-0000-0000-00003D270000}"/>
    <cellStyle name="20% - Accent4 4 5 3 6" xfId="13603" xr:uid="{00000000-0005-0000-0000-00003E270000}"/>
    <cellStyle name="20% - Accent4 4 5 3 7" xfId="13604" xr:uid="{00000000-0005-0000-0000-00003F270000}"/>
    <cellStyle name="20% - Accent4 4 5 4" xfId="13605" xr:uid="{00000000-0005-0000-0000-000040270000}"/>
    <cellStyle name="20% - Accent4 4 5 4 2" xfId="13606" xr:uid="{00000000-0005-0000-0000-000041270000}"/>
    <cellStyle name="20% - Accent4 4 5 4 2 2" xfId="13607" xr:uid="{00000000-0005-0000-0000-000042270000}"/>
    <cellStyle name="20% - Accent4 4 5 4 2 2 2" xfId="13608" xr:uid="{00000000-0005-0000-0000-000043270000}"/>
    <cellStyle name="20% - Accent4 4 5 4 2 3" xfId="13609" xr:uid="{00000000-0005-0000-0000-000044270000}"/>
    <cellStyle name="20% - Accent4 4 5 4 3" xfId="13610" xr:uid="{00000000-0005-0000-0000-000045270000}"/>
    <cellStyle name="20% - Accent4 4 5 4 3 2" xfId="13611" xr:uid="{00000000-0005-0000-0000-000046270000}"/>
    <cellStyle name="20% - Accent4 4 5 4 4" xfId="13612" xr:uid="{00000000-0005-0000-0000-000047270000}"/>
    <cellStyle name="20% - Accent4 4 5 4 5" xfId="13613" xr:uid="{00000000-0005-0000-0000-000048270000}"/>
    <cellStyle name="20% - Accent4 4 5 4 6" xfId="13614" xr:uid="{00000000-0005-0000-0000-000049270000}"/>
    <cellStyle name="20% - Accent4 4 5 5" xfId="13615" xr:uid="{00000000-0005-0000-0000-00004A270000}"/>
    <cellStyle name="20% - Accent4 4 5 5 2" xfId="13616" xr:uid="{00000000-0005-0000-0000-00004B270000}"/>
    <cellStyle name="20% - Accent4 4 5 5 2 2" xfId="13617" xr:uid="{00000000-0005-0000-0000-00004C270000}"/>
    <cellStyle name="20% - Accent4 4 5 5 3" xfId="13618" xr:uid="{00000000-0005-0000-0000-00004D270000}"/>
    <cellStyle name="20% - Accent4 4 5 6" xfId="13619" xr:uid="{00000000-0005-0000-0000-00004E270000}"/>
    <cellStyle name="20% - Accent4 4 5 6 2" xfId="13620" xr:uid="{00000000-0005-0000-0000-00004F270000}"/>
    <cellStyle name="20% - Accent4 4 5 6 2 2" xfId="13621" xr:uid="{00000000-0005-0000-0000-000050270000}"/>
    <cellStyle name="20% - Accent4 4 5 6 3" xfId="13622" xr:uid="{00000000-0005-0000-0000-000051270000}"/>
    <cellStyle name="20% - Accent4 4 5 7" xfId="13623" xr:uid="{00000000-0005-0000-0000-000052270000}"/>
    <cellStyle name="20% - Accent4 4 5 7 2" xfId="13624" xr:uid="{00000000-0005-0000-0000-000053270000}"/>
    <cellStyle name="20% - Accent4 4 5 8" xfId="13625" xr:uid="{00000000-0005-0000-0000-000054270000}"/>
    <cellStyle name="20% - Accent4 4 5 8 2" xfId="13626" xr:uid="{00000000-0005-0000-0000-000055270000}"/>
    <cellStyle name="20% - Accent4 4 5 9" xfId="13627" xr:uid="{00000000-0005-0000-0000-000056270000}"/>
    <cellStyle name="20% - Accent4 4 6" xfId="13628" xr:uid="{00000000-0005-0000-0000-000057270000}"/>
    <cellStyle name="20% - Accent4 4 6 10" xfId="13629" xr:uid="{00000000-0005-0000-0000-000058270000}"/>
    <cellStyle name="20% - Accent4 4 6 11" xfId="13630" xr:uid="{00000000-0005-0000-0000-000059270000}"/>
    <cellStyle name="20% - Accent4 4 6 2" xfId="13631" xr:uid="{00000000-0005-0000-0000-00005A270000}"/>
    <cellStyle name="20% - Accent4 4 6 2 2" xfId="13632" xr:uid="{00000000-0005-0000-0000-00005B270000}"/>
    <cellStyle name="20% - Accent4 4 6 2 2 2" xfId="13633" xr:uid="{00000000-0005-0000-0000-00005C270000}"/>
    <cellStyle name="20% - Accent4 4 6 2 2 2 2" xfId="13634" xr:uid="{00000000-0005-0000-0000-00005D270000}"/>
    <cellStyle name="20% - Accent4 4 6 2 2 2 2 2" xfId="13635" xr:uid="{00000000-0005-0000-0000-00005E270000}"/>
    <cellStyle name="20% - Accent4 4 6 2 2 2 3" xfId="13636" xr:uid="{00000000-0005-0000-0000-00005F270000}"/>
    <cellStyle name="20% - Accent4 4 6 2 2 3" xfId="13637" xr:uid="{00000000-0005-0000-0000-000060270000}"/>
    <cellStyle name="20% - Accent4 4 6 2 2 3 2" xfId="13638" xr:uid="{00000000-0005-0000-0000-000061270000}"/>
    <cellStyle name="20% - Accent4 4 6 2 2 4" xfId="13639" xr:uid="{00000000-0005-0000-0000-000062270000}"/>
    <cellStyle name="20% - Accent4 4 6 2 2 5" xfId="13640" xr:uid="{00000000-0005-0000-0000-000063270000}"/>
    <cellStyle name="20% - Accent4 4 6 2 2 6" xfId="13641" xr:uid="{00000000-0005-0000-0000-000064270000}"/>
    <cellStyle name="20% - Accent4 4 6 2 3" xfId="13642" xr:uid="{00000000-0005-0000-0000-000065270000}"/>
    <cellStyle name="20% - Accent4 4 6 2 3 2" xfId="13643" xr:uid="{00000000-0005-0000-0000-000066270000}"/>
    <cellStyle name="20% - Accent4 4 6 2 3 2 2" xfId="13644" xr:uid="{00000000-0005-0000-0000-000067270000}"/>
    <cellStyle name="20% - Accent4 4 6 2 3 3" xfId="13645" xr:uid="{00000000-0005-0000-0000-000068270000}"/>
    <cellStyle name="20% - Accent4 4 6 2 4" xfId="13646" xr:uid="{00000000-0005-0000-0000-000069270000}"/>
    <cellStyle name="20% - Accent4 4 6 2 4 2" xfId="13647" xr:uid="{00000000-0005-0000-0000-00006A270000}"/>
    <cellStyle name="20% - Accent4 4 6 2 5" xfId="13648" xr:uid="{00000000-0005-0000-0000-00006B270000}"/>
    <cellStyle name="20% - Accent4 4 6 2 5 2" xfId="13649" xr:uid="{00000000-0005-0000-0000-00006C270000}"/>
    <cellStyle name="20% - Accent4 4 6 2 6" xfId="13650" xr:uid="{00000000-0005-0000-0000-00006D270000}"/>
    <cellStyle name="20% - Accent4 4 6 2 7" xfId="13651" xr:uid="{00000000-0005-0000-0000-00006E270000}"/>
    <cellStyle name="20% - Accent4 4 6 2 8" xfId="13652" xr:uid="{00000000-0005-0000-0000-00006F270000}"/>
    <cellStyle name="20% - Accent4 4 6 3" xfId="13653" xr:uid="{00000000-0005-0000-0000-000070270000}"/>
    <cellStyle name="20% - Accent4 4 6 3 2" xfId="13654" xr:uid="{00000000-0005-0000-0000-000071270000}"/>
    <cellStyle name="20% - Accent4 4 6 3 2 2" xfId="13655" xr:uid="{00000000-0005-0000-0000-000072270000}"/>
    <cellStyle name="20% - Accent4 4 6 3 2 2 2" xfId="13656" xr:uid="{00000000-0005-0000-0000-000073270000}"/>
    <cellStyle name="20% - Accent4 4 6 3 2 2 2 2" xfId="13657" xr:uid="{00000000-0005-0000-0000-000074270000}"/>
    <cellStyle name="20% - Accent4 4 6 3 2 2 3" xfId="13658" xr:uid="{00000000-0005-0000-0000-000075270000}"/>
    <cellStyle name="20% - Accent4 4 6 3 2 3" xfId="13659" xr:uid="{00000000-0005-0000-0000-000076270000}"/>
    <cellStyle name="20% - Accent4 4 6 3 2 3 2" xfId="13660" xr:uid="{00000000-0005-0000-0000-000077270000}"/>
    <cellStyle name="20% - Accent4 4 6 3 2 4" xfId="13661" xr:uid="{00000000-0005-0000-0000-000078270000}"/>
    <cellStyle name="20% - Accent4 4 6 3 2 5" xfId="13662" xr:uid="{00000000-0005-0000-0000-000079270000}"/>
    <cellStyle name="20% - Accent4 4 6 3 2 6" xfId="13663" xr:uid="{00000000-0005-0000-0000-00007A270000}"/>
    <cellStyle name="20% - Accent4 4 6 3 3" xfId="13664" xr:uid="{00000000-0005-0000-0000-00007B270000}"/>
    <cellStyle name="20% - Accent4 4 6 3 3 2" xfId="13665" xr:uid="{00000000-0005-0000-0000-00007C270000}"/>
    <cellStyle name="20% - Accent4 4 6 3 3 2 2" xfId="13666" xr:uid="{00000000-0005-0000-0000-00007D270000}"/>
    <cellStyle name="20% - Accent4 4 6 3 3 3" xfId="13667" xr:uid="{00000000-0005-0000-0000-00007E270000}"/>
    <cellStyle name="20% - Accent4 4 6 3 4" xfId="13668" xr:uid="{00000000-0005-0000-0000-00007F270000}"/>
    <cellStyle name="20% - Accent4 4 6 3 4 2" xfId="13669" xr:uid="{00000000-0005-0000-0000-000080270000}"/>
    <cellStyle name="20% - Accent4 4 6 3 5" xfId="13670" xr:uid="{00000000-0005-0000-0000-000081270000}"/>
    <cellStyle name="20% - Accent4 4 6 3 6" xfId="13671" xr:uid="{00000000-0005-0000-0000-000082270000}"/>
    <cellStyle name="20% - Accent4 4 6 3 7" xfId="13672" xr:uid="{00000000-0005-0000-0000-000083270000}"/>
    <cellStyle name="20% - Accent4 4 6 4" xfId="13673" xr:uid="{00000000-0005-0000-0000-000084270000}"/>
    <cellStyle name="20% - Accent4 4 6 4 2" xfId="13674" xr:uid="{00000000-0005-0000-0000-000085270000}"/>
    <cellStyle name="20% - Accent4 4 6 4 2 2" xfId="13675" xr:uid="{00000000-0005-0000-0000-000086270000}"/>
    <cellStyle name="20% - Accent4 4 6 4 2 2 2" xfId="13676" xr:uid="{00000000-0005-0000-0000-000087270000}"/>
    <cellStyle name="20% - Accent4 4 6 4 2 3" xfId="13677" xr:uid="{00000000-0005-0000-0000-000088270000}"/>
    <cellStyle name="20% - Accent4 4 6 4 3" xfId="13678" xr:uid="{00000000-0005-0000-0000-000089270000}"/>
    <cellStyle name="20% - Accent4 4 6 4 3 2" xfId="13679" xr:uid="{00000000-0005-0000-0000-00008A270000}"/>
    <cellStyle name="20% - Accent4 4 6 4 4" xfId="13680" xr:uid="{00000000-0005-0000-0000-00008B270000}"/>
    <cellStyle name="20% - Accent4 4 6 4 5" xfId="13681" xr:uid="{00000000-0005-0000-0000-00008C270000}"/>
    <cellStyle name="20% - Accent4 4 6 4 6" xfId="13682" xr:uid="{00000000-0005-0000-0000-00008D270000}"/>
    <cellStyle name="20% - Accent4 4 6 5" xfId="13683" xr:uid="{00000000-0005-0000-0000-00008E270000}"/>
    <cellStyle name="20% - Accent4 4 6 5 2" xfId="13684" xr:uid="{00000000-0005-0000-0000-00008F270000}"/>
    <cellStyle name="20% - Accent4 4 6 5 2 2" xfId="13685" xr:uid="{00000000-0005-0000-0000-000090270000}"/>
    <cellStyle name="20% - Accent4 4 6 5 3" xfId="13686" xr:uid="{00000000-0005-0000-0000-000091270000}"/>
    <cellStyle name="20% - Accent4 4 6 6" xfId="13687" xr:uid="{00000000-0005-0000-0000-000092270000}"/>
    <cellStyle name="20% - Accent4 4 6 6 2" xfId="13688" xr:uid="{00000000-0005-0000-0000-000093270000}"/>
    <cellStyle name="20% - Accent4 4 6 6 2 2" xfId="13689" xr:uid="{00000000-0005-0000-0000-000094270000}"/>
    <cellStyle name="20% - Accent4 4 6 6 3" xfId="13690" xr:uid="{00000000-0005-0000-0000-000095270000}"/>
    <cellStyle name="20% - Accent4 4 6 7" xfId="13691" xr:uid="{00000000-0005-0000-0000-000096270000}"/>
    <cellStyle name="20% - Accent4 4 6 7 2" xfId="13692" xr:uid="{00000000-0005-0000-0000-000097270000}"/>
    <cellStyle name="20% - Accent4 4 6 8" xfId="13693" xr:uid="{00000000-0005-0000-0000-000098270000}"/>
    <cellStyle name="20% - Accent4 4 6 8 2" xfId="13694" xr:uid="{00000000-0005-0000-0000-000099270000}"/>
    <cellStyle name="20% - Accent4 4 6 9" xfId="13695" xr:uid="{00000000-0005-0000-0000-00009A270000}"/>
    <cellStyle name="20% - Accent4 4 7" xfId="13696" xr:uid="{00000000-0005-0000-0000-00009B270000}"/>
    <cellStyle name="20% - Accent4 4 7 10" xfId="13697" xr:uid="{00000000-0005-0000-0000-00009C270000}"/>
    <cellStyle name="20% - Accent4 4 7 11" xfId="13698" xr:uid="{00000000-0005-0000-0000-00009D270000}"/>
    <cellStyle name="20% - Accent4 4 7 2" xfId="13699" xr:uid="{00000000-0005-0000-0000-00009E270000}"/>
    <cellStyle name="20% - Accent4 4 7 2 2" xfId="13700" xr:uid="{00000000-0005-0000-0000-00009F270000}"/>
    <cellStyle name="20% - Accent4 4 7 2 2 2" xfId="13701" xr:uid="{00000000-0005-0000-0000-0000A0270000}"/>
    <cellStyle name="20% - Accent4 4 7 2 2 2 2" xfId="13702" xr:uid="{00000000-0005-0000-0000-0000A1270000}"/>
    <cellStyle name="20% - Accent4 4 7 2 2 2 2 2" xfId="13703" xr:uid="{00000000-0005-0000-0000-0000A2270000}"/>
    <cellStyle name="20% - Accent4 4 7 2 2 2 3" xfId="13704" xr:uid="{00000000-0005-0000-0000-0000A3270000}"/>
    <cellStyle name="20% - Accent4 4 7 2 2 3" xfId="13705" xr:uid="{00000000-0005-0000-0000-0000A4270000}"/>
    <cellStyle name="20% - Accent4 4 7 2 2 3 2" xfId="13706" xr:uid="{00000000-0005-0000-0000-0000A5270000}"/>
    <cellStyle name="20% - Accent4 4 7 2 2 4" xfId="13707" xr:uid="{00000000-0005-0000-0000-0000A6270000}"/>
    <cellStyle name="20% - Accent4 4 7 2 2 5" xfId="13708" xr:uid="{00000000-0005-0000-0000-0000A7270000}"/>
    <cellStyle name="20% - Accent4 4 7 2 2 6" xfId="13709" xr:uid="{00000000-0005-0000-0000-0000A8270000}"/>
    <cellStyle name="20% - Accent4 4 7 2 3" xfId="13710" xr:uid="{00000000-0005-0000-0000-0000A9270000}"/>
    <cellStyle name="20% - Accent4 4 7 2 3 2" xfId="13711" xr:uid="{00000000-0005-0000-0000-0000AA270000}"/>
    <cellStyle name="20% - Accent4 4 7 2 3 2 2" xfId="13712" xr:uid="{00000000-0005-0000-0000-0000AB270000}"/>
    <cellStyle name="20% - Accent4 4 7 2 3 3" xfId="13713" xr:uid="{00000000-0005-0000-0000-0000AC270000}"/>
    <cellStyle name="20% - Accent4 4 7 2 4" xfId="13714" xr:uid="{00000000-0005-0000-0000-0000AD270000}"/>
    <cellStyle name="20% - Accent4 4 7 2 4 2" xfId="13715" xr:uid="{00000000-0005-0000-0000-0000AE270000}"/>
    <cellStyle name="20% - Accent4 4 7 2 5" xfId="13716" xr:uid="{00000000-0005-0000-0000-0000AF270000}"/>
    <cellStyle name="20% - Accent4 4 7 2 5 2" xfId="13717" xr:uid="{00000000-0005-0000-0000-0000B0270000}"/>
    <cellStyle name="20% - Accent4 4 7 2 6" xfId="13718" xr:uid="{00000000-0005-0000-0000-0000B1270000}"/>
    <cellStyle name="20% - Accent4 4 7 2 7" xfId="13719" xr:uid="{00000000-0005-0000-0000-0000B2270000}"/>
    <cellStyle name="20% - Accent4 4 7 2 8" xfId="13720" xr:uid="{00000000-0005-0000-0000-0000B3270000}"/>
    <cellStyle name="20% - Accent4 4 7 3" xfId="13721" xr:uid="{00000000-0005-0000-0000-0000B4270000}"/>
    <cellStyle name="20% - Accent4 4 7 3 2" xfId="13722" xr:uid="{00000000-0005-0000-0000-0000B5270000}"/>
    <cellStyle name="20% - Accent4 4 7 3 2 2" xfId="13723" xr:uid="{00000000-0005-0000-0000-0000B6270000}"/>
    <cellStyle name="20% - Accent4 4 7 3 2 2 2" xfId="13724" xr:uid="{00000000-0005-0000-0000-0000B7270000}"/>
    <cellStyle name="20% - Accent4 4 7 3 2 2 2 2" xfId="13725" xr:uid="{00000000-0005-0000-0000-0000B8270000}"/>
    <cellStyle name="20% - Accent4 4 7 3 2 2 3" xfId="13726" xr:uid="{00000000-0005-0000-0000-0000B9270000}"/>
    <cellStyle name="20% - Accent4 4 7 3 2 3" xfId="13727" xr:uid="{00000000-0005-0000-0000-0000BA270000}"/>
    <cellStyle name="20% - Accent4 4 7 3 2 3 2" xfId="13728" xr:uid="{00000000-0005-0000-0000-0000BB270000}"/>
    <cellStyle name="20% - Accent4 4 7 3 2 4" xfId="13729" xr:uid="{00000000-0005-0000-0000-0000BC270000}"/>
    <cellStyle name="20% - Accent4 4 7 3 2 5" xfId="13730" xr:uid="{00000000-0005-0000-0000-0000BD270000}"/>
    <cellStyle name="20% - Accent4 4 7 3 2 6" xfId="13731" xr:uid="{00000000-0005-0000-0000-0000BE270000}"/>
    <cellStyle name="20% - Accent4 4 7 3 3" xfId="13732" xr:uid="{00000000-0005-0000-0000-0000BF270000}"/>
    <cellStyle name="20% - Accent4 4 7 3 3 2" xfId="13733" xr:uid="{00000000-0005-0000-0000-0000C0270000}"/>
    <cellStyle name="20% - Accent4 4 7 3 3 2 2" xfId="13734" xr:uid="{00000000-0005-0000-0000-0000C1270000}"/>
    <cellStyle name="20% - Accent4 4 7 3 3 3" xfId="13735" xr:uid="{00000000-0005-0000-0000-0000C2270000}"/>
    <cellStyle name="20% - Accent4 4 7 3 4" xfId="13736" xr:uid="{00000000-0005-0000-0000-0000C3270000}"/>
    <cellStyle name="20% - Accent4 4 7 3 4 2" xfId="13737" xr:uid="{00000000-0005-0000-0000-0000C4270000}"/>
    <cellStyle name="20% - Accent4 4 7 3 5" xfId="13738" xr:uid="{00000000-0005-0000-0000-0000C5270000}"/>
    <cellStyle name="20% - Accent4 4 7 3 6" xfId="13739" xr:uid="{00000000-0005-0000-0000-0000C6270000}"/>
    <cellStyle name="20% - Accent4 4 7 3 7" xfId="13740" xr:uid="{00000000-0005-0000-0000-0000C7270000}"/>
    <cellStyle name="20% - Accent4 4 7 4" xfId="13741" xr:uid="{00000000-0005-0000-0000-0000C8270000}"/>
    <cellStyle name="20% - Accent4 4 7 4 2" xfId="13742" xr:uid="{00000000-0005-0000-0000-0000C9270000}"/>
    <cellStyle name="20% - Accent4 4 7 4 2 2" xfId="13743" xr:uid="{00000000-0005-0000-0000-0000CA270000}"/>
    <cellStyle name="20% - Accent4 4 7 4 2 2 2" xfId="13744" xr:uid="{00000000-0005-0000-0000-0000CB270000}"/>
    <cellStyle name="20% - Accent4 4 7 4 2 3" xfId="13745" xr:uid="{00000000-0005-0000-0000-0000CC270000}"/>
    <cellStyle name="20% - Accent4 4 7 4 3" xfId="13746" xr:uid="{00000000-0005-0000-0000-0000CD270000}"/>
    <cellStyle name="20% - Accent4 4 7 4 3 2" xfId="13747" xr:uid="{00000000-0005-0000-0000-0000CE270000}"/>
    <cellStyle name="20% - Accent4 4 7 4 4" xfId="13748" xr:uid="{00000000-0005-0000-0000-0000CF270000}"/>
    <cellStyle name="20% - Accent4 4 7 4 5" xfId="13749" xr:uid="{00000000-0005-0000-0000-0000D0270000}"/>
    <cellStyle name="20% - Accent4 4 7 4 6" xfId="13750" xr:uid="{00000000-0005-0000-0000-0000D1270000}"/>
    <cellStyle name="20% - Accent4 4 7 5" xfId="13751" xr:uid="{00000000-0005-0000-0000-0000D2270000}"/>
    <cellStyle name="20% - Accent4 4 7 5 2" xfId="13752" xr:uid="{00000000-0005-0000-0000-0000D3270000}"/>
    <cellStyle name="20% - Accent4 4 7 5 2 2" xfId="13753" xr:uid="{00000000-0005-0000-0000-0000D4270000}"/>
    <cellStyle name="20% - Accent4 4 7 5 3" xfId="13754" xr:uid="{00000000-0005-0000-0000-0000D5270000}"/>
    <cellStyle name="20% - Accent4 4 7 6" xfId="13755" xr:uid="{00000000-0005-0000-0000-0000D6270000}"/>
    <cellStyle name="20% - Accent4 4 7 6 2" xfId="13756" xr:uid="{00000000-0005-0000-0000-0000D7270000}"/>
    <cellStyle name="20% - Accent4 4 7 6 2 2" xfId="13757" xr:uid="{00000000-0005-0000-0000-0000D8270000}"/>
    <cellStyle name="20% - Accent4 4 7 6 3" xfId="13758" xr:uid="{00000000-0005-0000-0000-0000D9270000}"/>
    <cellStyle name="20% - Accent4 4 7 7" xfId="13759" xr:uid="{00000000-0005-0000-0000-0000DA270000}"/>
    <cellStyle name="20% - Accent4 4 7 7 2" xfId="13760" xr:uid="{00000000-0005-0000-0000-0000DB270000}"/>
    <cellStyle name="20% - Accent4 4 7 8" xfId="13761" xr:uid="{00000000-0005-0000-0000-0000DC270000}"/>
    <cellStyle name="20% - Accent4 4 7 8 2" xfId="13762" xr:uid="{00000000-0005-0000-0000-0000DD270000}"/>
    <cellStyle name="20% - Accent4 4 7 9" xfId="13763" xr:uid="{00000000-0005-0000-0000-0000DE270000}"/>
    <cellStyle name="20% - Accent4 4 8" xfId="13764" xr:uid="{00000000-0005-0000-0000-0000DF270000}"/>
    <cellStyle name="20% - Accent4 4 8 10" xfId="13765" xr:uid="{00000000-0005-0000-0000-0000E0270000}"/>
    <cellStyle name="20% - Accent4 4 8 11" xfId="13766" xr:uid="{00000000-0005-0000-0000-0000E1270000}"/>
    <cellStyle name="20% - Accent4 4 8 2" xfId="13767" xr:uid="{00000000-0005-0000-0000-0000E2270000}"/>
    <cellStyle name="20% - Accent4 4 8 2 2" xfId="13768" xr:uid="{00000000-0005-0000-0000-0000E3270000}"/>
    <cellStyle name="20% - Accent4 4 8 2 2 2" xfId="13769" xr:uid="{00000000-0005-0000-0000-0000E4270000}"/>
    <cellStyle name="20% - Accent4 4 8 2 2 2 2" xfId="13770" xr:uid="{00000000-0005-0000-0000-0000E5270000}"/>
    <cellStyle name="20% - Accent4 4 8 2 2 2 2 2" xfId="13771" xr:uid="{00000000-0005-0000-0000-0000E6270000}"/>
    <cellStyle name="20% - Accent4 4 8 2 2 2 3" xfId="13772" xr:uid="{00000000-0005-0000-0000-0000E7270000}"/>
    <cellStyle name="20% - Accent4 4 8 2 2 3" xfId="13773" xr:uid="{00000000-0005-0000-0000-0000E8270000}"/>
    <cellStyle name="20% - Accent4 4 8 2 2 3 2" xfId="13774" xr:uid="{00000000-0005-0000-0000-0000E9270000}"/>
    <cellStyle name="20% - Accent4 4 8 2 2 4" xfId="13775" xr:uid="{00000000-0005-0000-0000-0000EA270000}"/>
    <cellStyle name="20% - Accent4 4 8 2 2 5" xfId="13776" xr:uid="{00000000-0005-0000-0000-0000EB270000}"/>
    <cellStyle name="20% - Accent4 4 8 2 2 6" xfId="13777" xr:uid="{00000000-0005-0000-0000-0000EC270000}"/>
    <cellStyle name="20% - Accent4 4 8 2 3" xfId="13778" xr:uid="{00000000-0005-0000-0000-0000ED270000}"/>
    <cellStyle name="20% - Accent4 4 8 2 3 2" xfId="13779" xr:uid="{00000000-0005-0000-0000-0000EE270000}"/>
    <cellStyle name="20% - Accent4 4 8 2 3 2 2" xfId="13780" xr:uid="{00000000-0005-0000-0000-0000EF270000}"/>
    <cellStyle name="20% - Accent4 4 8 2 3 3" xfId="13781" xr:uid="{00000000-0005-0000-0000-0000F0270000}"/>
    <cellStyle name="20% - Accent4 4 8 2 4" xfId="13782" xr:uid="{00000000-0005-0000-0000-0000F1270000}"/>
    <cellStyle name="20% - Accent4 4 8 2 4 2" xfId="13783" xr:uid="{00000000-0005-0000-0000-0000F2270000}"/>
    <cellStyle name="20% - Accent4 4 8 2 5" xfId="13784" xr:uid="{00000000-0005-0000-0000-0000F3270000}"/>
    <cellStyle name="20% - Accent4 4 8 2 5 2" xfId="13785" xr:uid="{00000000-0005-0000-0000-0000F4270000}"/>
    <cellStyle name="20% - Accent4 4 8 2 6" xfId="13786" xr:uid="{00000000-0005-0000-0000-0000F5270000}"/>
    <cellStyle name="20% - Accent4 4 8 2 7" xfId="13787" xr:uid="{00000000-0005-0000-0000-0000F6270000}"/>
    <cellStyle name="20% - Accent4 4 8 2 8" xfId="13788" xr:uid="{00000000-0005-0000-0000-0000F7270000}"/>
    <cellStyle name="20% - Accent4 4 8 3" xfId="13789" xr:uid="{00000000-0005-0000-0000-0000F8270000}"/>
    <cellStyle name="20% - Accent4 4 8 3 2" xfId="13790" xr:uid="{00000000-0005-0000-0000-0000F9270000}"/>
    <cellStyle name="20% - Accent4 4 8 3 2 2" xfId="13791" xr:uid="{00000000-0005-0000-0000-0000FA270000}"/>
    <cellStyle name="20% - Accent4 4 8 3 2 2 2" xfId="13792" xr:uid="{00000000-0005-0000-0000-0000FB270000}"/>
    <cellStyle name="20% - Accent4 4 8 3 2 2 2 2" xfId="13793" xr:uid="{00000000-0005-0000-0000-0000FC270000}"/>
    <cellStyle name="20% - Accent4 4 8 3 2 2 3" xfId="13794" xr:uid="{00000000-0005-0000-0000-0000FD270000}"/>
    <cellStyle name="20% - Accent4 4 8 3 2 3" xfId="13795" xr:uid="{00000000-0005-0000-0000-0000FE270000}"/>
    <cellStyle name="20% - Accent4 4 8 3 2 3 2" xfId="13796" xr:uid="{00000000-0005-0000-0000-0000FF270000}"/>
    <cellStyle name="20% - Accent4 4 8 3 2 4" xfId="13797" xr:uid="{00000000-0005-0000-0000-000000280000}"/>
    <cellStyle name="20% - Accent4 4 8 3 2 5" xfId="13798" xr:uid="{00000000-0005-0000-0000-000001280000}"/>
    <cellStyle name="20% - Accent4 4 8 3 2 6" xfId="13799" xr:uid="{00000000-0005-0000-0000-000002280000}"/>
    <cellStyle name="20% - Accent4 4 8 3 3" xfId="13800" xr:uid="{00000000-0005-0000-0000-000003280000}"/>
    <cellStyle name="20% - Accent4 4 8 3 3 2" xfId="13801" xr:uid="{00000000-0005-0000-0000-000004280000}"/>
    <cellStyle name="20% - Accent4 4 8 3 3 2 2" xfId="13802" xr:uid="{00000000-0005-0000-0000-000005280000}"/>
    <cellStyle name="20% - Accent4 4 8 3 3 3" xfId="13803" xr:uid="{00000000-0005-0000-0000-000006280000}"/>
    <cellStyle name="20% - Accent4 4 8 3 4" xfId="13804" xr:uid="{00000000-0005-0000-0000-000007280000}"/>
    <cellStyle name="20% - Accent4 4 8 3 4 2" xfId="13805" xr:uid="{00000000-0005-0000-0000-000008280000}"/>
    <cellStyle name="20% - Accent4 4 8 3 5" xfId="13806" xr:uid="{00000000-0005-0000-0000-000009280000}"/>
    <cellStyle name="20% - Accent4 4 8 3 6" xfId="13807" xr:uid="{00000000-0005-0000-0000-00000A280000}"/>
    <cellStyle name="20% - Accent4 4 8 3 7" xfId="13808" xr:uid="{00000000-0005-0000-0000-00000B280000}"/>
    <cellStyle name="20% - Accent4 4 8 4" xfId="13809" xr:uid="{00000000-0005-0000-0000-00000C280000}"/>
    <cellStyle name="20% - Accent4 4 8 4 2" xfId="13810" xr:uid="{00000000-0005-0000-0000-00000D280000}"/>
    <cellStyle name="20% - Accent4 4 8 4 2 2" xfId="13811" xr:uid="{00000000-0005-0000-0000-00000E280000}"/>
    <cellStyle name="20% - Accent4 4 8 4 2 2 2" xfId="13812" xr:uid="{00000000-0005-0000-0000-00000F280000}"/>
    <cellStyle name="20% - Accent4 4 8 4 2 3" xfId="13813" xr:uid="{00000000-0005-0000-0000-000010280000}"/>
    <cellStyle name="20% - Accent4 4 8 4 3" xfId="13814" xr:uid="{00000000-0005-0000-0000-000011280000}"/>
    <cellStyle name="20% - Accent4 4 8 4 3 2" xfId="13815" xr:uid="{00000000-0005-0000-0000-000012280000}"/>
    <cellStyle name="20% - Accent4 4 8 4 4" xfId="13816" xr:uid="{00000000-0005-0000-0000-000013280000}"/>
    <cellStyle name="20% - Accent4 4 8 4 5" xfId="13817" xr:uid="{00000000-0005-0000-0000-000014280000}"/>
    <cellStyle name="20% - Accent4 4 8 4 6" xfId="13818" xr:uid="{00000000-0005-0000-0000-000015280000}"/>
    <cellStyle name="20% - Accent4 4 8 5" xfId="13819" xr:uid="{00000000-0005-0000-0000-000016280000}"/>
    <cellStyle name="20% - Accent4 4 8 5 2" xfId="13820" xr:uid="{00000000-0005-0000-0000-000017280000}"/>
    <cellStyle name="20% - Accent4 4 8 5 2 2" xfId="13821" xr:uid="{00000000-0005-0000-0000-000018280000}"/>
    <cellStyle name="20% - Accent4 4 8 5 3" xfId="13822" xr:uid="{00000000-0005-0000-0000-000019280000}"/>
    <cellStyle name="20% - Accent4 4 8 6" xfId="13823" xr:uid="{00000000-0005-0000-0000-00001A280000}"/>
    <cellStyle name="20% - Accent4 4 8 6 2" xfId="13824" xr:uid="{00000000-0005-0000-0000-00001B280000}"/>
    <cellStyle name="20% - Accent4 4 8 6 2 2" xfId="13825" xr:uid="{00000000-0005-0000-0000-00001C280000}"/>
    <cellStyle name="20% - Accent4 4 8 6 3" xfId="13826" xr:uid="{00000000-0005-0000-0000-00001D280000}"/>
    <cellStyle name="20% - Accent4 4 8 7" xfId="13827" xr:uid="{00000000-0005-0000-0000-00001E280000}"/>
    <cellStyle name="20% - Accent4 4 8 7 2" xfId="13828" xr:uid="{00000000-0005-0000-0000-00001F280000}"/>
    <cellStyle name="20% - Accent4 4 8 8" xfId="13829" xr:uid="{00000000-0005-0000-0000-000020280000}"/>
    <cellStyle name="20% - Accent4 4 8 8 2" xfId="13830" xr:uid="{00000000-0005-0000-0000-000021280000}"/>
    <cellStyle name="20% - Accent4 4 8 9" xfId="13831" xr:uid="{00000000-0005-0000-0000-000022280000}"/>
    <cellStyle name="20% - Accent4 4 9" xfId="13832" xr:uid="{00000000-0005-0000-0000-000023280000}"/>
    <cellStyle name="20% - Accent4 4 9 10" xfId="13833" xr:uid="{00000000-0005-0000-0000-000024280000}"/>
    <cellStyle name="20% - Accent4 4 9 2" xfId="13834" xr:uid="{00000000-0005-0000-0000-000025280000}"/>
    <cellStyle name="20% - Accent4 4 9 2 2" xfId="13835" xr:uid="{00000000-0005-0000-0000-000026280000}"/>
    <cellStyle name="20% - Accent4 4 9 2 2 2" xfId="13836" xr:uid="{00000000-0005-0000-0000-000027280000}"/>
    <cellStyle name="20% - Accent4 4 9 2 2 2 2" xfId="13837" xr:uid="{00000000-0005-0000-0000-000028280000}"/>
    <cellStyle name="20% - Accent4 4 9 2 2 2 2 2" xfId="13838" xr:uid="{00000000-0005-0000-0000-000029280000}"/>
    <cellStyle name="20% - Accent4 4 9 2 2 2 3" xfId="13839" xr:uid="{00000000-0005-0000-0000-00002A280000}"/>
    <cellStyle name="20% - Accent4 4 9 2 2 3" xfId="13840" xr:uid="{00000000-0005-0000-0000-00002B280000}"/>
    <cellStyle name="20% - Accent4 4 9 2 2 3 2" xfId="13841" xr:uid="{00000000-0005-0000-0000-00002C280000}"/>
    <cellStyle name="20% - Accent4 4 9 2 2 4" xfId="13842" xr:uid="{00000000-0005-0000-0000-00002D280000}"/>
    <cellStyle name="20% - Accent4 4 9 2 2 5" xfId="13843" xr:uid="{00000000-0005-0000-0000-00002E280000}"/>
    <cellStyle name="20% - Accent4 4 9 2 2 6" xfId="13844" xr:uid="{00000000-0005-0000-0000-00002F280000}"/>
    <cellStyle name="20% - Accent4 4 9 2 3" xfId="13845" xr:uid="{00000000-0005-0000-0000-000030280000}"/>
    <cellStyle name="20% - Accent4 4 9 2 3 2" xfId="13846" xr:uid="{00000000-0005-0000-0000-000031280000}"/>
    <cellStyle name="20% - Accent4 4 9 2 3 2 2" xfId="13847" xr:uid="{00000000-0005-0000-0000-000032280000}"/>
    <cellStyle name="20% - Accent4 4 9 2 3 3" xfId="13848" xr:uid="{00000000-0005-0000-0000-000033280000}"/>
    <cellStyle name="20% - Accent4 4 9 2 4" xfId="13849" xr:uid="{00000000-0005-0000-0000-000034280000}"/>
    <cellStyle name="20% - Accent4 4 9 2 4 2" xfId="13850" xr:uid="{00000000-0005-0000-0000-000035280000}"/>
    <cellStyle name="20% - Accent4 4 9 2 5" xfId="13851" xr:uid="{00000000-0005-0000-0000-000036280000}"/>
    <cellStyle name="20% - Accent4 4 9 2 6" xfId="13852" xr:uid="{00000000-0005-0000-0000-000037280000}"/>
    <cellStyle name="20% - Accent4 4 9 2 7" xfId="13853" xr:uid="{00000000-0005-0000-0000-000038280000}"/>
    <cellStyle name="20% - Accent4 4 9 3" xfId="13854" xr:uid="{00000000-0005-0000-0000-000039280000}"/>
    <cellStyle name="20% - Accent4 4 9 3 2" xfId="13855" xr:uid="{00000000-0005-0000-0000-00003A280000}"/>
    <cellStyle name="20% - Accent4 4 9 3 2 2" xfId="13856" xr:uid="{00000000-0005-0000-0000-00003B280000}"/>
    <cellStyle name="20% - Accent4 4 9 3 2 2 2" xfId="13857" xr:uid="{00000000-0005-0000-0000-00003C280000}"/>
    <cellStyle name="20% - Accent4 4 9 3 2 3" xfId="13858" xr:uid="{00000000-0005-0000-0000-00003D280000}"/>
    <cellStyle name="20% - Accent4 4 9 3 3" xfId="13859" xr:uid="{00000000-0005-0000-0000-00003E280000}"/>
    <cellStyle name="20% - Accent4 4 9 3 3 2" xfId="13860" xr:uid="{00000000-0005-0000-0000-00003F280000}"/>
    <cellStyle name="20% - Accent4 4 9 3 4" xfId="13861" xr:uid="{00000000-0005-0000-0000-000040280000}"/>
    <cellStyle name="20% - Accent4 4 9 3 5" xfId="13862" xr:uid="{00000000-0005-0000-0000-000041280000}"/>
    <cellStyle name="20% - Accent4 4 9 3 6" xfId="13863" xr:uid="{00000000-0005-0000-0000-000042280000}"/>
    <cellStyle name="20% - Accent4 4 9 4" xfId="13864" xr:uid="{00000000-0005-0000-0000-000043280000}"/>
    <cellStyle name="20% - Accent4 4 9 4 2" xfId="13865" xr:uid="{00000000-0005-0000-0000-000044280000}"/>
    <cellStyle name="20% - Accent4 4 9 4 2 2" xfId="13866" xr:uid="{00000000-0005-0000-0000-000045280000}"/>
    <cellStyle name="20% - Accent4 4 9 4 3" xfId="13867" xr:uid="{00000000-0005-0000-0000-000046280000}"/>
    <cellStyle name="20% - Accent4 4 9 5" xfId="13868" xr:uid="{00000000-0005-0000-0000-000047280000}"/>
    <cellStyle name="20% - Accent4 4 9 5 2" xfId="13869" xr:uid="{00000000-0005-0000-0000-000048280000}"/>
    <cellStyle name="20% - Accent4 4 9 5 2 2" xfId="13870" xr:uid="{00000000-0005-0000-0000-000049280000}"/>
    <cellStyle name="20% - Accent4 4 9 5 3" xfId="13871" xr:uid="{00000000-0005-0000-0000-00004A280000}"/>
    <cellStyle name="20% - Accent4 4 9 6" xfId="13872" xr:uid="{00000000-0005-0000-0000-00004B280000}"/>
    <cellStyle name="20% - Accent4 4 9 6 2" xfId="13873" xr:uid="{00000000-0005-0000-0000-00004C280000}"/>
    <cellStyle name="20% - Accent4 4 9 7" xfId="13874" xr:uid="{00000000-0005-0000-0000-00004D280000}"/>
    <cellStyle name="20% - Accent4 4 9 7 2" xfId="13875" xr:uid="{00000000-0005-0000-0000-00004E280000}"/>
    <cellStyle name="20% - Accent4 4 9 8" xfId="13876" xr:uid="{00000000-0005-0000-0000-00004F280000}"/>
    <cellStyle name="20% - Accent4 4 9 9" xfId="13877" xr:uid="{00000000-0005-0000-0000-000050280000}"/>
    <cellStyle name="20% - Accent4 5" xfId="179" xr:uid="{00000000-0005-0000-0000-000051280000}"/>
    <cellStyle name="20% - Accent4 5 10" xfId="13878" xr:uid="{00000000-0005-0000-0000-000052280000}"/>
    <cellStyle name="20% - Accent4 5 10 2" xfId="13879" xr:uid="{00000000-0005-0000-0000-000053280000}"/>
    <cellStyle name="20% - Accent4 5 11" xfId="13880" xr:uid="{00000000-0005-0000-0000-000054280000}"/>
    <cellStyle name="20% - Accent4 5 11 2" xfId="13881" xr:uid="{00000000-0005-0000-0000-000055280000}"/>
    <cellStyle name="20% - Accent4 5 11 2 2" xfId="13882" xr:uid="{00000000-0005-0000-0000-000056280000}"/>
    <cellStyle name="20% - Accent4 5 11 2 2 2" xfId="13883" xr:uid="{00000000-0005-0000-0000-000057280000}"/>
    <cellStyle name="20% - Accent4 5 11 2 2 2 2" xfId="13884" xr:uid="{00000000-0005-0000-0000-000058280000}"/>
    <cellStyle name="20% - Accent4 5 11 2 2 3" xfId="13885" xr:uid="{00000000-0005-0000-0000-000059280000}"/>
    <cellStyle name="20% - Accent4 5 11 2 3" xfId="13886" xr:uid="{00000000-0005-0000-0000-00005A280000}"/>
    <cellStyle name="20% - Accent4 5 11 2 3 2" xfId="13887" xr:uid="{00000000-0005-0000-0000-00005B280000}"/>
    <cellStyle name="20% - Accent4 5 11 2 4" xfId="13888" xr:uid="{00000000-0005-0000-0000-00005C280000}"/>
    <cellStyle name="20% - Accent4 5 11 2 5" xfId="13889" xr:uid="{00000000-0005-0000-0000-00005D280000}"/>
    <cellStyle name="20% - Accent4 5 11 2 6" xfId="13890" xr:uid="{00000000-0005-0000-0000-00005E280000}"/>
    <cellStyle name="20% - Accent4 5 11 3" xfId="13891" xr:uid="{00000000-0005-0000-0000-00005F280000}"/>
    <cellStyle name="20% - Accent4 5 11 3 2" xfId="13892" xr:uid="{00000000-0005-0000-0000-000060280000}"/>
    <cellStyle name="20% - Accent4 5 11 3 2 2" xfId="13893" xr:uid="{00000000-0005-0000-0000-000061280000}"/>
    <cellStyle name="20% - Accent4 5 11 3 3" xfId="13894" xr:uid="{00000000-0005-0000-0000-000062280000}"/>
    <cellStyle name="20% - Accent4 5 11 4" xfId="13895" xr:uid="{00000000-0005-0000-0000-000063280000}"/>
    <cellStyle name="20% - Accent4 5 11 4 2" xfId="13896" xr:uid="{00000000-0005-0000-0000-000064280000}"/>
    <cellStyle name="20% - Accent4 5 11 5" xfId="13897" xr:uid="{00000000-0005-0000-0000-000065280000}"/>
    <cellStyle name="20% - Accent4 5 11 6" xfId="13898" xr:uid="{00000000-0005-0000-0000-000066280000}"/>
    <cellStyle name="20% - Accent4 5 11 7" xfId="13899" xr:uid="{00000000-0005-0000-0000-000067280000}"/>
    <cellStyle name="20% - Accent4 5 12" xfId="13900" xr:uid="{00000000-0005-0000-0000-000068280000}"/>
    <cellStyle name="20% - Accent4 5 12 2" xfId="13901" xr:uid="{00000000-0005-0000-0000-000069280000}"/>
    <cellStyle name="20% - Accent4 5 12 2 2" xfId="13902" xr:uid="{00000000-0005-0000-0000-00006A280000}"/>
    <cellStyle name="20% - Accent4 5 12 2 2 2" xfId="13903" xr:uid="{00000000-0005-0000-0000-00006B280000}"/>
    <cellStyle name="20% - Accent4 5 12 2 2 2 2" xfId="13904" xr:uid="{00000000-0005-0000-0000-00006C280000}"/>
    <cellStyle name="20% - Accent4 5 12 2 2 3" xfId="13905" xr:uid="{00000000-0005-0000-0000-00006D280000}"/>
    <cellStyle name="20% - Accent4 5 12 2 3" xfId="13906" xr:uid="{00000000-0005-0000-0000-00006E280000}"/>
    <cellStyle name="20% - Accent4 5 12 2 3 2" xfId="13907" xr:uid="{00000000-0005-0000-0000-00006F280000}"/>
    <cellStyle name="20% - Accent4 5 12 2 4" xfId="13908" xr:uid="{00000000-0005-0000-0000-000070280000}"/>
    <cellStyle name="20% - Accent4 5 12 2 5" xfId="13909" xr:uid="{00000000-0005-0000-0000-000071280000}"/>
    <cellStyle name="20% - Accent4 5 12 2 6" xfId="13910" xr:uid="{00000000-0005-0000-0000-000072280000}"/>
    <cellStyle name="20% - Accent4 5 12 3" xfId="13911" xr:uid="{00000000-0005-0000-0000-000073280000}"/>
    <cellStyle name="20% - Accent4 5 12 3 2" xfId="13912" xr:uid="{00000000-0005-0000-0000-000074280000}"/>
    <cellStyle name="20% - Accent4 5 12 3 2 2" xfId="13913" xr:uid="{00000000-0005-0000-0000-000075280000}"/>
    <cellStyle name="20% - Accent4 5 12 3 3" xfId="13914" xr:uid="{00000000-0005-0000-0000-000076280000}"/>
    <cellStyle name="20% - Accent4 5 12 4" xfId="13915" xr:uid="{00000000-0005-0000-0000-000077280000}"/>
    <cellStyle name="20% - Accent4 5 12 4 2" xfId="13916" xr:uid="{00000000-0005-0000-0000-000078280000}"/>
    <cellStyle name="20% - Accent4 5 12 5" xfId="13917" xr:uid="{00000000-0005-0000-0000-000079280000}"/>
    <cellStyle name="20% - Accent4 5 12 6" xfId="13918" xr:uid="{00000000-0005-0000-0000-00007A280000}"/>
    <cellStyle name="20% - Accent4 5 12 7" xfId="13919" xr:uid="{00000000-0005-0000-0000-00007B280000}"/>
    <cellStyle name="20% - Accent4 5 13" xfId="13920" xr:uid="{00000000-0005-0000-0000-00007C280000}"/>
    <cellStyle name="20% - Accent4 5 13 2" xfId="13921" xr:uid="{00000000-0005-0000-0000-00007D280000}"/>
    <cellStyle name="20% - Accent4 5 13 2 2" xfId="13922" xr:uid="{00000000-0005-0000-0000-00007E280000}"/>
    <cellStyle name="20% - Accent4 5 13 2 2 2" xfId="13923" xr:uid="{00000000-0005-0000-0000-00007F280000}"/>
    <cellStyle name="20% - Accent4 5 13 2 3" xfId="13924" xr:uid="{00000000-0005-0000-0000-000080280000}"/>
    <cellStyle name="20% - Accent4 5 13 3" xfId="13925" xr:uid="{00000000-0005-0000-0000-000081280000}"/>
    <cellStyle name="20% - Accent4 5 13 3 2" xfId="13926" xr:uid="{00000000-0005-0000-0000-000082280000}"/>
    <cellStyle name="20% - Accent4 5 13 4" xfId="13927" xr:uid="{00000000-0005-0000-0000-000083280000}"/>
    <cellStyle name="20% - Accent4 5 13 5" xfId="13928" xr:uid="{00000000-0005-0000-0000-000084280000}"/>
    <cellStyle name="20% - Accent4 5 13 6" xfId="13929" xr:uid="{00000000-0005-0000-0000-000085280000}"/>
    <cellStyle name="20% - Accent4 5 14" xfId="13930" xr:uid="{00000000-0005-0000-0000-000086280000}"/>
    <cellStyle name="20% - Accent4 5 14 2" xfId="13931" xr:uid="{00000000-0005-0000-0000-000087280000}"/>
    <cellStyle name="20% - Accent4 5 14 2 2" xfId="13932" xr:uid="{00000000-0005-0000-0000-000088280000}"/>
    <cellStyle name="20% - Accent4 5 14 3" xfId="13933" xr:uid="{00000000-0005-0000-0000-000089280000}"/>
    <cellStyle name="20% - Accent4 5 15" xfId="13934" xr:uid="{00000000-0005-0000-0000-00008A280000}"/>
    <cellStyle name="20% - Accent4 5 15 2" xfId="13935" xr:uid="{00000000-0005-0000-0000-00008B280000}"/>
    <cellStyle name="20% - Accent4 5 15 2 2" xfId="13936" xr:uid="{00000000-0005-0000-0000-00008C280000}"/>
    <cellStyle name="20% - Accent4 5 15 3" xfId="13937" xr:uid="{00000000-0005-0000-0000-00008D280000}"/>
    <cellStyle name="20% - Accent4 5 16" xfId="13938" xr:uid="{00000000-0005-0000-0000-00008E280000}"/>
    <cellStyle name="20% - Accent4 5 16 2" xfId="13939" xr:uid="{00000000-0005-0000-0000-00008F280000}"/>
    <cellStyle name="20% - Accent4 5 17" xfId="13940" xr:uid="{00000000-0005-0000-0000-000090280000}"/>
    <cellStyle name="20% - Accent4 5 17 2" xfId="13941" xr:uid="{00000000-0005-0000-0000-000091280000}"/>
    <cellStyle name="20% - Accent4 5 18" xfId="13942" xr:uid="{00000000-0005-0000-0000-000092280000}"/>
    <cellStyle name="20% - Accent4 5 19" xfId="13943" xr:uid="{00000000-0005-0000-0000-000093280000}"/>
    <cellStyle name="20% - Accent4 5 2" xfId="13944" xr:uid="{00000000-0005-0000-0000-000094280000}"/>
    <cellStyle name="20% - Accent4 5 2 10" xfId="13945" xr:uid="{00000000-0005-0000-0000-000095280000}"/>
    <cellStyle name="20% - Accent4 5 2 11" xfId="13946" xr:uid="{00000000-0005-0000-0000-000096280000}"/>
    <cellStyle name="20% - Accent4 5 2 2" xfId="13947" xr:uid="{00000000-0005-0000-0000-000097280000}"/>
    <cellStyle name="20% - Accent4 5 2 2 2" xfId="13948" xr:uid="{00000000-0005-0000-0000-000098280000}"/>
    <cellStyle name="20% - Accent4 5 2 2 2 2" xfId="13949" xr:uid="{00000000-0005-0000-0000-000099280000}"/>
    <cellStyle name="20% - Accent4 5 2 2 2 2 2" xfId="13950" xr:uid="{00000000-0005-0000-0000-00009A280000}"/>
    <cellStyle name="20% - Accent4 5 2 2 2 2 2 2" xfId="13951" xr:uid="{00000000-0005-0000-0000-00009B280000}"/>
    <cellStyle name="20% - Accent4 5 2 2 2 2 3" xfId="13952" xr:uid="{00000000-0005-0000-0000-00009C280000}"/>
    <cellStyle name="20% - Accent4 5 2 2 2 3" xfId="13953" xr:uid="{00000000-0005-0000-0000-00009D280000}"/>
    <cellStyle name="20% - Accent4 5 2 2 2 3 2" xfId="13954" xr:uid="{00000000-0005-0000-0000-00009E280000}"/>
    <cellStyle name="20% - Accent4 5 2 2 2 4" xfId="13955" xr:uid="{00000000-0005-0000-0000-00009F280000}"/>
    <cellStyle name="20% - Accent4 5 2 2 2 5" xfId="13956" xr:uid="{00000000-0005-0000-0000-0000A0280000}"/>
    <cellStyle name="20% - Accent4 5 2 2 2 6" xfId="13957" xr:uid="{00000000-0005-0000-0000-0000A1280000}"/>
    <cellStyle name="20% - Accent4 5 2 2 3" xfId="13958" xr:uid="{00000000-0005-0000-0000-0000A2280000}"/>
    <cellStyle name="20% - Accent4 5 2 2 3 2" xfId="13959" xr:uid="{00000000-0005-0000-0000-0000A3280000}"/>
    <cellStyle name="20% - Accent4 5 2 2 3 2 2" xfId="13960" xr:uid="{00000000-0005-0000-0000-0000A4280000}"/>
    <cellStyle name="20% - Accent4 5 2 2 3 3" xfId="13961" xr:uid="{00000000-0005-0000-0000-0000A5280000}"/>
    <cellStyle name="20% - Accent4 5 2 2 4" xfId="13962" xr:uid="{00000000-0005-0000-0000-0000A6280000}"/>
    <cellStyle name="20% - Accent4 5 2 2 4 2" xfId="13963" xr:uid="{00000000-0005-0000-0000-0000A7280000}"/>
    <cellStyle name="20% - Accent4 5 2 2 5" xfId="13964" xr:uid="{00000000-0005-0000-0000-0000A8280000}"/>
    <cellStyle name="20% - Accent4 5 2 2 5 2" xfId="13965" xr:uid="{00000000-0005-0000-0000-0000A9280000}"/>
    <cellStyle name="20% - Accent4 5 2 2 6" xfId="13966" xr:uid="{00000000-0005-0000-0000-0000AA280000}"/>
    <cellStyle name="20% - Accent4 5 2 2 7" xfId="13967" xr:uid="{00000000-0005-0000-0000-0000AB280000}"/>
    <cellStyle name="20% - Accent4 5 2 2 8" xfId="13968" xr:uid="{00000000-0005-0000-0000-0000AC280000}"/>
    <cellStyle name="20% - Accent4 5 2 3" xfId="13969" xr:uid="{00000000-0005-0000-0000-0000AD280000}"/>
    <cellStyle name="20% - Accent4 5 2 3 2" xfId="13970" xr:uid="{00000000-0005-0000-0000-0000AE280000}"/>
    <cellStyle name="20% - Accent4 5 2 3 2 2" xfId="13971" xr:uid="{00000000-0005-0000-0000-0000AF280000}"/>
    <cellStyle name="20% - Accent4 5 2 3 2 2 2" xfId="13972" xr:uid="{00000000-0005-0000-0000-0000B0280000}"/>
    <cellStyle name="20% - Accent4 5 2 3 2 2 2 2" xfId="13973" xr:uid="{00000000-0005-0000-0000-0000B1280000}"/>
    <cellStyle name="20% - Accent4 5 2 3 2 2 3" xfId="13974" xr:uid="{00000000-0005-0000-0000-0000B2280000}"/>
    <cellStyle name="20% - Accent4 5 2 3 2 3" xfId="13975" xr:uid="{00000000-0005-0000-0000-0000B3280000}"/>
    <cellStyle name="20% - Accent4 5 2 3 2 3 2" xfId="13976" xr:uid="{00000000-0005-0000-0000-0000B4280000}"/>
    <cellStyle name="20% - Accent4 5 2 3 2 4" xfId="13977" xr:uid="{00000000-0005-0000-0000-0000B5280000}"/>
    <cellStyle name="20% - Accent4 5 2 3 2 5" xfId="13978" xr:uid="{00000000-0005-0000-0000-0000B6280000}"/>
    <cellStyle name="20% - Accent4 5 2 3 2 6" xfId="13979" xr:uid="{00000000-0005-0000-0000-0000B7280000}"/>
    <cellStyle name="20% - Accent4 5 2 3 3" xfId="13980" xr:uid="{00000000-0005-0000-0000-0000B8280000}"/>
    <cellStyle name="20% - Accent4 5 2 3 3 2" xfId="13981" xr:uid="{00000000-0005-0000-0000-0000B9280000}"/>
    <cellStyle name="20% - Accent4 5 2 3 3 2 2" xfId="13982" xr:uid="{00000000-0005-0000-0000-0000BA280000}"/>
    <cellStyle name="20% - Accent4 5 2 3 3 3" xfId="13983" xr:uid="{00000000-0005-0000-0000-0000BB280000}"/>
    <cellStyle name="20% - Accent4 5 2 3 4" xfId="13984" xr:uid="{00000000-0005-0000-0000-0000BC280000}"/>
    <cellStyle name="20% - Accent4 5 2 3 4 2" xfId="13985" xr:uid="{00000000-0005-0000-0000-0000BD280000}"/>
    <cellStyle name="20% - Accent4 5 2 3 5" xfId="13986" xr:uid="{00000000-0005-0000-0000-0000BE280000}"/>
    <cellStyle name="20% - Accent4 5 2 3 6" xfId="13987" xr:uid="{00000000-0005-0000-0000-0000BF280000}"/>
    <cellStyle name="20% - Accent4 5 2 3 7" xfId="13988" xr:uid="{00000000-0005-0000-0000-0000C0280000}"/>
    <cellStyle name="20% - Accent4 5 2 4" xfId="13989" xr:uid="{00000000-0005-0000-0000-0000C1280000}"/>
    <cellStyle name="20% - Accent4 5 2 4 2" xfId="13990" xr:uid="{00000000-0005-0000-0000-0000C2280000}"/>
    <cellStyle name="20% - Accent4 5 2 4 2 2" xfId="13991" xr:uid="{00000000-0005-0000-0000-0000C3280000}"/>
    <cellStyle name="20% - Accent4 5 2 4 2 2 2" xfId="13992" xr:uid="{00000000-0005-0000-0000-0000C4280000}"/>
    <cellStyle name="20% - Accent4 5 2 4 2 3" xfId="13993" xr:uid="{00000000-0005-0000-0000-0000C5280000}"/>
    <cellStyle name="20% - Accent4 5 2 4 3" xfId="13994" xr:uid="{00000000-0005-0000-0000-0000C6280000}"/>
    <cellStyle name="20% - Accent4 5 2 4 3 2" xfId="13995" xr:uid="{00000000-0005-0000-0000-0000C7280000}"/>
    <cellStyle name="20% - Accent4 5 2 4 4" xfId="13996" xr:uid="{00000000-0005-0000-0000-0000C8280000}"/>
    <cellStyle name="20% - Accent4 5 2 4 5" xfId="13997" xr:uid="{00000000-0005-0000-0000-0000C9280000}"/>
    <cellStyle name="20% - Accent4 5 2 4 6" xfId="13998" xr:uid="{00000000-0005-0000-0000-0000CA280000}"/>
    <cellStyle name="20% - Accent4 5 2 5" xfId="13999" xr:uid="{00000000-0005-0000-0000-0000CB280000}"/>
    <cellStyle name="20% - Accent4 5 2 5 2" xfId="14000" xr:uid="{00000000-0005-0000-0000-0000CC280000}"/>
    <cellStyle name="20% - Accent4 5 2 5 2 2" xfId="14001" xr:uid="{00000000-0005-0000-0000-0000CD280000}"/>
    <cellStyle name="20% - Accent4 5 2 5 3" xfId="14002" xr:uid="{00000000-0005-0000-0000-0000CE280000}"/>
    <cellStyle name="20% - Accent4 5 2 6" xfId="14003" xr:uid="{00000000-0005-0000-0000-0000CF280000}"/>
    <cellStyle name="20% - Accent4 5 2 6 2" xfId="14004" xr:uid="{00000000-0005-0000-0000-0000D0280000}"/>
    <cellStyle name="20% - Accent4 5 2 6 2 2" xfId="14005" xr:uid="{00000000-0005-0000-0000-0000D1280000}"/>
    <cellStyle name="20% - Accent4 5 2 6 3" xfId="14006" xr:uid="{00000000-0005-0000-0000-0000D2280000}"/>
    <cellStyle name="20% - Accent4 5 2 7" xfId="14007" xr:uid="{00000000-0005-0000-0000-0000D3280000}"/>
    <cellStyle name="20% - Accent4 5 2 7 2" xfId="14008" xr:uid="{00000000-0005-0000-0000-0000D4280000}"/>
    <cellStyle name="20% - Accent4 5 2 8" xfId="14009" xr:uid="{00000000-0005-0000-0000-0000D5280000}"/>
    <cellStyle name="20% - Accent4 5 2 8 2" xfId="14010" xr:uid="{00000000-0005-0000-0000-0000D6280000}"/>
    <cellStyle name="20% - Accent4 5 2 9" xfId="14011" xr:uid="{00000000-0005-0000-0000-0000D7280000}"/>
    <cellStyle name="20% - Accent4 5 20" xfId="14012" xr:uid="{00000000-0005-0000-0000-0000D8280000}"/>
    <cellStyle name="20% - Accent4 5 3" xfId="14013" xr:uid="{00000000-0005-0000-0000-0000D9280000}"/>
    <cellStyle name="20% - Accent4 5 3 10" xfId="14014" xr:uid="{00000000-0005-0000-0000-0000DA280000}"/>
    <cellStyle name="20% - Accent4 5 3 11" xfId="14015" xr:uid="{00000000-0005-0000-0000-0000DB280000}"/>
    <cellStyle name="20% - Accent4 5 3 2" xfId="14016" xr:uid="{00000000-0005-0000-0000-0000DC280000}"/>
    <cellStyle name="20% - Accent4 5 3 2 2" xfId="14017" xr:uid="{00000000-0005-0000-0000-0000DD280000}"/>
    <cellStyle name="20% - Accent4 5 3 2 2 2" xfId="14018" xr:uid="{00000000-0005-0000-0000-0000DE280000}"/>
    <cellStyle name="20% - Accent4 5 3 2 2 2 2" xfId="14019" xr:uid="{00000000-0005-0000-0000-0000DF280000}"/>
    <cellStyle name="20% - Accent4 5 3 2 2 2 2 2" xfId="14020" xr:uid="{00000000-0005-0000-0000-0000E0280000}"/>
    <cellStyle name="20% - Accent4 5 3 2 2 2 3" xfId="14021" xr:uid="{00000000-0005-0000-0000-0000E1280000}"/>
    <cellStyle name="20% - Accent4 5 3 2 2 3" xfId="14022" xr:uid="{00000000-0005-0000-0000-0000E2280000}"/>
    <cellStyle name="20% - Accent4 5 3 2 2 3 2" xfId="14023" xr:uid="{00000000-0005-0000-0000-0000E3280000}"/>
    <cellStyle name="20% - Accent4 5 3 2 2 4" xfId="14024" xr:uid="{00000000-0005-0000-0000-0000E4280000}"/>
    <cellStyle name="20% - Accent4 5 3 2 2 5" xfId="14025" xr:uid="{00000000-0005-0000-0000-0000E5280000}"/>
    <cellStyle name="20% - Accent4 5 3 2 2 6" xfId="14026" xr:uid="{00000000-0005-0000-0000-0000E6280000}"/>
    <cellStyle name="20% - Accent4 5 3 2 3" xfId="14027" xr:uid="{00000000-0005-0000-0000-0000E7280000}"/>
    <cellStyle name="20% - Accent4 5 3 2 3 2" xfId="14028" xr:uid="{00000000-0005-0000-0000-0000E8280000}"/>
    <cellStyle name="20% - Accent4 5 3 2 3 2 2" xfId="14029" xr:uid="{00000000-0005-0000-0000-0000E9280000}"/>
    <cellStyle name="20% - Accent4 5 3 2 3 3" xfId="14030" xr:uid="{00000000-0005-0000-0000-0000EA280000}"/>
    <cellStyle name="20% - Accent4 5 3 2 4" xfId="14031" xr:uid="{00000000-0005-0000-0000-0000EB280000}"/>
    <cellStyle name="20% - Accent4 5 3 2 4 2" xfId="14032" xr:uid="{00000000-0005-0000-0000-0000EC280000}"/>
    <cellStyle name="20% - Accent4 5 3 2 5" xfId="14033" xr:uid="{00000000-0005-0000-0000-0000ED280000}"/>
    <cellStyle name="20% - Accent4 5 3 2 5 2" xfId="14034" xr:uid="{00000000-0005-0000-0000-0000EE280000}"/>
    <cellStyle name="20% - Accent4 5 3 2 6" xfId="14035" xr:uid="{00000000-0005-0000-0000-0000EF280000}"/>
    <cellStyle name="20% - Accent4 5 3 2 7" xfId="14036" xr:uid="{00000000-0005-0000-0000-0000F0280000}"/>
    <cellStyle name="20% - Accent4 5 3 2 8" xfId="14037" xr:uid="{00000000-0005-0000-0000-0000F1280000}"/>
    <cellStyle name="20% - Accent4 5 3 3" xfId="14038" xr:uid="{00000000-0005-0000-0000-0000F2280000}"/>
    <cellStyle name="20% - Accent4 5 3 3 2" xfId="14039" xr:uid="{00000000-0005-0000-0000-0000F3280000}"/>
    <cellStyle name="20% - Accent4 5 3 3 2 2" xfId="14040" xr:uid="{00000000-0005-0000-0000-0000F4280000}"/>
    <cellStyle name="20% - Accent4 5 3 3 2 2 2" xfId="14041" xr:uid="{00000000-0005-0000-0000-0000F5280000}"/>
    <cellStyle name="20% - Accent4 5 3 3 2 2 2 2" xfId="14042" xr:uid="{00000000-0005-0000-0000-0000F6280000}"/>
    <cellStyle name="20% - Accent4 5 3 3 2 2 3" xfId="14043" xr:uid="{00000000-0005-0000-0000-0000F7280000}"/>
    <cellStyle name="20% - Accent4 5 3 3 2 3" xfId="14044" xr:uid="{00000000-0005-0000-0000-0000F8280000}"/>
    <cellStyle name="20% - Accent4 5 3 3 2 3 2" xfId="14045" xr:uid="{00000000-0005-0000-0000-0000F9280000}"/>
    <cellStyle name="20% - Accent4 5 3 3 2 4" xfId="14046" xr:uid="{00000000-0005-0000-0000-0000FA280000}"/>
    <cellStyle name="20% - Accent4 5 3 3 2 5" xfId="14047" xr:uid="{00000000-0005-0000-0000-0000FB280000}"/>
    <cellStyle name="20% - Accent4 5 3 3 2 6" xfId="14048" xr:uid="{00000000-0005-0000-0000-0000FC280000}"/>
    <cellStyle name="20% - Accent4 5 3 3 3" xfId="14049" xr:uid="{00000000-0005-0000-0000-0000FD280000}"/>
    <cellStyle name="20% - Accent4 5 3 3 3 2" xfId="14050" xr:uid="{00000000-0005-0000-0000-0000FE280000}"/>
    <cellStyle name="20% - Accent4 5 3 3 3 2 2" xfId="14051" xr:uid="{00000000-0005-0000-0000-0000FF280000}"/>
    <cellStyle name="20% - Accent4 5 3 3 3 3" xfId="14052" xr:uid="{00000000-0005-0000-0000-000000290000}"/>
    <cellStyle name="20% - Accent4 5 3 3 4" xfId="14053" xr:uid="{00000000-0005-0000-0000-000001290000}"/>
    <cellStyle name="20% - Accent4 5 3 3 4 2" xfId="14054" xr:uid="{00000000-0005-0000-0000-000002290000}"/>
    <cellStyle name="20% - Accent4 5 3 3 5" xfId="14055" xr:uid="{00000000-0005-0000-0000-000003290000}"/>
    <cellStyle name="20% - Accent4 5 3 3 6" xfId="14056" xr:uid="{00000000-0005-0000-0000-000004290000}"/>
    <cellStyle name="20% - Accent4 5 3 3 7" xfId="14057" xr:uid="{00000000-0005-0000-0000-000005290000}"/>
    <cellStyle name="20% - Accent4 5 3 4" xfId="14058" xr:uid="{00000000-0005-0000-0000-000006290000}"/>
    <cellStyle name="20% - Accent4 5 3 4 2" xfId="14059" xr:uid="{00000000-0005-0000-0000-000007290000}"/>
    <cellStyle name="20% - Accent4 5 3 4 2 2" xfId="14060" xr:uid="{00000000-0005-0000-0000-000008290000}"/>
    <cellStyle name="20% - Accent4 5 3 4 2 2 2" xfId="14061" xr:uid="{00000000-0005-0000-0000-000009290000}"/>
    <cellStyle name="20% - Accent4 5 3 4 2 3" xfId="14062" xr:uid="{00000000-0005-0000-0000-00000A290000}"/>
    <cellStyle name="20% - Accent4 5 3 4 3" xfId="14063" xr:uid="{00000000-0005-0000-0000-00000B290000}"/>
    <cellStyle name="20% - Accent4 5 3 4 3 2" xfId="14064" xr:uid="{00000000-0005-0000-0000-00000C290000}"/>
    <cellStyle name="20% - Accent4 5 3 4 4" xfId="14065" xr:uid="{00000000-0005-0000-0000-00000D290000}"/>
    <cellStyle name="20% - Accent4 5 3 4 5" xfId="14066" xr:uid="{00000000-0005-0000-0000-00000E290000}"/>
    <cellStyle name="20% - Accent4 5 3 4 6" xfId="14067" xr:uid="{00000000-0005-0000-0000-00000F290000}"/>
    <cellStyle name="20% - Accent4 5 3 5" xfId="14068" xr:uid="{00000000-0005-0000-0000-000010290000}"/>
    <cellStyle name="20% - Accent4 5 3 5 2" xfId="14069" xr:uid="{00000000-0005-0000-0000-000011290000}"/>
    <cellStyle name="20% - Accent4 5 3 5 2 2" xfId="14070" xr:uid="{00000000-0005-0000-0000-000012290000}"/>
    <cellStyle name="20% - Accent4 5 3 5 3" xfId="14071" xr:uid="{00000000-0005-0000-0000-000013290000}"/>
    <cellStyle name="20% - Accent4 5 3 6" xfId="14072" xr:uid="{00000000-0005-0000-0000-000014290000}"/>
    <cellStyle name="20% - Accent4 5 3 6 2" xfId="14073" xr:uid="{00000000-0005-0000-0000-000015290000}"/>
    <cellStyle name="20% - Accent4 5 3 6 2 2" xfId="14074" xr:uid="{00000000-0005-0000-0000-000016290000}"/>
    <cellStyle name="20% - Accent4 5 3 6 3" xfId="14075" xr:uid="{00000000-0005-0000-0000-000017290000}"/>
    <cellStyle name="20% - Accent4 5 3 7" xfId="14076" xr:uid="{00000000-0005-0000-0000-000018290000}"/>
    <cellStyle name="20% - Accent4 5 3 7 2" xfId="14077" xr:uid="{00000000-0005-0000-0000-000019290000}"/>
    <cellStyle name="20% - Accent4 5 3 8" xfId="14078" xr:uid="{00000000-0005-0000-0000-00001A290000}"/>
    <cellStyle name="20% - Accent4 5 3 8 2" xfId="14079" xr:uid="{00000000-0005-0000-0000-00001B290000}"/>
    <cellStyle name="20% - Accent4 5 3 9" xfId="14080" xr:uid="{00000000-0005-0000-0000-00001C290000}"/>
    <cellStyle name="20% - Accent4 5 4" xfId="14081" xr:uid="{00000000-0005-0000-0000-00001D290000}"/>
    <cellStyle name="20% - Accent4 5 4 10" xfId="14082" xr:uid="{00000000-0005-0000-0000-00001E290000}"/>
    <cellStyle name="20% - Accent4 5 4 11" xfId="14083" xr:uid="{00000000-0005-0000-0000-00001F290000}"/>
    <cellStyle name="20% - Accent4 5 4 2" xfId="14084" xr:uid="{00000000-0005-0000-0000-000020290000}"/>
    <cellStyle name="20% - Accent4 5 4 2 2" xfId="14085" xr:uid="{00000000-0005-0000-0000-000021290000}"/>
    <cellStyle name="20% - Accent4 5 4 2 2 2" xfId="14086" xr:uid="{00000000-0005-0000-0000-000022290000}"/>
    <cellStyle name="20% - Accent4 5 4 2 2 2 2" xfId="14087" xr:uid="{00000000-0005-0000-0000-000023290000}"/>
    <cellStyle name="20% - Accent4 5 4 2 2 2 2 2" xfId="14088" xr:uid="{00000000-0005-0000-0000-000024290000}"/>
    <cellStyle name="20% - Accent4 5 4 2 2 2 3" xfId="14089" xr:uid="{00000000-0005-0000-0000-000025290000}"/>
    <cellStyle name="20% - Accent4 5 4 2 2 3" xfId="14090" xr:uid="{00000000-0005-0000-0000-000026290000}"/>
    <cellStyle name="20% - Accent4 5 4 2 2 3 2" xfId="14091" xr:uid="{00000000-0005-0000-0000-000027290000}"/>
    <cellStyle name="20% - Accent4 5 4 2 2 4" xfId="14092" xr:uid="{00000000-0005-0000-0000-000028290000}"/>
    <cellStyle name="20% - Accent4 5 4 2 2 5" xfId="14093" xr:uid="{00000000-0005-0000-0000-000029290000}"/>
    <cellStyle name="20% - Accent4 5 4 2 2 6" xfId="14094" xr:uid="{00000000-0005-0000-0000-00002A290000}"/>
    <cellStyle name="20% - Accent4 5 4 2 3" xfId="14095" xr:uid="{00000000-0005-0000-0000-00002B290000}"/>
    <cellStyle name="20% - Accent4 5 4 2 3 2" xfId="14096" xr:uid="{00000000-0005-0000-0000-00002C290000}"/>
    <cellStyle name="20% - Accent4 5 4 2 3 2 2" xfId="14097" xr:uid="{00000000-0005-0000-0000-00002D290000}"/>
    <cellStyle name="20% - Accent4 5 4 2 3 3" xfId="14098" xr:uid="{00000000-0005-0000-0000-00002E290000}"/>
    <cellStyle name="20% - Accent4 5 4 2 4" xfId="14099" xr:uid="{00000000-0005-0000-0000-00002F290000}"/>
    <cellStyle name="20% - Accent4 5 4 2 4 2" xfId="14100" xr:uid="{00000000-0005-0000-0000-000030290000}"/>
    <cellStyle name="20% - Accent4 5 4 2 5" xfId="14101" xr:uid="{00000000-0005-0000-0000-000031290000}"/>
    <cellStyle name="20% - Accent4 5 4 2 5 2" xfId="14102" xr:uid="{00000000-0005-0000-0000-000032290000}"/>
    <cellStyle name="20% - Accent4 5 4 2 6" xfId="14103" xr:uid="{00000000-0005-0000-0000-000033290000}"/>
    <cellStyle name="20% - Accent4 5 4 2 7" xfId="14104" xr:uid="{00000000-0005-0000-0000-000034290000}"/>
    <cellStyle name="20% - Accent4 5 4 2 8" xfId="14105" xr:uid="{00000000-0005-0000-0000-000035290000}"/>
    <cellStyle name="20% - Accent4 5 4 3" xfId="14106" xr:uid="{00000000-0005-0000-0000-000036290000}"/>
    <cellStyle name="20% - Accent4 5 4 3 2" xfId="14107" xr:uid="{00000000-0005-0000-0000-000037290000}"/>
    <cellStyle name="20% - Accent4 5 4 3 2 2" xfId="14108" xr:uid="{00000000-0005-0000-0000-000038290000}"/>
    <cellStyle name="20% - Accent4 5 4 3 2 2 2" xfId="14109" xr:uid="{00000000-0005-0000-0000-000039290000}"/>
    <cellStyle name="20% - Accent4 5 4 3 2 2 2 2" xfId="14110" xr:uid="{00000000-0005-0000-0000-00003A290000}"/>
    <cellStyle name="20% - Accent4 5 4 3 2 2 3" xfId="14111" xr:uid="{00000000-0005-0000-0000-00003B290000}"/>
    <cellStyle name="20% - Accent4 5 4 3 2 3" xfId="14112" xr:uid="{00000000-0005-0000-0000-00003C290000}"/>
    <cellStyle name="20% - Accent4 5 4 3 2 3 2" xfId="14113" xr:uid="{00000000-0005-0000-0000-00003D290000}"/>
    <cellStyle name="20% - Accent4 5 4 3 2 4" xfId="14114" xr:uid="{00000000-0005-0000-0000-00003E290000}"/>
    <cellStyle name="20% - Accent4 5 4 3 2 5" xfId="14115" xr:uid="{00000000-0005-0000-0000-00003F290000}"/>
    <cellStyle name="20% - Accent4 5 4 3 2 6" xfId="14116" xr:uid="{00000000-0005-0000-0000-000040290000}"/>
    <cellStyle name="20% - Accent4 5 4 3 3" xfId="14117" xr:uid="{00000000-0005-0000-0000-000041290000}"/>
    <cellStyle name="20% - Accent4 5 4 3 3 2" xfId="14118" xr:uid="{00000000-0005-0000-0000-000042290000}"/>
    <cellStyle name="20% - Accent4 5 4 3 3 2 2" xfId="14119" xr:uid="{00000000-0005-0000-0000-000043290000}"/>
    <cellStyle name="20% - Accent4 5 4 3 3 3" xfId="14120" xr:uid="{00000000-0005-0000-0000-000044290000}"/>
    <cellStyle name="20% - Accent4 5 4 3 4" xfId="14121" xr:uid="{00000000-0005-0000-0000-000045290000}"/>
    <cellStyle name="20% - Accent4 5 4 3 4 2" xfId="14122" xr:uid="{00000000-0005-0000-0000-000046290000}"/>
    <cellStyle name="20% - Accent4 5 4 3 5" xfId="14123" xr:uid="{00000000-0005-0000-0000-000047290000}"/>
    <cellStyle name="20% - Accent4 5 4 3 6" xfId="14124" xr:uid="{00000000-0005-0000-0000-000048290000}"/>
    <cellStyle name="20% - Accent4 5 4 3 7" xfId="14125" xr:uid="{00000000-0005-0000-0000-000049290000}"/>
    <cellStyle name="20% - Accent4 5 4 4" xfId="14126" xr:uid="{00000000-0005-0000-0000-00004A290000}"/>
    <cellStyle name="20% - Accent4 5 4 4 2" xfId="14127" xr:uid="{00000000-0005-0000-0000-00004B290000}"/>
    <cellStyle name="20% - Accent4 5 4 4 2 2" xfId="14128" xr:uid="{00000000-0005-0000-0000-00004C290000}"/>
    <cellStyle name="20% - Accent4 5 4 4 2 2 2" xfId="14129" xr:uid="{00000000-0005-0000-0000-00004D290000}"/>
    <cellStyle name="20% - Accent4 5 4 4 2 3" xfId="14130" xr:uid="{00000000-0005-0000-0000-00004E290000}"/>
    <cellStyle name="20% - Accent4 5 4 4 3" xfId="14131" xr:uid="{00000000-0005-0000-0000-00004F290000}"/>
    <cellStyle name="20% - Accent4 5 4 4 3 2" xfId="14132" xr:uid="{00000000-0005-0000-0000-000050290000}"/>
    <cellStyle name="20% - Accent4 5 4 4 4" xfId="14133" xr:uid="{00000000-0005-0000-0000-000051290000}"/>
    <cellStyle name="20% - Accent4 5 4 4 5" xfId="14134" xr:uid="{00000000-0005-0000-0000-000052290000}"/>
    <cellStyle name="20% - Accent4 5 4 4 6" xfId="14135" xr:uid="{00000000-0005-0000-0000-000053290000}"/>
    <cellStyle name="20% - Accent4 5 4 5" xfId="14136" xr:uid="{00000000-0005-0000-0000-000054290000}"/>
    <cellStyle name="20% - Accent4 5 4 5 2" xfId="14137" xr:uid="{00000000-0005-0000-0000-000055290000}"/>
    <cellStyle name="20% - Accent4 5 4 5 2 2" xfId="14138" xr:uid="{00000000-0005-0000-0000-000056290000}"/>
    <cellStyle name="20% - Accent4 5 4 5 3" xfId="14139" xr:uid="{00000000-0005-0000-0000-000057290000}"/>
    <cellStyle name="20% - Accent4 5 4 6" xfId="14140" xr:uid="{00000000-0005-0000-0000-000058290000}"/>
    <cellStyle name="20% - Accent4 5 4 6 2" xfId="14141" xr:uid="{00000000-0005-0000-0000-000059290000}"/>
    <cellStyle name="20% - Accent4 5 4 6 2 2" xfId="14142" xr:uid="{00000000-0005-0000-0000-00005A290000}"/>
    <cellStyle name="20% - Accent4 5 4 6 3" xfId="14143" xr:uid="{00000000-0005-0000-0000-00005B290000}"/>
    <cellStyle name="20% - Accent4 5 4 7" xfId="14144" xr:uid="{00000000-0005-0000-0000-00005C290000}"/>
    <cellStyle name="20% - Accent4 5 4 7 2" xfId="14145" xr:uid="{00000000-0005-0000-0000-00005D290000}"/>
    <cellStyle name="20% - Accent4 5 4 8" xfId="14146" xr:uid="{00000000-0005-0000-0000-00005E290000}"/>
    <cellStyle name="20% - Accent4 5 4 8 2" xfId="14147" xr:uid="{00000000-0005-0000-0000-00005F290000}"/>
    <cellStyle name="20% - Accent4 5 4 9" xfId="14148" xr:uid="{00000000-0005-0000-0000-000060290000}"/>
    <cellStyle name="20% - Accent4 5 5" xfId="14149" xr:uid="{00000000-0005-0000-0000-000061290000}"/>
    <cellStyle name="20% - Accent4 5 5 10" xfId="14150" xr:uid="{00000000-0005-0000-0000-000062290000}"/>
    <cellStyle name="20% - Accent4 5 5 11" xfId="14151" xr:uid="{00000000-0005-0000-0000-000063290000}"/>
    <cellStyle name="20% - Accent4 5 5 2" xfId="14152" xr:uid="{00000000-0005-0000-0000-000064290000}"/>
    <cellStyle name="20% - Accent4 5 5 2 2" xfId="14153" xr:uid="{00000000-0005-0000-0000-000065290000}"/>
    <cellStyle name="20% - Accent4 5 5 2 2 2" xfId="14154" xr:uid="{00000000-0005-0000-0000-000066290000}"/>
    <cellStyle name="20% - Accent4 5 5 2 2 2 2" xfId="14155" xr:uid="{00000000-0005-0000-0000-000067290000}"/>
    <cellStyle name="20% - Accent4 5 5 2 2 2 2 2" xfId="14156" xr:uid="{00000000-0005-0000-0000-000068290000}"/>
    <cellStyle name="20% - Accent4 5 5 2 2 2 3" xfId="14157" xr:uid="{00000000-0005-0000-0000-000069290000}"/>
    <cellStyle name="20% - Accent4 5 5 2 2 3" xfId="14158" xr:uid="{00000000-0005-0000-0000-00006A290000}"/>
    <cellStyle name="20% - Accent4 5 5 2 2 3 2" xfId="14159" xr:uid="{00000000-0005-0000-0000-00006B290000}"/>
    <cellStyle name="20% - Accent4 5 5 2 2 4" xfId="14160" xr:uid="{00000000-0005-0000-0000-00006C290000}"/>
    <cellStyle name="20% - Accent4 5 5 2 2 5" xfId="14161" xr:uid="{00000000-0005-0000-0000-00006D290000}"/>
    <cellStyle name="20% - Accent4 5 5 2 2 6" xfId="14162" xr:uid="{00000000-0005-0000-0000-00006E290000}"/>
    <cellStyle name="20% - Accent4 5 5 2 3" xfId="14163" xr:uid="{00000000-0005-0000-0000-00006F290000}"/>
    <cellStyle name="20% - Accent4 5 5 2 3 2" xfId="14164" xr:uid="{00000000-0005-0000-0000-000070290000}"/>
    <cellStyle name="20% - Accent4 5 5 2 3 2 2" xfId="14165" xr:uid="{00000000-0005-0000-0000-000071290000}"/>
    <cellStyle name="20% - Accent4 5 5 2 3 3" xfId="14166" xr:uid="{00000000-0005-0000-0000-000072290000}"/>
    <cellStyle name="20% - Accent4 5 5 2 4" xfId="14167" xr:uid="{00000000-0005-0000-0000-000073290000}"/>
    <cellStyle name="20% - Accent4 5 5 2 4 2" xfId="14168" xr:uid="{00000000-0005-0000-0000-000074290000}"/>
    <cellStyle name="20% - Accent4 5 5 2 5" xfId="14169" xr:uid="{00000000-0005-0000-0000-000075290000}"/>
    <cellStyle name="20% - Accent4 5 5 2 5 2" xfId="14170" xr:uid="{00000000-0005-0000-0000-000076290000}"/>
    <cellStyle name="20% - Accent4 5 5 2 6" xfId="14171" xr:uid="{00000000-0005-0000-0000-000077290000}"/>
    <cellStyle name="20% - Accent4 5 5 2 7" xfId="14172" xr:uid="{00000000-0005-0000-0000-000078290000}"/>
    <cellStyle name="20% - Accent4 5 5 2 8" xfId="14173" xr:uid="{00000000-0005-0000-0000-000079290000}"/>
    <cellStyle name="20% - Accent4 5 5 3" xfId="14174" xr:uid="{00000000-0005-0000-0000-00007A290000}"/>
    <cellStyle name="20% - Accent4 5 5 3 2" xfId="14175" xr:uid="{00000000-0005-0000-0000-00007B290000}"/>
    <cellStyle name="20% - Accent4 5 5 3 2 2" xfId="14176" xr:uid="{00000000-0005-0000-0000-00007C290000}"/>
    <cellStyle name="20% - Accent4 5 5 3 2 2 2" xfId="14177" xr:uid="{00000000-0005-0000-0000-00007D290000}"/>
    <cellStyle name="20% - Accent4 5 5 3 2 2 2 2" xfId="14178" xr:uid="{00000000-0005-0000-0000-00007E290000}"/>
    <cellStyle name="20% - Accent4 5 5 3 2 2 3" xfId="14179" xr:uid="{00000000-0005-0000-0000-00007F290000}"/>
    <cellStyle name="20% - Accent4 5 5 3 2 3" xfId="14180" xr:uid="{00000000-0005-0000-0000-000080290000}"/>
    <cellStyle name="20% - Accent4 5 5 3 2 3 2" xfId="14181" xr:uid="{00000000-0005-0000-0000-000081290000}"/>
    <cellStyle name="20% - Accent4 5 5 3 2 4" xfId="14182" xr:uid="{00000000-0005-0000-0000-000082290000}"/>
    <cellStyle name="20% - Accent4 5 5 3 2 5" xfId="14183" xr:uid="{00000000-0005-0000-0000-000083290000}"/>
    <cellStyle name="20% - Accent4 5 5 3 2 6" xfId="14184" xr:uid="{00000000-0005-0000-0000-000084290000}"/>
    <cellStyle name="20% - Accent4 5 5 3 3" xfId="14185" xr:uid="{00000000-0005-0000-0000-000085290000}"/>
    <cellStyle name="20% - Accent4 5 5 3 3 2" xfId="14186" xr:uid="{00000000-0005-0000-0000-000086290000}"/>
    <cellStyle name="20% - Accent4 5 5 3 3 2 2" xfId="14187" xr:uid="{00000000-0005-0000-0000-000087290000}"/>
    <cellStyle name="20% - Accent4 5 5 3 3 3" xfId="14188" xr:uid="{00000000-0005-0000-0000-000088290000}"/>
    <cellStyle name="20% - Accent4 5 5 3 4" xfId="14189" xr:uid="{00000000-0005-0000-0000-000089290000}"/>
    <cellStyle name="20% - Accent4 5 5 3 4 2" xfId="14190" xr:uid="{00000000-0005-0000-0000-00008A290000}"/>
    <cellStyle name="20% - Accent4 5 5 3 5" xfId="14191" xr:uid="{00000000-0005-0000-0000-00008B290000}"/>
    <cellStyle name="20% - Accent4 5 5 3 6" xfId="14192" xr:uid="{00000000-0005-0000-0000-00008C290000}"/>
    <cellStyle name="20% - Accent4 5 5 3 7" xfId="14193" xr:uid="{00000000-0005-0000-0000-00008D290000}"/>
    <cellStyle name="20% - Accent4 5 5 4" xfId="14194" xr:uid="{00000000-0005-0000-0000-00008E290000}"/>
    <cellStyle name="20% - Accent4 5 5 4 2" xfId="14195" xr:uid="{00000000-0005-0000-0000-00008F290000}"/>
    <cellStyle name="20% - Accent4 5 5 4 2 2" xfId="14196" xr:uid="{00000000-0005-0000-0000-000090290000}"/>
    <cellStyle name="20% - Accent4 5 5 4 2 2 2" xfId="14197" xr:uid="{00000000-0005-0000-0000-000091290000}"/>
    <cellStyle name="20% - Accent4 5 5 4 2 3" xfId="14198" xr:uid="{00000000-0005-0000-0000-000092290000}"/>
    <cellStyle name="20% - Accent4 5 5 4 3" xfId="14199" xr:uid="{00000000-0005-0000-0000-000093290000}"/>
    <cellStyle name="20% - Accent4 5 5 4 3 2" xfId="14200" xr:uid="{00000000-0005-0000-0000-000094290000}"/>
    <cellStyle name="20% - Accent4 5 5 4 4" xfId="14201" xr:uid="{00000000-0005-0000-0000-000095290000}"/>
    <cellStyle name="20% - Accent4 5 5 4 5" xfId="14202" xr:uid="{00000000-0005-0000-0000-000096290000}"/>
    <cellStyle name="20% - Accent4 5 5 4 6" xfId="14203" xr:uid="{00000000-0005-0000-0000-000097290000}"/>
    <cellStyle name="20% - Accent4 5 5 5" xfId="14204" xr:uid="{00000000-0005-0000-0000-000098290000}"/>
    <cellStyle name="20% - Accent4 5 5 5 2" xfId="14205" xr:uid="{00000000-0005-0000-0000-000099290000}"/>
    <cellStyle name="20% - Accent4 5 5 5 2 2" xfId="14206" xr:uid="{00000000-0005-0000-0000-00009A290000}"/>
    <cellStyle name="20% - Accent4 5 5 5 3" xfId="14207" xr:uid="{00000000-0005-0000-0000-00009B290000}"/>
    <cellStyle name="20% - Accent4 5 5 6" xfId="14208" xr:uid="{00000000-0005-0000-0000-00009C290000}"/>
    <cellStyle name="20% - Accent4 5 5 6 2" xfId="14209" xr:uid="{00000000-0005-0000-0000-00009D290000}"/>
    <cellStyle name="20% - Accent4 5 5 6 2 2" xfId="14210" xr:uid="{00000000-0005-0000-0000-00009E290000}"/>
    <cellStyle name="20% - Accent4 5 5 6 3" xfId="14211" xr:uid="{00000000-0005-0000-0000-00009F290000}"/>
    <cellStyle name="20% - Accent4 5 5 7" xfId="14212" xr:uid="{00000000-0005-0000-0000-0000A0290000}"/>
    <cellStyle name="20% - Accent4 5 5 7 2" xfId="14213" xr:uid="{00000000-0005-0000-0000-0000A1290000}"/>
    <cellStyle name="20% - Accent4 5 5 8" xfId="14214" xr:uid="{00000000-0005-0000-0000-0000A2290000}"/>
    <cellStyle name="20% - Accent4 5 5 8 2" xfId="14215" xr:uid="{00000000-0005-0000-0000-0000A3290000}"/>
    <cellStyle name="20% - Accent4 5 5 9" xfId="14216" xr:uid="{00000000-0005-0000-0000-0000A4290000}"/>
    <cellStyle name="20% - Accent4 5 6" xfId="14217" xr:uid="{00000000-0005-0000-0000-0000A5290000}"/>
    <cellStyle name="20% - Accent4 5 6 10" xfId="14218" xr:uid="{00000000-0005-0000-0000-0000A6290000}"/>
    <cellStyle name="20% - Accent4 5 6 11" xfId="14219" xr:uid="{00000000-0005-0000-0000-0000A7290000}"/>
    <cellStyle name="20% - Accent4 5 6 2" xfId="14220" xr:uid="{00000000-0005-0000-0000-0000A8290000}"/>
    <cellStyle name="20% - Accent4 5 6 2 2" xfId="14221" xr:uid="{00000000-0005-0000-0000-0000A9290000}"/>
    <cellStyle name="20% - Accent4 5 6 2 2 2" xfId="14222" xr:uid="{00000000-0005-0000-0000-0000AA290000}"/>
    <cellStyle name="20% - Accent4 5 6 2 2 2 2" xfId="14223" xr:uid="{00000000-0005-0000-0000-0000AB290000}"/>
    <cellStyle name="20% - Accent4 5 6 2 2 2 2 2" xfId="14224" xr:uid="{00000000-0005-0000-0000-0000AC290000}"/>
    <cellStyle name="20% - Accent4 5 6 2 2 2 3" xfId="14225" xr:uid="{00000000-0005-0000-0000-0000AD290000}"/>
    <cellStyle name="20% - Accent4 5 6 2 2 3" xfId="14226" xr:uid="{00000000-0005-0000-0000-0000AE290000}"/>
    <cellStyle name="20% - Accent4 5 6 2 2 3 2" xfId="14227" xr:uid="{00000000-0005-0000-0000-0000AF290000}"/>
    <cellStyle name="20% - Accent4 5 6 2 2 4" xfId="14228" xr:uid="{00000000-0005-0000-0000-0000B0290000}"/>
    <cellStyle name="20% - Accent4 5 6 2 2 5" xfId="14229" xr:uid="{00000000-0005-0000-0000-0000B1290000}"/>
    <cellStyle name="20% - Accent4 5 6 2 2 6" xfId="14230" xr:uid="{00000000-0005-0000-0000-0000B2290000}"/>
    <cellStyle name="20% - Accent4 5 6 2 3" xfId="14231" xr:uid="{00000000-0005-0000-0000-0000B3290000}"/>
    <cellStyle name="20% - Accent4 5 6 2 3 2" xfId="14232" xr:uid="{00000000-0005-0000-0000-0000B4290000}"/>
    <cellStyle name="20% - Accent4 5 6 2 3 2 2" xfId="14233" xr:uid="{00000000-0005-0000-0000-0000B5290000}"/>
    <cellStyle name="20% - Accent4 5 6 2 3 3" xfId="14234" xr:uid="{00000000-0005-0000-0000-0000B6290000}"/>
    <cellStyle name="20% - Accent4 5 6 2 4" xfId="14235" xr:uid="{00000000-0005-0000-0000-0000B7290000}"/>
    <cellStyle name="20% - Accent4 5 6 2 4 2" xfId="14236" xr:uid="{00000000-0005-0000-0000-0000B8290000}"/>
    <cellStyle name="20% - Accent4 5 6 2 5" xfId="14237" xr:uid="{00000000-0005-0000-0000-0000B9290000}"/>
    <cellStyle name="20% - Accent4 5 6 2 5 2" xfId="14238" xr:uid="{00000000-0005-0000-0000-0000BA290000}"/>
    <cellStyle name="20% - Accent4 5 6 2 6" xfId="14239" xr:uid="{00000000-0005-0000-0000-0000BB290000}"/>
    <cellStyle name="20% - Accent4 5 6 2 7" xfId="14240" xr:uid="{00000000-0005-0000-0000-0000BC290000}"/>
    <cellStyle name="20% - Accent4 5 6 2 8" xfId="14241" xr:uid="{00000000-0005-0000-0000-0000BD290000}"/>
    <cellStyle name="20% - Accent4 5 6 3" xfId="14242" xr:uid="{00000000-0005-0000-0000-0000BE290000}"/>
    <cellStyle name="20% - Accent4 5 6 3 2" xfId="14243" xr:uid="{00000000-0005-0000-0000-0000BF290000}"/>
    <cellStyle name="20% - Accent4 5 6 3 2 2" xfId="14244" xr:uid="{00000000-0005-0000-0000-0000C0290000}"/>
    <cellStyle name="20% - Accent4 5 6 3 2 2 2" xfId="14245" xr:uid="{00000000-0005-0000-0000-0000C1290000}"/>
    <cellStyle name="20% - Accent4 5 6 3 2 2 2 2" xfId="14246" xr:uid="{00000000-0005-0000-0000-0000C2290000}"/>
    <cellStyle name="20% - Accent4 5 6 3 2 2 3" xfId="14247" xr:uid="{00000000-0005-0000-0000-0000C3290000}"/>
    <cellStyle name="20% - Accent4 5 6 3 2 3" xfId="14248" xr:uid="{00000000-0005-0000-0000-0000C4290000}"/>
    <cellStyle name="20% - Accent4 5 6 3 2 3 2" xfId="14249" xr:uid="{00000000-0005-0000-0000-0000C5290000}"/>
    <cellStyle name="20% - Accent4 5 6 3 2 4" xfId="14250" xr:uid="{00000000-0005-0000-0000-0000C6290000}"/>
    <cellStyle name="20% - Accent4 5 6 3 2 5" xfId="14251" xr:uid="{00000000-0005-0000-0000-0000C7290000}"/>
    <cellStyle name="20% - Accent4 5 6 3 2 6" xfId="14252" xr:uid="{00000000-0005-0000-0000-0000C8290000}"/>
    <cellStyle name="20% - Accent4 5 6 3 3" xfId="14253" xr:uid="{00000000-0005-0000-0000-0000C9290000}"/>
    <cellStyle name="20% - Accent4 5 6 3 3 2" xfId="14254" xr:uid="{00000000-0005-0000-0000-0000CA290000}"/>
    <cellStyle name="20% - Accent4 5 6 3 3 2 2" xfId="14255" xr:uid="{00000000-0005-0000-0000-0000CB290000}"/>
    <cellStyle name="20% - Accent4 5 6 3 3 3" xfId="14256" xr:uid="{00000000-0005-0000-0000-0000CC290000}"/>
    <cellStyle name="20% - Accent4 5 6 3 4" xfId="14257" xr:uid="{00000000-0005-0000-0000-0000CD290000}"/>
    <cellStyle name="20% - Accent4 5 6 3 4 2" xfId="14258" xr:uid="{00000000-0005-0000-0000-0000CE290000}"/>
    <cellStyle name="20% - Accent4 5 6 3 5" xfId="14259" xr:uid="{00000000-0005-0000-0000-0000CF290000}"/>
    <cellStyle name="20% - Accent4 5 6 3 6" xfId="14260" xr:uid="{00000000-0005-0000-0000-0000D0290000}"/>
    <cellStyle name="20% - Accent4 5 6 3 7" xfId="14261" xr:uid="{00000000-0005-0000-0000-0000D1290000}"/>
    <cellStyle name="20% - Accent4 5 6 4" xfId="14262" xr:uid="{00000000-0005-0000-0000-0000D2290000}"/>
    <cellStyle name="20% - Accent4 5 6 4 2" xfId="14263" xr:uid="{00000000-0005-0000-0000-0000D3290000}"/>
    <cellStyle name="20% - Accent4 5 6 4 2 2" xfId="14264" xr:uid="{00000000-0005-0000-0000-0000D4290000}"/>
    <cellStyle name="20% - Accent4 5 6 4 2 2 2" xfId="14265" xr:uid="{00000000-0005-0000-0000-0000D5290000}"/>
    <cellStyle name="20% - Accent4 5 6 4 2 3" xfId="14266" xr:uid="{00000000-0005-0000-0000-0000D6290000}"/>
    <cellStyle name="20% - Accent4 5 6 4 3" xfId="14267" xr:uid="{00000000-0005-0000-0000-0000D7290000}"/>
    <cellStyle name="20% - Accent4 5 6 4 3 2" xfId="14268" xr:uid="{00000000-0005-0000-0000-0000D8290000}"/>
    <cellStyle name="20% - Accent4 5 6 4 4" xfId="14269" xr:uid="{00000000-0005-0000-0000-0000D9290000}"/>
    <cellStyle name="20% - Accent4 5 6 4 5" xfId="14270" xr:uid="{00000000-0005-0000-0000-0000DA290000}"/>
    <cellStyle name="20% - Accent4 5 6 4 6" xfId="14271" xr:uid="{00000000-0005-0000-0000-0000DB290000}"/>
    <cellStyle name="20% - Accent4 5 6 5" xfId="14272" xr:uid="{00000000-0005-0000-0000-0000DC290000}"/>
    <cellStyle name="20% - Accent4 5 6 5 2" xfId="14273" xr:uid="{00000000-0005-0000-0000-0000DD290000}"/>
    <cellStyle name="20% - Accent4 5 6 5 2 2" xfId="14274" xr:uid="{00000000-0005-0000-0000-0000DE290000}"/>
    <cellStyle name="20% - Accent4 5 6 5 3" xfId="14275" xr:uid="{00000000-0005-0000-0000-0000DF290000}"/>
    <cellStyle name="20% - Accent4 5 6 6" xfId="14276" xr:uid="{00000000-0005-0000-0000-0000E0290000}"/>
    <cellStyle name="20% - Accent4 5 6 6 2" xfId="14277" xr:uid="{00000000-0005-0000-0000-0000E1290000}"/>
    <cellStyle name="20% - Accent4 5 6 6 2 2" xfId="14278" xr:uid="{00000000-0005-0000-0000-0000E2290000}"/>
    <cellStyle name="20% - Accent4 5 6 6 3" xfId="14279" xr:uid="{00000000-0005-0000-0000-0000E3290000}"/>
    <cellStyle name="20% - Accent4 5 6 7" xfId="14280" xr:uid="{00000000-0005-0000-0000-0000E4290000}"/>
    <cellStyle name="20% - Accent4 5 6 7 2" xfId="14281" xr:uid="{00000000-0005-0000-0000-0000E5290000}"/>
    <cellStyle name="20% - Accent4 5 6 8" xfId="14282" xr:uid="{00000000-0005-0000-0000-0000E6290000}"/>
    <cellStyle name="20% - Accent4 5 6 8 2" xfId="14283" xr:uid="{00000000-0005-0000-0000-0000E7290000}"/>
    <cellStyle name="20% - Accent4 5 6 9" xfId="14284" xr:uid="{00000000-0005-0000-0000-0000E8290000}"/>
    <cellStyle name="20% - Accent4 5 7" xfId="14285" xr:uid="{00000000-0005-0000-0000-0000E9290000}"/>
    <cellStyle name="20% - Accent4 5 7 10" xfId="14286" xr:uid="{00000000-0005-0000-0000-0000EA290000}"/>
    <cellStyle name="20% - Accent4 5 7 11" xfId="14287" xr:uid="{00000000-0005-0000-0000-0000EB290000}"/>
    <cellStyle name="20% - Accent4 5 7 2" xfId="14288" xr:uid="{00000000-0005-0000-0000-0000EC290000}"/>
    <cellStyle name="20% - Accent4 5 7 2 2" xfId="14289" xr:uid="{00000000-0005-0000-0000-0000ED290000}"/>
    <cellStyle name="20% - Accent4 5 7 2 2 2" xfId="14290" xr:uid="{00000000-0005-0000-0000-0000EE290000}"/>
    <cellStyle name="20% - Accent4 5 7 2 2 2 2" xfId="14291" xr:uid="{00000000-0005-0000-0000-0000EF290000}"/>
    <cellStyle name="20% - Accent4 5 7 2 2 2 2 2" xfId="14292" xr:uid="{00000000-0005-0000-0000-0000F0290000}"/>
    <cellStyle name="20% - Accent4 5 7 2 2 2 3" xfId="14293" xr:uid="{00000000-0005-0000-0000-0000F1290000}"/>
    <cellStyle name="20% - Accent4 5 7 2 2 3" xfId="14294" xr:uid="{00000000-0005-0000-0000-0000F2290000}"/>
    <cellStyle name="20% - Accent4 5 7 2 2 3 2" xfId="14295" xr:uid="{00000000-0005-0000-0000-0000F3290000}"/>
    <cellStyle name="20% - Accent4 5 7 2 2 4" xfId="14296" xr:uid="{00000000-0005-0000-0000-0000F4290000}"/>
    <cellStyle name="20% - Accent4 5 7 2 2 5" xfId="14297" xr:uid="{00000000-0005-0000-0000-0000F5290000}"/>
    <cellStyle name="20% - Accent4 5 7 2 2 6" xfId="14298" xr:uid="{00000000-0005-0000-0000-0000F6290000}"/>
    <cellStyle name="20% - Accent4 5 7 2 3" xfId="14299" xr:uid="{00000000-0005-0000-0000-0000F7290000}"/>
    <cellStyle name="20% - Accent4 5 7 2 3 2" xfId="14300" xr:uid="{00000000-0005-0000-0000-0000F8290000}"/>
    <cellStyle name="20% - Accent4 5 7 2 3 2 2" xfId="14301" xr:uid="{00000000-0005-0000-0000-0000F9290000}"/>
    <cellStyle name="20% - Accent4 5 7 2 3 3" xfId="14302" xr:uid="{00000000-0005-0000-0000-0000FA290000}"/>
    <cellStyle name="20% - Accent4 5 7 2 4" xfId="14303" xr:uid="{00000000-0005-0000-0000-0000FB290000}"/>
    <cellStyle name="20% - Accent4 5 7 2 4 2" xfId="14304" xr:uid="{00000000-0005-0000-0000-0000FC290000}"/>
    <cellStyle name="20% - Accent4 5 7 2 5" xfId="14305" xr:uid="{00000000-0005-0000-0000-0000FD290000}"/>
    <cellStyle name="20% - Accent4 5 7 2 5 2" xfId="14306" xr:uid="{00000000-0005-0000-0000-0000FE290000}"/>
    <cellStyle name="20% - Accent4 5 7 2 6" xfId="14307" xr:uid="{00000000-0005-0000-0000-0000FF290000}"/>
    <cellStyle name="20% - Accent4 5 7 2 7" xfId="14308" xr:uid="{00000000-0005-0000-0000-0000002A0000}"/>
    <cellStyle name="20% - Accent4 5 7 2 8" xfId="14309" xr:uid="{00000000-0005-0000-0000-0000012A0000}"/>
    <cellStyle name="20% - Accent4 5 7 3" xfId="14310" xr:uid="{00000000-0005-0000-0000-0000022A0000}"/>
    <cellStyle name="20% - Accent4 5 7 3 2" xfId="14311" xr:uid="{00000000-0005-0000-0000-0000032A0000}"/>
    <cellStyle name="20% - Accent4 5 7 3 2 2" xfId="14312" xr:uid="{00000000-0005-0000-0000-0000042A0000}"/>
    <cellStyle name="20% - Accent4 5 7 3 2 2 2" xfId="14313" xr:uid="{00000000-0005-0000-0000-0000052A0000}"/>
    <cellStyle name="20% - Accent4 5 7 3 2 2 2 2" xfId="14314" xr:uid="{00000000-0005-0000-0000-0000062A0000}"/>
    <cellStyle name="20% - Accent4 5 7 3 2 2 3" xfId="14315" xr:uid="{00000000-0005-0000-0000-0000072A0000}"/>
    <cellStyle name="20% - Accent4 5 7 3 2 3" xfId="14316" xr:uid="{00000000-0005-0000-0000-0000082A0000}"/>
    <cellStyle name="20% - Accent4 5 7 3 2 3 2" xfId="14317" xr:uid="{00000000-0005-0000-0000-0000092A0000}"/>
    <cellStyle name="20% - Accent4 5 7 3 2 4" xfId="14318" xr:uid="{00000000-0005-0000-0000-00000A2A0000}"/>
    <cellStyle name="20% - Accent4 5 7 3 2 5" xfId="14319" xr:uid="{00000000-0005-0000-0000-00000B2A0000}"/>
    <cellStyle name="20% - Accent4 5 7 3 2 6" xfId="14320" xr:uid="{00000000-0005-0000-0000-00000C2A0000}"/>
    <cellStyle name="20% - Accent4 5 7 3 3" xfId="14321" xr:uid="{00000000-0005-0000-0000-00000D2A0000}"/>
    <cellStyle name="20% - Accent4 5 7 3 3 2" xfId="14322" xr:uid="{00000000-0005-0000-0000-00000E2A0000}"/>
    <cellStyle name="20% - Accent4 5 7 3 3 2 2" xfId="14323" xr:uid="{00000000-0005-0000-0000-00000F2A0000}"/>
    <cellStyle name="20% - Accent4 5 7 3 3 3" xfId="14324" xr:uid="{00000000-0005-0000-0000-0000102A0000}"/>
    <cellStyle name="20% - Accent4 5 7 3 4" xfId="14325" xr:uid="{00000000-0005-0000-0000-0000112A0000}"/>
    <cellStyle name="20% - Accent4 5 7 3 4 2" xfId="14326" xr:uid="{00000000-0005-0000-0000-0000122A0000}"/>
    <cellStyle name="20% - Accent4 5 7 3 5" xfId="14327" xr:uid="{00000000-0005-0000-0000-0000132A0000}"/>
    <cellStyle name="20% - Accent4 5 7 3 6" xfId="14328" xr:uid="{00000000-0005-0000-0000-0000142A0000}"/>
    <cellStyle name="20% - Accent4 5 7 3 7" xfId="14329" xr:uid="{00000000-0005-0000-0000-0000152A0000}"/>
    <cellStyle name="20% - Accent4 5 7 4" xfId="14330" xr:uid="{00000000-0005-0000-0000-0000162A0000}"/>
    <cellStyle name="20% - Accent4 5 7 4 2" xfId="14331" xr:uid="{00000000-0005-0000-0000-0000172A0000}"/>
    <cellStyle name="20% - Accent4 5 7 4 2 2" xfId="14332" xr:uid="{00000000-0005-0000-0000-0000182A0000}"/>
    <cellStyle name="20% - Accent4 5 7 4 2 2 2" xfId="14333" xr:uid="{00000000-0005-0000-0000-0000192A0000}"/>
    <cellStyle name="20% - Accent4 5 7 4 2 3" xfId="14334" xr:uid="{00000000-0005-0000-0000-00001A2A0000}"/>
    <cellStyle name="20% - Accent4 5 7 4 3" xfId="14335" xr:uid="{00000000-0005-0000-0000-00001B2A0000}"/>
    <cellStyle name="20% - Accent4 5 7 4 3 2" xfId="14336" xr:uid="{00000000-0005-0000-0000-00001C2A0000}"/>
    <cellStyle name="20% - Accent4 5 7 4 4" xfId="14337" xr:uid="{00000000-0005-0000-0000-00001D2A0000}"/>
    <cellStyle name="20% - Accent4 5 7 4 5" xfId="14338" xr:uid="{00000000-0005-0000-0000-00001E2A0000}"/>
    <cellStyle name="20% - Accent4 5 7 4 6" xfId="14339" xr:uid="{00000000-0005-0000-0000-00001F2A0000}"/>
    <cellStyle name="20% - Accent4 5 7 5" xfId="14340" xr:uid="{00000000-0005-0000-0000-0000202A0000}"/>
    <cellStyle name="20% - Accent4 5 7 5 2" xfId="14341" xr:uid="{00000000-0005-0000-0000-0000212A0000}"/>
    <cellStyle name="20% - Accent4 5 7 5 2 2" xfId="14342" xr:uid="{00000000-0005-0000-0000-0000222A0000}"/>
    <cellStyle name="20% - Accent4 5 7 5 3" xfId="14343" xr:uid="{00000000-0005-0000-0000-0000232A0000}"/>
    <cellStyle name="20% - Accent4 5 7 6" xfId="14344" xr:uid="{00000000-0005-0000-0000-0000242A0000}"/>
    <cellStyle name="20% - Accent4 5 7 6 2" xfId="14345" xr:uid="{00000000-0005-0000-0000-0000252A0000}"/>
    <cellStyle name="20% - Accent4 5 7 6 2 2" xfId="14346" xr:uid="{00000000-0005-0000-0000-0000262A0000}"/>
    <cellStyle name="20% - Accent4 5 7 6 3" xfId="14347" xr:uid="{00000000-0005-0000-0000-0000272A0000}"/>
    <cellStyle name="20% - Accent4 5 7 7" xfId="14348" xr:uid="{00000000-0005-0000-0000-0000282A0000}"/>
    <cellStyle name="20% - Accent4 5 7 7 2" xfId="14349" xr:uid="{00000000-0005-0000-0000-0000292A0000}"/>
    <cellStyle name="20% - Accent4 5 7 8" xfId="14350" xr:uid="{00000000-0005-0000-0000-00002A2A0000}"/>
    <cellStyle name="20% - Accent4 5 7 8 2" xfId="14351" xr:uid="{00000000-0005-0000-0000-00002B2A0000}"/>
    <cellStyle name="20% - Accent4 5 7 9" xfId="14352" xr:uid="{00000000-0005-0000-0000-00002C2A0000}"/>
    <cellStyle name="20% - Accent4 5 8" xfId="14353" xr:uid="{00000000-0005-0000-0000-00002D2A0000}"/>
    <cellStyle name="20% - Accent4 5 8 10" xfId="14354" xr:uid="{00000000-0005-0000-0000-00002E2A0000}"/>
    <cellStyle name="20% - Accent4 5 8 11" xfId="14355" xr:uid="{00000000-0005-0000-0000-00002F2A0000}"/>
    <cellStyle name="20% - Accent4 5 8 2" xfId="14356" xr:uid="{00000000-0005-0000-0000-0000302A0000}"/>
    <cellStyle name="20% - Accent4 5 8 2 2" xfId="14357" xr:uid="{00000000-0005-0000-0000-0000312A0000}"/>
    <cellStyle name="20% - Accent4 5 8 2 2 2" xfId="14358" xr:uid="{00000000-0005-0000-0000-0000322A0000}"/>
    <cellStyle name="20% - Accent4 5 8 2 2 2 2" xfId="14359" xr:uid="{00000000-0005-0000-0000-0000332A0000}"/>
    <cellStyle name="20% - Accent4 5 8 2 2 2 2 2" xfId="14360" xr:uid="{00000000-0005-0000-0000-0000342A0000}"/>
    <cellStyle name="20% - Accent4 5 8 2 2 2 3" xfId="14361" xr:uid="{00000000-0005-0000-0000-0000352A0000}"/>
    <cellStyle name="20% - Accent4 5 8 2 2 3" xfId="14362" xr:uid="{00000000-0005-0000-0000-0000362A0000}"/>
    <cellStyle name="20% - Accent4 5 8 2 2 3 2" xfId="14363" xr:uid="{00000000-0005-0000-0000-0000372A0000}"/>
    <cellStyle name="20% - Accent4 5 8 2 2 4" xfId="14364" xr:uid="{00000000-0005-0000-0000-0000382A0000}"/>
    <cellStyle name="20% - Accent4 5 8 2 2 5" xfId="14365" xr:uid="{00000000-0005-0000-0000-0000392A0000}"/>
    <cellStyle name="20% - Accent4 5 8 2 2 6" xfId="14366" xr:uid="{00000000-0005-0000-0000-00003A2A0000}"/>
    <cellStyle name="20% - Accent4 5 8 2 3" xfId="14367" xr:uid="{00000000-0005-0000-0000-00003B2A0000}"/>
    <cellStyle name="20% - Accent4 5 8 2 3 2" xfId="14368" xr:uid="{00000000-0005-0000-0000-00003C2A0000}"/>
    <cellStyle name="20% - Accent4 5 8 2 3 2 2" xfId="14369" xr:uid="{00000000-0005-0000-0000-00003D2A0000}"/>
    <cellStyle name="20% - Accent4 5 8 2 3 3" xfId="14370" xr:uid="{00000000-0005-0000-0000-00003E2A0000}"/>
    <cellStyle name="20% - Accent4 5 8 2 4" xfId="14371" xr:uid="{00000000-0005-0000-0000-00003F2A0000}"/>
    <cellStyle name="20% - Accent4 5 8 2 4 2" xfId="14372" xr:uid="{00000000-0005-0000-0000-0000402A0000}"/>
    <cellStyle name="20% - Accent4 5 8 2 5" xfId="14373" xr:uid="{00000000-0005-0000-0000-0000412A0000}"/>
    <cellStyle name="20% - Accent4 5 8 2 5 2" xfId="14374" xr:uid="{00000000-0005-0000-0000-0000422A0000}"/>
    <cellStyle name="20% - Accent4 5 8 2 6" xfId="14375" xr:uid="{00000000-0005-0000-0000-0000432A0000}"/>
    <cellStyle name="20% - Accent4 5 8 2 7" xfId="14376" xr:uid="{00000000-0005-0000-0000-0000442A0000}"/>
    <cellStyle name="20% - Accent4 5 8 2 8" xfId="14377" xr:uid="{00000000-0005-0000-0000-0000452A0000}"/>
    <cellStyle name="20% - Accent4 5 8 3" xfId="14378" xr:uid="{00000000-0005-0000-0000-0000462A0000}"/>
    <cellStyle name="20% - Accent4 5 8 3 2" xfId="14379" xr:uid="{00000000-0005-0000-0000-0000472A0000}"/>
    <cellStyle name="20% - Accent4 5 8 3 2 2" xfId="14380" xr:uid="{00000000-0005-0000-0000-0000482A0000}"/>
    <cellStyle name="20% - Accent4 5 8 3 2 2 2" xfId="14381" xr:uid="{00000000-0005-0000-0000-0000492A0000}"/>
    <cellStyle name="20% - Accent4 5 8 3 2 2 2 2" xfId="14382" xr:uid="{00000000-0005-0000-0000-00004A2A0000}"/>
    <cellStyle name="20% - Accent4 5 8 3 2 2 3" xfId="14383" xr:uid="{00000000-0005-0000-0000-00004B2A0000}"/>
    <cellStyle name="20% - Accent4 5 8 3 2 3" xfId="14384" xr:uid="{00000000-0005-0000-0000-00004C2A0000}"/>
    <cellStyle name="20% - Accent4 5 8 3 2 3 2" xfId="14385" xr:uid="{00000000-0005-0000-0000-00004D2A0000}"/>
    <cellStyle name="20% - Accent4 5 8 3 2 4" xfId="14386" xr:uid="{00000000-0005-0000-0000-00004E2A0000}"/>
    <cellStyle name="20% - Accent4 5 8 3 2 5" xfId="14387" xr:uid="{00000000-0005-0000-0000-00004F2A0000}"/>
    <cellStyle name="20% - Accent4 5 8 3 2 6" xfId="14388" xr:uid="{00000000-0005-0000-0000-0000502A0000}"/>
    <cellStyle name="20% - Accent4 5 8 3 3" xfId="14389" xr:uid="{00000000-0005-0000-0000-0000512A0000}"/>
    <cellStyle name="20% - Accent4 5 8 3 3 2" xfId="14390" xr:uid="{00000000-0005-0000-0000-0000522A0000}"/>
    <cellStyle name="20% - Accent4 5 8 3 3 2 2" xfId="14391" xr:uid="{00000000-0005-0000-0000-0000532A0000}"/>
    <cellStyle name="20% - Accent4 5 8 3 3 3" xfId="14392" xr:uid="{00000000-0005-0000-0000-0000542A0000}"/>
    <cellStyle name="20% - Accent4 5 8 3 4" xfId="14393" xr:uid="{00000000-0005-0000-0000-0000552A0000}"/>
    <cellStyle name="20% - Accent4 5 8 3 4 2" xfId="14394" xr:uid="{00000000-0005-0000-0000-0000562A0000}"/>
    <cellStyle name="20% - Accent4 5 8 3 5" xfId="14395" xr:uid="{00000000-0005-0000-0000-0000572A0000}"/>
    <cellStyle name="20% - Accent4 5 8 3 6" xfId="14396" xr:uid="{00000000-0005-0000-0000-0000582A0000}"/>
    <cellStyle name="20% - Accent4 5 8 3 7" xfId="14397" xr:uid="{00000000-0005-0000-0000-0000592A0000}"/>
    <cellStyle name="20% - Accent4 5 8 4" xfId="14398" xr:uid="{00000000-0005-0000-0000-00005A2A0000}"/>
    <cellStyle name="20% - Accent4 5 8 4 2" xfId="14399" xr:uid="{00000000-0005-0000-0000-00005B2A0000}"/>
    <cellStyle name="20% - Accent4 5 8 4 2 2" xfId="14400" xr:uid="{00000000-0005-0000-0000-00005C2A0000}"/>
    <cellStyle name="20% - Accent4 5 8 4 2 2 2" xfId="14401" xr:uid="{00000000-0005-0000-0000-00005D2A0000}"/>
    <cellStyle name="20% - Accent4 5 8 4 2 3" xfId="14402" xr:uid="{00000000-0005-0000-0000-00005E2A0000}"/>
    <cellStyle name="20% - Accent4 5 8 4 3" xfId="14403" xr:uid="{00000000-0005-0000-0000-00005F2A0000}"/>
    <cellStyle name="20% - Accent4 5 8 4 3 2" xfId="14404" xr:uid="{00000000-0005-0000-0000-0000602A0000}"/>
    <cellStyle name="20% - Accent4 5 8 4 4" xfId="14405" xr:uid="{00000000-0005-0000-0000-0000612A0000}"/>
    <cellStyle name="20% - Accent4 5 8 4 5" xfId="14406" xr:uid="{00000000-0005-0000-0000-0000622A0000}"/>
    <cellStyle name="20% - Accent4 5 8 4 6" xfId="14407" xr:uid="{00000000-0005-0000-0000-0000632A0000}"/>
    <cellStyle name="20% - Accent4 5 8 5" xfId="14408" xr:uid="{00000000-0005-0000-0000-0000642A0000}"/>
    <cellStyle name="20% - Accent4 5 8 5 2" xfId="14409" xr:uid="{00000000-0005-0000-0000-0000652A0000}"/>
    <cellStyle name="20% - Accent4 5 8 5 2 2" xfId="14410" xr:uid="{00000000-0005-0000-0000-0000662A0000}"/>
    <cellStyle name="20% - Accent4 5 8 5 3" xfId="14411" xr:uid="{00000000-0005-0000-0000-0000672A0000}"/>
    <cellStyle name="20% - Accent4 5 8 6" xfId="14412" xr:uid="{00000000-0005-0000-0000-0000682A0000}"/>
    <cellStyle name="20% - Accent4 5 8 6 2" xfId="14413" xr:uid="{00000000-0005-0000-0000-0000692A0000}"/>
    <cellStyle name="20% - Accent4 5 8 6 2 2" xfId="14414" xr:uid="{00000000-0005-0000-0000-00006A2A0000}"/>
    <cellStyle name="20% - Accent4 5 8 6 3" xfId="14415" xr:uid="{00000000-0005-0000-0000-00006B2A0000}"/>
    <cellStyle name="20% - Accent4 5 8 7" xfId="14416" xr:uid="{00000000-0005-0000-0000-00006C2A0000}"/>
    <cellStyle name="20% - Accent4 5 8 7 2" xfId="14417" xr:uid="{00000000-0005-0000-0000-00006D2A0000}"/>
    <cellStyle name="20% - Accent4 5 8 8" xfId="14418" xr:uid="{00000000-0005-0000-0000-00006E2A0000}"/>
    <cellStyle name="20% - Accent4 5 8 8 2" xfId="14419" xr:uid="{00000000-0005-0000-0000-00006F2A0000}"/>
    <cellStyle name="20% - Accent4 5 8 9" xfId="14420" xr:uid="{00000000-0005-0000-0000-0000702A0000}"/>
    <cellStyle name="20% - Accent4 5 9" xfId="14421" xr:uid="{00000000-0005-0000-0000-0000712A0000}"/>
    <cellStyle name="20% - Accent4 5 9 10" xfId="14422" xr:uid="{00000000-0005-0000-0000-0000722A0000}"/>
    <cellStyle name="20% - Accent4 5 9 11" xfId="14423" xr:uid="{00000000-0005-0000-0000-0000732A0000}"/>
    <cellStyle name="20% - Accent4 5 9 2" xfId="14424" xr:uid="{00000000-0005-0000-0000-0000742A0000}"/>
    <cellStyle name="20% - Accent4 5 9 2 2" xfId="14425" xr:uid="{00000000-0005-0000-0000-0000752A0000}"/>
    <cellStyle name="20% - Accent4 5 9 2 2 2" xfId="14426" xr:uid="{00000000-0005-0000-0000-0000762A0000}"/>
    <cellStyle name="20% - Accent4 5 9 2 2 2 2" xfId="14427" xr:uid="{00000000-0005-0000-0000-0000772A0000}"/>
    <cellStyle name="20% - Accent4 5 9 2 2 2 2 2" xfId="14428" xr:uid="{00000000-0005-0000-0000-0000782A0000}"/>
    <cellStyle name="20% - Accent4 5 9 2 2 2 3" xfId="14429" xr:uid="{00000000-0005-0000-0000-0000792A0000}"/>
    <cellStyle name="20% - Accent4 5 9 2 2 3" xfId="14430" xr:uid="{00000000-0005-0000-0000-00007A2A0000}"/>
    <cellStyle name="20% - Accent4 5 9 2 2 3 2" xfId="14431" xr:uid="{00000000-0005-0000-0000-00007B2A0000}"/>
    <cellStyle name="20% - Accent4 5 9 2 2 4" xfId="14432" xr:uid="{00000000-0005-0000-0000-00007C2A0000}"/>
    <cellStyle name="20% - Accent4 5 9 2 2 5" xfId="14433" xr:uid="{00000000-0005-0000-0000-00007D2A0000}"/>
    <cellStyle name="20% - Accent4 5 9 2 2 6" xfId="14434" xr:uid="{00000000-0005-0000-0000-00007E2A0000}"/>
    <cellStyle name="20% - Accent4 5 9 2 3" xfId="14435" xr:uid="{00000000-0005-0000-0000-00007F2A0000}"/>
    <cellStyle name="20% - Accent4 5 9 2 3 2" xfId="14436" xr:uid="{00000000-0005-0000-0000-0000802A0000}"/>
    <cellStyle name="20% - Accent4 5 9 2 3 2 2" xfId="14437" xr:uid="{00000000-0005-0000-0000-0000812A0000}"/>
    <cellStyle name="20% - Accent4 5 9 2 3 3" xfId="14438" xr:uid="{00000000-0005-0000-0000-0000822A0000}"/>
    <cellStyle name="20% - Accent4 5 9 2 4" xfId="14439" xr:uid="{00000000-0005-0000-0000-0000832A0000}"/>
    <cellStyle name="20% - Accent4 5 9 2 4 2" xfId="14440" xr:uid="{00000000-0005-0000-0000-0000842A0000}"/>
    <cellStyle name="20% - Accent4 5 9 2 5" xfId="14441" xr:uid="{00000000-0005-0000-0000-0000852A0000}"/>
    <cellStyle name="20% - Accent4 5 9 2 6" xfId="14442" xr:uid="{00000000-0005-0000-0000-0000862A0000}"/>
    <cellStyle name="20% - Accent4 5 9 2 7" xfId="14443" xr:uid="{00000000-0005-0000-0000-0000872A0000}"/>
    <cellStyle name="20% - Accent4 5 9 3" xfId="14444" xr:uid="{00000000-0005-0000-0000-0000882A0000}"/>
    <cellStyle name="20% - Accent4 5 9 3 2" xfId="14445" xr:uid="{00000000-0005-0000-0000-0000892A0000}"/>
    <cellStyle name="20% - Accent4 5 9 3 2 2" xfId="14446" xr:uid="{00000000-0005-0000-0000-00008A2A0000}"/>
    <cellStyle name="20% - Accent4 5 9 3 2 2 2" xfId="14447" xr:uid="{00000000-0005-0000-0000-00008B2A0000}"/>
    <cellStyle name="20% - Accent4 5 9 3 2 2 2 2" xfId="14448" xr:uid="{00000000-0005-0000-0000-00008C2A0000}"/>
    <cellStyle name="20% - Accent4 5 9 3 2 2 3" xfId="14449" xr:uid="{00000000-0005-0000-0000-00008D2A0000}"/>
    <cellStyle name="20% - Accent4 5 9 3 2 3" xfId="14450" xr:uid="{00000000-0005-0000-0000-00008E2A0000}"/>
    <cellStyle name="20% - Accent4 5 9 3 2 3 2" xfId="14451" xr:uid="{00000000-0005-0000-0000-00008F2A0000}"/>
    <cellStyle name="20% - Accent4 5 9 3 2 4" xfId="14452" xr:uid="{00000000-0005-0000-0000-0000902A0000}"/>
    <cellStyle name="20% - Accent4 5 9 3 2 5" xfId="14453" xr:uid="{00000000-0005-0000-0000-0000912A0000}"/>
    <cellStyle name="20% - Accent4 5 9 3 2 6" xfId="14454" xr:uid="{00000000-0005-0000-0000-0000922A0000}"/>
    <cellStyle name="20% - Accent4 5 9 3 3" xfId="14455" xr:uid="{00000000-0005-0000-0000-0000932A0000}"/>
    <cellStyle name="20% - Accent4 5 9 3 3 2" xfId="14456" xr:uid="{00000000-0005-0000-0000-0000942A0000}"/>
    <cellStyle name="20% - Accent4 5 9 3 3 2 2" xfId="14457" xr:uid="{00000000-0005-0000-0000-0000952A0000}"/>
    <cellStyle name="20% - Accent4 5 9 3 3 3" xfId="14458" xr:uid="{00000000-0005-0000-0000-0000962A0000}"/>
    <cellStyle name="20% - Accent4 5 9 3 4" xfId="14459" xr:uid="{00000000-0005-0000-0000-0000972A0000}"/>
    <cellStyle name="20% - Accent4 5 9 3 4 2" xfId="14460" xr:uid="{00000000-0005-0000-0000-0000982A0000}"/>
    <cellStyle name="20% - Accent4 5 9 3 5" xfId="14461" xr:uid="{00000000-0005-0000-0000-0000992A0000}"/>
    <cellStyle name="20% - Accent4 5 9 3 6" xfId="14462" xr:uid="{00000000-0005-0000-0000-00009A2A0000}"/>
    <cellStyle name="20% - Accent4 5 9 3 7" xfId="14463" xr:uid="{00000000-0005-0000-0000-00009B2A0000}"/>
    <cellStyle name="20% - Accent4 5 9 4" xfId="14464" xr:uid="{00000000-0005-0000-0000-00009C2A0000}"/>
    <cellStyle name="20% - Accent4 5 9 4 2" xfId="14465" xr:uid="{00000000-0005-0000-0000-00009D2A0000}"/>
    <cellStyle name="20% - Accent4 5 9 4 2 2" xfId="14466" xr:uid="{00000000-0005-0000-0000-00009E2A0000}"/>
    <cellStyle name="20% - Accent4 5 9 4 2 2 2" xfId="14467" xr:uid="{00000000-0005-0000-0000-00009F2A0000}"/>
    <cellStyle name="20% - Accent4 5 9 4 2 3" xfId="14468" xr:uid="{00000000-0005-0000-0000-0000A02A0000}"/>
    <cellStyle name="20% - Accent4 5 9 4 3" xfId="14469" xr:uid="{00000000-0005-0000-0000-0000A12A0000}"/>
    <cellStyle name="20% - Accent4 5 9 4 3 2" xfId="14470" xr:uid="{00000000-0005-0000-0000-0000A22A0000}"/>
    <cellStyle name="20% - Accent4 5 9 4 4" xfId="14471" xr:uid="{00000000-0005-0000-0000-0000A32A0000}"/>
    <cellStyle name="20% - Accent4 5 9 4 5" xfId="14472" xr:uid="{00000000-0005-0000-0000-0000A42A0000}"/>
    <cellStyle name="20% - Accent4 5 9 4 6" xfId="14473" xr:uid="{00000000-0005-0000-0000-0000A52A0000}"/>
    <cellStyle name="20% - Accent4 5 9 5" xfId="14474" xr:uid="{00000000-0005-0000-0000-0000A62A0000}"/>
    <cellStyle name="20% - Accent4 5 9 5 2" xfId="14475" xr:uid="{00000000-0005-0000-0000-0000A72A0000}"/>
    <cellStyle name="20% - Accent4 5 9 5 2 2" xfId="14476" xr:uid="{00000000-0005-0000-0000-0000A82A0000}"/>
    <cellStyle name="20% - Accent4 5 9 5 3" xfId="14477" xr:uid="{00000000-0005-0000-0000-0000A92A0000}"/>
    <cellStyle name="20% - Accent4 5 9 6" xfId="14478" xr:uid="{00000000-0005-0000-0000-0000AA2A0000}"/>
    <cellStyle name="20% - Accent4 5 9 6 2" xfId="14479" xr:uid="{00000000-0005-0000-0000-0000AB2A0000}"/>
    <cellStyle name="20% - Accent4 5 9 6 2 2" xfId="14480" xr:uid="{00000000-0005-0000-0000-0000AC2A0000}"/>
    <cellStyle name="20% - Accent4 5 9 6 3" xfId="14481" xr:uid="{00000000-0005-0000-0000-0000AD2A0000}"/>
    <cellStyle name="20% - Accent4 5 9 7" xfId="14482" xr:uid="{00000000-0005-0000-0000-0000AE2A0000}"/>
    <cellStyle name="20% - Accent4 5 9 7 2" xfId="14483" xr:uid="{00000000-0005-0000-0000-0000AF2A0000}"/>
    <cellStyle name="20% - Accent4 5 9 8" xfId="14484" xr:uid="{00000000-0005-0000-0000-0000B02A0000}"/>
    <cellStyle name="20% - Accent4 5 9 8 2" xfId="14485" xr:uid="{00000000-0005-0000-0000-0000B12A0000}"/>
    <cellStyle name="20% - Accent4 5 9 9" xfId="14486" xr:uid="{00000000-0005-0000-0000-0000B22A0000}"/>
    <cellStyle name="20% - Accent4 6" xfId="180" xr:uid="{00000000-0005-0000-0000-0000B32A0000}"/>
    <cellStyle name="20% - Accent4 6 10" xfId="14487" xr:uid="{00000000-0005-0000-0000-0000B42A0000}"/>
    <cellStyle name="20% - Accent4 6 11" xfId="14488" xr:uid="{00000000-0005-0000-0000-0000B52A0000}"/>
    <cellStyle name="20% - Accent4 6 12" xfId="14489" xr:uid="{00000000-0005-0000-0000-0000B62A0000}"/>
    <cellStyle name="20% - Accent4 6 2" xfId="14490" xr:uid="{00000000-0005-0000-0000-0000B72A0000}"/>
    <cellStyle name="20% - Accent4 6 2 10" xfId="14491" xr:uid="{00000000-0005-0000-0000-0000B82A0000}"/>
    <cellStyle name="20% - Accent4 6 2 2" xfId="14492" xr:uid="{00000000-0005-0000-0000-0000B92A0000}"/>
    <cellStyle name="20% - Accent4 6 2 2 2" xfId="14493" xr:uid="{00000000-0005-0000-0000-0000BA2A0000}"/>
    <cellStyle name="20% - Accent4 6 2 2 2 2" xfId="14494" xr:uid="{00000000-0005-0000-0000-0000BB2A0000}"/>
    <cellStyle name="20% - Accent4 6 2 2 2 2 2" xfId="14495" xr:uid="{00000000-0005-0000-0000-0000BC2A0000}"/>
    <cellStyle name="20% - Accent4 6 2 2 2 2 2 2" xfId="14496" xr:uid="{00000000-0005-0000-0000-0000BD2A0000}"/>
    <cellStyle name="20% - Accent4 6 2 2 2 2 3" xfId="14497" xr:uid="{00000000-0005-0000-0000-0000BE2A0000}"/>
    <cellStyle name="20% - Accent4 6 2 2 2 3" xfId="14498" xr:uid="{00000000-0005-0000-0000-0000BF2A0000}"/>
    <cellStyle name="20% - Accent4 6 2 2 2 3 2" xfId="14499" xr:uid="{00000000-0005-0000-0000-0000C02A0000}"/>
    <cellStyle name="20% - Accent4 6 2 2 2 4" xfId="14500" xr:uid="{00000000-0005-0000-0000-0000C12A0000}"/>
    <cellStyle name="20% - Accent4 6 2 2 2 5" xfId="14501" xr:uid="{00000000-0005-0000-0000-0000C22A0000}"/>
    <cellStyle name="20% - Accent4 6 2 2 2 6" xfId="14502" xr:uid="{00000000-0005-0000-0000-0000C32A0000}"/>
    <cellStyle name="20% - Accent4 6 2 2 3" xfId="14503" xr:uid="{00000000-0005-0000-0000-0000C42A0000}"/>
    <cellStyle name="20% - Accent4 6 2 2 3 2" xfId="14504" xr:uid="{00000000-0005-0000-0000-0000C52A0000}"/>
    <cellStyle name="20% - Accent4 6 2 2 3 2 2" xfId="14505" xr:uid="{00000000-0005-0000-0000-0000C62A0000}"/>
    <cellStyle name="20% - Accent4 6 2 2 3 3" xfId="14506" xr:uid="{00000000-0005-0000-0000-0000C72A0000}"/>
    <cellStyle name="20% - Accent4 6 2 2 4" xfId="14507" xr:uid="{00000000-0005-0000-0000-0000C82A0000}"/>
    <cellStyle name="20% - Accent4 6 2 2 4 2" xfId="14508" xr:uid="{00000000-0005-0000-0000-0000C92A0000}"/>
    <cellStyle name="20% - Accent4 6 2 2 5" xfId="14509" xr:uid="{00000000-0005-0000-0000-0000CA2A0000}"/>
    <cellStyle name="20% - Accent4 6 2 2 6" xfId="14510" xr:uid="{00000000-0005-0000-0000-0000CB2A0000}"/>
    <cellStyle name="20% - Accent4 6 2 2 7" xfId="14511" xr:uid="{00000000-0005-0000-0000-0000CC2A0000}"/>
    <cellStyle name="20% - Accent4 6 2 3" xfId="14512" xr:uid="{00000000-0005-0000-0000-0000CD2A0000}"/>
    <cellStyle name="20% - Accent4 6 2 3 2" xfId="14513" xr:uid="{00000000-0005-0000-0000-0000CE2A0000}"/>
    <cellStyle name="20% - Accent4 6 2 3 2 2" xfId="14514" xr:uid="{00000000-0005-0000-0000-0000CF2A0000}"/>
    <cellStyle name="20% - Accent4 6 2 3 2 2 2" xfId="14515" xr:uid="{00000000-0005-0000-0000-0000D02A0000}"/>
    <cellStyle name="20% - Accent4 6 2 3 2 3" xfId="14516" xr:uid="{00000000-0005-0000-0000-0000D12A0000}"/>
    <cellStyle name="20% - Accent4 6 2 3 3" xfId="14517" xr:uid="{00000000-0005-0000-0000-0000D22A0000}"/>
    <cellStyle name="20% - Accent4 6 2 3 3 2" xfId="14518" xr:uid="{00000000-0005-0000-0000-0000D32A0000}"/>
    <cellStyle name="20% - Accent4 6 2 3 4" xfId="14519" xr:uid="{00000000-0005-0000-0000-0000D42A0000}"/>
    <cellStyle name="20% - Accent4 6 2 3 5" xfId="14520" xr:uid="{00000000-0005-0000-0000-0000D52A0000}"/>
    <cellStyle name="20% - Accent4 6 2 3 6" xfId="14521" xr:uid="{00000000-0005-0000-0000-0000D62A0000}"/>
    <cellStyle name="20% - Accent4 6 2 4" xfId="14522" xr:uid="{00000000-0005-0000-0000-0000D72A0000}"/>
    <cellStyle name="20% - Accent4 6 2 4 2" xfId="14523" xr:uid="{00000000-0005-0000-0000-0000D82A0000}"/>
    <cellStyle name="20% - Accent4 6 2 4 2 2" xfId="14524" xr:uid="{00000000-0005-0000-0000-0000D92A0000}"/>
    <cellStyle name="20% - Accent4 6 2 4 3" xfId="14525" xr:uid="{00000000-0005-0000-0000-0000DA2A0000}"/>
    <cellStyle name="20% - Accent4 6 2 5" xfId="14526" xr:uid="{00000000-0005-0000-0000-0000DB2A0000}"/>
    <cellStyle name="20% - Accent4 6 2 5 2" xfId="14527" xr:uid="{00000000-0005-0000-0000-0000DC2A0000}"/>
    <cellStyle name="20% - Accent4 6 2 5 2 2" xfId="14528" xr:uid="{00000000-0005-0000-0000-0000DD2A0000}"/>
    <cellStyle name="20% - Accent4 6 2 5 3" xfId="14529" xr:uid="{00000000-0005-0000-0000-0000DE2A0000}"/>
    <cellStyle name="20% - Accent4 6 2 6" xfId="14530" xr:uid="{00000000-0005-0000-0000-0000DF2A0000}"/>
    <cellStyle name="20% - Accent4 6 2 6 2" xfId="14531" xr:uid="{00000000-0005-0000-0000-0000E02A0000}"/>
    <cellStyle name="20% - Accent4 6 2 7" xfId="14532" xr:uid="{00000000-0005-0000-0000-0000E12A0000}"/>
    <cellStyle name="20% - Accent4 6 2 7 2" xfId="14533" xr:uid="{00000000-0005-0000-0000-0000E22A0000}"/>
    <cellStyle name="20% - Accent4 6 2 8" xfId="14534" xr:uid="{00000000-0005-0000-0000-0000E32A0000}"/>
    <cellStyle name="20% - Accent4 6 2 9" xfId="14535" xr:uid="{00000000-0005-0000-0000-0000E42A0000}"/>
    <cellStyle name="20% - Accent4 6 3" xfId="14536" xr:uid="{00000000-0005-0000-0000-0000E52A0000}"/>
    <cellStyle name="20% - Accent4 6 3 2" xfId="14537" xr:uid="{00000000-0005-0000-0000-0000E62A0000}"/>
    <cellStyle name="20% - Accent4 6 3 2 2" xfId="14538" xr:uid="{00000000-0005-0000-0000-0000E72A0000}"/>
    <cellStyle name="20% - Accent4 6 3 2 2 2" xfId="14539" xr:uid="{00000000-0005-0000-0000-0000E82A0000}"/>
    <cellStyle name="20% - Accent4 6 3 2 2 2 2" xfId="14540" xr:uid="{00000000-0005-0000-0000-0000E92A0000}"/>
    <cellStyle name="20% - Accent4 6 3 2 2 3" xfId="14541" xr:uid="{00000000-0005-0000-0000-0000EA2A0000}"/>
    <cellStyle name="20% - Accent4 6 3 2 3" xfId="14542" xr:uid="{00000000-0005-0000-0000-0000EB2A0000}"/>
    <cellStyle name="20% - Accent4 6 3 2 3 2" xfId="14543" xr:uid="{00000000-0005-0000-0000-0000EC2A0000}"/>
    <cellStyle name="20% - Accent4 6 3 2 4" xfId="14544" xr:uid="{00000000-0005-0000-0000-0000ED2A0000}"/>
    <cellStyle name="20% - Accent4 6 3 2 5" xfId="14545" xr:uid="{00000000-0005-0000-0000-0000EE2A0000}"/>
    <cellStyle name="20% - Accent4 6 3 2 6" xfId="14546" xr:uid="{00000000-0005-0000-0000-0000EF2A0000}"/>
    <cellStyle name="20% - Accent4 6 3 3" xfId="14547" xr:uid="{00000000-0005-0000-0000-0000F02A0000}"/>
    <cellStyle name="20% - Accent4 6 3 3 2" xfId="14548" xr:uid="{00000000-0005-0000-0000-0000F12A0000}"/>
    <cellStyle name="20% - Accent4 6 3 3 2 2" xfId="14549" xr:uid="{00000000-0005-0000-0000-0000F22A0000}"/>
    <cellStyle name="20% - Accent4 6 3 3 3" xfId="14550" xr:uid="{00000000-0005-0000-0000-0000F32A0000}"/>
    <cellStyle name="20% - Accent4 6 3 4" xfId="14551" xr:uid="{00000000-0005-0000-0000-0000F42A0000}"/>
    <cellStyle name="20% - Accent4 6 3 4 2" xfId="14552" xr:uid="{00000000-0005-0000-0000-0000F52A0000}"/>
    <cellStyle name="20% - Accent4 6 3 5" xfId="14553" xr:uid="{00000000-0005-0000-0000-0000F62A0000}"/>
    <cellStyle name="20% - Accent4 6 3 6" xfId="14554" xr:uid="{00000000-0005-0000-0000-0000F72A0000}"/>
    <cellStyle name="20% - Accent4 6 3 7" xfId="14555" xr:uid="{00000000-0005-0000-0000-0000F82A0000}"/>
    <cellStyle name="20% - Accent4 6 4" xfId="14556" xr:uid="{00000000-0005-0000-0000-0000F92A0000}"/>
    <cellStyle name="20% - Accent4 6 4 2" xfId="14557" xr:uid="{00000000-0005-0000-0000-0000FA2A0000}"/>
    <cellStyle name="20% - Accent4 6 4 2 2" xfId="14558" xr:uid="{00000000-0005-0000-0000-0000FB2A0000}"/>
    <cellStyle name="20% - Accent4 6 4 2 2 2" xfId="14559" xr:uid="{00000000-0005-0000-0000-0000FC2A0000}"/>
    <cellStyle name="20% - Accent4 6 4 2 2 2 2" xfId="14560" xr:uid="{00000000-0005-0000-0000-0000FD2A0000}"/>
    <cellStyle name="20% - Accent4 6 4 2 2 3" xfId="14561" xr:uid="{00000000-0005-0000-0000-0000FE2A0000}"/>
    <cellStyle name="20% - Accent4 6 4 2 3" xfId="14562" xr:uid="{00000000-0005-0000-0000-0000FF2A0000}"/>
    <cellStyle name="20% - Accent4 6 4 2 3 2" xfId="14563" xr:uid="{00000000-0005-0000-0000-0000002B0000}"/>
    <cellStyle name="20% - Accent4 6 4 2 4" xfId="14564" xr:uid="{00000000-0005-0000-0000-0000012B0000}"/>
    <cellStyle name="20% - Accent4 6 4 2 5" xfId="14565" xr:uid="{00000000-0005-0000-0000-0000022B0000}"/>
    <cellStyle name="20% - Accent4 6 4 2 6" xfId="14566" xr:uid="{00000000-0005-0000-0000-0000032B0000}"/>
    <cellStyle name="20% - Accent4 6 4 3" xfId="14567" xr:uid="{00000000-0005-0000-0000-0000042B0000}"/>
    <cellStyle name="20% - Accent4 6 4 3 2" xfId="14568" xr:uid="{00000000-0005-0000-0000-0000052B0000}"/>
    <cellStyle name="20% - Accent4 6 4 3 2 2" xfId="14569" xr:uid="{00000000-0005-0000-0000-0000062B0000}"/>
    <cellStyle name="20% - Accent4 6 4 3 3" xfId="14570" xr:uid="{00000000-0005-0000-0000-0000072B0000}"/>
    <cellStyle name="20% - Accent4 6 4 4" xfId="14571" xr:uid="{00000000-0005-0000-0000-0000082B0000}"/>
    <cellStyle name="20% - Accent4 6 4 4 2" xfId="14572" xr:uid="{00000000-0005-0000-0000-0000092B0000}"/>
    <cellStyle name="20% - Accent4 6 4 5" xfId="14573" xr:uid="{00000000-0005-0000-0000-00000A2B0000}"/>
    <cellStyle name="20% - Accent4 6 4 6" xfId="14574" xr:uid="{00000000-0005-0000-0000-00000B2B0000}"/>
    <cellStyle name="20% - Accent4 6 4 7" xfId="14575" xr:uid="{00000000-0005-0000-0000-00000C2B0000}"/>
    <cellStyle name="20% - Accent4 6 5" xfId="14576" xr:uid="{00000000-0005-0000-0000-00000D2B0000}"/>
    <cellStyle name="20% - Accent4 6 5 2" xfId="14577" xr:uid="{00000000-0005-0000-0000-00000E2B0000}"/>
    <cellStyle name="20% - Accent4 6 5 2 2" xfId="14578" xr:uid="{00000000-0005-0000-0000-00000F2B0000}"/>
    <cellStyle name="20% - Accent4 6 5 2 2 2" xfId="14579" xr:uid="{00000000-0005-0000-0000-0000102B0000}"/>
    <cellStyle name="20% - Accent4 6 5 2 3" xfId="14580" xr:uid="{00000000-0005-0000-0000-0000112B0000}"/>
    <cellStyle name="20% - Accent4 6 5 3" xfId="14581" xr:uid="{00000000-0005-0000-0000-0000122B0000}"/>
    <cellStyle name="20% - Accent4 6 5 3 2" xfId="14582" xr:uid="{00000000-0005-0000-0000-0000132B0000}"/>
    <cellStyle name="20% - Accent4 6 5 4" xfId="14583" xr:uid="{00000000-0005-0000-0000-0000142B0000}"/>
    <cellStyle name="20% - Accent4 6 5 5" xfId="14584" xr:uid="{00000000-0005-0000-0000-0000152B0000}"/>
    <cellStyle name="20% - Accent4 6 5 6" xfId="14585" xr:uid="{00000000-0005-0000-0000-0000162B0000}"/>
    <cellStyle name="20% - Accent4 6 6" xfId="14586" xr:uid="{00000000-0005-0000-0000-0000172B0000}"/>
    <cellStyle name="20% - Accent4 6 6 2" xfId="14587" xr:uid="{00000000-0005-0000-0000-0000182B0000}"/>
    <cellStyle name="20% - Accent4 6 6 2 2" xfId="14588" xr:uid="{00000000-0005-0000-0000-0000192B0000}"/>
    <cellStyle name="20% - Accent4 6 6 3" xfId="14589" xr:uid="{00000000-0005-0000-0000-00001A2B0000}"/>
    <cellStyle name="20% - Accent4 6 7" xfId="14590" xr:uid="{00000000-0005-0000-0000-00001B2B0000}"/>
    <cellStyle name="20% - Accent4 6 7 2" xfId="14591" xr:uid="{00000000-0005-0000-0000-00001C2B0000}"/>
    <cellStyle name="20% - Accent4 6 7 2 2" xfId="14592" xr:uid="{00000000-0005-0000-0000-00001D2B0000}"/>
    <cellStyle name="20% - Accent4 6 7 3" xfId="14593" xr:uid="{00000000-0005-0000-0000-00001E2B0000}"/>
    <cellStyle name="20% - Accent4 6 8" xfId="14594" xr:uid="{00000000-0005-0000-0000-00001F2B0000}"/>
    <cellStyle name="20% - Accent4 6 8 2" xfId="14595" xr:uid="{00000000-0005-0000-0000-0000202B0000}"/>
    <cellStyle name="20% - Accent4 6 9" xfId="14596" xr:uid="{00000000-0005-0000-0000-0000212B0000}"/>
    <cellStyle name="20% - Accent4 6 9 2" xfId="14597" xr:uid="{00000000-0005-0000-0000-0000222B0000}"/>
    <cellStyle name="20% - Accent4 7" xfId="14598" xr:uid="{00000000-0005-0000-0000-0000232B0000}"/>
    <cellStyle name="20% - Accent4 7 10" xfId="14599" xr:uid="{00000000-0005-0000-0000-0000242B0000}"/>
    <cellStyle name="20% - Accent4 7 11" xfId="14600" xr:uid="{00000000-0005-0000-0000-0000252B0000}"/>
    <cellStyle name="20% - Accent4 7 12" xfId="14601" xr:uid="{00000000-0005-0000-0000-0000262B0000}"/>
    <cellStyle name="20% - Accent4 7 2" xfId="14602" xr:uid="{00000000-0005-0000-0000-0000272B0000}"/>
    <cellStyle name="20% - Accent4 7 2 10" xfId="14603" xr:uid="{00000000-0005-0000-0000-0000282B0000}"/>
    <cellStyle name="20% - Accent4 7 2 2" xfId="14604" xr:uid="{00000000-0005-0000-0000-0000292B0000}"/>
    <cellStyle name="20% - Accent4 7 2 2 2" xfId="14605" xr:uid="{00000000-0005-0000-0000-00002A2B0000}"/>
    <cellStyle name="20% - Accent4 7 2 2 2 2" xfId="14606" xr:uid="{00000000-0005-0000-0000-00002B2B0000}"/>
    <cellStyle name="20% - Accent4 7 2 2 2 2 2" xfId="14607" xr:uid="{00000000-0005-0000-0000-00002C2B0000}"/>
    <cellStyle name="20% - Accent4 7 2 2 2 2 2 2" xfId="14608" xr:uid="{00000000-0005-0000-0000-00002D2B0000}"/>
    <cellStyle name="20% - Accent4 7 2 2 2 2 3" xfId="14609" xr:uid="{00000000-0005-0000-0000-00002E2B0000}"/>
    <cellStyle name="20% - Accent4 7 2 2 2 3" xfId="14610" xr:uid="{00000000-0005-0000-0000-00002F2B0000}"/>
    <cellStyle name="20% - Accent4 7 2 2 2 3 2" xfId="14611" xr:uid="{00000000-0005-0000-0000-0000302B0000}"/>
    <cellStyle name="20% - Accent4 7 2 2 2 4" xfId="14612" xr:uid="{00000000-0005-0000-0000-0000312B0000}"/>
    <cellStyle name="20% - Accent4 7 2 2 2 5" xfId="14613" xr:uid="{00000000-0005-0000-0000-0000322B0000}"/>
    <cellStyle name="20% - Accent4 7 2 2 2 6" xfId="14614" xr:uid="{00000000-0005-0000-0000-0000332B0000}"/>
    <cellStyle name="20% - Accent4 7 2 2 3" xfId="14615" xr:uid="{00000000-0005-0000-0000-0000342B0000}"/>
    <cellStyle name="20% - Accent4 7 2 2 3 2" xfId="14616" xr:uid="{00000000-0005-0000-0000-0000352B0000}"/>
    <cellStyle name="20% - Accent4 7 2 2 3 2 2" xfId="14617" xr:uid="{00000000-0005-0000-0000-0000362B0000}"/>
    <cellStyle name="20% - Accent4 7 2 2 3 3" xfId="14618" xr:uid="{00000000-0005-0000-0000-0000372B0000}"/>
    <cellStyle name="20% - Accent4 7 2 2 4" xfId="14619" xr:uid="{00000000-0005-0000-0000-0000382B0000}"/>
    <cellStyle name="20% - Accent4 7 2 2 4 2" xfId="14620" xr:uid="{00000000-0005-0000-0000-0000392B0000}"/>
    <cellStyle name="20% - Accent4 7 2 2 5" xfId="14621" xr:uid="{00000000-0005-0000-0000-00003A2B0000}"/>
    <cellStyle name="20% - Accent4 7 2 2 6" xfId="14622" xr:uid="{00000000-0005-0000-0000-00003B2B0000}"/>
    <cellStyle name="20% - Accent4 7 2 2 7" xfId="14623" xr:uid="{00000000-0005-0000-0000-00003C2B0000}"/>
    <cellStyle name="20% - Accent4 7 2 3" xfId="14624" xr:uid="{00000000-0005-0000-0000-00003D2B0000}"/>
    <cellStyle name="20% - Accent4 7 2 3 2" xfId="14625" xr:uid="{00000000-0005-0000-0000-00003E2B0000}"/>
    <cellStyle name="20% - Accent4 7 2 3 2 2" xfId="14626" xr:uid="{00000000-0005-0000-0000-00003F2B0000}"/>
    <cellStyle name="20% - Accent4 7 2 3 2 2 2" xfId="14627" xr:uid="{00000000-0005-0000-0000-0000402B0000}"/>
    <cellStyle name="20% - Accent4 7 2 3 2 3" xfId="14628" xr:uid="{00000000-0005-0000-0000-0000412B0000}"/>
    <cellStyle name="20% - Accent4 7 2 3 3" xfId="14629" xr:uid="{00000000-0005-0000-0000-0000422B0000}"/>
    <cellStyle name="20% - Accent4 7 2 3 3 2" xfId="14630" xr:uid="{00000000-0005-0000-0000-0000432B0000}"/>
    <cellStyle name="20% - Accent4 7 2 3 4" xfId="14631" xr:uid="{00000000-0005-0000-0000-0000442B0000}"/>
    <cellStyle name="20% - Accent4 7 2 3 5" xfId="14632" xr:uid="{00000000-0005-0000-0000-0000452B0000}"/>
    <cellStyle name="20% - Accent4 7 2 3 6" xfId="14633" xr:uid="{00000000-0005-0000-0000-0000462B0000}"/>
    <cellStyle name="20% - Accent4 7 2 4" xfId="14634" xr:uid="{00000000-0005-0000-0000-0000472B0000}"/>
    <cellStyle name="20% - Accent4 7 2 4 2" xfId="14635" xr:uid="{00000000-0005-0000-0000-0000482B0000}"/>
    <cellStyle name="20% - Accent4 7 2 4 2 2" xfId="14636" xr:uid="{00000000-0005-0000-0000-0000492B0000}"/>
    <cellStyle name="20% - Accent4 7 2 4 3" xfId="14637" xr:uid="{00000000-0005-0000-0000-00004A2B0000}"/>
    <cellStyle name="20% - Accent4 7 2 5" xfId="14638" xr:uid="{00000000-0005-0000-0000-00004B2B0000}"/>
    <cellStyle name="20% - Accent4 7 2 5 2" xfId="14639" xr:uid="{00000000-0005-0000-0000-00004C2B0000}"/>
    <cellStyle name="20% - Accent4 7 2 5 2 2" xfId="14640" xr:uid="{00000000-0005-0000-0000-00004D2B0000}"/>
    <cellStyle name="20% - Accent4 7 2 5 3" xfId="14641" xr:uid="{00000000-0005-0000-0000-00004E2B0000}"/>
    <cellStyle name="20% - Accent4 7 2 6" xfId="14642" xr:uid="{00000000-0005-0000-0000-00004F2B0000}"/>
    <cellStyle name="20% - Accent4 7 2 6 2" xfId="14643" xr:uid="{00000000-0005-0000-0000-0000502B0000}"/>
    <cellStyle name="20% - Accent4 7 2 7" xfId="14644" xr:uid="{00000000-0005-0000-0000-0000512B0000}"/>
    <cellStyle name="20% - Accent4 7 2 7 2" xfId="14645" xr:uid="{00000000-0005-0000-0000-0000522B0000}"/>
    <cellStyle name="20% - Accent4 7 2 8" xfId="14646" xr:uid="{00000000-0005-0000-0000-0000532B0000}"/>
    <cellStyle name="20% - Accent4 7 2 9" xfId="14647" xr:uid="{00000000-0005-0000-0000-0000542B0000}"/>
    <cellStyle name="20% - Accent4 7 3" xfId="14648" xr:uid="{00000000-0005-0000-0000-0000552B0000}"/>
    <cellStyle name="20% - Accent4 7 3 2" xfId="14649" xr:uid="{00000000-0005-0000-0000-0000562B0000}"/>
    <cellStyle name="20% - Accent4 7 3 2 2" xfId="14650" xr:uid="{00000000-0005-0000-0000-0000572B0000}"/>
    <cellStyle name="20% - Accent4 7 3 2 2 2" xfId="14651" xr:uid="{00000000-0005-0000-0000-0000582B0000}"/>
    <cellStyle name="20% - Accent4 7 3 2 2 2 2" xfId="14652" xr:uid="{00000000-0005-0000-0000-0000592B0000}"/>
    <cellStyle name="20% - Accent4 7 3 2 2 3" xfId="14653" xr:uid="{00000000-0005-0000-0000-00005A2B0000}"/>
    <cellStyle name="20% - Accent4 7 3 2 3" xfId="14654" xr:uid="{00000000-0005-0000-0000-00005B2B0000}"/>
    <cellStyle name="20% - Accent4 7 3 2 3 2" xfId="14655" xr:uid="{00000000-0005-0000-0000-00005C2B0000}"/>
    <cellStyle name="20% - Accent4 7 3 2 4" xfId="14656" xr:uid="{00000000-0005-0000-0000-00005D2B0000}"/>
    <cellStyle name="20% - Accent4 7 3 2 5" xfId="14657" xr:uid="{00000000-0005-0000-0000-00005E2B0000}"/>
    <cellStyle name="20% - Accent4 7 3 2 6" xfId="14658" xr:uid="{00000000-0005-0000-0000-00005F2B0000}"/>
    <cellStyle name="20% - Accent4 7 3 3" xfId="14659" xr:uid="{00000000-0005-0000-0000-0000602B0000}"/>
    <cellStyle name="20% - Accent4 7 3 3 2" xfId="14660" xr:uid="{00000000-0005-0000-0000-0000612B0000}"/>
    <cellStyle name="20% - Accent4 7 3 3 2 2" xfId="14661" xr:uid="{00000000-0005-0000-0000-0000622B0000}"/>
    <cellStyle name="20% - Accent4 7 3 3 3" xfId="14662" xr:uid="{00000000-0005-0000-0000-0000632B0000}"/>
    <cellStyle name="20% - Accent4 7 3 4" xfId="14663" xr:uid="{00000000-0005-0000-0000-0000642B0000}"/>
    <cellStyle name="20% - Accent4 7 3 4 2" xfId="14664" xr:uid="{00000000-0005-0000-0000-0000652B0000}"/>
    <cellStyle name="20% - Accent4 7 3 5" xfId="14665" xr:uid="{00000000-0005-0000-0000-0000662B0000}"/>
    <cellStyle name="20% - Accent4 7 3 6" xfId="14666" xr:uid="{00000000-0005-0000-0000-0000672B0000}"/>
    <cellStyle name="20% - Accent4 7 3 7" xfId="14667" xr:uid="{00000000-0005-0000-0000-0000682B0000}"/>
    <cellStyle name="20% - Accent4 7 4" xfId="14668" xr:uid="{00000000-0005-0000-0000-0000692B0000}"/>
    <cellStyle name="20% - Accent4 7 4 2" xfId="14669" xr:uid="{00000000-0005-0000-0000-00006A2B0000}"/>
    <cellStyle name="20% - Accent4 7 4 2 2" xfId="14670" xr:uid="{00000000-0005-0000-0000-00006B2B0000}"/>
    <cellStyle name="20% - Accent4 7 4 2 2 2" xfId="14671" xr:uid="{00000000-0005-0000-0000-00006C2B0000}"/>
    <cellStyle name="20% - Accent4 7 4 2 2 2 2" xfId="14672" xr:uid="{00000000-0005-0000-0000-00006D2B0000}"/>
    <cellStyle name="20% - Accent4 7 4 2 2 3" xfId="14673" xr:uid="{00000000-0005-0000-0000-00006E2B0000}"/>
    <cellStyle name="20% - Accent4 7 4 2 3" xfId="14674" xr:uid="{00000000-0005-0000-0000-00006F2B0000}"/>
    <cellStyle name="20% - Accent4 7 4 2 3 2" xfId="14675" xr:uid="{00000000-0005-0000-0000-0000702B0000}"/>
    <cellStyle name="20% - Accent4 7 4 2 4" xfId="14676" xr:uid="{00000000-0005-0000-0000-0000712B0000}"/>
    <cellStyle name="20% - Accent4 7 4 2 5" xfId="14677" xr:uid="{00000000-0005-0000-0000-0000722B0000}"/>
    <cellStyle name="20% - Accent4 7 4 2 6" xfId="14678" xr:uid="{00000000-0005-0000-0000-0000732B0000}"/>
    <cellStyle name="20% - Accent4 7 4 3" xfId="14679" xr:uid="{00000000-0005-0000-0000-0000742B0000}"/>
    <cellStyle name="20% - Accent4 7 4 3 2" xfId="14680" xr:uid="{00000000-0005-0000-0000-0000752B0000}"/>
    <cellStyle name="20% - Accent4 7 4 3 2 2" xfId="14681" xr:uid="{00000000-0005-0000-0000-0000762B0000}"/>
    <cellStyle name="20% - Accent4 7 4 3 3" xfId="14682" xr:uid="{00000000-0005-0000-0000-0000772B0000}"/>
    <cellStyle name="20% - Accent4 7 4 4" xfId="14683" xr:uid="{00000000-0005-0000-0000-0000782B0000}"/>
    <cellStyle name="20% - Accent4 7 4 4 2" xfId="14684" xr:uid="{00000000-0005-0000-0000-0000792B0000}"/>
    <cellStyle name="20% - Accent4 7 4 5" xfId="14685" xr:uid="{00000000-0005-0000-0000-00007A2B0000}"/>
    <cellStyle name="20% - Accent4 7 4 6" xfId="14686" xr:uid="{00000000-0005-0000-0000-00007B2B0000}"/>
    <cellStyle name="20% - Accent4 7 4 7" xfId="14687" xr:uid="{00000000-0005-0000-0000-00007C2B0000}"/>
    <cellStyle name="20% - Accent4 7 5" xfId="14688" xr:uid="{00000000-0005-0000-0000-00007D2B0000}"/>
    <cellStyle name="20% - Accent4 7 5 2" xfId="14689" xr:uid="{00000000-0005-0000-0000-00007E2B0000}"/>
    <cellStyle name="20% - Accent4 7 5 2 2" xfId="14690" xr:uid="{00000000-0005-0000-0000-00007F2B0000}"/>
    <cellStyle name="20% - Accent4 7 5 2 2 2" xfId="14691" xr:uid="{00000000-0005-0000-0000-0000802B0000}"/>
    <cellStyle name="20% - Accent4 7 5 2 3" xfId="14692" xr:uid="{00000000-0005-0000-0000-0000812B0000}"/>
    <cellStyle name="20% - Accent4 7 5 3" xfId="14693" xr:uid="{00000000-0005-0000-0000-0000822B0000}"/>
    <cellStyle name="20% - Accent4 7 5 3 2" xfId="14694" xr:uid="{00000000-0005-0000-0000-0000832B0000}"/>
    <cellStyle name="20% - Accent4 7 5 4" xfId="14695" xr:uid="{00000000-0005-0000-0000-0000842B0000}"/>
    <cellStyle name="20% - Accent4 7 5 5" xfId="14696" xr:uid="{00000000-0005-0000-0000-0000852B0000}"/>
    <cellStyle name="20% - Accent4 7 5 6" xfId="14697" xr:uid="{00000000-0005-0000-0000-0000862B0000}"/>
    <cellStyle name="20% - Accent4 7 6" xfId="14698" xr:uid="{00000000-0005-0000-0000-0000872B0000}"/>
    <cellStyle name="20% - Accent4 7 6 2" xfId="14699" xr:uid="{00000000-0005-0000-0000-0000882B0000}"/>
    <cellStyle name="20% - Accent4 7 6 2 2" xfId="14700" xr:uid="{00000000-0005-0000-0000-0000892B0000}"/>
    <cellStyle name="20% - Accent4 7 6 3" xfId="14701" xr:uid="{00000000-0005-0000-0000-00008A2B0000}"/>
    <cellStyle name="20% - Accent4 7 7" xfId="14702" xr:uid="{00000000-0005-0000-0000-00008B2B0000}"/>
    <cellStyle name="20% - Accent4 7 7 2" xfId="14703" xr:uid="{00000000-0005-0000-0000-00008C2B0000}"/>
    <cellStyle name="20% - Accent4 7 7 2 2" xfId="14704" xr:uid="{00000000-0005-0000-0000-00008D2B0000}"/>
    <cellStyle name="20% - Accent4 7 7 3" xfId="14705" xr:uid="{00000000-0005-0000-0000-00008E2B0000}"/>
    <cellStyle name="20% - Accent4 7 8" xfId="14706" xr:uid="{00000000-0005-0000-0000-00008F2B0000}"/>
    <cellStyle name="20% - Accent4 7 8 2" xfId="14707" xr:uid="{00000000-0005-0000-0000-0000902B0000}"/>
    <cellStyle name="20% - Accent4 7 9" xfId="14708" xr:uid="{00000000-0005-0000-0000-0000912B0000}"/>
    <cellStyle name="20% - Accent4 7 9 2" xfId="14709" xr:uid="{00000000-0005-0000-0000-0000922B0000}"/>
    <cellStyle name="20% - Accent4 8" xfId="14710" xr:uid="{00000000-0005-0000-0000-0000932B0000}"/>
    <cellStyle name="20% - Accent4 8 10" xfId="14711" xr:uid="{00000000-0005-0000-0000-0000942B0000}"/>
    <cellStyle name="20% - Accent4 8 11" xfId="14712" xr:uid="{00000000-0005-0000-0000-0000952B0000}"/>
    <cellStyle name="20% - Accent4 8 12" xfId="14713" xr:uid="{00000000-0005-0000-0000-0000962B0000}"/>
    <cellStyle name="20% - Accent4 8 2" xfId="14714" xr:uid="{00000000-0005-0000-0000-0000972B0000}"/>
    <cellStyle name="20% - Accent4 8 2 10" xfId="14715" xr:uid="{00000000-0005-0000-0000-0000982B0000}"/>
    <cellStyle name="20% - Accent4 8 2 2" xfId="14716" xr:uid="{00000000-0005-0000-0000-0000992B0000}"/>
    <cellStyle name="20% - Accent4 8 2 2 2" xfId="14717" xr:uid="{00000000-0005-0000-0000-00009A2B0000}"/>
    <cellStyle name="20% - Accent4 8 2 2 2 2" xfId="14718" xr:uid="{00000000-0005-0000-0000-00009B2B0000}"/>
    <cellStyle name="20% - Accent4 8 2 2 2 2 2" xfId="14719" xr:uid="{00000000-0005-0000-0000-00009C2B0000}"/>
    <cellStyle name="20% - Accent4 8 2 2 2 2 2 2" xfId="14720" xr:uid="{00000000-0005-0000-0000-00009D2B0000}"/>
    <cellStyle name="20% - Accent4 8 2 2 2 2 3" xfId="14721" xr:uid="{00000000-0005-0000-0000-00009E2B0000}"/>
    <cellStyle name="20% - Accent4 8 2 2 2 3" xfId="14722" xr:uid="{00000000-0005-0000-0000-00009F2B0000}"/>
    <cellStyle name="20% - Accent4 8 2 2 2 3 2" xfId="14723" xr:uid="{00000000-0005-0000-0000-0000A02B0000}"/>
    <cellStyle name="20% - Accent4 8 2 2 2 4" xfId="14724" xr:uid="{00000000-0005-0000-0000-0000A12B0000}"/>
    <cellStyle name="20% - Accent4 8 2 2 2 5" xfId="14725" xr:uid="{00000000-0005-0000-0000-0000A22B0000}"/>
    <cellStyle name="20% - Accent4 8 2 2 2 6" xfId="14726" xr:uid="{00000000-0005-0000-0000-0000A32B0000}"/>
    <cellStyle name="20% - Accent4 8 2 2 3" xfId="14727" xr:uid="{00000000-0005-0000-0000-0000A42B0000}"/>
    <cellStyle name="20% - Accent4 8 2 2 3 2" xfId="14728" xr:uid="{00000000-0005-0000-0000-0000A52B0000}"/>
    <cellStyle name="20% - Accent4 8 2 2 3 2 2" xfId="14729" xr:uid="{00000000-0005-0000-0000-0000A62B0000}"/>
    <cellStyle name="20% - Accent4 8 2 2 3 3" xfId="14730" xr:uid="{00000000-0005-0000-0000-0000A72B0000}"/>
    <cellStyle name="20% - Accent4 8 2 2 4" xfId="14731" xr:uid="{00000000-0005-0000-0000-0000A82B0000}"/>
    <cellStyle name="20% - Accent4 8 2 2 4 2" xfId="14732" xr:uid="{00000000-0005-0000-0000-0000A92B0000}"/>
    <cellStyle name="20% - Accent4 8 2 2 5" xfId="14733" xr:uid="{00000000-0005-0000-0000-0000AA2B0000}"/>
    <cellStyle name="20% - Accent4 8 2 2 6" xfId="14734" xr:uid="{00000000-0005-0000-0000-0000AB2B0000}"/>
    <cellStyle name="20% - Accent4 8 2 2 7" xfId="14735" xr:uid="{00000000-0005-0000-0000-0000AC2B0000}"/>
    <cellStyle name="20% - Accent4 8 2 3" xfId="14736" xr:uid="{00000000-0005-0000-0000-0000AD2B0000}"/>
    <cellStyle name="20% - Accent4 8 2 3 2" xfId="14737" xr:uid="{00000000-0005-0000-0000-0000AE2B0000}"/>
    <cellStyle name="20% - Accent4 8 2 3 2 2" xfId="14738" xr:uid="{00000000-0005-0000-0000-0000AF2B0000}"/>
    <cellStyle name="20% - Accent4 8 2 3 2 2 2" xfId="14739" xr:uid="{00000000-0005-0000-0000-0000B02B0000}"/>
    <cellStyle name="20% - Accent4 8 2 3 2 3" xfId="14740" xr:uid="{00000000-0005-0000-0000-0000B12B0000}"/>
    <cellStyle name="20% - Accent4 8 2 3 3" xfId="14741" xr:uid="{00000000-0005-0000-0000-0000B22B0000}"/>
    <cellStyle name="20% - Accent4 8 2 3 3 2" xfId="14742" xr:uid="{00000000-0005-0000-0000-0000B32B0000}"/>
    <cellStyle name="20% - Accent4 8 2 3 4" xfId="14743" xr:uid="{00000000-0005-0000-0000-0000B42B0000}"/>
    <cellStyle name="20% - Accent4 8 2 3 5" xfId="14744" xr:uid="{00000000-0005-0000-0000-0000B52B0000}"/>
    <cellStyle name="20% - Accent4 8 2 3 6" xfId="14745" xr:uid="{00000000-0005-0000-0000-0000B62B0000}"/>
    <cellStyle name="20% - Accent4 8 2 4" xfId="14746" xr:uid="{00000000-0005-0000-0000-0000B72B0000}"/>
    <cellStyle name="20% - Accent4 8 2 4 2" xfId="14747" xr:uid="{00000000-0005-0000-0000-0000B82B0000}"/>
    <cellStyle name="20% - Accent4 8 2 4 2 2" xfId="14748" xr:uid="{00000000-0005-0000-0000-0000B92B0000}"/>
    <cellStyle name="20% - Accent4 8 2 4 3" xfId="14749" xr:uid="{00000000-0005-0000-0000-0000BA2B0000}"/>
    <cellStyle name="20% - Accent4 8 2 5" xfId="14750" xr:uid="{00000000-0005-0000-0000-0000BB2B0000}"/>
    <cellStyle name="20% - Accent4 8 2 5 2" xfId="14751" xr:uid="{00000000-0005-0000-0000-0000BC2B0000}"/>
    <cellStyle name="20% - Accent4 8 2 5 2 2" xfId="14752" xr:uid="{00000000-0005-0000-0000-0000BD2B0000}"/>
    <cellStyle name="20% - Accent4 8 2 5 3" xfId="14753" xr:uid="{00000000-0005-0000-0000-0000BE2B0000}"/>
    <cellStyle name="20% - Accent4 8 2 6" xfId="14754" xr:uid="{00000000-0005-0000-0000-0000BF2B0000}"/>
    <cellStyle name="20% - Accent4 8 2 6 2" xfId="14755" xr:uid="{00000000-0005-0000-0000-0000C02B0000}"/>
    <cellStyle name="20% - Accent4 8 2 7" xfId="14756" xr:uid="{00000000-0005-0000-0000-0000C12B0000}"/>
    <cellStyle name="20% - Accent4 8 2 7 2" xfId="14757" xr:uid="{00000000-0005-0000-0000-0000C22B0000}"/>
    <cellStyle name="20% - Accent4 8 2 8" xfId="14758" xr:uid="{00000000-0005-0000-0000-0000C32B0000}"/>
    <cellStyle name="20% - Accent4 8 2 9" xfId="14759" xr:uid="{00000000-0005-0000-0000-0000C42B0000}"/>
    <cellStyle name="20% - Accent4 8 3" xfId="14760" xr:uid="{00000000-0005-0000-0000-0000C52B0000}"/>
    <cellStyle name="20% - Accent4 8 3 2" xfId="14761" xr:uid="{00000000-0005-0000-0000-0000C62B0000}"/>
    <cellStyle name="20% - Accent4 8 3 2 2" xfId="14762" xr:uid="{00000000-0005-0000-0000-0000C72B0000}"/>
    <cellStyle name="20% - Accent4 8 3 2 2 2" xfId="14763" xr:uid="{00000000-0005-0000-0000-0000C82B0000}"/>
    <cellStyle name="20% - Accent4 8 3 2 2 2 2" xfId="14764" xr:uid="{00000000-0005-0000-0000-0000C92B0000}"/>
    <cellStyle name="20% - Accent4 8 3 2 2 3" xfId="14765" xr:uid="{00000000-0005-0000-0000-0000CA2B0000}"/>
    <cellStyle name="20% - Accent4 8 3 2 3" xfId="14766" xr:uid="{00000000-0005-0000-0000-0000CB2B0000}"/>
    <cellStyle name="20% - Accent4 8 3 2 3 2" xfId="14767" xr:uid="{00000000-0005-0000-0000-0000CC2B0000}"/>
    <cellStyle name="20% - Accent4 8 3 2 4" xfId="14768" xr:uid="{00000000-0005-0000-0000-0000CD2B0000}"/>
    <cellStyle name="20% - Accent4 8 3 2 5" xfId="14769" xr:uid="{00000000-0005-0000-0000-0000CE2B0000}"/>
    <cellStyle name="20% - Accent4 8 3 2 6" xfId="14770" xr:uid="{00000000-0005-0000-0000-0000CF2B0000}"/>
    <cellStyle name="20% - Accent4 8 3 3" xfId="14771" xr:uid="{00000000-0005-0000-0000-0000D02B0000}"/>
    <cellStyle name="20% - Accent4 8 3 3 2" xfId="14772" xr:uid="{00000000-0005-0000-0000-0000D12B0000}"/>
    <cellStyle name="20% - Accent4 8 3 3 2 2" xfId="14773" xr:uid="{00000000-0005-0000-0000-0000D22B0000}"/>
    <cellStyle name="20% - Accent4 8 3 3 3" xfId="14774" xr:uid="{00000000-0005-0000-0000-0000D32B0000}"/>
    <cellStyle name="20% - Accent4 8 3 4" xfId="14775" xr:uid="{00000000-0005-0000-0000-0000D42B0000}"/>
    <cellStyle name="20% - Accent4 8 3 4 2" xfId="14776" xr:uid="{00000000-0005-0000-0000-0000D52B0000}"/>
    <cellStyle name="20% - Accent4 8 3 5" xfId="14777" xr:uid="{00000000-0005-0000-0000-0000D62B0000}"/>
    <cellStyle name="20% - Accent4 8 3 6" xfId="14778" xr:uid="{00000000-0005-0000-0000-0000D72B0000}"/>
    <cellStyle name="20% - Accent4 8 3 7" xfId="14779" xr:uid="{00000000-0005-0000-0000-0000D82B0000}"/>
    <cellStyle name="20% - Accent4 8 4" xfId="14780" xr:uid="{00000000-0005-0000-0000-0000D92B0000}"/>
    <cellStyle name="20% - Accent4 8 4 2" xfId="14781" xr:uid="{00000000-0005-0000-0000-0000DA2B0000}"/>
    <cellStyle name="20% - Accent4 8 4 2 2" xfId="14782" xr:uid="{00000000-0005-0000-0000-0000DB2B0000}"/>
    <cellStyle name="20% - Accent4 8 4 2 2 2" xfId="14783" xr:uid="{00000000-0005-0000-0000-0000DC2B0000}"/>
    <cellStyle name="20% - Accent4 8 4 2 2 2 2" xfId="14784" xr:uid="{00000000-0005-0000-0000-0000DD2B0000}"/>
    <cellStyle name="20% - Accent4 8 4 2 2 3" xfId="14785" xr:uid="{00000000-0005-0000-0000-0000DE2B0000}"/>
    <cellStyle name="20% - Accent4 8 4 2 3" xfId="14786" xr:uid="{00000000-0005-0000-0000-0000DF2B0000}"/>
    <cellStyle name="20% - Accent4 8 4 2 3 2" xfId="14787" xr:uid="{00000000-0005-0000-0000-0000E02B0000}"/>
    <cellStyle name="20% - Accent4 8 4 2 4" xfId="14788" xr:uid="{00000000-0005-0000-0000-0000E12B0000}"/>
    <cellStyle name="20% - Accent4 8 4 2 5" xfId="14789" xr:uid="{00000000-0005-0000-0000-0000E22B0000}"/>
    <cellStyle name="20% - Accent4 8 4 2 6" xfId="14790" xr:uid="{00000000-0005-0000-0000-0000E32B0000}"/>
    <cellStyle name="20% - Accent4 8 4 3" xfId="14791" xr:uid="{00000000-0005-0000-0000-0000E42B0000}"/>
    <cellStyle name="20% - Accent4 8 4 3 2" xfId="14792" xr:uid="{00000000-0005-0000-0000-0000E52B0000}"/>
    <cellStyle name="20% - Accent4 8 4 3 2 2" xfId="14793" xr:uid="{00000000-0005-0000-0000-0000E62B0000}"/>
    <cellStyle name="20% - Accent4 8 4 3 3" xfId="14794" xr:uid="{00000000-0005-0000-0000-0000E72B0000}"/>
    <cellStyle name="20% - Accent4 8 4 4" xfId="14795" xr:uid="{00000000-0005-0000-0000-0000E82B0000}"/>
    <cellStyle name="20% - Accent4 8 4 4 2" xfId="14796" xr:uid="{00000000-0005-0000-0000-0000E92B0000}"/>
    <cellStyle name="20% - Accent4 8 4 5" xfId="14797" xr:uid="{00000000-0005-0000-0000-0000EA2B0000}"/>
    <cellStyle name="20% - Accent4 8 4 6" xfId="14798" xr:uid="{00000000-0005-0000-0000-0000EB2B0000}"/>
    <cellStyle name="20% - Accent4 8 4 7" xfId="14799" xr:uid="{00000000-0005-0000-0000-0000EC2B0000}"/>
    <cellStyle name="20% - Accent4 8 5" xfId="14800" xr:uid="{00000000-0005-0000-0000-0000ED2B0000}"/>
    <cellStyle name="20% - Accent4 8 5 2" xfId="14801" xr:uid="{00000000-0005-0000-0000-0000EE2B0000}"/>
    <cellStyle name="20% - Accent4 8 5 2 2" xfId="14802" xr:uid="{00000000-0005-0000-0000-0000EF2B0000}"/>
    <cellStyle name="20% - Accent4 8 5 2 2 2" xfId="14803" xr:uid="{00000000-0005-0000-0000-0000F02B0000}"/>
    <cellStyle name="20% - Accent4 8 5 2 3" xfId="14804" xr:uid="{00000000-0005-0000-0000-0000F12B0000}"/>
    <cellStyle name="20% - Accent4 8 5 3" xfId="14805" xr:uid="{00000000-0005-0000-0000-0000F22B0000}"/>
    <cellStyle name="20% - Accent4 8 5 3 2" xfId="14806" xr:uid="{00000000-0005-0000-0000-0000F32B0000}"/>
    <cellStyle name="20% - Accent4 8 5 4" xfId="14807" xr:uid="{00000000-0005-0000-0000-0000F42B0000}"/>
    <cellStyle name="20% - Accent4 8 5 5" xfId="14808" xr:uid="{00000000-0005-0000-0000-0000F52B0000}"/>
    <cellStyle name="20% - Accent4 8 5 6" xfId="14809" xr:uid="{00000000-0005-0000-0000-0000F62B0000}"/>
    <cellStyle name="20% - Accent4 8 6" xfId="14810" xr:uid="{00000000-0005-0000-0000-0000F72B0000}"/>
    <cellStyle name="20% - Accent4 8 6 2" xfId="14811" xr:uid="{00000000-0005-0000-0000-0000F82B0000}"/>
    <cellStyle name="20% - Accent4 8 6 2 2" xfId="14812" xr:uid="{00000000-0005-0000-0000-0000F92B0000}"/>
    <cellStyle name="20% - Accent4 8 6 3" xfId="14813" xr:uid="{00000000-0005-0000-0000-0000FA2B0000}"/>
    <cellStyle name="20% - Accent4 8 7" xfId="14814" xr:uid="{00000000-0005-0000-0000-0000FB2B0000}"/>
    <cellStyle name="20% - Accent4 8 7 2" xfId="14815" xr:uid="{00000000-0005-0000-0000-0000FC2B0000}"/>
    <cellStyle name="20% - Accent4 8 7 2 2" xfId="14816" xr:uid="{00000000-0005-0000-0000-0000FD2B0000}"/>
    <cellStyle name="20% - Accent4 8 7 3" xfId="14817" xr:uid="{00000000-0005-0000-0000-0000FE2B0000}"/>
    <cellStyle name="20% - Accent4 8 8" xfId="14818" xr:uid="{00000000-0005-0000-0000-0000FF2B0000}"/>
    <cellStyle name="20% - Accent4 8 8 2" xfId="14819" xr:uid="{00000000-0005-0000-0000-0000002C0000}"/>
    <cellStyle name="20% - Accent4 8 9" xfId="14820" xr:uid="{00000000-0005-0000-0000-0000012C0000}"/>
    <cellStyle name="20% - Accent4 8 9 2" xfId="14821" xr:uid="{00000000-0005-0000-0000-0000022C0000}"/>
    <cellStyle name="20% - Accent4 9" xfId="14822" xr:uid="{00000000-0005-0000-0000-0000032C0000}"/>
    <cellStyle name="20% - Accent4 9 10" xfId="14823" xr:uid="{00000000-0005-0000-0000-0000042C0000}"/>
    <cellStyle name="20% - Accent4 9 11" xfId="14824" xr:uid="{00000000-0005-0000-0000-0000052C0000}"/>
    <cellStyle name="20% - Accent4 9 12" xfId="14825" xr:uid="{00000000-0005-0000-0000-0000062C0000}"/>
    <cellStyle name="20% - Accent4 9 2" xfId="14826" xr:uid="{00000000-0005-0000-0000-0000072C0000}"/>
    <cellStyle name="20% - Accent4 9 2 10" xfId="14827" xr:uid="{00000000-0005-0000-0000-0000082C0000}"/>
    <cellStyle name="20% - Accent4 9 2 2" xfId="14828" xr:uid="{00000000-0005-0000-0000-0000092C0000}"/>
    <cellStyle name="20% - Accent4 9 2 2 2" xfId="14829" xr:uid="{00000000-0005-0000-0000-00000A2C0000}"/>
    <cellStyle name="20% - Accent4 9 2 2 2 2" xfId="14830" xr:uid="{00000000-0005-0000-0000-00000B2C0000}"/>
    <cellStyle name="20% - Accent4 9 2 2 2 2 2" xfId="14831" xr:uid="{00000000-0005-0000-0000-00000C2C0000}"/>
    <cellStyle name="20% - Accent4 9 2 2 2 2 2 2" xfId="14832" xr:uid="{00000000-0005-0000-0000-00000D2C0000}"/>
    <cellStyle name="20% - Accent4 9 2 2 2 2 3" xfId="14833" xr:uid="{00000000-0005-0000-0000-00000E2C0000}"/>
    <cellStyle name="20% - Accent4 9 2 2 2 3" xfId="14834" xr:uid="{00000000-0005-0000-0000-00000F2C0000}"/>
    <cellStyle name="20% - Accent4 9 2 2 2 3 2" xfId="14835" xr:uid="{00000000-0005-0000-0000-0000102C0000}"/>
    <cellStyle name="20% - Accent4 9 2 2 2 4" xfId="14836" xr:uid="{00000000-0005-0000-0000-0000112C0000}"/>
    <cellStyle name="20% - Accent4 9 2 2 2 5" xfId="14837" xr:uid="{00000000-0005-0000-0000-0000122C0000}"/>
    <cellStyle name="20% - Accent4 9 2 2 2 6" xfId="14838" xr:uid="{00000000-0005-0000-0000-0000132C0000}"/>
    <cellStyle name="20% - Accent4 9 2 2 3" xfId="14839" xr:uid="{00000000-0005-0000-0000-0000142C0000}"/>
    <cellStyle name="20% - Accent4 9 2 2 3 2" xfId="14840" xr:uid="{00000000-0005-0000-0000-0000152C0000}"/>
    <cellStyle name="20% - Accent4 9 2 2 3 2 2" xfId="14841" xr:uid="{00000000-0005-0000-0000-0000162C0000}"/>
    <cellStyle name="20% - Accent4 9 2 2 3 3" xfId="14842" xr:uid="{00000000-0005-0000-0000-0000172C0000}"/>
    <cellStyle name="20% - Accent4 9 2 2 4" xfId="14843" xr:uid="{00000000-0005-0000-0000-0000182C0000}"/>
    <cellStyle name="20% - Accent4 9 2 2 4 2" xfId="14844" xr:uid="{00000000-0005-0000-0000-0000192C0000}"/>
    <cellStyle name="20% - Accent4 9 2 2 5" xfId="14845" xr:uid="{00000000-0005-0000-0000-00001A2C0000}"/>
    <cellStyle name="20% - Accent4 9 2 2 6" xfId="14846" xr:uid="{00000000-0005-0000-0000-00001B2C0000}"/>
    <cellStyle name="20% - Accent4 9 2 2 7" xfId="14847" xr:uid="{00000000-0005-0000-0000-00001C2C0000}"/>
    <cellStyle name="20% - Accent4 9 2 3" xfId="14848" xr:uid="{00000000-0005-0000-0000-00001D2C0000}"/>
    <cellStyle name="20% - Accent4 9 2 3 2" xfId="14849" xr:uid="{00000000-0005-0000-0000-00001E2C0000}"/>
    <cellStyle name="20% - Accent4 9 2 3 2 2" xfId="14850" xr:uid="{00000000-0005-0000-0000-00001F2C0000}"/>
    <cellStyle name="20% - Accent4 9 2 3 2 2 2" xfId="14851" xr:uid="{00000000-0005-0000-0000-0000202C0000}"/>
    <cellStyle name="20% - Accent4 9 2 3 2 3" xfId="14852" xr:uid="{00000000-0005-0000-0000-0000212C0000}"/>
    <cellStyle name="20% - Accent4 9 2 3 3" xfId="14853" xr:uid="{00000000-0005-0000-0000-0000222C0000}"/>
    <cellStyle name="20% - Accent4 9 2 3 3 2" xfId="14854" xr:uid="{00000000-0005-0000-0000-0000232C0000}"/>
    <cellStyle name="20% - Accent4 9 2 3 4" xfId="14855" xr:uid="{00000000-0005-0000-0000-0000242C0000}"/>
    <cellStyle name="20% - Accent4 9 2 3 5" xfId="14856" xr:uid="{00000000-0005-0000-0000-0000252C0000}"/>
    <cellStyle name="20% - Accent4 9 2 3 6" xfId="14857" xr:uid="{00000000-0005-0000-0000-0000262C0000}"/>
    <cellStyle name="20% - Accent4 9 2 4" xfId="14858" xr:uid="{00000000-0005-0000-0000-0000272C0000}"/>
    <cellStyle name="20% - Accent4 9 2 4 2" xfId="14859" xr:uid="{00000000-0005-0000-0000-0000282C0000}"/>
    <cellStyle name="20% - Accent4 9 2 4 2 2" xfId="14860" xr:uid="{00000000-0005-0000-0000-0000292C0000}"/>
    <cellStyle name="20% - Accent4 9 2 4 3" xfId="14861" xr:uid="{00000000-0005-0000-0000-00002A2C0000}"/>
    <cellStyle name="20% - Accent4 9 2 5" xfId="14862" xr:uid="{00000000-0005-0000-0000-00002B2C0000}"/>
    <cellStyle name="20% - Accent4 9 2 5 2" xfId="14863" xr:uid="{00000000-0005-0000-0000-00002C2C0000}"/>
    <cellStyle name="20% - Accent4 9 2 5 2 2" xfId="14864" xr:uid="{00000000-0005-0000-0000-00002D2C0000}"/>
    <cellStyle name="20% - Accent4 9 2 5 3" xfId="14865" xr:uid="{00000000-0005-0000-0000-00002E2C0000}"/>
    <cellStyle name="20% - Accent4 9 2 6" xfId="14866" xr:uid="{00000000-0005-0000-0000-00002F2C0000}"/>
    <cellStyle name="20% - Accent4 9 2 6 2" xfId="14867" xr:uid="{00000000-0005-0000-0000-0000302C0000}"/>
    <cellStyle name="20% - Accent4 9 2 7" xfId="14868" xr:uid="{00000000-0005-0000-0000-0000312C0000}"/>
    <cellStyle name="20% - Accent4 9 2 7 2" xfId="14869" xr:uid="{00000000-0005-0000-0000-0000322C0000}"/>
    <cellStyle name="20% - Accent4 9 2 8" xfId="14870" xr:uid="{00000000-0005-0000-0000-0000332C0000}"/>
    <cellStyle name="20% - Accent4 9 2 9" xfId="14871" xr:uid="{00000000-0005-0000-0000-0000342C0000}"/>
    <cellStyle name="20% - Accent4 9 3" xfId="14872" xr:uid="{00000000-0005-0000-0000-0000352C0000}"/>
    <cellStyle name="20% - Accent4 9 3 2" xfId="14873" xr:uid="{00000000-0005-0000-0000-0000362C0000}"/>
    <cellStyle name="20% - Accent4 9 3 2 2" xfId="14874" xr:uid="{00000000-0005-0000-0000-0000372C0000}"/>
    <cellStyle name="20% - Accent4 9 3 2 2 2" xfId="14875" xr:uid="{00000000-0005-0000-0000-0000382C0000}"/>
    <cellStyle name="20% - Accent4 9 3 2 2 2 2" xfId="14876" xr:uid="{00000000-0005-0000-0000-0000392C0000}"/>
    <cellStyle name="20% - Accent4 9 3 2 2 3" xfId="14877" xr:uid="{00000000-0005-0000-0000-00003A2C0000}"/>
    <cellStyle name="20% - Accent4 9 3 2 3" xfId="14878" xr:uid="{00000000-0005-0000-0000-00003B2C0000}"/>
    <cellStyle name="20% - Accent4 9 3 2 3 2" xfId="14879" xr:uid="{00000000-0005-0000-0000-00003C2C0000}"/>
    <cellStyle name="20% - Accent4 9 3 2 4" xfId="14880" xr:uid="{00000000-0005-0000-0000-00003D2C0000}"/>
    <cellStyle name="20% - Accent4 9 3 2 5" xfId="14881" xr:uid="{00000000-0005-0000-0000-00003E2C0000}"/>
    <cellStyle name="20% - Accent4 9 3 2 6" xfId="14882" xr:uid="{00000000-0005-0000-0000-00003F2C0000}"/>
    <cellStyle name="20% - Accent4 9 3 3" xfId="14883" xr:uid="{00000000-0005-0000-0000-0000402C0000}"/>
    <cellStyle name="20% - Accent4 9 3 3 2" xfId="14884" xr:uid="{00000000-0005-0000-0000-0000412C0000}"/>
    <cellStyle name="20% - Accent4 9 3 3 2 2" xfId="14885" xr:uid="{00000000-0005-0000-0000-0000422C0000}"/>
    <cellStyle name="20% - Accent4 9 3 3 3" xfId="14886" xr:uid="{00000000-0005-0000-0000-0000432C0000}"/>
    <cellStyle name="20% - Accent4 9 3 4" xfId="14887" xr:uid="{00000000-0005-0000-0000-0000442C0000}"/>
    <cellStyle name="20% - Accent4 9 3 4 2" xfId="14888" xr:uid="{00000000-0005-0000-0000-0000452C0000}"/>
    <cellStyle name="20% - Accent4 9 3 5" xfId="14889" xr:uid="{00000000-0005-0000-0000-0000462C0000}"/>
    <cellStyle name="20% - Accent4 9 3 6" xfId="14890" xr:uid="{00000000-0005-0000-0000-0000472C0000}"/>
    <cellStyle name="20% - Accent4 9 3 7" xfId="14891" xr:uid="{00000000-0005-0000-0000-0000482C0000}"/>
    <cellStyle name="20% - Accent4 9 4" xfId="14892" xr:uid="{00000000-0005-0000-0000-0000492C0000}"/>
    <cellStyle name="20% - Accent4 9 4 2" xfId="14893" xr:uid="{00000000-0005-0000-0000-00004A2C0000}"/>
    <cellStyle name="20% - Accent4 9 4 2 2" xfId="14894" xr:uid="{00000000-0005-0000-0000-00004B2C0000}"/>
    <cellStyle name="20% - Accent4 9 4 2 2 2" xfId="14895" xr:uid="{00000000-0005-0000-0000-00004C2C0000}"/>
    <cellStyle name="20% - Accent4 9 4 2 2 2 2" xfId="14896" xr:uid="{00000000-0005-0000-0000-00004D2C0000}"/>
    <cellStyle name="20% - Accent4 9 4 2 2 3" xfId="14897" xr:uid="{00000000-0005-0000-0000-00004E2C0000}"/>
    <cellStyle name="20% - Accent4 9 4 2 3" xfId="14898" xr:uid="{00000000-0005-0000-0000-00004F2C0000}"/>
    <cellStyle name="20% - Accent4 9 4 2 3 2" xfId="14899" xr:uid="{00000000-0005-0000-0000-0000502C0000}"/>
    <cellStyle name="20% - Accent4 9 4 2 4" xfId="14900" xr:uid="{00000000-0005-0000-0000-0000512C0000}"/>
    <cellStyle name="20% - Accent4 9 4 2 5" xfId="14901" xr:uid="{00000000-0005-0000-0000-0000522C0000}"/>
    <cellStyle name="20% - Accent4 9 4 2 6" xfId="14902" xr:uid="{00000000-0005-0000-0000-0000532C0000}"/>
    <cellStyle name="20% - Accent4 9 4 3" xfId="14903" xr:uid="{00000000-0005-0000-0000-0000542C0000}"/>
    <cellStyle name="20% - Accent4 9 4 3 2" xfId="14904" xr:uid="{00000000-0005-0000-0000-0000552C0000}"/>
    <cellStyle name="20% - Accent4 9 4 3 2 2" xfId="14905" xr:uid="{00000000-0005-0000-0000-0000562C0000}"/>
    <cellStyle name="20% - Accent4 9 4 3 3" xfId="14906" xr:uid="{00000000-0005-0000-0000-0000572C0000}"/>
    <cellStyle name="20% - Accent4 9 4 4" xfId="14907" xr:uid="{00000000-0005-0000-0000-0000582C0000}"/>
    <cellStyle name="20% - Accent4 9 4 4 2" xfId="14908" xr:uid="{00000000-0005-0000-0000-0000592C0000}"/>
    <cellStyle name="20% - Accent4 9 4 5" xfId="14909" xr:uid="{00000000-0005-0000-0000-00005A2C0000}"/>
    <cellStyle name="20% - Accent4 9 4 6" xfId="14910" xr:uid="{00000000-0005-0000-0000-00005B2C0000}"/>
    <cellStyle name="20% - Accent4 9 4 7" xfId="14911" xr:uid="{00000000-0005-0000-0000-00005C2C0000}"/>
    <cellStyle name="20% - Accent4 9 5" xfId="14912" xr:uid="{00000000-0005-0000-0000-00005D2C0000}"/>
    <cellStyle name="20% - Accent4 9 5 2" xfId="14913" xr:uid="{00000000-0005-0000-0000-00005E2C0000}"/>
    <cellStyle name="20% - Accent4 9 5 2 2" xfId="14914" xr:uid="{00000000-0005-0000-0000-00005F2C0000}"/>
    <cellStyle name="20% - Accent4 9 5 2 2 2" xfId="14915" xr:uid="{00000000-0005-0000-0000-0000602C0000}"/>
    <cellStyle name="20% - Accent4 9 5 2 3" xfId="14916" xr:uid="{00000000-0005-0000-0000-0000612C0000}"/>
    <cellStyle name="20% - Accent4 9 5 3" xfId="14917" xr:uid="{00000000-0005-0000-0000-0000622C0000}"/>
    <cellStyle name="20% - Accent4 9 5 3 2" xfId="14918" xr:uid="{00000000-0005-0000-0000-0000632C0000}"/>
    <cellStyle name="20% - Accent4 9 5 4" xfId="14919" xr:uid="{00000000-0005-0000-0000-0000642C0000}"/>
    <cellStyle name="20% - Accent4 9 5 5" xfId="14920" xr:uid="{00000000-0005-0000-0000-0000652C0000}"/>
    <cellStyle name="20% - Accent4 9 5 6" xfId="14921" xr:uid="{00000000-0005-0000-0000-0000662C0000}"/>
    <cellStyle name="20% - Accent4 9 6" xfId="14922" xr:uid="{00000000-0005-0000-0000-0000672C0000}"/>
    <cellStyle name="20% - Accent4 9 6 2" xfId="14923" xr:uid="{00000000-0005-0000-0000-0000682C0000}"/>
    <cellStyle name="20% - Accent4 9 6 2 2" xfId="14924" xr:uid="{00000000-0005-0000-0000-0000692C0000}"/>
    <cellStyle name="20% - Accent4 9 6 3" xfId="14925" xr:uid="{00000000-0005-0000-0000-00006A2C0000}"/>
    <cellStyle name="20% - Accent4 9 7" xfId="14926" xr:uid="{00000000-0005-0000-0000-00006B2C0000}"/>
    <cellStyle name="20% - Accent4 9 7 2" xfId="14927" xr:uid="{00000000-0005-0000-0000-00006C2C0000}"/>
    <cellStyle name="20% - Accent4 9 7 2 2" xfId="14928" xr:uid="{00000000-0005-0000-0000-00006D2C0000}"/>
    <cellStyle name="20% - Accent4 9 7 3" xfId="14929" xr:uid="{00000000-0005-0000-0000-00006E2C0000}"/>
    <cellStyle name="20% - Accent4 9 8" xfId="14930" xr:uid="{00000000-0005-0000-0000-00006F2C0000}"/>
    <cellStyle name="20% - Accent4 9 8 2" xfId="14931" xr:uid="{00000000-0005-0000-0000-0000702C0000}"/>
    <cellStyle name="20% - Accent4 9 9" xfId="14932" xr:uid="{00000000-0005-0000-0000-0000712C0000}"/>
    <cellStyle name="20% - Accent4 9 9 2" xfId="14933" xr:uid="{00000000-0005-0000-0000-0000722C0000}"/>
    <cellStyle name="20% - Accent5" xfId="135" builtinId="46" customBuiltin="1"/>
    <cellStyle name="20% - Accent5 10" xfId="14934" xr:uid="{00000000-0005-0000-0000-0000732C0000}"/>
    <cellStyle name="20% - Accent5 10 10" xfId="14935" xr:uid="{00000000-0005-0000-0000-0000742C0000}"/>
    <cellStyle name="20% - Accent5 10 11" xfId="14936" xr:uid="{00000000-0005-0000-0000-0000752C0000}"/>
    <cellStyle name="20% - Accent5 10 2" xfId="14937" xr:uid="{00000000-0005-0000-0000-0000762C0000}"/>
    <cellStyle name="20% - Accent5 10 2 2" xfId="14938" xr:uid="{00000000-0005-0000-0000-0000772C0000}"/>
    <cellStyle name="20% - Accent5 10 2 2 2" xfId="14939" xr:uid="{00000000-0005-0000-0000-0000782C0000}"/>
    <cellStyle name="20% - Accent5 10 2 2 2 2" xfId="14940" xr:uid="{00000000-0005-0000-0000-0000792C0000}"/>
    <cellStyle name="20% - Accent5 10 2 2 2 2 2" xfId="14941" xr:uid="{00000000-0005-0000-0000-00007A2C0000}"/>
    <cellStyle name="20% - Accent5 10 2 2 2 3" xfId="14942" xr:uid="{00000000-0005-0000-0000-00007B2C0000}"/>
    <cellStyle name="20% - Accent5 10 2 2 3" xfId="14943" xr:uid="{00000000-0005-0000-0000-00007C2C0000}"/>
    <cellStyle name="20% - Accent5 10 2 2 3 2" xfId="14944" xr:uid="{00000000-0005-0000-0000-00007D2C0000}"/>
    <cellStyle name="20% - Accent5 10 2 2 4" xfId="14945" xr:uid="{00000000-0005-0000-0000-00007E2C0000}"/>
    <cellStyle name="20% - Accent5 10 2 2 5" xfId="14946" xr:uid="{00000000-0005-0000-0000-00007F2C0000}"/>
    <cellStyle name="20% - Accent5 10 2 2 6" xfId="14947" xr:uid="{00000000-0005-0000-0000-0000802C0000}"/>
    <cellStyle name="20% - Accent5 10 2 3" xfId="14948" xr:uid="{00000000-0005-0000-0000-0000812C0000}"/>
    <cellStyle name="20% - Accent5 10 2 3 2" xfId="14949" xr:uid="{00000000-0005-0000-0000-0000822C0000}"/>
    <cellStyle name="20% - Accent5 10 2 3 2 2" xfId="14950" xr:uid="{00000000-0005-0000-0000-0000832C0000}"/>
    <cellStyle name="20% - Accent5 10 2 3 3" xfId="14951" xr:uid="{00000000-0005-0000-0000-0000842C0000}"/>
    <cellStyle name="20% - Accent5 10 2 4" xfId="14952" xr:uid="{00000000-0005-0000-0000-0000852C0000}"/>
    <cellStyle name="20% - Accent5 10 2 4 2" xfId="14953" xr:uid="{00000000-0005-0000-0000-0000862C0000}"/>
    <cellStyle name="20% - Accent5 10 2 5" xfId="14954" xr:uid="{00000000-0005-0000-0000-0000872C0000}"/>
    <cellStyle name="20% - Accent5 10 2 5 2" xfId="14955" xr:uid="{00000000-0005-0000-0000-0000882C0000}"/>
    <cellStyle name="20% - Accent5 10 2 6" xfId="14956" xr:uid="{00000000-0005-0000-0000-0000892C0000}"/>
    <cellStyle name="20% - Accent5 10 2 7" xfId="14957" xr:uid="{00000000-0005-0000-0000-00008A2C0000}"/>
    <cellStyle name="20% - Accent5 10 2 8" xfId="14958" xr:uid="{00000000-0005-0000-0000-00008B2C0000}"/>
    <cellStyle name="20% - Accent5 10 3" xfId="14959" xr:uid="{00000000-0005-0000-0000-00008C2C0000}"/>
    <cellStyle name="20% - Accent5 10 3 2" xfId="14960" xr:uid="{00000000-0005-0000-0000-00008D2C0000}"/>
    <cellStyle name="20% - Accent5 10 3 2 2" xfId="14961" xr:uid="{00000000-0005-0000-0000-00008E2C0000}"/>
    <cellStyle name="20% - Accent5 10 3 2 2 2" xfId="14962" xr:uid="{00000000-0005-0000-0000-00008F2C0000}"/>
    <cellStyle name="20% - Accent5 10 3 2 2 2 2" xfId="14963" xr:uid="{00000000-0005-0000-0000-0000902C0000}"/>
    <cellStyle name="20% - Accent5 10 3 2 2 3" xfId="14964" xr:uid="{00000000-0005-0000-0000-0000912C0000}"/>
    <cellStyle name="20% - Accent5 10 3 2 3" xfId="14965" xr:uid="{00000000-0005-0000-0000-0000922C0000}"/>
    <cellStyle name="20% - Accent5 10 3 2 3 2" xfId="14966" xr:uid="{00000000-0005-0000-0000-0000932C0000}"/>
    <cellStyle name="20% - Accent5 10 3 2 4" xfId="14967" xr:uid="{00000000-0005-0000-0000-0000942C0000}"/>
    <cellStyle name="20% - Accent5 10 3 2 5" xfId="14968" xr:uid="{00000000-0005-0000-0000-0000952C0000}"/>
    <cellStyle name="20% - Accent5 10 3 2 6" xfId="14969" xr:uid="{00000000-0005-0000-0000-0000962C0000}"/>
    <cellStyle name="20% - Accent5 10 3 3" xfId="14970" xr:uid="{00000000-0005-0000-0000-0000972C0000}"/>
    <cellStyle name="20% - Accent5 10 3 3 2" xfId="14971" xr:uid="{00000000-0005-0000-0000-0000982C0000}"/>
    <cellStyle name="20% - Accent5 10 3 3 2 2" xfId="14972" xr:uid="{00000000-0005-0000-0000-0000992C0000}"/>
    <cellStyle name="20% - Accent5 10 3 3 3" xfId="14973" xr:uid="{00000000-0005-0000-0000-00009A2C0000}"/>
    <cellStyle name="20% - Accent5 10 3 4" xfId="14974" xr:uid="{00000000-0005-0000-0000-00009B2C0000}"/>
    <cellStyle name="20% - Accent5 10 3 4 2" xfId="14975" xr:uid="{00000000-0005-0000-0000-00009C2C0000}"/>
    <cellStyle name="20% - Accent5 10 3 5" xfId="14976" xr:uid="{00000000-0005-0000-0000-00009D2C0000}"/>
    <cellStyle name="20% - Accent5 10 3 6" xfId="14977" xr:uid="{00000000-0005-0000-0000-00009E2C0000}"/>
    <cellStyle name="20% - Accent5 10 3 7" xfId="14978" xr:uid="{00000000-0005-0000-0000-00009F2C0000}"/>
    <cellStyle name="20% - Accent5 10 4" xfId="14979" xr:uid="{00000000-0005-0000-0000-0000A02C0000}"/>
    <cellStyle name="20% - Accent5 10 4 2" xfId="14980" xr:uid="{00000000-0005-0000-0000-0000A12C0000}"/>
    <cellStyle name="20% - Accent5 10 4 2 2" xfId="14981" xr:uid="{00000000-0005-0000-0000-0000A22C0000}"/>
    <cellStyle name="20% - Accent5 10 4 2 2 2" xfId="14982" xr:uid="{00000000-0005-0000-0000-0000A32C0000}"/>
    <cellStyle name="20% - Accent5 10 4 2 3" xfId="14983" xr:uid="{00000000-0005-0000-0000-0000A42C0000}"/>
    <cellStyle name="20% - Accent5 10 4 3" xfId="14984" xr:uid="{00000000-0005-0000-0000-0000A52C0000}"/>
    <cellStyle name="20% - Accent5 10 4 3 2" xfId="14985" xr:uid="{00000000-0005-0000-0000-0000A62C0000}"/>
    <cellStyle name="20% - Accent5 10 4 4" xfId="14986" xr:uid="{00000000-0005-0000-0000-0000A72C0000}"/>
    <cellStyle name="20% - Accent5 10 4 5" xfId="14987" xr:uid="{00000000-0005-0000-0000-0000A82C0000}"/>
    <cellStyle name="20% - Accent5 10 4 6" xfId="14988" xr:uid="{00000000-0005-0000-0000-0000A92C0000}"/>
    <cellStyle name="20% - Accent5 10 5" xfId="14989" xr:uid="{00000000-0005-0000-0000-0000AA2C0000}"/>
    <cellStyle name="20% - Accent5 10 5 2" xfId="14990" xr:uid="{00000000-0005-0000-0000-0000AB2C0000}"/>
    <cellStyle name="20% - Accent5 10 5 2 2" xfId="14991" xr:uid="{00000000-0005-0000-0000-0000AC2C0000}"/>
    <cellStyle name="20% - Accent5 10 5 3" xfId="14992" xr:uid="{00000000-0005-0000-0000-0000AD2C0000}"/>
    <cellStyle name="20% - Accent5 10 6" xfId="14993" xr:uid="{00000000-0005-0000-0000-0000AE2C0000}"/>
    <cellStyle name="20% - Accent5 10 6 2" xfId="14994" xr:uid="{00000000-0005-0000-0000-0000AF2C0000}"/>
    <cellStyle name="20% - Accent5 10 6 2 2" xfId="14995" xr:uid="{00000000-0005-0000-0000-0000B02C0000}"/>
    <cellStyle name="20% - Accent5 10 6 3" xfId="14996" xr:uid="{00000000-0005-0000-0000-0000B12C0000}"/>
    <cellStyle name="20% - Accent5 10 7" xfId="14997" xr:uid="{00000000-0005-0000-0000-0000B22C0000}"/>
    <cellStyle name="20% - Accent5 10 7 2" xfId="14998" xr:uid="{00000000-0005-0000-0000-0000B32C0000}"/>
    <cellStyle name="20% - Accent5 10 8" xfId="14999" xr:uid="{00000000-0005-0000-0000-0000B42C0000}"/>
    <cellStyle name="20% - Accent5 10 8 2" xfId="15000" xr:uid="{00000000-0005-0000-0000-0000B52C0000}"/>
    <cellStyle name="20% - Accent5 10 9" xfId="15001" xr:uid="{00000000-0005-0000-0000-0000B62C0000}"/>
    <cellStyle name="20% - Accent5 11" xfId="15002" xr:uid="{00000000-0005-0000-0000-0000B72C0000}"/>
    <cellStyle name="20% - Accent5 11 10" xfId="15003" xr:uid="{00000000-0005-0000-0000-0000B82C0000}"/>
    <cellStyle name="20% - Accent5 11 11" xfId="15004" xr:uid="{00000000-0005-0000-0000-0000B92C0000}"/>
    <cellStyle name="20% - Accent5 11 2" xfId="15005" xr:uid="{00000000-0005-0000-0000-0000BA2C0000}"/>
    <cellStyle name="20% - Accent5 11 2 2" xfId="15006" xr:uid="{00000000-0005-0000-0000-0000BB2C0000}"/>
    <cellStyle name="20% - Accent5 11 2 2 2" xfId="15007" xr:uid="{00000000-0005-0000-0000-0000BC2C0000}"/>
    <cellStyle name="20% - Accent5 11 2 2 2 2" xfId="15008" xr:uid="{00000000-0005-0000-0000-0000BD2C0000}"/>
    <cellStyle name="20% - Accent5 11 2 2 2 2 2" xfId="15009" xr:uid="{00000000-0005-0000-0000-0000BE2C0000}"/>
    <cellStyle name="20% - Accent5 11 2 2 2 3" xfId="15010" xr:uid="{00000000-0005-0000-0000-0000BF2C0000}"/>
    <cellStyle name="20% - Accent5 11 2 2 3" xfId="15011" xr:uid="{00000000-0005-0000-0000-0000C02C0000}"/>
    <cellStyle name="20% - Accent5 11 2 2 3 2" xfId="15012" xr:uid="{00000000-0005-0000-0000-0000C12C0000}"/>
    <cellStyle name="20% - Accent5 11 2 2 4" xfId="15013" xr:uid="{00000000-0005-0000-0000-0000C22C0000}"/>
    <cellStyle name="20% - Accent5 11 2 2 5" xfId="15014" xr:uid="{00000000-0005-0000-0000-0000C32C0000}"/>
    <cellStyle name="20% - Accent5 11 2 2 6" xfId="15015" xr:uid="{00000000-0005-0000-0000-0000C42C0000}"/>
    <cellStyle name="20% - Accent5 11 2 3" xfId="15016" xr:uid="{00000000-0005-0000-0000-0000C52C0000}"/>
    <cellStyle name="20% - Accent5 11 2 3 2" xfId="15017" xr:uid="{00000000-0005-0000-0000-0000C62C0000}"/>
    <cellStyle name="20% - Accent5 11 2 3 2 2" xfId="15018" xr:uid="{00000000-0005-0000-0000-0000C72C0000}"/>
    <cellStyle name="20% - Accent5 11 2 3 3" xfId="15019" xr:uid="{00000000-0005-0000-0000-0000C82C0000}"/>
    <cellStyle name="20% - Accent5 11 2 4" xfId="15020" xr:uid="{00000000-0005-0000-0000-0000C92C0000}"/>
    <cellStyle name="20% - Accent5 11 2 4 2" xfId="15021" xr:uid="{00000000-0005-0000-0000-0000CA2C0000}"/>
    <cellStyle name="20% - Accent5 11 2 5" xfId="15022" xr:uid="{00000000-0005-0000-0000-0000CB2C0000}"/>
    <cellStyle name="20% - Accent5 11 2 5 2" xfId="15023" xr:uid="{00000000-0005-0000-0000-0000CC2C0000}"/>
    <cellStyle name="20% - Accent5 11 2 6" xfId="15024" xr:uid="{00000000-0005-0000-0000-0000CD2C0000}"/>
    <cellStyle name="20% - Accent5 11 2 7" xfId="15025" xr:uid="{00000000-0005-0000-0000-0000CE2C0000}"/>
    <cellStyle name="20% - Accent5 11 2 8" xfId="15026" xr:uid="{00000000-0005-0000-0000-0000CF2C0000}"/>
    <cellStyle name="20% - Accent5 11 3" xfId="15027" xr:uid="{00000000-0005-0000-0000-0000D02C0000}"/>
    <cellStyle name="20% - Accent5 11 3 2" xfId="15028" xr:uid="{00000000-0005-0000-0000-0000D12C0000}"/>
    <cellStyle name="20% - Accent5 11 3 2 2" xfId="15029" xr:uid="{00000000-0005-0000-0000-0000D22C0000}"/>
    <cellStyle name="20% - Accent5 11 3 2 2 2" xfId="15030" xr:uid="{00000000-0005-0000-0000-0000D32C0000}"/>
    <cellStyle name="20% - Accent5 11 3 2 2 2 2" xfId="15031" xr:uid="{00000000-0005-0000-0000-0000D42C0000}"/>
    <cellStyle name="20% - Accent5 11 3 2 2 3" xfId="15032" xr:uid="{00000000-0005-0000-0000-0000D52C0000}"/>
    <cellStyle name="20% - Accent5 11 3 2 3" xfId="15033" xr:uid="{00000000-0005-0000-0000-0000D62C0000}"/>
    <cellStyle name="20% - Accent5 11 3 2 3 2" xfId="15034" xr:uid="{00000000-0005-0000-0000-0000D72C0000}"/>
    <cellStyle name="20% - Accent5 11 3 2 4" xfId="15035" xr:uid="{00000000-0005-0000-0000-0000D82C0000}"/>
    <cellStyle name="20% - Accent5 11 3 2 5" xfId="15036" xr:uid="{00000000-0005-0000-0000-0000D92C0000}"/>
    <cellStyle name="20% - Accent5 11 3 2 6" xfId="15037" xr:uid="{00000000-0005-0000-0000-0000DA2C0000}"/>
    <cellStyle name="20% - Accent5 11 3 3" xfId="15038" xr:uid="{00000000-0005-0000-0000-0000DB2C0000}"/>
    <cellStyle name="20% - Accent5 11 3 3 2" xfId="15039" xr:uid="{00000000-0005-0000-0000-0000DC2C0000}"/>
    <cellStyle name="20% - Accent5 11 3 3 2 2" xfId="15040" xr:uid="{00000000-0005-0000-0000-0000DD2C0000}"/>
    <cellStyle name="20% - Accent5 11 3 3 3" xfId="15041" xr:uid="{00000000-0005-0000-0000-0000DE2C0000}"/>
    <cellStyle name="20% - Accent5 11 3 4" xfId="15042" xr:uid="{00000000-0005-0000-0000-0000DF2C0000}"/>
    <cellStyle name="20% - Accent5 11 3 4 2" xfId="15043" xr:uid="{00000000-0005-0000-0000-0000E02C0000}"/>
    <cellStyle name="20% - Accent5 11 3 5" xfId="15044" xr:uid="{00000000-0005-0000-0000-0000E12C0000}"/>
    <cellStyle name="20% - Accent5 11 3 6" xfId="15045" xr:uid="{00000000-0005-0000-0000-0000E22C0000}"/>
    <cellStyle name="20% - Accent5 11 3 7" xfId="15046" xr:uid="{00000000-0005-0000-0000-0000E32C0000}"/>
    <cellStyle name="20% - Accent5 11 4" xfId="15047" xr:uid="{00000000-0005-0000-0000-0000E42C0000}"/>
    <cellStyle name="20% - Accent5 11 4 2" xfId="15048" xr:uid="{00000000-0005-0000-0000-0000E52C0000}"/>
    <cellStyle name="20% - Accent5 11 4 2 2" xfId="15049" xr:uid="{00000000-0005-0000-0000-0000E62C0000}"/>
    <cellStyle name="20% - Accent5 11 4 2 2 2" xfId="15050" xr:uid="{00000000-0005-0000-0000-0000E72C0000}"/>
    <cellStyle name="20% - Accent5 11 4 2 3" xfId="15051" xr:uid="{00000000-0005-0000-0000-0000E82C0000}"/>
    <cellStyle name="20% - Accent5 11 4 3" xfId="15052" xr:uid="{00000000-0005-0000-0000-0000E92C0000}"/>
    <cellStyle name="20% - Accent5 11 4 3 2" xfId="15053" xr:uid="{00000000-0005-0000-0000-0000EA2C0000}"/>
    <cellStyle name="20% - Accent5 11 4 4" xfId="15054" xr:uid="{00000000-0005-0000-0000-0000EB2C0000}"/>
    <cellStyle name="20% - Accent5 11 4 5" xfId="15055" xr:uid="{00000000-0005-0000-0000-0000EC2C0000}"/>
    <cellStyle name="20% - Accent5 11 4 6" xfId="15056" xr:uid="{00000000-0005-0000-0000-0000ED2C0000}"/>
    <cellStyle name="20% - Accent5 11 5" xfId="15057" xr:uid="{00000000-0005-0000-0000-0000EE2C0000}"/>
    <cellStyle name="20% - Accent5 11 5 2" xfId="15058" xr:uid="{00000000-0005-0000-0000-0000EF2C0000}"/>
    <cellStyle name="20% - Accent5 11 5 2 2" xfId="15059" xr:uid="{00000000-0005-0000-0000-0000F02C0000}"/>
    <cellStyle name="20% - Accent5 11 5 3" xfId="15060" xr:uid="{00000000-0005-0000-0000-0000F12C0000}"/>
    <cellStyle name="20% - Accent5 11 6" xfId="15061" xr:uid="{00000000-0005-0000-0000-0000F22C0000}"/>
    <cellStyle name="20% - Accent5 11 6 2" xfId="15062" xr:uid="{00000000-0005-0000-0000-0000F32C0000}"/>
    <cellStyle name="20% - Accent5 11 6 2 2" xfId="15063" xr:uid="{00000000-0005-0000-0000-0000F42C0000}"/>
    <cellStyle name="20% - Accent5 11 6 3" xfId="15064" xr:uid="{00000000-0005-0000-0000-0000F52C0000}"/>
    <cellStyle name="20% - Accent5 11 7" xfId="15065" xr:uid="{00000000-0005-0000-0000-0000F62C0000}"/>
    <cellStyle name="20% - Accent5 11 7 2" xfId="15066" xr:uid="{00000000-0005-0000-0000-0000F72C0000}"/>
    <cellStyle name="20% - Accent5 11 8" xfId="15067" xr:uid="{00000000-0005-0000-0000-0000F82C0000}"/>
    <cellStyle name="20% - Accent5 11 8 2" xfId="15068" xr:uid="{00000000-0005-0000-0000-0000F92C0000}"/>
    <cellStyle name="20% - Accent5 11 9" xfId="15069" xr:uid="{00000000-0005-0000-0000-0000FA2C0000}"/>
    <cellStyle name="20% - Accent5 12" xfId="15070" xr:uid="{00000000-0005-0000-0000-0000FB2C0000}"/>
    <cellStyle name="20% - Accent5 12 2" xfId="15071" xr:uid="{00000000-0005-0000-0000-0000FC2C0000}"/>
    <cellStyle name="20% - Accent5 12 2 2" xfId="15072" xr:uid="{00000000-0005-0000-0000-0000FD2C0000}"/>
    <cellStyle name="20% - Accent5 12 2 2 2" xfId="15073" xr:uid="{00000000-0005-0000-0000-0000FE2C0000}"/>
    <cellStyle name="20% - Accent5 12 2 2 2 2" xfId="15074" xr:uid="{00000000-0005-0000-0000-0000FF2C0000}"/>
    <cellStyle name="20% - Accent5 12 2 2 2 2 2" xfId="15075" xr:uid="{00000000-0005-0000-0000-0000002D0000}"/>
    <cellStyle name="20% - Accent5 12 2 2 2 3" xfId="15076" xr:uid="{00000000-0005-0000-0000-0000012D0000}"/>
    <cellStyle name="20% - Accent5 12 2 2 3" xfId="15077" xr:uid="{00000000-0005-0000-0000-0000022D0000}"/>
    <cellStyle name="20% - Accent5 12 2 2 3 2" xfId="15078" xr:uid="{00000000-0005-0000-0000-0000032D0000}"/>
    <cellStyle name="20% - Accent5 12 2 2 4" xfId="15079" xr:uid="{00000000-0005-0000-0000-0000042D0000}"/>
    <cellStyle name="20% - Accent5 12 2 2 5" xfId="15080" xr:uid="{00000000-0005-0000-0000-0000052D0000}"/>
    <cellStyle name="20% - Accent5 12 2 2 6" xfId="15081" xr:uid="{00000000-0005-0000-0000-0000062D0000}"/>
    <cellStyle name="20% - Accent5 12 2 3" xfId="15082" xr:uid="{00000000-0005-0000-0000-0000072D0000}"/>
    <cellStyle name="20% - Accent5 12 2 3 2" xfId="15083" xr:uid="{00000000-0005-0000-0000-0000082D0000}"/>
    <cellStyle name="20% - Accent5 12 2 3 2 2" xfId="15084" xr:uid="{00000000-0005-0000-0000-0000092D0000}"/>
    <cellStyle name="20% - Accent5 12 2 3 3" xfId="15085" xr:uid="{00000000-0005-0000-0000-00000A2D0000}"/>
    <cellStyle name="20% - Accent5 12 2 4" xfId="15086" xr:uid="{00000000-0005-0000-0000-00000B2D0000}"/>
    <cellStyle name="20% - Accent5 12 2 4 2" xfId="15087" xr:uid="{00000000-0005-0000-0000-00000C2D0000}"/>
    <cellStyle name="20% - Accent5 12 2 5" xfId="15088" xr:uid="{00000000-0005-0000-0000-00000D2D0000}"/>
    <cellStyle name="20% - Accent5 12 2 6" xfId="15089" xr:uid="{00000000-0005-0000-0000-00000E2D0000}"/>
    <cellStyle name="20% - Accent5 12 2 7" xfId="15090" xr:uid="{00000000-0005-0000-0000-00000F2D0000}"/>
    <cellStyle name="20% - Accent5 12 3" xfId="15091" xr:uid="{00000000-0005-0000-0000-0000102D0000}"/>
    <cellStyle name="20% - Accent5 12 3 2" xfId="15092" xr:uid="{00000000-0005-0000-0000-0000112D0000}"/>
    <cellStyle name="20% - Accent5 12 3 2 2" xfId="15093" xr:uid="{00000000-0005-0000-0000-0000122D0000}"/>
    <cellStyle name="20% - Accent5 12 3 2 2 2" xfId="15094" xr:uid="{00000000-0005-0000-0000-0000132D0000}"/>
    <cellStyle name="20% - Accent5 12 3 2 2 2 2" xfId="15095" xr:uid="{00000000-0005-0000-0000-0000142D0000}"/>
    <cellStyle name="20% - Accent5 12 3 2 2 3" xfId="15096" xr:uid="{00000000-0005-0000-0000-0000152D0000}"/>
    <cellStyle name="20% - Accent5 12 3 2 3" xfId="15097" xr:uid="{00000000-0005-0000-0000-0000162D0000}"/>
    <cellStyle name="20% - Accent5 12 3 2 3 2" xfId="15098" xr:uid="{00000000-0005-0000-0000-0000172D0000}"/>
    <cellStyle name="20% - Accent5 12 3 2 4" xfId="15099" xr:uid="{00000000-0005-0000-0000-0000182D0000}"/>
    <cellStyle name="20% - Accent5 12 3 2 5" xfId="15100" xr:uid="{00000000-0005-0000-0000-0000192D0000}"/>
    <cellStyle name="20% - Accent5 12 3 2 6" xfId="15101" xr:uid="{00000000-0005-0000-0000-00001A2D0000}"/>
    <cellStyle name="20% - Accent5 12 3 3" xfId="15102" xr:uid="{00000000-0005-0000-0000-00001B2D0000}"/>
    <cellStyle name="20% - Accent5 12 3 3 2" xfId="15103" xr:uid="{00000000-0005-0000-0000-00001C2D0000}"/>
    <cellStyle name="20% - Accent5 12 3 3 2 2" xfId="15104" xr:uid="{00000000-0005-0000-0000-00001D2D0000}"/>
    <cellStyle name="20% - Accent5 12 3 3 3" xfId="15105" xr:uid="{00000000-0005-0000-0000-00001E2D0000}"/>
    <cellStyle name="20% - Accent5 12 3 4" xfId="15106" xr:uid="{00000000-0005-0000-0000-00001F2D0000}"/>
    <cellStyle name="20% - Accent5 12 3 4 2" xfId="15107" xr:uid="{00000000-0005-0000-0000-0000202D0000}"/>
    <cellStyle name="20% - Accent5 12 3 5" xfId="15108" xr:uid="{00000000-0005-0000-0000-0000212D0000}"/>
    <cellStyle name="20% - Accent5 12 3 6" xfId="15109" xr:uid="{00000000-0005-0000-0000-0000222D0000}"/>
    <cellStyle name="20% - Accent5 12 3 7" xfId="15110" xr:uid="{00000000-0005-0000-0000-0000232D0000}"/>
    <cellStyle name="20% - Accent5 12 4" xfId="15111" xr:uid="{00000000-0005-0000-0000-0000242D0000}"/>
    <cellStyle name="20% - Accent5 12 5" xfId="15112" xr:uid="{00000000-0005-0000-0000-0000252D0000}"/>
    <cellStyle name="20% - Accent5 12 6" xfId="15113" xr:uid="{00000000-0005-0000-0000-0000262D0000}"/>
    <cellStyle name="20% - Accent5 12 6 2" xfId="15114" xr:uid="{00000000-0005-0000-0000-0000272D0000}"/>
    <cellStyle name="20% - Accent5 12 7" xfId="15115" xr:uid="{00000000-0005-0000-0000-0000282D0000}"/>
    <cellStyle name="20% - Accent5 12 8" xfId="15116" xr:uid="{00000000-0005-0000-0000-0000292D0000}"/>
    <cellStyle name="20% - Accent5 13" xfId="15117" xr:uid="{00000000-0005-0000-0000-00002A2D0000}"/>
    <cellStyle name="20% - Accent5 13 2" xfId="15118" xr:uid="{00000000-0005-0000-0000-00002B2D0000}"/>
    <cellStyle name="20% - Accent5 13 2 2" xfId="15119" xr:uid="{00000000-0005-0000-0000-00002C2D0000}"/>
    <cellStyle name="20% - Accent5 13 2 2 2" xfId="15120" xr:uid="{00000000-0005-0000-0000-00002D2D0000}"/>
    <cellStyle name="20% - Accent5 13 2 3" xfId="15121" xr:uid="{00000000-0005-0000-0000-00002E2D0000}"/>
    <cellStyle name="20% - Accent5 13 3" xfId="15122" xr:uid="{00000000-0005-0000-0000-00002F2D0000}"/>
    <cellStyle name="20% - Accent5 13 3 2" xfId="15123" xr:uid="{00000000-0005-0000-0000-0000302D0000}"/>
    <cellStyle name="20% - Accent5 13 4" xfId="15124" xr:uid="{00000000-0005-0000-0000-0000312D0000}"/>
    <cellStyle name="20% - Accent5 13 5" xfId="15125" xr:uid="{00000000-0005-0000-0000-0000322D0000}"/>
    <cellStyle name="20% - Accent5 13 6" xfId="15126" xr:uid="{00000000-0005-0000-0000-0000332D0000}"/>
    <cellStyle name="20% - Accent5 14" xfId="15127" xr:uid="{00000000-0005-0000-0000-0000342D0000}"/>
    <cellStyle name="20% - Accent5 14 2" xfId="15128" xr:uid="{00000000-0005-0000-0000-0000352D0000}"/>
    <cellStyle name="20% - Accent5 14 2 2" xfId="15129" xr:uid="{00000000-0005-0000-0000-0000362D0000}"/>
    <cellStyle name="20% - Accent5 14 2 2 2" xfId="15130" xr:uid="{00000000-0005-0000-0000-0000372D0000}"/>
    <cellStyle name="20% - Accent5 14 2 3" xfId="15131" xr:uid="{00000000-0005-0000-0000-0000382D0000}"/>
    <cellStyle name="20% - Accent5 14 3" xfId="15132" xr:uid="{00000000-0005-0000-0000-0000392D0000}"/>
    <cellStyle name="20% - Accent5 14 3 2" xfId="15133" xr:uid="{00000000-0005-0000-0000-00003A2D0000}"/>
    <cellStyle name="20% - Accent5 14 4" xfId="15134" xr:uid="{00000000-0005-0000-0000-00003B2D0000}"/>
    <cellStyle name="20% - Accent5 15" xfId="15135" xr:uid="{00000000-0005-0000-0000-00003C2D0000}"/>
    <cellStyle name="20% - Accent5 15 2" xfId="15136" xr:uid="{00000000-0005-0000-0000-00003D2D0000}"/>
    <cellStyle name="20% - Accent5 15 2 2" xfId="15137" xr:uid="{00000000-0005-0000-0000-00003E2D0000}"/>
    <cellStyle name="20% - Accent5 15 2 2 2" xfId="15138" xr:uid="{00000000-0005-0000-0000-00003F2D0000}"/>
    <cellStyle name="20% - Accent5 15 2 3" xfId="15139" xr:uid="{00000000-0005-0000-0000-0000402D0000}"/>
    <cellStyle name="20% - Accent5 15 3" xfId="15140" xr:uid="{00000000-0005-0000-0000-0000412D0000}"/>
    <cellStyle name="20% - Accent5 15 3 2" xfId="15141" xr:uid="{00000000-0005-0000-0000-0000422D0000}"/>
    <cellStyle name="20% - Accent5 15 4" xfId="15142" xr:uid="{00000000-0005-0000-0000-0000432D0000}"/>
    <cellStyle name="20% - Accent5 16" xfId="15143" xr:uid="{00000000-0005-0000-0000-0000442D0000}"/>
    <cellStyle name="20% - Accent5 16 2" xfId="15144" xr:uid="{00000000-0005-0000-0000-0000452D0000}"/>
    <cellStyle name="20% - Accent5 16 2 2" xfId="15145" xr:uid="{00000000-0005-0000-0000-0000462D0000}"/>
    <cellStyle name="20% - Accent5 16 3" xfId="15146" xr:uid="{00000000-0005-0000-0000-0000472D0000}"/>
    <cellStyle name="20% - Accent5 17" xfId="15147" xr:uid="{00000000-0005-0000-0000-0000482D0000}"/>
    <cellStyle name="20% - Accent5 18" xfId="15148" xr:uid="{00000000-0005-0000-0000-0000492D0000}"/>
    <cellStyle name="20% - Accent5 19" xfId="15149" xr:uid="{00000000-0005-0000-0000-00004A2D0000}"/>
    <cellStyle name="20% - Accent5 2" xfId="181" xr:uid="{00000000-0005-0000-0000-00004B2D0000}"/>
    <cellStyle name="20% - Accent5 2 2" xfId="15150" xr:uid="{00000000-0005-0000-0000-00004C2D0000}"/>
    <cellStyle name="20% - Accent5 2 2 10" xfId="15151" xr:uid="{00000000-0005-0000-0000-00004D2D0000}"/>
    <cellStyle name="20% - Accent5 2 2 10 2" xfId="15152" xr:uid="{00000000-0005-0000-0000-00004E2D0000}"/>
    <cellStyle name="20% - Accent5 2 2 10 2 2" xfId="15153" xr:uid="{00000000-0005-0000-0000-00004F2D0000}"/>
    <cellStyle name="20% - Accent5 2 2 10 3" xfId="15154" xr:uid="{00000000-0005-0000-0000-0000502D0000}"/>
    <cellStyle name="20% - Accent5 2 2 11" xfId="15155" xr:uid="{00000000-0005-0000-0000-0000512D0000}"/>
    <cellStyle name="20% - Accent5 2 2 11 2" xfId="15156" xr:uid="{00000000-0005-0000-0000-0000522D0000}"/>
    <cellStyle name="20% - Accent5 2 2 11 2 2" xfId="15157" xr:uid="{00000000-0005-0000-0000-0000532D0000}"/>
    <cellStyle name="20% - Accent5 2 2 11 3" xfId="15158" xr:uid="{00000000-0005-0000-0000-0000542D0000}"/>
    <cellStyle name="20% - Accent5 2 2 12" xfId="15159" xr:uid="{00000000-0005-0000-0000-0000552D0000}"/>
    <cellStyle name="20% - Accent5 2 2 12 2" xfId="15160" xr:uid="{00000000-0005-0000-0000-0000562D0000}"/>
    <cellStyle name="20% - Accent5 2 2 12 2 2" xfId="15161" xr:uid="{00000000-0005-0000-0000-0000572D0000}"/>
    <cellStyle name="20% - Accent5 2 2 12 3" xfId="15162" xr:uid="{00000000-0005-0000-0000-0000582D0000}"/>
    <cellStyle name="20% - Accent5 2 2 13" xfId="15163" xr:uid="{00000000-0005-0000-0000-0000592D0000}"/>
    <cellStyle name="20% - Accent5 2 2 13 2" xfId="15164" xr:uid="{00000000-0005-0000-0000-00005A2D0000}"/>
    <cellStyle name="20% - Accent5 2 2 14" xfId="15165" xr:uid="{00000000-0005-0000-0000-00005B2D0000}"/>
    <cellStyle name="20% - Accent5 2 2 15" xfId="15166" xr:uid="{00000000-0005-0000-0000-00005C2D0000}"/>
    <cellStyle name="20% - Accent5 2 2 16" xfId="15167" xr:uid="{00000000-0005-0000-0000-00005D2D0000}"/>
    <cellStyle name="20% - Accent5 2 2 2" xfId="15168" xr:uid="{00000000-0005-0000-0000-00005E2D0000}"/>
    <cellStyle name="20% - Accent5 2 2 2 10" xfId="15169" xr:uid="{00000000-0005-0000-0000-00005F2D0000}"/>
    <cellStyle name="20% - Accent5 2 2 2 11" xfId="15170" xr:uid="{00000000-0005-0000-0000-0000602D0000}"/>
    <cellStyle name="20% - Accent5 2 2 2 2" xfId="15171" xr:uid="{00000000-0005-0000-0000-0000612D0000}"/>
    <cellStyle name="20% - Accent5 2 2 2 2 2" xfId="15172" xr:uid="{00000000-0005-0000-0000-0000622D0000}"/>
    <cellStyle name="20% - Accent5 2 2 2 2 2 2" xfId="15173" xr:uid="{00000000-0005-0000-0000-0000632D0000}"/>
    <cellStyle name="20% - Accent5 2 2 2 2 2 2 2" xfId="15174" xr:uid="{00000000-0005-0000-0000-0000642D0000}"/>
    <cellStyle name="20% - Accent5 2 2 2 2 2 2 2 2" xfId="15175" xr:uid="{00000000-0005-0000-0000-0000652D0000}"/>
    <cellStyle name="20% - Accent5 2 2 2 2 2 2 3" xfId="15176" xr:uid="{00000000-0005-0000-0000-0000662D0000}"/>
    <cellStyle name="20% - Accent5 2 2 2 2 2 3" xfId="15177" xr:uid="{00000000-0005-0000-0000-0000672D0000}"/>
    <cellStyle name="20% - Accent5 2 2 2 2 2 3 2" xfId="15178" xr:uid="{00000000-0005-0000-0000-0000682D0000}"/>
    <cellStyle name="20% - Accent5 2 2 2 2 2 4" xfId="15179" xr:uid="{00000000-0005-0000-0000-0000692D0000}"/>
    <cellStyle name="20% - Accent5 2 2 2 2 2 5" xfId="15180" xr:uid="{00000000-0005-0000-0000-00006A2D0000}"/>
    <cellStyle name="20% - Accent5 2 2 2 2 2 6" xfId="15181" xr:uid="{00000000-0005-0000-0000-00006B2D0000}"/>
    <cellStyle name="20% - Accent5 2 2 2 2 3" xfId="15182" xr:uid="{00000000-0005-0000-0000-00006C2D0000}"/>
    <cellStyle name="20% - Accent5 2 2 2 2 3 2" xfId="15183" xr:uid="{00000000-0005-0000-0000-00006D2D0000}"/>
    <cellStyle name="20% - Accent5 2 2 2 2 3 2 2" xfId="15184" xr:uid="{00000000-0005-0000-0000-00006E2D0000}"/>
    <cellStyle name="20% - Accent5 2 2 2 2 3 3" xfId="15185" xr:uid="{00000000-0005-0000-0000-00006F2D0000}"/>
    <cellStyle name="20% - Accent5 2 2 2 2 4" xfId="15186" xr:uid="{00000000-0005-0000-0000-0000702D0000}"/>
    <cellStyle name="20% - Accent5 2 2 2 2 4 2" xfId="15187" xr:uid="{00000000-0005-0000-0000-0000712D0000}"/>
    <cellStyle name="20% - Accent5 2 2 2 2 5" xfId="15188" xr:uid="{00000000-0005-0000-0000-0000722D0000}"/>
    <cellStyle name="20% - Accent5 2 2 2 2 5 2" xfId="15189" xr:uid="{00000000-0005-0000-0000-0000732D0000}"/>
    <cellStyle name="20% - Accent5 2 2 2 2 6" xfId="15190" xr:uid="{00000000-0005-0000-0000-0000742D0000}"/>
    <cellStyle name="20% - Accent5 2 2 2 2 7" xfId="15191" xr:uid="{00000000-0005-0000-0000-0000752D0000}"/>
    <cellStyle name="20% - Accent5 2 2 2 2 8" xfId="15192" xr:uid="{00000000-0005-0000-0000-0000762D0000}"/>
    <cellStyle name="20% - Accent5 2 2 2 3" xfId="15193" xr:uid="{00000000-0005-0000-0000-0000772D0000}"/>
    <cellStyle name="20% - Accent5 2 2 2 3 2" xfId="15194" xr:uid="{00000000-0005-0000-0000-0000782D0000}"/>
    <cellStyle name="20% - Accent5 2 2 2 3 2 2" xfId="15195" xr:uid="{00000000-0005-0000-0000-0000792D0000}"/>
    <cellStyle name="20% - Accent5 2 2 2 3 2 2 2" xfId="15196" xr:uid="{00000000-0005-0000-0000-00007A2D0000}"/>
    <cellStyle name="20% - Accent5 2 2 2 3 2 2 2 2" xfId="15197" xr:uid="{00000000-0005-0000-0000-00007B2D0000}"/>
    <cellStyle name="20% - Accent5 2 2 2 3 2 2 3" xfId="15198" xr:uid="{00000000-0005-0000-0000-00007C2D0000}"/>
    <cellStyle name="20% - Accent5 2 2 2 3 2 3" xfId="15199" xr:uid="{00000000-0005-0000-0000-00007D2D0000}"/>
    <cellStyle name="20% - Accent5 2 2 2 3 2 3 2" xfId="15200" xr:uid="{00000000-0005-0000-0000-00007E2D0000}"/>
    <cellStyle name="20% - Accent5 2 2 2 3 2 4" xfId="15201" xr:uid="{00000000-0005-0000-0000-00007F2D0000}"/>
    <cellStyle name="20% - Accent5 2 2 2 3 2 5" xfId="15202" xr:uid="{00000000-0005-0000-0000-0000802D0000}"/>
    <cellStyle name="20% - Accent5 2 2 2 3 2 6" xfId="15203" xr:uid="{00000000-0005-0000-0000-0000812D0000}"/>
    <cellStyle name="20% - Accent5 2 2 2 3 3" xfId="15204" xr:uid="{00000000-0005-0000-0000-0000822D0000}"/>
    <cellStyle name="20% - Accent5 2 2 2 3 3 2" xfId="15205" xr:uid="{00000000-0005-0000-0000-0000832D0000}"/>
    <cellStyle name="20% - Accent5 2 2 2 3 3 2 2" xfId="15206" xr:uid="{00000000-0005-0000-0000-0000842D0000}"/>
    <cellStyle name="20% - Accent5 2 2 2 3 3 3" xfId="15207" xr:uid="{00000000-0005-0000-0000-0000852D0000}"/>
    <cellStyle name="20% - Accent5 2 2 2 3 4" xfId="15208" xr:uid="{00000000-0005-0000-0000-0000862D0000}"/>
    <cellStyle name="20% - Accent5 2 2 2 3 4 2" xfId="15209" xr:uid="{00000000-0005-0000-0000-0000872D0000}"/>
    <cellStyle name="20% - Accent5 2 2 2 3 5" xfId="15210" xr:uid="{00000000-0005-0000-0000-0000882D0000}"/>
    <cellStyle name="20% - Accent5 2 2 2 3 6" xfId="15211" xr:uid="{00000000-0005-0000-0000-0000892D0000}"/>
    <cellStyle name="20% - Accent5 2 2 2 3 7" xfId="15212" xr:uid="{00000000-0005-0000-0000-00008A2D0000}"/>
    <cellStyle name="20% - Accent5 2 2 2 4" xfId="15213" xr:uid="{00000000-0005-0000-0000-00008B2D0000}"/>
    <cellStyle name="20% - Accent5 2 2 2 4 2" xfId="15214" xr:uid="{00000000-0005-0000-0000-00008C2D0000}"/>
    <cellStyle name="20% - Accent5 2 2 2 4 2 2" xfId="15215" xr:uid="{00000000-0005-0000-0000-00008D2D0000}"/>
    <cellStyle name="20% - Accent5 2 2 2 4 2 2 2" xfId="15216" xr:uid="{00000000-0005-0000-0000-00008E2D0000}"/>
    <cellStyle name="20% - Accent5 2 2 2 4 2 3" xfId="15217" xr:uid="{00000000-0005-0000-0000-00008F2D0000}"/>
    <cellStyle name="20% - Accent5 2 2 2 4 3" xfId="15218" xr:uid="{00000000-0005-0000-0000-0000902D0000}"/>
    <cellStyle name="20% - Accent5 2 2 2 4 3 2" xfId="15219" xr:uid="{00000000-0005-0000-0000-0000912D0000}"/>
    <cellStyle name="20% - Accent5 2 2 2 4 4" xfId="15220" xr:uid="{00000000-0005-0000-0000-0000922D0000}"/>
    <cellStyle name="20% - Accent5 2 2 2 4 5" xfId="15221" xr:uid="{00000000-0005-0000-0000-0000932D0000}"/>
    <cellStyle name="20% - Accent5 2 2 2 4 6" xfId="15222" xr:uid="{00000000-0005-0000-0000-0000942D0000}"/>
    <cellStyle name="20% - Accent5 2 2 2 5" xfId="15223" xr:uid="{00000000-0005-0000-0000-0000952D0000}"/>
    <cellStyle name="20% - Accent5 2 2 2 5 2" xfId="15224" xr:uid="{00000000-0005-0000-0000-0000962D0000}"/>
    <cellStyle name="20% - Accent5 2 2 2 5 2 2" xfId="15225" xr:uid="{00000000-0005-0000-0000-0000972D0000}"/>
    <cellStyle name="20% - Accent5 2 2 2 5 3" xfId="15226" xr:uid="{00000000-0005-0000-0000-0000982D0000}"/>
    <cellStyle name="20% - Accent5 2 2 2 6" xfId="15227" xr:uid="{00000000-0005-0000-0000-0000992D0000}"/>
    <cellStyle name="20% - Accent5 2 2 2 6 2" xfId="15228" xr:uid="{00000000-0005-0000-0000-00009A2D0000}"/>
    <cellStyle name="20% - Accent5 2 2 2 6 2 2" xfId="15229" xr:uid="{00000000-0005-0000-0000-00009B2D0000}"/>
    <cellStyle name="20% - Accent5 2 2 2 6 3" xfId="15230" xr:uid="{00000000-0005-0000-0000-00009C2D0000}"/>
    <cellStyle name="20% - Accent5 2 2 2 7" xfId="15231" xr:uid="{00000000-0005-0000-0000-00009D2D0000}"/>
    <cellStyle name="20% - Accent5 2 2 2 7 2" xfId="15232" xr:uid="{00000000-0005-0000-0000-00009E2D0000}"/>
    <cellStyle name="20% - Accent5 2 2 2 8" xfId="15233" xr:uid="{00000000-0005-0000-0000-00009F2D0000}"/>
    <cellStyle name="20% - Accent5 2 2 2 8 2" xfId="15234" xr:uid="{00000000-0005-0000-0000-0000A02D0000}"/>
    <cellStyle name="20% - Accent5 2 2 2 9" xfId="15235" xr:uid="{00000000-0005-0000-0000-0000A12D0000}"/>
    <cellStyle name="20% - Accent5 2 2 3" xfId="15236" xr:uid="{00000000-0005-0000-0000-0000A22D0000}"/>
    <cellStyle name="20% - Accent5 2 2 3 10" xfId="15237" xr:uid="{00000000-0005-0000-0000-0000A32D0000}"/>
    <cellStyle name="20% - Accent5 2 2 3 11" xfId="15238" xr:uid="{00000000-0005-0000-0000-0000A42D0000}"/>
    <cellStyle name="20% - Accent5 2 2 3 2" xfId="15239" xr:uid="{00000000-0005-0000-0000-0000A52D0000}"/>
    <cellStyle name="20% - Accent5 2 2 3 2 2" xfId="15240" xr:uid="{00000000-0005-0000-0000-0000A62D0000}"/>
    <cellStyle name="20% - Accent5 2 2 3 2 2 2" xfId="15241" xr:uid="{00000000-0005-0000-0000-0000A72D0000}"/>
    <cellStyle name="20% - Accent5 2 2 3 2 2 2 2" xfId="15242" xr:uid="{00000000-0005-0000-0000-0000A82D0000}"/>
    <cellStyle name="20% - Accent5 2 2 3 2 2 2 2 2" xfId="15243" xr:uid="{00000000-0005-0000-0000-0000A92D0000}"/>
    <cellStyle name="20% - Accent5 2 2 3 2 2 2 3" xfId="15244" xr:uid="{00000000-0005-0000-0000-0000AA2D0000}"/>
    <cellStyle name="20% - Accent5 2 2 3 2 2 3" xfId="15245" xr:uid="{00000000-0005-0000-0000-0000AB2D0000}"/>
    <cellStyle name="20% - Accent5 2 2 3 2 2 3 2" xfId="15246" xr:uid="{00000000-0005-0000-0000-0000AC2D0000}"/>
    <cellStyle name="20% - Accent5 2 2 3 2 2 4" xfId="15247" xr:uid="{00000000-0005-0000-0000-0000AD2D0000}"/>
    <cellStyle name="20% - Accent5 2 2 3 2 2 5" xfId="15248" xr:uid="{00000000-0005-0000-0000-0000AE2D0000}"/>
    <cellStyle name="20% - Accent5 2 2 3 2 2 6" xfId="15249" xr:uid="{00000000-0005-0000-0000-0000AF2D0000}"/>
    <cellStyle name="20% - Accent5 2 2 3 2 3" xfId="15250" xr:uid="{00000000-0005-0000-0000-0000B02D0000}"/>
    <cellStyle name="20% - Accent5 2 2 3 2 3 2" xfId="15251" xr:uid="{00000000-0005-0000-0000-0000B12D0000}"/>
    <cellStyle name="20% - Accent5 2 2 3 2 3 2 2" xfId="15252" xr:uid="{00000000-0005-0000-0000-0000B22D0000}"/>
    <cellStyle name="20% - Accent5 2 2 3 2 3 3" xfId="15253" xr:uid="{00000000-0005-0000-0000-0000B32D0000}"/>
    <cellStyle name="20% - Accent5 2 2 3 2 4" xfId="15254" xr:uid="{00000000-0005-0000-0000-0000B42D0000}"/>
    <cellStyle name="20% - Accent5 2 2 3 2 4 2" xfId="15255" xr:uid="{00000000-0005-0000-0000-0000B52D0000}"/>
    <cellStyle name="20% - Accent5 2 2 3 2 5" xfId="15256" xr:uid="{00000000-0005-0000-0000-0000B62D0000}"/>
    <cellStyle name="20% - Accent5 2 2 3 2 5 2" xfId="15257" xr:uid="{00000000-0005-0000-0000-0000B72D0000}"/>
    <cellStyle name="20% - Accent5 2 2 3 2 6" xfId="15258" xr:uid="{00000000-0005-0000-0000-0000B82D0000}"/>
    <cellStyle name="20% - Accent5 2 2 3 2 7" xfId="15259" xr:uid="{00000000-0005-0000-0000-0000B92D0000}"/>
    <cellStyle name="20% - Accent5 2 2 3 2 8" xfId="15260" xr:uid="{00000000-0005-0000-0000-0000BA2D0000}"/>
    <cellStyle name="20% - Accent5 2 2 3 3" xfId="15261" xr:uid="{00000000-0005-0000-0000-0000BB2D0000}"/>
    <cellStyle name="20% - Accent5 2 2 3 3 2" xfId="15262" xr:uid="{00000000-0005-0000-0000-0000BC2D0000}"/>
    <cellStyle name="20% - Accent5 2 2 3 3 2 2" xfId="15263" xr:uid="{00000000-0005-0000-0000-0000BD2D0000}"/>
    <cellStyle name="20% - Accent5 2 2 3 3 2 2 2" xfId="15264" xr:uid="{00000000-0005-0000-0000-0000BE2D0000}"/>
    <cellStyle name="20% - Accent5 2 2 3 3 2 2 2 2" xfId="15265" xr:uid="{00000000-0005-0000-0000-0000BF2D0000}"/>
    <cellStyle name="20% - Accent5 2 2 3 3 2 2 3" xfId="15266" xr:uid="{00000000-0005-0000-0000-0000C02D0000}"/>
    <cellStyle name="20% - Accent5 2 2 3 3 2 3" xfId="15267" xr:uid="{00000000-0005-0000-0000-0000C12D0000}"/>
    <cellStyle name="20% - Accent5 2 2 3 3 2 3 2" xfId="15268" xr:uid="{00000000-0005-0000-0000-0000C22D0000}"/>
    <cellStyle name="20% - Accent5 2 2 3 3 2 4" xfId="15269" xr:uid="{00000000-0005-0000-0000-0000C32D0000}"/>
    <cellStyle name="20% - Accent5 2 2 3 3 2 5" xfId="15270" xr:uid="{00000000-0005-0000-0000-0000C42D0000}"/>
    <cellStyle name="20% - Accent5 2 2 3 3 2 6" xfId="15271" xr:uid="{00000000-0005-0000-0000-0000C52D0000}"/>
    <cellStyle name="20% - Accent5 2 2 3 3 3" xfId="15272" xr:uid="{00000000-0005-0000-0000-0000C62D0000}"/>
    <cellStyle name="20% - Accent5 2 2 3 3 3 2" xfId="15273" xr:uid="{00000000-0005-0000-0000-0000C72D0000}"/>
    <cellStyle name="20% - Accent5 2 2 3 3 3 2 2" xfId="15274" xr:uid="{00000000-0005-0000-0000-0000C82D0000}"/>
    <cellStyle name="20% - Accent5 2 2 3 3 3 3" xfId="15275" xr:uid="{00000000-0005-0000-0000-0000C92D0000}"/>
    <cellStyle name="20% - Accent5 2 2 3 3 4" xfId="15276" xr:uid="{00000000-0005-0000-0000-0000CA2D0000}"/>
    <cellStyle name="20% - Accent5 2 2 3 3 4 2" xfId="15277" xr:uid="{00000000-0005-0000-0000-0000CB2D0000}"/>
    <cellStyle name="20% - Accent5 2 2 3 3 5" xfId="15278" xr:uid="{00000000-0005-0000-0000-0000CC2D0000}"/>
    <cellStyle name="20% - Accent5 2 2 3 3 6" xfId="15279" xr:uid="{00000000-0005-0000-0000-0000CD2D0000}"/>
    <cellStyle name="20% - Accent5 2 2 3 3 7" xfId="15280" xr:uid="{00000000-0005-0000-0000-0000CE2D0000}"/>
    <cellStyle name="20% - Accent5 2 2 3 4" xfId="15281" xr:uid="{00000000-0005-0000-0000-0000CF2D0000}"/>
    <cellStyle name="20% - Accent5 2 2 3 4 2" xfId="15282" xr:uid="{00000000-0005-0000-0000-0000D02D0000}"/>
    <cellStyle name="20% - Accent5 2 2 3 4 2 2" xfId="15283" xr:uid="{00000000-0005-0000-0000-0000D12D0000}"/>
    <cellStyle name="20% - Accent5 2 2 3 4 2 2 2" xfId="15284" xr:uid="{00000000-0005-0000-0000-0000D22D0000}"/>
    <cellStyle name="20% - Accent5 2 2 3 4 2 3" xfId="15285" xr:uid="{00000000-0005-0000-0000-0000D32D0000}"/>
    <cellStyle name="20% - Accent5 2 2 3 4 3" xfId="15286" xr:uid="{00000000-0005-0000-0000-0000D42D0000}"/>
    <cellStyle name="20% - Accent5 2 2 3 4 3 2" xfId="15287" xr:uid="{00000000-0005-0000-0000-0000D52D0000}"/>
    <cellStyle name="20% - Accent5 2 2 3 4 4" xfId="15288" xr:uid="{00000000-0005-0000-0000-0000D62D0000}"/>
    <cellStyle name="20% - Accent5 2 2 3 4 5" xfId="15289" xr:uid="{00000000-0005-0000-0000-0000D72D0000}"/>
    <cellStyle name="20% - Accent5 2 2 3 4 6" xfId="15290" xr:uid="{00000000-0005-0000-0000-0000D82D0000}"/>
    <cellStyle name="20% - Accent5 2 2 3 5" xfId="15291" xr:uid="{00000000-0005-0000-0000-0000D92D0000}"/>
    <cellStyle name="20% - Accent5 2 2 3 5 2" xfId="15292" xr:uid="{00000000-0005-0000-0000-0000DA2D0000}"/>
    <cellStyle name="20% - Accent5 2 2 3 5 2 2" xfId="15293" xr:uid="{00000000-0005-0000-0000-0000DB2D0000}"/>
    <cellStyle name="20% - Accent5 2 2 3 5 3" xfId="15294" xr:uid="{00000000-0005-0000-0000-0000DC2D0000}"/>
    <cellStyle name="20% - Accent5 2 2 3 6" xfId="15295" xr:uid="{00000000-0005-0000-0000-0000DD2D0000}"/>
    <cellStyle name="20% - Accent5 2 2 3 6 2" xfId="15296" xr:uid="{00000000-0005-0000-0000-0000DE2D0000}"/>
    <cellStyle name="20% - Accent5 2 2 3 6 2 2" xfId="15297" xr:uid="{00000000-0005-0000-0000-0000DF2D0000}"/>
    <cellStyle name="20% - Accent5 2 2 3 6 3" xfId="15298" xr:uid="{00000000-0005-0000-0000-0000E02D0000}"/>
    <cellStyle name="20% - Accent5 2 2 3 7" xfId="15299" xr:uid="{00000000-0005-0000-0000-0000E12D0000}"/>
    <cellStyle name="20% - Accent5 2 2 3 7 2" xfId="15300" xr:uid="{00000000-0005-0000-0000-0000E22D0000}"/>
    <cellStyle name="20% - Accent5 2 2 3 8" xfId="15301" xr:uid="{00000000-0005-0000-0000-0000E32D0000}"/>
    <cellStyle name="20% - Accent5 2 2 3 8 2" xfId="15302" xr:uid="{00000000-0005-0000-0000-0000E42D0000}"/>
    <cellStyle name="20% - Accent5 2 2 3 9" xfId="15303" xr:uid="{00000000-0005-0000-0000-0000E52D0000}"/>
    <cellStyle name="20% - Accent5 2 2 4" xfId="15304" xr:uid="{00000000-0005-0000-0000-0000E62D0000}"/>
    <cellStyle name="20% - Accent5 2 2 4 10" xfId="15305" xr:uid="{00000000-0005-0000-0000-0000E72D0000}"/>
    <cellStyle name="20% - Accent5 2 2 4 11" xfId="15306" xr:uid="{00000000-0005-0000-0000-0000E82D0000}"/>
    <cellStyle name="20% - Accent5 2 2 4 2" xfId="15307" xr:uid="{00000000-0005-0000-0000-0000E92D0000}"/>
    <cellStyle name="20% - Accent5 2 2 4 2 2" xfId="15308" xr:uid="{00000000-0005-0000-0000-0000EA2D0000}"/>
    <cellStyle name="20% - Accent5 2 2 4 2 2 2" xfId="15309" xr:uid="{00000000-0005-0000-0000-0000EB2D0000}"/>
    <cellStyle name="20% - Accent5 2 2 4 2 2 2 2" xfId="15310" xr:uid="{00000000-0005-0000-0000-0000EC2D0000}"/>
    <cellStyle name="20% - Accent5 2 2 4 2 2 2 2 2" xfId="15311" xr:uid="{00000000-0005-0000-0000-0000ED2D0000}"/>
    <cellStyle name="20% - Accent5 2 2 4 2 2 2 3" xfId="15312" xr:uid="{00000000-0005-0000-0000-0000EE2D0000}"/>
    <cellStyle name="20% - Accent5 2 2 4 2 2 3" xfId="15313" xr:uid="{00000000-0005-0000-0000-0000EF2D0000}"/>
    <cellStyle name="20% - Accent5 2 2 4 2 2 3 2" xfId="15314" xr:uid="{00000000-0005-0000-0000-0000F02D0000}"/>
    <cellStyle name="20% - Accent5 2 2 4 2 2 4" xfId="15315" xr:uid="{00000000-0005-0000-0000-0000F12D0000}"/>
    <cellStyle name="20% - Accent5 2 2 4 2 2 5" xfId="15316" xr:uid="{00000000-0005-0000-0000-0000F22D0000}"/>
    <cellStyle name="20% - Accent5 2 2 4 2 2 6" xfId="15317" xr:uid="{00000000-0005-0000-0000-0000F32D0000}"/>
    <cellStyle name="20% - Accent5 2 2 4 2 3" xfId="15318" xr:uid="{00000000-0005-0000-0000-0000F42D0000}"/>
    <cellStyle name="20% - Accent5 2 2 4 2 3 2" xfId="15319" xr:uid="{00000000-0005-0000-0000-0000F52D0000}"/>
    <cellStyle name="20% - Accent5 2 2 4 2 3 2 2" xfId="15320" xr:uid="{00000000-0005-0000-0000-0000F62D0000}"/>
    <cellStyle name="20% - Accent5 2 2 4 2 3 3" xfId="15321" xr:uid="{00000000-0005-0000-0000-0000F72D0000}"/>
    <cellStyle name="20% - Accent5 2 2 4 2 4" xfId="15322" xr:uid="{00000000-0005-0000-0000-0000F82D0000}"/>
    <cellStyle name="20% - Accent5 2 2 4 2 4 2" xfId="15323" xr:uid="{00000000-0005-0000-0000-0000F92D0000}"/>
    <cellStyle name="20% - Accent5 2 2 4 2 5" xfId="15324" xr:uid="{00000000-0005-0000-0000-0000FA2D0000}"/>
    <cellStyle name="20% - Accent5 2 2 4 2 5 2" xfId="15325" xr:uid="{00000000-0005-0000-0000-0000FB2D0000}"/>
    <cellStyle name="20% - Accent5 2 2 4 2 6" xfId="15326" xr:uid="{00000000-0005-0000-0000-0000FC2D0000}"/>
    <cellStyle name="20% - Accent5 2 2 4 2 7" xfId="15327" xr:uid="{00000000-0005-0000-0000-0000FD2D0000}"/>
    <cellStyle name="20% - Accent5 2 2 4 2 8" xfId="15328" xr:uid="{00000000-0005-0000-0000-0000FE2D0000}"/>
    <cellStyle name="20% - Accent5 2 2 4 3" xfId="15329" xr:uid="{00000000-0005-0000-0000-0000FF2D0000}"/>
    <cellStyle name="20% - Accent5 2 2 4 3 2" xfId="15330" xr:uid="{00000000-0005-0000-0000-0000002E0000}"/>
    <cellStyle name="20% - Accent5 2 2 4 3 2 2" xfId="15331" xr:uid="{00000000-0005-0000-0000-0000012E0000}"/>
    <cellStyle name="20% - Accent5 2 2 4 3 2 2 2" xfId="15332" xr:uid="{00000000-0005-0000-0000-0000022E0000}"/>
    <cellStyle name="20% - Accent5 2 2 4 3 2 2 2 2" xfId="15333" xr:uid="{00000000-0005-0000-0000-0000032E0000}"/>
    <cellStyle name="20% - Accent5 2 2 4 3 2 2 3" xfId="15334" xr:uid="{00000000-0005-0000-0000-0000042E0000}"/>
    <cellStyle name="20% - Accent5 2 2 4 3 2 3" xfId="15335" xr:uid="{00000000-0005-0000-0000-0000052E0000}"/>
    <cellStyle name="20% - Accent5 2 2 4 3 2 3 2" xfId="15336" xr:uid="{00000000-0005-0000-0000-0000062E0000}"/>
    <cellStyle name="20% - Accent5 2 2 4 3 2 4" xfId="15337" xr:uid="{00000000-0005-0000-0000-0000072E0000}"/>
    <cellStyle name="20% - Accent5 2 2 4 3 2 5" xfId="15338" xr:uid="{00000000-0005-0000-0000-0000082E0000}"/>
    <cellStyle name="20% - Accent5 2 2 4 3 2 6" xfId="15339" xr:uid="{00000000-0005-0000-0000-0000092E0000}"/>
    <cellStyle name="20% - Accent5 2 2 4 3 3" xfId="15340" xr:uid="{00000000-0005-0000-0000-00000A2E0000}"/>
    <cellStyle name="20% - Accent5 2 2 4 3 3 2" xfId="15341" xr:uid="{00000000-0005-0000-0000-00000B2E0000}"/>
    <cellStyle name="20% - Accent5 2 2 4 3 3 2 2" xfId="15342" xr:uid="{00000000-0005-0000-0000-00000C2E0000}"/>
    <cellStyle name="20% - Accent5 2 2 4 3 3 3" xfId="15343" xr:uid="{00000000-0005-0000-0000-00000D2E0000}"/>
    <cellStyle name="20% - Accent5 2 2 4 3 4" xfId="15344" xr:uid="{00000000-0005-0000-0000-00000E2E0000}"/>
    <cellStyle name="20% - Accent5 2 2 4 3 4 2" xfId="15345" xr:uid="{00000000-0005-0000-0000-00000F2E0000}"/>
    <cellStyle name="20% - Accent5 2 2 4 3 5" xfId="15346" xr:uid="{00000000-0005-0000-0000-0000102E0000}"/>
    <cellStyle name="20% - Accent5 2 2 4 3 6" xfId="15347" xr:uid="{00000000-0005-0000-0000-0000112E0000}"/>
    <cellStyle name="20% - Accent5 2 2 4 3 7" xfId="15348" xr:uid="{00000000-0005-0000-0000-0000122E0000}"/>
    <cellStyle name="20% - Accent5 2 2 4 4" xfId="15349" xr:uid="{00000000-0005-0000-0000-0000132E0000}"/>
    <cellStyle name="20% - Accent5 2 2 4 4 2" xfId="15350" xr:uid="{00000000-0005-0000-0000-0000142E0000}"/>
    <cellStyle name="20% - Accent5 2 2 4 4 2 2" xfId="15351" xr:uid="{00000000-0005-0000-0000-0000152E0000}"/>
    <cellStyle name="20% - Accent5 2 2 4 4 2 2 2" xfId="15352" xr:uid="{00000000-0005-0000-0000-0000162E0000}"/>
    <cellStyle name="20% - Accent5 2 2 4 4 2 3" xfId="15353" xr:uid="{00000000-0005-0000-0000-0000172E0000}"/>
    <cellStyle name="20% - Accent5 2 2 4 4 3" xfId="15354" xr:uid="{00000000-0005-0000-0000-0000182E0000}"/>
    <cellStyle name="20% - Accent5 2 2 4 4 3 2" xfId="15355" xr:uid="{00000000-0005-0000-0000-0000192E0000}"/>
    <cellStyle name="20% - Accent5 2 2 4 4 4" xfId="15356" xr:uid="{00000000-0005-0000-0000-00001A2E0000}"/>
    <cellStyle name="20% - Accent5 2 2 4 4 5" xfId="15357" xr:uid="{00000000-0005-0000-0000-00001B2E0000}"/>
    <cellStyle name="20% - Accent5 2 2 4 4 6" xfId="15358" xr:uid="{00000000-0005-0000-0000-00001C2E0000}"/>
    <cellStyle name="20% - Accent5 2 2 4 5" xfId="15359" xr:uid="{00000000-0005-0000-0000-00001D2E0000}"/>
    <cellStyle name="20% - Accent5 2 2 4 5 2" xfId="15360" xr:uid="{00000000-0005-0000-0000-00001E2E0000}"/>
    <cellStyle name="20% - Accent5 2 2 4 5 2 2" xfId="15361" xr:uid="{00000000-0005-0000-0000-00001F2E0000}"/>
    <cellStyle name="20% - Accent5 2 2 4 5 3" xfId="15362" xr:uid="{00000000-0005-0000-0000-0000202E0000}"/>
    <cellStyle name="20% - Accent5 2 2 4 6" xfId="15363" xr:uid="{00000000-0005-0000-0000-0000212E0000}"/>
    <cellStyle name="20% - Accent5 2 2 4 6 2" xfId="15364" xr:uid="{00000000-0005-0000-0000-0000222E0000}"/>
    <cellStyle name="20% - Accent5 2 2 4 6 2 2" xfId="15365" xr:uid="{00000000-0005-0000-0000-0000232E0000}"/>
    <cellStyle name="20% - Accent5 2 2 4 6 3" xfId="15366" xr:uid="{00000000-0005-0000-0000-0000242E0000}"/>
    <cellStyle name="20% - Accent5 2 2 4 7" xfId="15367" xr:uid="{00000000-0005-0000-0000-0000252E0000}"/>
    <cellStyle name="20% - Accent5 2 2 4 7 2" xfId="15368" xr:uid="{00000000-0005-0000-0000-0000262E0000}"/>
    <cellStyle name="20% - Accent5 2 2 4 8" xfId="15369" xr:uid="{00000000-0005-0000-0000-0000272E0000}"/>
    <cellStyle name="20% - Accent5 2 2 4 8 2" xfId="15370" xr:uid="{00000000-0005-0000-0000-0000282E0000}"/>
    <cellStyle name="20% - Accent5 2 2 4 9" xfId="15371" xr:uid="{00000000-0005-0000-0000-0000292E0000}"/>
    <cellStyle name="20% - Accent5 2 2 5" xfId="15372" xr:uid="{00000000-0005-0000-0000-00002A2E0000}"/>
    <cellStyle name="20% - Accent5 2 2 5 10" xfId="15373" xr:uid="{00000000-0005-0000-0000-00002B2E0000}"/>
    <cellStyle name="20% - Accent5 2 2 5 11" xfId="15374" xr:uid="{00000000-0005-0000-0000-00002C2E0000}"/>
    <cellStyle name="20% - Accent5 2 2 5 2" xfId="15375" xr:uid="{00000000-0005-0000-0000-00002D2E0000}"/>
    <cellStyle name="20% - Accent5 2 2 5 2 2" xfId="15376" xr:uid="{00000000-0005-0000-0000-00002E2E0000}"/>
    <cellStyle name="20% - Accent5 2 2 5 2 2 2" xfId="15377" xr:uid="{00000000-0005-0000-0000-00002F2E0000}"/>
    <cellStyle name="20% - Accent5 2 2 5 2 2 2 2" xfId="15378" xr:uid="{00000000-0005-0000-0000-0000302E0000}"/>
    <cellStyle name="20% - Accent5 2 2 5 2 2 2 2 2" xfId="15379" xr:uid="{00000000-0005-0000-0000-0000312E0000}"/>
    <cellStyle name="20% - Accent5 2 2 5 2 2 2 3" xfId="15380" xr:uid="{00000000-0005-0000-0000-0000322E0000}"/>
    <cellStyle name="20% - Accent5 2 2 5 2 2 3" xfId="15381" xr:uid="{00000000-0005-0000-0000-0000332E0000}"/>
    <cellStyle name="20% - Accent5 2 2 5 2 2 3 2" xfId="15382" xr:uid="{00000000-0005-0000-0000-0000342E0000}"/>
    <cellStyle name="20% - Accent5 2 2 5 2 2 4" xfId="15383" xr:uid="{00000000-0005-0000-0000-0000352E0000}"/>
    <cellStyle name="20% - Accent5 2 2 5 2 2 5" xfId="15384" xr:uid="{00000000-0005-0000-0000-0000362E0000}"/>
    <cellStyle name="20% - Accent5 2 2 5 2 2 6" xfId="15385" xr:uid="{00000000-0005-0000-0000-0000372E0000}"/>
    <cellStyle name="20% - Accent5 2 2 5 2 3" xfId="15386" xr:uid="{00000000-0005-0000-0000-0000382E0000}"/>
    <cellStyle name="20% - Accent5 2 2 5 2 3 2" xfId="15387" xr:uid="{00000000-0005-0000-0000-0000392E0000}"/>
    <cellStyle name="20% - Accent5 2 2 5 2 3 2 2" xfId="15388" xr:uid="{00000000-0005-0000-0000-00003A2E0000}"/>
    <cellStyle name="20% - Accent5 2 2 5 2 3 3" xfId="15389" xr:uid="{00000000-0005-0000-0000-00003B2E0000}"/>
    <cellStyle name="20% - Accent5 2 2 5 2 4" xfId="15390" xr:uid="{00000000-0005-0000-0000-00003C2E0000}"/>
    <cellStyle name="20% - Accent5 2 2 5 2 4 2" xfId="15391" xr:uid="{00000000-0005-0000-0000-00003D2E0000}"/>
    <cellStyle name="20% - Accent5 2 2 5 2 5" xfId="15392" xr:uid="{00000000-0005-0000-0000-00003E2E0000}"/>
    <cellStyle name="20% - Accent5 2 2 5 2 5 2" xfId="15393" xr:uid="{00000000-0005-0000-0000-00003F2E0000}"/>
    <cellStyle name="20% - Accent5 2 2 5 2 6" xfId="15394" xr:uid="{00000000-0005-0000-0000-0000402E0000}"/>
    <cellStyle name="20% - Accent5 2 2 5 2 7" xfId="15395" xr:uid="{00000000-0005-0000-0000-0000412E0000}"/>
    <cellStyle name="20% - Accent5 2 2 5 2 8" xfId="15396" xr:uid="{00000000-0005-0000-0000-0000422E0000}"/>
    <cellStyle name="20% - Accent5 2 2 5 3" xfId="15397" xr:uid="{00000000-0005-0000-0000-0000432E0000}"/>
    <cellStyle name="20% - Accent5 2 2 5 3 2" xfId="15398" xr:uid="{00000000-0005-0000-0000-0000442E0000}"/>
    <cellStyle name="20% - Accent5 2 2 5 3 2 2" xfId="15399" xr:uid="{00000000-0005-0000-0000-0000452E0000}"/>
    <cellStyle name="20% - Accent5 2 2 5 3 2 2 2" xfId="15400" xr:uid="{00000000-0005-0000-0000-0000462E0000}"/>
    <cellStyle name="20% - Accent5 2 2 5 3 2 2 2 2" xfId="15401" xr:uid="{00000000-0005-0000-0000-0000472E0000}"/>
    <cellStyle name="20% - Accent5 2 2 5 3 2 2 3" xfId="15402" xr:uid="{00000000-0005-0000-0000-0000482E0000}"/>
    <cellStyle name="20% - Accent5 2 2 5 3 2 3" xfId="15403" xr:uid="{00000000-0005-0000-0000-0000492E0000}"/>
    <cellStyle name="20% - Accent5 2 2 5 3 2 3 2" xfId="15404" xr:uid="{00000000-0005-0000-0000-00004A2E0000}"/>
    <cellStyle name="20% - Accent5 2 2 5 3 2 4" xfId="15405" xr:uid="{00000000-0005-0000-0000-00004B2E0000}"/>
    <cellStyle name="20% - Accent5 2 2 5 3 2 5" xfId="15406" xr:uid="{00000000-0005-0000-0000-00004C2E0000}"/>
    <cellStyle name="20% - Accent5 2 2 5 3 2 6" xfId="15407" xr:uid="{00000000-0005-0000-0000-00004D2E0000}"/>
    <cellStyle name="20% - Accent5 2 2 5 3 3" xfId="15408" xr:uid="{00000000-0005-0000-0000-00004E2E0000}"/>
    <cellStyle name="20% - Accent5 2 2 5 3 3 2" xfId="15409" xr:uid="{00000000-0005-0000-0000-00004F2E0000}"/>
    <cellStyle name="20% - Accent5 2 2 5 3 3 2 2" xfId="15410" xr:uid="{00000000-0005-0000-0000-0000502E0000}"/>
    <cellStyle name="20% - Accent5 2 2 5 3 3 3" xfId="15411" xr:uid="{00000000-0005-0000-0000-0000512E0000}"/>
    <cellStyle name="20% - Accent5 2 2 5 3 4" xfId="15412" xr:uid="{00000000-0005-0000-0000-0000522E0000}"/>
    <cellStyle name="20% - Accent5 2 2 5 3 4 2" xfId="15413" xr:uid="{00000000-0005-0000-0000-0000532E0000}"/>
    <cellStyle name="20% - Accent5 2 2 5 3 5" xfId="15414" xr:uid="{00000000-0005-0000-0000-0000542E0000}"/>
    <cellStyle name="20% - Accent5 2 2 5 3 6" xfId="15415" xr:uid="{00000000-0005-0000-0000-0000552E0000}"/>
    <cellStyle name="20% - Accent5 2 2 5 3 7" xfId="15416" xr:uid="{00000000-0005-0000-0000-0000562E0000}"/>
    <cellStyle name="20% - Accent5 2 2 5 4" xfId="15417" xr:uid="{00000000-0005-0000-0000-0000572E0000}"/>
    <cellStyle name="20% - Accent5 2 2 5 4 2" xfId="15418" xr:uid="{00000000-0005-0000-0000-0000582E0000}"/>
    <cellStyle name="20% - Accent5 2 2 5 4 2 2" xfId="15419" xr:uid="{00000000-0005-0000-0000-0000592E0000}"/>
    <cellStyle name="20% - Accent5 2 2 5 4 2 2 2" xfId="15420" xr:uid="{00000000-0005-0000-0000-00005A2E0000}"/>
    <cellStyle name="20% - Accent5 2 2 5 4 2 3" xfId="15421" xr:uid="{00000000-0005-0000-0000-00005B2E0000}"/>
    <cellStyle name="20% - Accent5 2 2 5 4 3" xfId="15422" xr:uid="{00000000-0005-0000-0000-00005C2E0000}"/>
    <cellStyle name="20% - Accent5 2 2 5 4 3 2" xfId="15423" xr:uid="{00000000-0005-0000-0000-00005D2E0000}"/>
    <cellStyle name="20% - Accent5 2 2 5 4 4" xfId="15424" xr:uid="{00000000-0005-0000-0000-00005E2E0000}"/>
    <cellStyle name="20% - Accent5 2 2 5 4 5" xfId="15425" xr:uid="{00000000-0005-0000-0000-00005F2E0000}"/>
    <cellStyle name="20% - Accent5 2 2 5 4 6" xfId="15426" xr:uid="{00000000-0005-0000-0000-0000602E0000}"/>
    <cellStyle name="20% - Accent5 2 2 5 5" xfId="15427" xr:uid="{00000000-0005-0000-0000-0000612E0000}"/>
    <cellStyle name="20% - Accent5 2 2 5 5 2" xfId="15428" xr:uid="{00000000-0005-0000-0000-0000622E0000}"/>
    <cellStyle name="20% - Accent5 2 2 5 5 2 2" xfId="15429" xr:uid="{00000000-0005-0000-0000-0000632E0000}"/>
    <cellStyle name="20% - Accent5 2 2 5 5 3" xfId="15430" xr:uid="{00000000-0005-0000-0000-0000642E0000}"/>
    <cellStyle name="20% - Accent5 2 2 5 6" xfId="15431" xr:uid="{00000000-0005-0000-0000-0000652E0000}"/>
    <cellStyle name="20% - Accent5 2 2 5 6 2" xfId="15432" xr:uid="{00000000-0005-0000-0000-0000662E0000}"/>
    <cellStyle name="20% - Accent5 2 2 5 6 2 2" xfId="15433" xr:uid="{00000000-0005-0000-0000-0000672E0000}"/>
    <cellStyle name="20% - Accent5 2 2 5 6 3" xfId="15434" xr:uid="{00000000-0005-0000-0000-0000682E0000}"/>
    <cellStyle name="20% - Accent5 2 2 5 7" xfId="15435" xr:uid="{00000000-0005-0000-0000-0000692E0000}"/>
    <cellStyle name="20% - Accent5 2 2 5 7 2" xfId="15436" xr:uid="{00000000-0005-0000-0000-00006A2E0000}"/>
    <cellStyle name="20% - Accent5 2 2 5 8" xfId="15437" xr:uid="{00000000-0005-0000-0000-00006B2E0000}"/>
    <cellStyle name="20% - Accent5 2 2 5 8 2" xfId="15438" xr:uid="{00000000-0005-0000-0000-00006C2E0000}"/>
    <cellStyle name="20% - Accent5 2 2 5 9" xfId="15439" xr:uid="{00000000-0005-0000-0000-00006D2E0000}"/>
    <cellStyle name="20% - Accent5 2 2 6" xfId="15440" xr:uid="{00000000-0005-0000-0000-00006E2E0000}"/>
    <cellStyle name="20% - Accent5 2 2 6 10" xfId="15441" xr:uid="{00000000-0005-0000-0000-00006F2E0000}"/>
    <cellStyle name="20% - Accent5 2 2 6 11" xfId="15442" xr:uid="{00000000-0005-0000-0000-0000702E0000}"/>
    <cellStyle name="20% - Accent5 2 2 6 2" xfId="15443" xr:uid="{00000000-0005-0000-0000-0000712E0000}"/>
    <cellStyle name="20% - Accent5 2 2 6 2 2" xfId="15444" xr:uid="{00000000-0005-0000-0000-0000722E0000}"/>
    <cellStyle name="20% - Accent5 2 2 6 2 2 2" xfId="15445" xr:uid="{00000000-0005-0000-0000-0000732E0000}"/>
    <cellStyle name="20% - Accent5 2 2 6 2 2 2 2" xfId="15446" xr:uid="{00000000-0005-0000-0000-0000742E0000}"/>
    <cellStyle name="20% - Accent5 2 2 6 2 2 2 2 2" xfId="15447" xr:uid="{00000000-0005-0000-0000-0000752E0000}"/>
    <cellStyle name="20% - Accent5 2 2 6 2 2 2 3" xfId="15448" xr:uid="{00000000-0005-0000-0000-0000762E0000}"/>
    <cellStyle name="20% - Accent5 2 2 6 2 2 3" xfId="15449" xr:uid="{00000000-0005-0000-0000-0000772E0000}"/>
    <cellStyle name="20% - Accent5 2 2 6 2 2 3 2" xfId="15450" xr:uid="{00000000-0005-0000-0000-0000782E0000}"/>
    <cellStyle name="20% - Accent5 2 2 6 2 2 4" xfId="15451" xr:uid="{00000000-0005-0000-0000-0000792E0000}"/>
    <cellStyle name="20% - Accent5 2 2 6 2 2 5" xfId="15452" xr:uid="{00000000-0005-0000-0000-00007A2E0000}"/>
    <cellStyle name="20% - Accent5 2 2 6 2 2 6" xfId="15453" xr:uid="{00000000-0005-0000-0000-00007B2E0000}"/>
    <cellStyle name="20% - Accent5 2 2 6 2 3" xfId="15454" xr:uid="{00000000-0005-0000-0000-00007C2E0000}"/>
    <cellStyle name="20% - Accent5 2 2 6 2 3 2" xfId="15455" xr:uid="{00000000-0005-0000-0000-00007D2E0000}"/>
    <cellStyle name="20% - Accent5 2 2 6 2 3 2 2" xfId="15456" xr:uid="{00000000-0005-0000-0000-00007E2E0000}"/>
    <cellStyle name="20% - Accent5 2 2 6 2 3 3" xfId="15457" xr:uid="{00000000-0005-0000-0000-00007F2E0000}"/>
    <cellStyle name="20% - Accent5 2 2 6 2 4" xfId="15458" xr:uid="{00000000-0005-0000-0000-0000802E0000}"/>
    <cellStyle name="20% - Accent5 2 2 6 2 4 2" xfId="15459" xr:uid="{00000000-0005-0000-0000-0000812E0000}"/>
    <cellStyle name="20% - Accent5 2 2 6 2 5" xfId="15460" xr:uid="{00000000-0005-0000-0000-0000822E0000}"/>
    <cellStyle name="20% - Accent5 2 2 6 2 5 2" xfId="15461" xr:uid="{00000000-0005-0000-0000-0000832E0000}"/>
    <cellStyle name="20% - Accent5 2 2 6 2 6" xfId="15462" xr:uid="{00000000-0005-0000-0000-0000842E0000}"/>
    <cellStyle name="20% - Accent5 2 2 6 2 7" xfId="15463" xr:uid="{00000000-0005-0000-0000-0000852E0000}"/>
    <cellStyle name="20% - Accent5 2 2 6 2 8" xfId="15464" xr:uid="{00000000-0005-0000-0000-0000862E0000}"/>
    <cellStyle name="20% - Accent5 2 2 6 3" xfId="15465" xr:uid="{00000000-0005-0000-0000-0000872E0000}"/>
    <cellStyle name="20% - Accent5 2 2 6 3 2" xfId="15466" xr:uid="{00000000-0005-0000-0000-0000882E0000}"/>
    <cellStyle name="20% - Accent5 2 2 6 3 2 2" xfId="15467" xr:uid="{00000000-0005-0000-0000-0000892E0000}"/>
    <cellStyle name="20% - Accent5 2 2 6 3 2 2 2" xfId="15468" xr:uid="{00000000-0005-0000-0000-00008A2E0000}"/>
    <cellStyle name="20% - Accent5 2 2 6 3 2 2 2 2" xfId="15469" xr:uid="{00000000-0005-0000-0000-00008B2E0000}"/>
    <cellStyle name="20% - Accent5 2 2 6 3 2 2 3" xfId="15470" xr:uid="{00000000-0005-0000-0000-00008C2E0000}"/>
    <cellStyle name="20% - Accent5 2 2 6 3 2 3" xfId="15471" xr:uid="{00000000-0005-0000-0000-00008D2E0000}"/>
    <cellStyle name="20% - Accent5 2 2 6 3 2 3 2" xfId="15472" xr:uid="{00000000-0005-0000-0000-00008E2E0000}"/>
    <cellStyle name="20% - Accent5 2 2 6 3 2 4" xfId="15473" xr:uid="{00000000-0005-0000-0000-00008F2E0000}"/>
    <cellStyle name="20% - Accent5 2 2 6 3 2 5" xfId="15474" xr:uid="{00000000-0005-0000-0000-0000902E0000}"/>
    <cellStyle name="20% - Accent5 2 2 6 3 2 6" xfId="15475" xr:uid="{00000000-0005-0000-0000-0000912E0000}"/>
    <cellStyle name="20% - Accent5 2 2 6 3 3" xfId="15476" xr:uid="{00000000-0005-0000-0000-0000922E0000}"/>
    <cellStyle name="20% - Accent5 2 2 6 3 3 2" xfId="15477" xr:uid="{00000000-0005-0000-0000-0000932E0000}"/>
    <cellStyle name="20% - Accent5 2 2 6 3 3 2 2" xfId="15478" xr:uid="{00000000-0005-0000-0000-0000942E0000}"/>
    <cellStyle name="20% - Accent5 2 2 6 3 3 3" xfId="15479" xr:uid="{00000000-0005-0000-0000-0000952E0000}"/>
    <cellStyle name="20% - Accent5 2 2 6 3 4" xfId="15480" xr:uid="{00000000-0005-0000-0000-0000962E0000}"/>
    <cellStyle name="20% - Accent5 2 2 6 3 4 2" xfId="15481" xr:uid="{00000000-0005-0000-0000-0000972E0000}"/>
    <cellStyle name="20% - Accent5 2 2 6 3 5" xfId="15482" xr:uid="{00000000-0005-0000-0000-0000982E0000}"/>
    <cellStyle name="20% - Accent5 2 2 6 3 6" xfId="15483" xr:uid="{00000000-0005-0000-0000-0000992E0000}"/>
    <cellStyle name="20% - Accent5 2 2 6 3 7" xfId="15484" xr:uid="{00000000-0005-0000-0000-00009A2E0000}"/>
    <cellStyle name="20% - Accent5 2 2 6 4" xfId="15485" xr:uid="{00000000-0005-0000-0000-00009B2E0000}"/>
    <cellStyle name="20% - Accent5 2 2 6 4 2" xfId="15486" xr:uid="{00000000-0005-0000-0000-00009C2E0000}"/>
    <cellStyle name="20% - Accent5 2 2 6 4 2 2" xfId="15487" xr:uid="{00000000-0005-0000-0000-00009D2E0000}"/>
    <cellStyle name="20% - Accent5 2 2 6 4 2 2 2" xfId="15488" xr:uid="{00000000-0005-0000-0000-00009E2E0000}"/>
    <cellStyle name="20% - Accent5 2 2 6 4 2 3" xfId="15489" xr:uid="{00000000-0005-0000-0000-00009F2E0000}"/>
    <cellStyle name="20% - Accent5 2 2 6 4 3" xfId="15490" xr:uid="{00000000-0005-0000-0000-0000A02E0000}"/>
    <cellStyle name="20% - Accent5 2 2 6 4 3 2" xfId="15491" xr:uid="{00000000-0005-0000-0000-0000A12E0000}"/>
    <cellStyle name="20% - Accent5 2 2 6 4 4" xfId="15492" xr:uid="{00000000-0005-0000-0000-0000A22E0000}"/>
    <cellStyle name="20% - Accent5 2 2 6 4 5" xfId="15493" xr:uid="{00000000-0005-0000-0000-0000A32E0000}"/>
    <cellStyle name="20% - Accent5 2 2 6 4 6" xfId="15494" xr:uid="{00000000-0005-0000-0000-0000A42E0000}"/>
    <cellStyle name="20% - Accent5 2 2 6 5" xfId="15495" xr:uid="{00000000-0005-0000-0000-0000A52E0000}"/>
    <cellStyle name="20% - Accent5 2 2 6 5 2" xfId="15496" xr:uid="{00000000-0005-0000-0000-0000A62E0000}"/>
    <cellStyle name="20% - Accent5 2 2 6 5 2 2" xfId="15497" xr:uid="{00000000-0005-0000-0000-0000A72E0000}"/>
    <cellStyle name="20% - Accent5 2 2 6 5 3" xfId="15498" xr:uid="{00000000-0005-0000-0000-0000A82E0000}"/>
    <cellStyle name="20% - Accent5 2 2 6 6" xfId="15499" xr:uid="{00000000-0005-0000-0000-0000A92E0000}"/>
    <cellStyle name="20% - Accent5 2 2 6 6 2" xfId="15500" xr:uid="{00000000-0005-0000-0000-0000AA2E0000}"/>
    <cellStyle name="20% - Accent5 2 2 6 6 2 2" xfId="15501" xr:uid="{00000000-0005-0000-0000-0000AB2E0000}"/>
    <cellStyle name="20% - Accent5 2 2 6 6 3" xfId="15502" xr:uid="{00000000-0005-0000-0000-0000AC2E0000}"/>
    <cellStyle name="20% - Accent5 2 2 6 7" xfId="15503" xr:uid="{00000000-0005-0000-0000-0000AD2E0000}"/>
    <cellStyle name="20% - Accent5 2 2 6 7 2" xfId="15504" xr:uid="{00000000-0005-0000-0000-0000AE2E0000}"/>
    <cellStyle name="20% - Accent5 2 2 6 8" xfId="15505" xr:uid="{00000000-0005-0000-0000-0000AF2E0000}"/>
    <cellStyle name="20% - Accent5 2 2 6 8 2" xfId="15506" xr:uid="{00000000-0005-0000-0000-0000B02E0000}"/>
    <cellStyle name="20% - Accent5 2 2 6 9" xfId="15507" xr:uid="{00000000-0005-0000-0000-0000B12E0000}"/>
    <cellStyle name="20% - Accent5 2 2 7" xfId="15508" xr:uid="{00000000-0005-0000-0000-0000B22E0000}"/>
    <cellStyle name="20% - Accent5 2 2 7 2" xfId="15509" xr:uid="{00000000-0005-0000-0000-0000B32E0000}"/>
    <cellStyle name="20% - Accent5 2 2 7 2 2" xfId="15510" xr:uid="{00000000-0005-0000-0000-0000B42E0000}"/>
    <cellStyle name="20% - Accent5 2 2 7 2 2 2" xfId="15511" xr:uid="{00000000-0005-0000-0000-0000B52E0000}"/>
    <cellStyle name="20% - Accent5 2 2 7 2 2 2 2" xfId="15512" xr:uid="{00000000-0005-0000-0000-0000B62E0000}"/>
    <cellStyle name="20% - Accent5 2 2 7 2 2 3" xfId="15513" xr:uid="{00000000-0005-0000-0000-0000B72E0000}"/>
    <cellStyle name="20% - Accent5 2 2 7 2 3" xfId="15514" xr:uid="{00000000-0005-0000-0000-0000B82E0000}"/>
    <cellStyle name="20% - Accent5 2 2 7 2 3 2" xfId="15515" xr:uid="{00000000-0005-0000-0000-0000B92E0000}"/>
    <cellStyle name="20% - Accent5 2 2 7 2 4" xfId="15516" xr:uid="{00000000-0005-0000-0000-0000BA2E0000}"/>
    <cellStyle name="20% - Accent5 2 2 7 2 5" xfId="15517" xr:uid="{00000000-0005-0000-0000-0000BB2E0000}"/>
    <cellStyle name="20% - Accent5 2 2 7 2 6" xfId="15518" xr:uid="{00000000-0005-0000-0000-0000BC2E0000}"/>
    <cellStyle name="20% - Accent5 2 2 7 3" xfId="15519" xr:uid="{00000000-0005-0000-0000-0000BD2E0000}"/>
    <cellStyle name="20% - Accent5 2 2 7 3 2" xfId="15520" xr:uid="{00000000-0005-0000-0000-0000BE2E0000}"/>
    <cellStyle name="20% - Accent5 2 2 7 3 2 2" xfId="15521" xr:uid="{00000000-0005-0000-0000-0000BF2E0000}"/>
    <cellStyle name="20% - Accent5 2 2 7 3 3" xfId="15522" xr:uid="{00000000-0005-0000-0000-0000C02E0000}"/>
    <cellStyle name="20% - Accent5 2 2 7 4" xfId="15523" xr:uid="{00000000-0005-0000-0000-0000C12E0000}"/>
    <cellStyle name="20% - Accent5 2 2 7 4 2" xfId="15524" xr:uid="{00000000-0005-0000-0000-0000C22E0000}"/>
    <cellStyle name="20% - Accent5 2 2 7 5" xfId="15525" xr:uid="{00000000-0005-0000-0000-0000C32E0000}"/>
    <cellStyle name="20% - Accent5 2 2 7 5 2" xfId="15526" xr:uid="{00000000-0005-0000-0000-0000C42E0000}"/>
    <cellStyle name="20% - Accent5 2 2 7 6" xfId="15527" xr:uid="{00000000-0005-0000-0000-0000C52E0000}"/>
    <cellStyle name="20% - Accent5 2 2 7 7" xfId="15528" xr:uid="{00000000-0005-0000-0000-0000C62E0000}"/>
    <cellStyle name="20% - Accent5 2 2 7 8" xfId="15529" xr:uid="{00000000-0005-0000-0000-0000C72E0000}"/>
    <cellStyle name="20% - Accent5 2 2 8" xfId="15530" xr:uid="{00000000-0005-0000-0000-0000C82E0000}"/>
    <cellStyle name="20% - Accent5 2 2 8 2" xfId="15531" xr:uid="{00000000-0005-0000-0000-0000C92E0000}"/>
    <cellStyle name="20% - Accent5 2 2 8 2 2" xfId="15532" xr:uid="{00000000-0005-0000-0000-0000CA2E0000}"/>
    <cellStyle name="20% - Accent5 2 2 8 2 2 2" xfId="15533" xr:uid="{00000000-0005-0000-0000-0000CB2E0000}"/>
    <cellStyle name="20% - Accent5 2 2 8 2 2 2 2" xfId="15534" xr:uid="{00000000-0005-0000-0000-0000CC2E0000}"/>
    <cellStyle name="20% - Accent5 2 2 8 2 2 3" xfId="15535" xr:uid="{00000000-0005-0000-0000-0000CD2E0000}"/>
    <cellStyle name="20% - Accent5 2 2 8 2 3" xfId="15536" xr:uid="{00000000-0005-0000-0000-0000CE2E0000}"/>
    <cellStyle name="20% - Accent5 2 2 8 2 3 2" xfId="15537" xr:uid="{00000000-0005-0000-0000-0000CF2E0000}"/>
    <cellStyle name="20% - Accent5 2 2 8 2 4" xfId="15538" xr:uid="{00000000-0005-0000-0000-0000D02E0000}"/>
    <cellStyle name="20% - Accent5 2 2 8 2 5" xfId="15539" xr:uid="{00000000-0005-0000-0000-0000D12E0000}"/>
    <cellStyle name="20% - Accent5 2 2 8 2 6" xfId="15540" xr:uid="{00000000-0005-0000-0000-0000D22E0000}"/>
    <cellStyle name="20% - Accent5 2 2 8 3" xfId="15541" xr:uid="{00000000-0005-0000-0000-0000D32E0000}"/>
    <cellStyle name="20% - Accent5 2 2 8 3 2" xfId="15542" xr:uid="{00000000-0005-0000-0000-0000D42E0000}"/>
    <cellStyle name="20% - Accent5 2 2 8 3 2 2" xfId="15543" xr:uid="{00000000-0005-0000-0000-0000D52E0000}"/>
    <cellStyle name="20% - Accent5 2 2 8 3 3" xfId="15544" xr:uid="{00000000-0005-0000-0000-0000D62E0000}"/>
    <cellStyle name="20% - Accent5 2 2 8 4" xfId="15545" xr:uid="{00000000-0005-0000-0000-0000D72E0000}"/>
    <cellStyle name="20% - Accent5 2 2 8 4 2" xfId="15546" xr:uid="{00000000-0005-0000-0000-0000D82E0000}"/>
    <cellStyle name="20% - Accent5 2 2 8 5" xfId="15547" xr:uid="{00000000-0005-0000-0000-0000D92E0000}"/>
    <cellStyle name="20% - Accent5 2 2 8 6" xfId="15548" xr:uid="{00000000-0005-0000-0000-0000DA2E0000}"/>
    <cellStyle name="20% - Accent5 2 2 8 7" xfId="15549" xr:uid="{00000000-0005-0000-0000-0000DB2E0000}"/>
    <cellStyle name="20% - Accent5 2 2 9" xfId="15550" xr:uid="{00000000-0005-0000-0000-0000DC2E0000}"/>
    <cellStyle name="20% - Accent5 2 2 9 2" xfId="15551" xr:uid="{00000000-0005-0000-0000-0000DD2E0000}"/>
    <cellStyle name="20% - Accent5 2 2 9 2 2" xfId="15552" xr:uid="{00000000-0005-0000-0000-0000DE2E0000}"/>
    <cellStyle name="20% - Accent5 2 2 9 2 2 2" xfId="15553" xr:uid="{00000000-0005-0000-0000-0000DF2E0000}"/>
    <cellStyle name="20% - Accent5 2 2 9 2 3" xfId="15554" xr:uid="{00000000-0005-0000-0000-0000E02E0000}"/>
    <cellStyle name="20% - Accent5 2 2 9 3" xfId="15555" xr:uid="{00000000-0005-0000-0000-0000E12E0000}"/>
    <cellStyle name="20% - Accent5 2 2 9 3 2" xfId="15556" xr:uid="{00000000-0005-0000-0000-0000E22E0000}"/>
    <cellStyle name="20% - Accent5 2 2 9 4" xfId="15557" xr:uid="{00000000-0005-0000-0000-0000E32E0000}"/>
    <cellStyle name="20% - Accent5 2 2 9 5" xfId="15558" xr:uid="{00000000-0005-0000-0000-0000E42E0000}"/>
    <cellStyle name="20% - Accent5 2 2 9 6" xfId="15559" xr:uid="{00000000-0005-0000-0000-0000E52E0000}"/>
    <cellStyle name="20% - Accent5 2 3" xfId="15560" xr:uid="{00000000-0005-0000-0000-0000E62E0000}"/>
    <cellStyle name="20% - Accent5 2 3 2" xfId="15561" xr:uid="{00000000-0005-0000-0000-0000E72E0000}"/>
    <cellStyle name="20% - Accent5 2 3 2 2" xfId="15562" xr:uid="{00000000-0005-0000-0000-0000E82E0000}"/>
    <cellStyle name="20% - Accent5 2 3 2 2 2" xfId="15563" xr:uid="{00000000-0005-0000-0000-0000E92E0000}"/>
    <cellStyle name="20% - Accent5 2 3 2 2 2 2" xfId="15564" xr:uid="{00000000-0005-0000-0000-0000EA2E0000}"/>
    <cellStyle name="20% - Accent5 2 3 2 2 3" xfId="15565" xr:uid="{00000000-0005-0000-0000-0000EB2E0000}"/>
    <cellStyle name="20% - Accent5 2 3 2 3" xfId="15566" xr:uid="{00000000-0005-0000-0000-0000EC2E0000}"/>
    <cellStyle name="20% - Accent5 2 3 2 3 2" xfId="15567" xr:uid="{00000000-0005-0000-0000-0000ED2E0000}"/>
    <cellStyle name="20% - Accent5 2 3 2 4" xfId="15568" xr:uid="{00000000-0005-0000-0000-0000EE2E0000}"/>
    <cellStyle name="20% - Accent5 2 3 3" xfId="15569" xr:uid="{00000000-0005-0000-0000-0000EF2E0000}"/>
    <cellStyle name="20% - Accent5 2 3 3 2" xfId="15570" xr:uid="{00000000-0005-0000-0000-0000F02E0000}"/>
    <cellStyle name="20% - Accent5 2 3 3 2 2" xfId="15571" xr:uid="{00000000-0005-0000-0000-0000F12E0000}"/>
    <cellStyle name="20% - Accent5 2 3 3 2 2 2" xfId="15572" xr:uid="{00000000-0005-0000-0000-0000F22E0000}"/>
    <cellStyle name="20% - Accent5 2 3 3 2 3" xfId="15573" xr:uid="{00000000-0005-0000-0000-0000F32E0000}"/>
    <cellStyle name="20% - Accent5 2 3 3 3" xfId="15574" xr:uid="{00000000-0005-0000-0000-0000F42E0000}"/>
    <cellStyle name="20% - Accent5 2 3 3 3 2" xfId="15575" xr:uid="{00000000-0005-0000-0000-0000F52E0000}"/>
    <cellStyle name="20% - Accent5 2 3 3 4" xfId="15576" xr:uid="{00000000-0005-0000-0000-0000F62E0000}"/>
    <cellStyle name="20% - Accent5 2 3 4" xfId="15577" xr:uid="{00000000-0005-0000-0000-0000F72E0000}"/>
    <cellStyle name="20% - Accent5 2 3 4 2" xfId="15578" xr:uid="{00000000-0005-0000-0000-0000F82E0000}"/>
    <cellStyle name="20% - Accent5 2 3 4 2 2" xfId="15579" xr:uid="{00000000-0005-0000-0000-0000F92E0000}"/>
    <cellStyle name="20% - Accent5 2 3 4 2 2 2" xfId="15580" xr:uid="{00000000-0005-0000-0000-0000FA2E0000}"/>
    <cellStyle name="20% - Accent5 2 3 4 2 3" xfId="15581" xr:uid="{00000000-0005-0000-0000-0000FB2E0000}"/>
    <cellStyle name="20% - Accent5 2 3 4 3" xfId="15582" xr:uid="{00000000-0005-0000-0000-0000FC2E0000}"/>
    <cellStyle name="20% - Accent5 2 3 4 3 2" xfId="15583" xr:uid="{00000000-0005-0000-0000-0000FD2E0000}"/>
    <cellStyle name="20% - Accent5 2 3 4 4" xfId="15584" xr:uid="{00000000-0005-0000-0000-0000FE2E0000}"/>
    <cellStyle name="20% - Accent5 2 4" xfId="15585" xr:uid="{00000000-0005-0000-0000-0000FF2E0000}"/>
    <cellStyle name="20% - Accent5 2 4 2" xfId="15586" xr:uid="{00000000-0005-0000-0000-0000002F0000}"/>
    <cellStyle name="20% - Accent5 2 5" xfId="15587" xr:uid="{00000000-0005-0000-0000-0000012F0000}"/>
    <cellStyle name="20% - Accent5 2 5 2" xfId="15588" xr:uid="{00000000-0005-0000-0000-0000022F0000}"/>
    <cellStyle name="20% - Accent5 2 6" xfId="15589" xr:uid="{00000000-0005-0000-0000-0000032F0000}"/>
    <cellStyle name="20% - Accent5 2 6 2" xfId="15590" xr:uid="{00000000-0005-0000-0000-0000042F0000}"/>
    <cellStyle name="20% - Accent5 2 7" xfId="15591" xr:uid="{00000000-0005-0000-0000-0000052F0000}"/>
    <cellStyle name="20% - Accent5 2 7 2" xfId="15592" xr:uid="{00000000-0005-0000-0000-0000062F0000}"/>
    <cellStyle name="20% - Accent5 2 7 2 2" xfId="15593" xr:uid="{00000000-0005-0000-0000-0000072F0000}"/>
    <cellStyle name="20% - Accent5 2 7 3" xfId="15594" xr:uid="{00000000-0005-0000-0000-0000082F0000}"/>
    <cellStyle name="20% - Accent5 3" xfId="182" xr:uid="{00000000-0005-0000-0000-0000092F0000}"/>
    <cellStyle name="20% - Accent5 3 10" xfId="15595" xr:uid="{00000000-0005-0000-0000-00000A2F0000}"/>
    <cellStyle name="20% - Accent5 3 10 2" xfId="15596" xr:uid="{00000000-0005-0000-0000-00000B2F0000}"/>
    <cellStyle name="20% - Accent5 3 10 2 2" xfId="15597" xr:uid="{00000000-0005-0000-0000-00000C2F0000}"/>
    <cellStyle name="20% - Accent5 3 10 2 2 2" xfId="15598" xr:uid="{00000000-0005-0000-0000-00000D2F0000}"/>
    <cellStyle name="20% - Accent5 3 10 2 2 2 2" xfId="15599" xr:uid="{00000000-0005-0000-0000-00000E2F0000}"/>
    <cellStyle name="20% - Accent5 3 10 2 2 3" xfId="15600" xr:uid="{00000000-0005-0000-0000-00000F2F0000}"/>
    <cellStyle name="20% - Accent5 3 10 2 3" xfId="15601" xr:uid="{00000000-0005-0000-0000-0000102F0000}"/>
    <cellStyle name="20% - Accent5 3 10 2 3 2" xfId="15602" xr:uid="{00000000-0005-0000-0000-0000112F0000}"/>
    <cellStyle name="20% - Accent5 3 10 2 4" xfId="15603" xr:uid="{00000000-0005-0000-0000-0000122F0000}"/>
    <cellStyle name="20% - Accent5 3 10 2 5" xfId="15604" xr:uid="{00000000-0005-0000-0000-0000132F0000}"/>
    <cellStyle name="20% - Accent5 3 10 2 6" xfId="15605" xr:uid="{00000000-0005-0000-0000-0000142F0000}"/>
    <cellStyle name="20% - Accent5 3 10 3" xfId="15606" xr:uid="{00000000-0005-0000-0000-0000152F0000}"/>
    <cellStyle name="20% - Accent5 3 10 3 2" xfId="15607" xr:uid="{00000000-0005-0000-0000-0000162F0000}"/>
    <cellStyle name="20% - Accent5 3 10 3 2 2" xfId="15608" xr:uid="{00000000-0005-0000-0000-0000172F0000}"/>
    <cellStyle name="20% - Accent5 3 10 3 3" xfId="15609" xr:uid="{00000000-0005-0000-0000-0000182F0000}"/>
    <cellStyle name="20% - Accent5 3 10 4" xfId="15610" xr:uid="{00000000-0005-0000-0000-0000192F0000}"/>
    <cellStyle name="20% - Accent5 3 10 4 2" xfId="15611" xr:uid="{00000000-0005-0000-0000-00001A2F0000}"/>
    <cellStyle name="20% - Accent5 3 10 4 2 2" xfId="15612" xr:uid="{00000000-0005-0000-0000-00001B2F0000}"/>
    <cellStyle name="20% - Accent5 3 10 4 3" xfId="15613" xr:uid="{00000000-0005-0000-0000-00001C2F0000}"/>
    <cellStyle name="20% - Accent5 3 10 5" xfId="15614" xr:uid="{00000000-0005-0000-0000-00001D2F0000}"/>
    <cellStyle name="20% - Accent5 3 10 6" xfId="15615" xr:uid="{00000000-0005-0000-0000-00001E2F0000}"/>
    <cellStyle name="20% - Accent5 3 11" xfId="15616" xr:uid="{00000000-0005-0000-0000-00001F2F0000}"/>
    <cellStyle name="20% - Accent5 3 11 2" xfId="15617" xr:uid="{00000000-0005-0000-0000-0000202F0000}"/>
    <cellStyle name="20% - Accent5 3 11 2 2" xfId="15618" xr:uid="{00000000-0005-0000-0000-0000212F0000}"/>
    <cellStyle name="20% - Accent5 3 11 2 2 2" xfId="15619" xr:uid="{00000000-0005-0000-0000-0000222F0000}"/>
    <cellStyle name="20% - Accent5 3 11 2 2 2 2" xfId="15620" xr:uid="{00000000-0005-0000-0000-0000232F0000}"/>
    <cellStyle name="20% - Accent5 3 11 2 2 3" xfId="15621" xr:uid="{00000000-0005-0000-0000-0000242F0000}"/>
    <cellStyle name="20% - Accent5 3 11 2 3" xfId="15622" xr:uid="{00000000-0005-0000-0000-0000252F0000}"/>
    <cellStyle name="20% - Accent5 3 11 2 3 2" xfId="15623" xr:uid="{00000000-0005-0000-0000-0000262F0000}"/>
    <cellStyle name="20% - Accent5 3 11 2 4" xfId="15624" xr:uid="{00000000-0005-0000-0000-0000272F0000}"/>
    <cellStyle name="20% - Accent5 3 11 2 5" xfId="15625" xr:uid="{00000000-0005-0000-0000-0000282F0000}"/>
    <cellStyle name="20% - Accent5 3 11 2 6" xfId="15626" xr:uid="{00000000-0005-0000-0000-0000292F0000}"/>
    <cellStyle name="20% - Accent5 3 11 3" xfId="15627" xr:uid="{00000000-0005-0000-0000-00002A2F0000}"/>
    <cellStyle name="20% - Accent5 3 11 3 2" xfId="15628" xr:uid="{00000000-0005-0000-0000-00002B2F0000}"/>
    <cellStyle name="20% - Accent5 3 11 3 2 2" xfId="15629" xr:uid="{00000000-0005-0000-0000-00002C2F0000}"/>
    <cellStyle name="20% - Accent5 3 11 3 3" xfId="15630" xr:uid="{00000000-0005-0000-0000-00002D2F0000}"/>
    <cellStyle name="20% - Accent5 3 11 4" xfId="15631" xr:uid="{00000000-0005-0000-0000-00002E2F0000}"/>
    <cellStyle name="20% - Accent5 3 11 4 2" xfId="15632" xr:uid="{00000000-0005-0000-0000-00002F2F0000}"/>
    <cellStyle name="20% - Accent5 3 11 5" xfId="15633" xr:uid="{00000000-0005-0000-0000-0000302F0000}"/>
    <cellStyle name="20% - Accent5 3 11 6" xfId="15634" xr:uid="{00000000-0005-0000-0000-0000312F0000}"/>
    <cellStyle name="20% - Accent5 3 11 7" xfId="15635" xr:uid="{00000000-0005-0000-0000-0000322F0000}"/>
    <cellStyle name="20% - Accent5 3 12" xfId="15636" xr:uid="{00000000-0005-0000-0000-0000332F0000}"/>
    <cellStyle name="20% - Accent5 3 13" xfId="15637" xr:uid="{00000000-0005-0000-0000-0000342F0000}"/>
    <cellStyle name="20% - Accent5 3 13 2" xfId="15638" xr:uid="{00000000-0005-0000-0000-0000352F0000}"/>
    <cellStyle name="20% - Accent5 3 13 2 2" xfId="15639" xr:uid="{00000000-0005-0000-0000-0000362F0000}"/>
    <cellStyle name="20% - Accent5 3 13 2 2 2" xfId="15640" xr:uid="{00000000-0005-0000-0000-0000372F0000}"/>
    <cellStyle name="20% - Accent5 3 13 2 3" xfId="15641" xr:uid="{00000000-0005-0000-0000-0000382F0000}"/>
    <cellStyle name="20% - Accent5 3 13 3" xfId="15642" xr:uid="{00000000-0005-0000-0000-0000392F0000}"/>
    <cellStyle name="20% - Accent5 3 13 3 2" xfId="15643" xr:uid="{00000000-0005-0000-0000-00003A2F0000}"/>
    <cellStyle name="20% - Accent5 3 13 4" xfId="15644" xr:uid="{00000000-0005-0000-0000-00003B2F0000}"/>
    <cellStyle name="20% - Accent5 3 14" xfId="15645" xr:uid="{00000000-0005-0000-0000-00003C2F0000}"/>
    <cellStyle name="20% - Accent5 3 14 2" xfId="15646" xr:uid="{00000000-0005-0000-0000-00003D2F0000}"/>
    <cellStyle name="20% - Accent5 3 14 2 2" xfId="15647" xr:uid="{00000000-0005-0000-0000-00003E2F0000}"/>
    <cellStyle name="20% - Accent5 3 14 2 2 2" xfId="15648" xr:uid="{00000000-0005-0000-0000-00003F2F0000}"/>
    <cellStyle name="20% - Accent5 3 14 2 3" xfId="15649" xr:uid="{00000000-0005-0000-0000-0000402F0000}"/>
    <cellStyle name="20% - Accent5 3 14 3" xfId="15650" xr:uid="{00000000-0005-0000-0000-0000412F0000}"/>
    <cellStyle name="20% - Accent5 3 14 3 2" xfId="15651" xr:uid="{00000000-0005-0000-0000-0000422F0000}"/>
    <cellStyle name="20% - Accent5 3 14 4" xfId="15652" xr:uid="{00000000-0005-0000-0000-0000432F0000}"/>
    <cellStyle name="20% - Accent5 3 15" xfId="15653" xr:uid="{00000000-0005-0000-0000-0000442F0000}"/>
    <cellStyle name="20% - Accent5 3 15 2" xfId="15654" xr:uid="{00000000-0005-0000-0000-0000452F0000}"/>
    <cellStyle name="20% - Accent5 3 15 2 2" xfId="15655" xr:uid="{00000000-0005-0000-0000-0000462F0000}"/>
    <cellStyle name="20% - Accent5 3 15 2 2 2" xfId="15656" xr:uid="{00000000-0005-0000-0000-0000472F0000}"/>
    <cellStyle name="20% - Accent5 3 15 2 3" xfId="15657" xr:uid="{00000000-0005-0000-0000-0000482F0000}"/>
    <cellStyle name="20% - Accent5 3 15 3" xfId="15658" xr:uid="{00000000-0005-0000-0000-0000492F0000}"/>
    <cellStyle name="20% - Accent5 3 15 3 2" xfId="15659" xr:uid="{00000000-0005-0000-0000-00004A2F0000}"/>
    <cellStyle name="20% - Accent5 3 15 4" xfId="15660" xr:uid="{00000000-0005-0000-0000-00004B2F0000}"/>
    <cellStyle name="20% - Accent5 3 16" xfId="15661" xr:uid="{00000000-0005-0000-0000-00004C2F0000}"/>
    <cellStyle name="20% - Accent5 3 16 2" xfId="15662" xr:uid="{00000000-0005-0000-0000-00004D2F0000}"/>
    <cellStyle name="20% - Accent5 3 16 2 2" xfId="15663" xr:uid="{00000000-0005-0000-0000-00004E2F0000}"/>
    <cellStyle name="20% - Accent5 3 16 3" xfId="15664" xr:uid="{00000000-0005-0000-0000-00004F2F0000}"/>
    <cellStyle name="20% - Accent5 3 2" xfId="15665" xr:uid="{00000000-0005-0000-0000-0000502F0000}"/>
    <cellStyle name="20% - Accent5 3 2 10" xfId="15666" xr:uid="{00000000-0005-0000-0000-0000512F0000}"/>
    <cellStyle name="20% - Accent5 3 2 11" xfId="15667" xr:uid="{00000000-0005-0000-0000-0000522F0000}"/>
    <cellStyle name="20% - Accent5 3 2 2" xfId="15668" xr:uid="{00000000-0005-0000-0000-0000532F0000}"/>
    <cellStyle name="20% - Accent5 3 2 2 2" xfId="15669" xr:uid="{00000000-0005-0000-0000-0000542F0000}"/>
    <cellStyle name="20% - Accent5 3 2 2 2 2" xfId="15670" xr:uid="{00000000-0005-0000-0000-0000552F0000}"/>
    <cellStyle name="20% - Accent5 3 2 2 2 2 2" xfId="15671" xr:uid="{00000000-0005-0000-0000-0000562F0000}"/>
    <cellStyle name="20% - Accent5 3 2 2 2 2 2 2" xfId="15672" xr:uid="{00000000-0005-0000-0000-0000572F0000}"/>
    <cellStyle name="20% - Accent5 3 2 2 2 2 3" xfId="15673" xr:uid="{00000000-0005-0000-0000-0000582F0000}"/>
    <cellStyle name="20% - Accent5 3 2 2 2 3" xfId="15674" xr:uid="{00000000-0005-0000-0000-0000592F0000}"/>
    <cellStyle name="20% - Accent5 3 2 2 2 3 2" xfId="15675" xr:uid="{00000000-0005-0000-0000-00005A2F0000}"/>
    <cellStyle name="20% - Accent5 3 2 2 2 4" xfId="15676" xr:uid="{00000000-0005-0000-0000-00005B2F0000}"/>
    <cellStyle name="20% - Accent5 3 2 2 2 5" xfId="15677" xr:uid="{00000000-0005-0000-0000-00005C2F0000}"/>
    <cellStyle name="20% - Accent5 3 2 2 2 6" xfId="15678" xr:uid="{00000000-0005-0000-0000-00005D2F0000}"/>
    <cellStyle name="20% - Accent5 3 2 2 3" xfId="15679" xr:uid="{00000000-0005-0000-0000-00005E2F0000}"/>
    <cellStyle name="20% - Accent5 3 2 2 3 2" xfId="15680" xr:uid="{00000000-0005-0000-0000-00005F2F0000}"/>
    <cellStyle name="20% - Accent5 3 2 2 3 2 2" xfId="15681" xr:uid="{00000000-0005-0000-0000-0000602F0000}"/>
    <cellStyle name="20% - Accent5 3 2 2 3 3" xfId="15682" xr:uid="{00000000-0005-0000-0000-0000612F0000}"/>
    <cellStyle name="20% - Accent5 3 2 2 4" xfId="15683" xr:uid="{00000000-0005-0000-0000-0000622F0000}"/>
    <cellStyle name="20% - Accent5 3 2 2 4 2" xfId="15684" xr:uid="{00000000-0005-0000-0000-0000632F0000}"/>
    <cellStyle name="20% - Accent5 3 2 2 5" xfId="15685" xr:uid="{00000000-0005-0000-0000-0000642F0000}"/>
    <cellStyle name="20% - Accent5 3 2 2 5 2" xfId="15686" xr:uid="{00000000-0005-0000-0000-0000652F0000}"/>
    <cellStyle name="20% - Accent5 3 2 2 6" xfId="15687" xr:uid="{00000000-0005-0000-0000-0000662F0000}"/>
    <cellStyle name="20% - Accent5 3 2 2 7" xfId="15688" xr:uid="{00000000-0005-0000-0000-0000672F0000}"/>
    <cellStyle name="20% - Accent5 3 2 2 8" xfId="15689" xr:uid="{00000000-0005-0000-0000-0000682F0000}"/>
    <cellStyle name="20% - Accent5 3 2 3" xfId="15690" xr:uid="{00000000-0005-0000-0000-0000692F0000}"/>
    <cellStyle name="20% - Accent5 3 2 3 2" xfId="15691" xr:uid="{00000000-0005-0000-0000-00006A2F0000}"/>
    <cellStyle name="20% - Accent5 3 2 3 2 2" xfId="15692" xr:uid="{00000000-0005-0000-0000-00006B2F0000}"/>
    <cellStyle name="20% - Accent5 3 2 3 2 2 2" xfId="15693" xr:uid="{00000000-0005-0000-0000-00006C2F0000}"/>
    <cellStyle name="20% - Accent5 3 2 3 2 2 2 2" xfId="15694" xr:uid="{00000000-0005-0000-0000-00006D2F0000}"/>
    <cellStyle name="20% - Accent5 3 2 3 2 2 3" xfId="15695" xr:uid="{00000000-0005-0000-0000-00006E2F0000}"/>
    <cellStyle name="20% - Accent5 3 2 3 2 3" xfId="15696" xr:uid="{00000000-0005-0000-0000-00006F2F0000}"/>
    <cellStyle name="20% - Accent5 3 2 3 2 3 2" xfId="15697" xr:uid="{00000000-0005-0000-0000-0000702F0000}"/>
    <cellStyle name="20% - Accent5 3 2 3 2 4" xfId="15698" xr:uid="{00000000-0005-0000-0000-0000712F0000}"/>
    <cellStyle name="20% - Accent5 3 2 3 2 5" xfId="15699" xr:uid="{00000000-0005-0000-0000-0000722F0000}"/>
    <cellStyle name="20% - Accent5 3 2 3 2 6" xfId="15700" xr:uid="{00000000-0005-0000-0000-0000732F0000}"/>
    <cellStyle name="20% - Accent5 3 2 3 3" xfId="15701" xr:uid="{00000000-0005-0000-0000-0000742F0000}"/>
    <cellStyle name="20% - Accent5 3 2 3 3 2" xfId="15702" xr:uid="{00000000-0005-0000-0000-0000752F0000}"/>
    <cellStyle name="20% - Accent5 3 2 3 3 2 2" xfId="15703" xr:uid="{00000000-0005-0000-0000-0000762F0000}"/>
    <cellStyle name="20% - Accent5 3 2 3 3 3" xfId="15704" xr:uid="{00000000-0005-0000-0000-0000772F0000}"/>
    <cellStyle name="20% - Accent5 3 2 3 4" xfId="15705" xr:uid="{00000000-0005-0000-0000-0000782F0000}"/>
    <cellStyle name="20% - Accent5 3 2 3 4 2" xfId="15706" xr:uid="{00000000-0005-0000-0000-0000792F0000}"/>
    <cellStyle name="20% - Accent5 3 2 3 5" xfId="15707" xr:uid="{00000000-0005-0000-0000-00007A2F0000}"/>
    <cellStyle name="20% - Accent5 3 2 3 6" xfId="15708" xr:uid="{00000000-0005-0000-0000-00007B2F0000}"/>
    <cellStyle name="20% - Accent5 3 2 3 7" xfId="15709" xr:uid="{00000000-0005-0000-0000-00007C2F0000}"/>
    <cellStyle name="20% - Accent5 3 2 4" xfId="15710" xr:uid="{00000000-0005-0000-0000-00007D2F0000}"/>
    <cellStyle name="20% - Accent5 3 2 4 2" xfId="15711" xr:uid="{00000000-0005-0000-0000-00007E2F0000}"/>
    <cellStyle name="20% - Accent5 3 2 4 2 2" xfId="15712" xr:uid="{00000000-0005-0000-0000-00007F2F0000}"/>
    <cellStyle name="20% - Accent5 3 2 4 2 2 2" xfId="15713" xr:uid="{00000000-0005-0000-0000-0000802F0000}"/>
    <cellStyle name="20% - Accent5 3 2 4 2 3" xfId="15714" xr:uid="{00000000-0005-0000-0000-0000812F0000}"/>
    <cellStyle name="20% - Accent5 3 2 4 3" xfId="15715" xr:uid="{00000000-0005-0000-0000-0000822F0000}"/>
    <cellStyle name="20% - Accent5 3 2 4 3 2" xfId="15716" xr:uid="{00000000-0005-0000-0000-0000832F0000}"/>
    <cellStyle name="20% - Accent5 3 2 4 4" xfId="15717" xr:uid="{00000000-0005-0000-0000-0000842F0000}"/>
    <cellStyle name="20% - Accent5 3 2 4 5" xfId="15718" xr:uid="{00000000-0005-0000-0000-0000852F0000}"/>
    <cellStyle name="20% - Accent5 3 2 4 6" xfId="15719" xr:uid="{00000000-0005-0000-0000-0000862F0000}"/>
    <cellStyle name="20% - Accent5 3 2 5" xfId="15720" xr:uid="{00000000-0005-0000-0000-0000872F0000}"/>
    <cellStyle name="20% - Accent5 3 2 5 2" xfId="15721" xr:uid="{00000000-0005-0000-0000-0000882F0000}"/>
    <cellStyle name="20% - Accent5 3 2 5 2 2" xfId="15722" xr:uid="{00000000-0005-0000-0000-0000892F0000}"/>
    <cellStyle name="20% - Accent5 3 2 5 3" xfId="15723" xr:uid="{00000000-0005-0000-0000-00008A2F0000}"/>
    <cellStyle name="20% - Accent5 3 2 6" xfId="15724" xr:uid="{00000000-0005-0000-0000-00008B2F0000}"/>
    <cellStyle name="20% - Accent5 3 2 6 2" xfId="15725" xr:uid="{00000000-0005-0000-0000-00008C2F0000}"/>
    <cellStyle name="20% - Accent5 3 2 6 2 2" xfId="15726" xr:uid="{00000000-0005-0000-0000-00008D2F0000}"/>
    <cellStyle name="20% - Accent5 3 2 6 3" xfId="15727" xr:uid="{00000000-0005-0000-0000-00008E2F0000}"/>
    <cellStyle name="20% - Accent5 3 2 7" xfId="15728" xr:uid="{00000000-0005-0000-0000-00008F2F0000}"/>
    <cellStyle name="20% - Accent5 3 2 7 2" xfId="15729" xr:uid="{00000000-0005-0000-0000-0000902F0000}"/>
    <cellStyle name="20% - Accent5 3 2 8" xfId="15730" xr:uid="{00000000-0005-0000-0000-0000912F0000}"/>
    <cellStyle name="20% - Accent5 3 2 8 2" xfId="15731" xr:uid="{00000000-0005-0000-0000-0000922F0000}"/>
    <cellStyle name="20% - Accent5 3 2 9" xfId="15732" xr:uid="{00000000-0005-0000-0000-0000932F0000}"/>
    <cellStyle name="20% - Accent5 3 3" xfId="15733" xr:uid="{00000000-0005-0000-0000-0000942F0000}"/>
    <cellStyle name="20% - Accent5 3 3 10" xfId="15734" xr:uid="{00000000-0005-0000-0000-0000952F0000}"/>
    <cellStyle name="20% - Accent5 3 3 11" xfId="15735" xr:uid="{00000000-0005-0000-0000-0000962F0000}"/>
    <cellStyle name="20% - Accent5 3 3 2" xfId="15736" xr:uid="{00000000-0005-0000-0000-0000972F0000}"/>
    <cellStyle name="20% - Accent5 3 3 2 2" xfId="15737" xr:uid="{00000000-0005-0000-0000-0000982F0000}"/>
    <cellStyle name="20% - Accent5 3 3 2 2 2" xfId="15738" xr:uid="{00000000-0005-0000-0000-0000992F0000}"/>
    <cellStyle name="20% - Accent5 3 3 2 2 2 2" xfId="15739" xr:uid="{00000000-0005-0000-0000-00009A2F0000}"/>
    <cellStyle name="20% - Accent5 3 3 2 2 2 2 2" xfId="15740" xr:uid="{00000000-0005-0000-0000-00009B2F0000}"/>
    <cellStyle name="20% - Accent5 3 3 2 2 2 3" xfId="15741" xr:uid="{00000000-0005-0000-0000-00009C2F0000}"/>
    <cellStyle name="20% - Accent5 3 3 2 2 3" xfId="15742" xr:uid="{00000000-0005-0000-0000-00009D2F0000}"/>
    <cellStyle name="20% - Accent5 3 3 2 2 3 2" xfId="15743" xr:uid="{00000000-0005-0000-0000-00009E2F0000}"/>
    <cellStyle name="20% - Accent5 3 3 2 2 4" xfId="15744" xr:uid="{00000000-0005-0000-0000-00009F2F0000}"/>
    <cellStyle name="20% - Accent5 3 3 2 2 5" xfId="15745" xr:uid="{00000000-0005-0000-0000-0000A02F0000}"/>
    <cellStyle name="20% - Accent5 3 3 2 2 6" xfId="15746" xr:uid="{00000000-0005-0000-0000-0000A12F0000}"/>
    <cellStyle name="20% - Accent5 3 3 2 3" xfId="15747" xr:uid="{00000000-0005-0000-0000-0000A22F0000}"/>
    <cellStyle name="20% - Accent5 3 3 2 3 2" xfId="15748" xr:uid="{00000000-0005-0000-0000-0000A32F0000}"/>
    <cellStyle name="20% - Accent5 3 3 2 3 2 2" xfId="15749" xr:uid="{00000000-0005-0000-0000-0000A42F0000}"/>
    <cellStyle name="20% - Accent5 3 3 2 3 3" xfId="15750" xr:uid="{00000000-0005-0000-0000-0000A52F0000}"/>
    <cellStyle name="20% - Accent5 3 3 2 4" xfId="15751" xr:uid="{00000000-0005-0000-0000-0000A62F0000}"/>
    <cellStyle name="20% - Accent5 3 3 2 4 2" xfId="15752" xr:uid="{00000000-0005-0000-0000-0000A72F0000}"/>
    <cellStyle name="20% - Accent5 3 3 2 5" xfId="15753" xr:uid="{00000000-0005-0000-0000-0000A82F0000}"/>
    <cellStyle name="20% - Accent5 3 3 2 5 2" xfId="15754" xr:uid="{00000000-0005-0000-0000-0000A92F0000}"/>
    <cellStyle name="20% - Accent5 3 3 2 6" xfId="15755" xr:uid="{00000000-0005-0000-0000-0000AA2F0000}"/>
    <cellStyle name="20% - Accent5 3 3 2 7" xfId="15756" xr:uid="{00000000-0005-0000-0000-0000AB2F0000}"/>
    <cellStyle name="20% - Accent5 3 3 2 8" xfId="15757" xr:uid="{00000000-0005-0000-0000-0000AC2F0000}"/>
    <cellStyle name="20% - Accent5 3 3 3" xfId="15758" xr:uid="{00000000-0005-0000-0000-0000AD2F0000}"/>
    <cellStyle name="20% - Accent5 3 3 3 2" xfId="15759" xr:uid="{00000000-0005-0000-0000-0000AE2F0000}"/>
    <cellStyle name="20% - Accent5 3 3 3 2 2" xfId="15760" xr:uid="{00000000-0005-0000-0000-0000AF2F0000}"/>
    <cellStyle name="20% - Accent5 3 3 3 2 2 2" xfId="15761" xr:uid="{00000000-0005-0000-0000-0000B02F0000}"/>
    <cellStyle name="20% - Accent5 3 3 3 2 2 2 2" xfId="15762" xr:uid="{00000000-0005-0000-0000-0000B12F0000}"/>
    <cellStyle name="20% - Accent5 3 3 3 2 2 3" xfId="15763" xr:uid="{00000000-0005-0000-0000-0000B22F0000}"/>
    <cellStyle name="20% - Accent5 3 3 3 2 3" xfId="15764" xr:uid="{00000000-0005-0000-0000-0000B32F0000}"/>
    <cellStyle name="20% - Accent5 3 3 3 2 3 2" xfId="15765" xr:uid="{00000000-0005-0000-0000-0000B42F0000}"/>
    <cellStyle name="20% - Accent5 3 3 3 2 4" xfId="15766" xr:uid="{00000000-0005-0000-0000-0000B52F0000}"/>
    <cellStyle name="20% - Accent5 3 3 3 2 5" xfId="15767" xr:uid="{00000000-0005-0000-0000-0000B62F0000}"/>
    <cellStyle name="20% - Accent5 3 3 3 2 6" xfId="15768" xr:uid="{00000000-0005-0000-0000-0000B72F0000}"/>
    <cellStyle name="20% - Accent5 3 3 3 3" xfId="15769" xr:uid="{00000000-0005-0000-0000-0000B82F0000}"/>
    <cellStyle name="20% - Accent5 3 3 3 3 2" xfId="15770" xr:uid="{00000000-0005-0000-0000-0000B92F0000}"/>
    <cellStyle name="20% - Accent5 3 3 3 3 2 2" xfId="15771" xr:uid="{00000000-0005-0000-0000-0000BA2F0000}"/>
    <cellStyle name="20% - Accent5 3 3 3 3 3" xfId="15772" xr:uid="{00000000-0005-0000-0000-0000BB2F0000}"/>
    <cellStyle name="20% - Accent5 3 3 3 4" xfId="15773" xr:uid="{00000000-0005-0000-0000-0000BC2F0000}"/>
    <cellStyle name="20% - Accent5 3 3 3 4 2" xfId="15774" xr:uid="{00000000-0005-0000-0000-0000BD2F0000}"/>
    <cellStyle name="20% - Accent5 3 3 3 5" xfId="15775" xr:uid="{00000000-0005-0000-0000-0000BE2F0000}"/>
    <cellStyle name="20% - Accent5 3 3 3 6" xfId="15776" xr:uid="{00000000-0005-0000-0000-0000BF2F0000}"/>
    <cellStyle name="20% - Accent5 3 3 3 7" xfId="15777" xr:uid="{00000000-0005-0000-0000-0000C02F0000}"/>
    <cellStyle name="20% - Accent5 3 3 4" xfId="15778" xr:uid="{00000000-0005-0000-0000-0000C12F0000}"/>
    <cellStyle name="20% - Accent5 3 3 4 2" xfId="15779" xr:uid="{00000000-0005-0000-0000-0000C22F0000}"/>
    <cellStyle name="20% - Accent5 3 3 4 2 2" xfId="15780" xr:uid="{00000000-0005-0000-0000-0000C32F0000}"/>
    <cellStyle name="20% - Accent5 3 3 4 2 2 2" xfId="15781" xr:uid="{00000000-0005-0000-0000-0000C42F0000}"/>
    <cellStyle name="20% - Accent5 3 3 4 2 3" xfId="15782" xr:uid="{00000000-0005-0000-0000-0000C52F0000}"/>
    <cellStyle name="20% - Accent5 3 3 4 3" xfId="15783" xr:uid="{00000000-0005-0000-0000-0000C62F0000}"/>
    <cellStyle name="20% - Accent5 3 3 4 3 2" xfId="15784" xr:uid="{00000000-0005-0000-0000-0000C72F0000}"/>
    <cellStyle name="20% - Accent5 3 3 4 4" xfId="15785" xr:uid="{00000000-0005-0000-0000-0000C82F0000}"/>
    <cellStyle name="20% - Accent5 3 3 4 5" xfId="15786" xr:uid="{00000000-0005-0000-0000-0000C92F0000}"/>
    <cellStyle name="20% - Accent5 3 3 4 6" xfId="15787" xr:uid="{00000000-0005-0000-0000-0000CA2F0000}"/>
    <cellStyle name="20% - Accent5 3 3 5" xfId="15788" xr:uid="{00000000-0005-0000-0000-0000CB2F0000}"/>
    <cellStyle name="20% - Accent5 3 3 5 2" xfId="15789" xr:uid="{00000000-0005-0000-0000-0000CC2F0000}"/>
    <cellStyle name="20% - Accent5 3 3 5 2 2" xfId="15790" xr:uid="{00000000-0005-0000-0000-0000CD2F0000}"/>
    <cellStyle name="20% - Accent5 3 3 5 3" xfId="15791" xr:uid="{00000000-0005-0000-0000-0000CE2F0000}"/>
    <cellStyle name="20% - Accent5 3 3 6" xfId="15792" xr:uid="{00000000-0005-0000-0000-0000CF2F0000}"/>
    <cellStyle name="20% - Accent5 3 3 6 2" xfId="15793" xr:uid="{00000000-0005-0000-0000-0000D02F0000}"/>
    <cellStyle name="20% - Accent5 3 3 6 2 2" xfId="15794" xr:uid="{00000000-0005-0000-0000-0000D12F0000}"/>
    <cellStyle name="20% - Accent5 3 3 6 3" xfId="15795" xr:uid="{00000000-0005-0000-0000-0000D22F0000}"/>
    <cellStyle name="20% - Accent5 3 3 7" xfId="15796" xr:uid="{00000000-0005-0000-0000-0000D32F0000}"/>
    <cellStyle name="20% - Accent5 3 3 7 2" xfId="15797" xr:uid="{00000000-0005-0000-0000-0000D42F0000}"/>
    <cellStyle name="20% - Accent5 3 3 8" xfId="15798" xr:uid="{00000000-0005-0000-0000-0000D52F0000}"/>
    <cellStyle name="20% - Accent5 3 3 8 2" xfId="15799" xr:uid="{00000000-0005-0000-0000-0000D62F0000}"/>
    <cellStyle name="20% - Accent5 3 3 9" xfId="15800" xr:uid="{00000000-0005-0000-0000-0000D72F0000}"/>
    <cellStyle name="20% - Accent5 3 4" xfId="15801" xr:uid="{00000000-0005-0000-0000-0000D82F0000}"/>
    <cellStyle name="20% - Accent5 3 4 10" xfId="15802" xr:uid="{00000000-0005-0000-0000-0000D92F0000}"/>
    <cellStyle name="20% - Accent5 3 4 11" xfId="15803" xr:uid="{00000000-0005-0000-0000-0000DA2F0000}"/>
    <cellStyle name="20% - Accent5 3 4 2" xfId="15804" xr:uid="{00000000-0005-0000-0000-0000DB2F0000}"/>
    <cellStyle name="20% - Accent5 3 4 2 2" xfId="15805" xr:uid="{00000000-0005-0000-0000-0000DC2F0000}"/>
    <cellStyle name="20% - Accent5 3 4 2 2 2" xfId="15806" xr:uid="{00000000-0005-0000-0000-0000DD2F0000}"/>
    <cellStyle name="20% - Accent5 3 4 2 2 2 2" xfId="15807" xr:uid="{00000000-0005-0000-0000-0000DE2F0000}"/>
    <cellStyle name="20% - Accent5 3 4 2 2 2 2 2" xfId="15808" xr:uid="{00000000-0005-0000-0000-0000DF2F0000}"/>
    <cellStyle name="20% - Accent5 3 4 2 2 2 3" xfId="15809" xr:uid="{00000000-0005-0000-0000-0000E02F0000}"/>
    <cellStyle name="20% - Accent5 3 4 2 2 3" xfId="15810" xr:uid="{00000000-0005-0000-0000-0000E12F0000}"/>
    <cellStyle name="20% - Accent5 3 4 2 2 3 2" xfId="15811" xr:uid="{00000000-0005-0000-0000-0000E22F0000}"/>
    <cellStyle name="20% - Accent5 3 4 2 2 4" xfId="15812" xr:uid="{00000000-0005-0000-0000-0000E32F0000}"/>
    <cellStyle name="20% - Accent5 3 4 2 2 5" xfId="15813" xr:uid="{00000000-0005-0000-0000-0000E42F0000}"/>
    <cellStyle name="20% - Accent5 3 4 2 2 6" xfId="15814" xr:uid="{00000000-0005-0000-0000-0000E52F0000}"/>
    <cellStyle name="20% - Accent5 3 4 2 3" xfId="15815" xr:uid="{00000000-0005-0000-0000-0000E62F0000}"/>
    <cellStyle name="20% - Accent5 3 4 2 3 2" xfId="15816" xr:uid="{00000000-0005-0000-0000-0000E72F0000}"/>
    <cellStyle name="20% - Accent5 3 4 2 3 2 2" xfId="15817" xr:uid="{00000000-0005-0000-0000-0000E82F0000}"/>
    <cellStyle name="20% - Accent5 3 4 2 3 3" xfId="15818" xr:uid="{00000000-0005-0000-0000-0000E92F0000}"/>
    <cellStyle name="20% - Accent5 3 4 2 4" xfId="15819" xr:uid="{00000000-0005-0000-0000-0000EA2F0000}"/>
    <cellStyle name="20% - Accent5 3 4 2 4 2" xfId="15820" xr:uid="{00000000-0005-0000-0000-0000EB2F0000}"/>
    <cellStyle name="20% - Accent5 3 4 2 5" xfId="15821" xr:uid="{00000000-0005-0000-0000-0000EC2F0000}"/>
    <cellStyle name="20% - Accent5 3 4 2 5 2" xfId="15822" xr:uid="{00000000-0005-0000-0000-0000ED2F0000}"/>
    <cellStyle name="20% - Accent5 3 4 2 6" xfId="15823" xr:uid="{00000000-0005-0000-0000-0000EE2F0000}"/>
    <cellStyle name="20% - Accent5 3 4 2 7" xfId="15824" xr:uid="{00000000-0005-0000-0000-0000EF2F0000}"/>
    <cellStyle name="20% - Accent5 3 4 2 8" xfId="15825" xr:uid="{00000000-0005-0000-0000-0000F02F0000}"/>
    <cellStyle name="20% - Accent5 3 4 3" xfId="15826" xr:uid="{00000000-0005-0000-0000-0000F12F0000}"/>
    <cellStyle name="20% - Accent5 3 4 3 2" xfId="15827" xr:uid="{00000000-0005-0000-0000-0000F22F0000}"/>
    <cellStyle name="20% - Accent5 3 4 3 2 2" xfId="15828" xr:uid="{00000000-0005-0000-0000-0000F32F0000}"/>
    <cellStyle name="20% - Accent5 3 4 3 2 2 2" xfId="15829" xr:uid="{00000000-0005-0000-0000-0000F42F0000}"/>
    <cellStyle name="20% - Accent5 3 4 3 2 2 2 2" xfId="15830" xr:uid="{00000000-0005-0000-0000-0000F52F0000}"/>
    <cellStyle name="20% - Accent5 3 4 3 2 2 3" xfId="15831" xr:uid="{00000000-0005-0000-0000-0000F62F0000}"/>
    <cellStyle name="20% - Accent5 3 4 3 2 3" xfId="15832" xr:uid="{00000000-0005-0000-0000-0000F72F0000}"/>
    <cellStyle name="20% - Accent5 3 4 3 2 3 2" xfId="15833" xr:uid="{00000000-0005-0000-0000-0000F82F0000}"/>
    <cellStyle name="20% - Accent5 3 4 3 2 4" xfId="15834" xr:uid="{00000000-0005-0000-0000-0000F92F0000}"/>
    <cellStyle name="20% - Accent5 3 4 3 2 5" xfId="15835" xr:uid="{00000000-0005-0000-0000-0000FA2F0000}"/>
    <cellStyle name="20% - Accent5 3 4 3 2 6" xfId="15836" xr:uid="{00000000-0005-0000-0000-0000FB2F0000}"/>
    <cellStyle name="20% - Accent5 3 4 3 3" xfId="15837" xr:uid="{00000000-0005-0000-0000-0000FC2F0000}"/>
    <cellStyle name="20% - Accent5 3 4 3 3 2" xfId="15838" xr:uid="{00000000-0005-0000-0000-0000FD2F0000}"/>
    <cellStyle name="20% - Accent5 3 4 3 3 2 2" xfId="15839" xr:uid="{00000000-0005-0000-0000-0000FE2F0000}"/>
    <cellStyle name="20% - Accent5 3 4 3 3 3" xfId="15840" xr:uid="{00000000-0005-0000-0000-0000FF2F0000}"/>
    <cellStyle name="20% - Accent5 3 4 3 4" xfId="15841" xr:uid="{00000000-0005-0000-0000-000000300000}"/>
    <cellStyle name="20% - Accent5 3 4 3 4 2" xfId="15842" xr:uid="{00000000-0005-0000-0000-000001300000}"/>
    <cellStyle name="20% - Accent5 3 4 3 5" xfId="15843" xr:uid="{00000000-0005-0000-0000-000002300000}"/>
    <cellStyle name="20% - Accent5 3 4 3 6" xfId="15844" xr:uid="{00000000-0005-0000-0000-000003300000}"/>
    <cellStyle name="20% - Accent5 3 4 3 7" xfId="15845" xr:uid="{00000000-0005-0000-0000-000004300000}"/>
    <cellStyle name="20% - Accent5 3 4 4" xfId="15846" xr:uid="{00000000-0005-0000-0000-000005300000}"/>
    <cellStyle name="20% - Accent5 3 4 4 2" xfId="15847" xr:uid="{00000000-0005-0000-0000-000006300000}"/>
    <cellStyle name="20% - Accent5 3 4 4 2 2" xfId="15848" xr:uid="{00000000-0005-0000-0000-000007300000}"/>
    <cellStyle name="20% - Accent5 3 4 4 2 2 2" xfId="15849" xr:uid="{00000000-0005-0000-0000-000008300000}"/>
    <cellStyle name="20% - Accent5 3 4 4 2 3" xfId="15850" xr:uid="{00000000-0005-0000-0000-000009300000}"/>
    <cellStyle name="20% - Accent5 3 4 4 3" xfId="15851" xr:uid="{00000000-0005-0000-0000-00000A300000}"/>
    <cellStyle name="20% - Accent5 3 4 4 3 2" xfId="15852" xr:uid="{00000000-0005-0000-0000-00000B300000}"/>
    <cellStyle name="20% - Accent5 3 4 4 4" xfId="15853" xr:uid="{00000000-0005-0000-0000-00000C300000}"/>
    <cellStyle name="20% - Accent5 3 4 4 5" xfId="15854" xr:uid="{00000000-0005-0000-0000-00000D300000}"/>
    <cellStyle name="20% - Accent5 3 4 4 6" xfId="15855" xr:uid="{00000000-0005-0000-0000-00000E300000}"/>
    <cellStyle name="20% - Accent5 3 4 5" xfId="15856" xr:uid="{00000000-0005-0000-0000-00000F300000}"/>
    <cellStyle name="20% - Accent5 3 4 5 2" xfId="15857" xr:uid="{00000000-0005-0000-0000-000010300000}"/>
    <cellStyle name="20% - Accent5 3 4 5 2 2" xfId="15858" xr:uid="{00000000-0005-0000-0000-000011300000}"/>
    <cellStyle name="20% - Accent5 3 4 5 3" xfId="15859" xr:uid="{00000000-0005-0000-0000-000012300000}"/>
    <cellStyle name="20% - Accent5 3 4 6" xfId="15860" xr:uid="{00000000-0005-0000-0000-000013300000}"/>
    <cellStyle name="20% - Accent5 3 4 6 2" xfId="15861" xr:uid="{00000000-0005-0000-0000-000014300000}"/>
    <cellStyle name="20% - Accent5 3 4 6 2 2" xfId="15862" xr:uid="{00000000-0005-0000-0000-000015300000}"/>
    <cellStyle name="20% - Accent5 3 4 6 3" xfId="15863" xr:uid="{00000000-0005-0000-0000-000016300000}"/>
    <cellStyle name="20% - Accent5 3 4 7" xfId="15864" xr:uid="{00000000-0005-0000-0000-000017300000}"/>
    <cellStyle name="20% - Accent5 3 4 7 2" xfId="15865" xr:uid="{00000000-0005-0000-0000-000018300000}"/>
    <cellStyle name="20% - Accent5 3 4 8" xfId="15866" xr:uid="{00000000-0005-0000-0000-000019300000}"/>
    <cellStyle name="20% - Accent5 3 4 8 2" xfId="15867" xr:uid="{00000000-0005-0000-0000-00001A300000}"/>
    <cellStyle name="20% - Accent5 3 4 9" xfId="15868" xr:uid="{00000000-0005-0000-0000-00001B300000}"/>
    <cellStyle name="20% - Accent5 3 5" xfId="15869" xr:uid="{00000000-0005-0000-0000-00001C300000}"/>
    <cellStyle name="20% - Accent5 3 5 10" xfId="15870" xr:uid="{00000000-0005-0000-0000-00001D300000}"/>
    <cellStyle name="20% - Accent5 3 5 11" xfId="15871" xr:uid="{00000000-0005-0000-0000-00001E300000}"/>
    <cellStyle name="20% - Accent5 3 5 2" xfId="15872" xr:uid="{00000000-0005-0000-0000-00001F300000}"/>
    <cellStyle name="20% - Accent5 3 5 2 2" xfId="15873" xr:uid="{00000000-0005-0000-0000-000020300000}"/>
    <cellStyle name="20% - Accent5 3 5 2 2 2" xfId="15874" xr:uid="{00000000-0005-0000-0000-000021300000}"/>
    <cellStyle name="20% - Accent5 3 5 2 2 2 2" xfId="15875" xr:uid="{00000000-0005-0000-0000-000022300000}"/>
    <cellStyle name="20% - Accent5 3 5 2 2 2 2 2" xfId="15876" xr:uid="{00000000-0005-0000-0000-000023300000}"/>
    <cellStyle name="20% - Accent5 3 5 2 2 2 3" xfId="15877" xr:uid="{00000000-0005-0000-0000-000024300000}"/>
    <cellStyle name="20% - Accent5 3 5 2 2 3" xfId="15878" xr:uid="{00000000-0005-0000-0000-000025300000}"/>
    <cellStyle name="20% - Accent5 3 5 2 2 3 2" xfId="15879" xr:uid="{00000000-0005-0000-0000-000026300000}"/>
    <cellStyle name="20% - Accent5 3 5 2 2 4" xfId="15880" xr:uid="{00000000-0005-0000-0000-000027300000}"/>
    <cellStyle name="20% - Accent5 3 5 2 2 5" xfId="15881" xr:uid="{00000000-0005-0000-0000-000028300000}"/>
    <cellStyle name="20% - Accent5 3 5 2 2 6" xfId="15882" xr:uid="{00000000-0005-0000-0000-000029300000}"/>
    <cellStyle name="20% - Accent5 3 5 2 3" xfId="15883" xr:uid="{00000000-0005-0000-0000-00002A300000}"/>
    <cellStyle name="20% - Accent5 3 5 2 3 2" xfId="15884" xr:uid="{00000000-0005-0000-0000-00002B300000}"/>
    <cellStyle name="20% - Accent5 3 5 2 3 2 2" xfId="15885" xr:uid="{00000000-0005-0000-0000-00002C300000}"/>
    <cellStyle name="20% - Accent5 3 5 2 3 3" xfId="15886" xr:uid="{00000000-0005-0000-0000-00002D300000}"/>
    <cellStyle name="20% - Accent5 3 5 2 4" xfId="15887" xr:uid="{00000000-0005-0000-0000-00002E300000}"/>
    <cellStyle name="20% - Accent5 3 5 2 4 2" xfId="15888" xr:uid="{00000000-0005-0000-0000-00002F300000}"/>
    <cellStyle name="20% - Accent5 3 5 2 5" xfId="15889" xr:uid="{00000000-0005-0000-0000-000030300000}"/>
    <cellStyle name="20% - Accent5 3 5 2 5 2" xfId="15890" xr:uid="{00000000-0005-0000-0000-000031300000}"/>
    <cellStyle name="20% - Accent5 3 5 2 6" xfId="15891" xr:uid="{00000000-0005-0000-0000-000032300000}"/>
    <cellStyle name="20% - Accent5 3 5 2 7" xfId="15892" xr:uid="{00000000-0005-0000-0000-000033300000}"/>
    <cellStyle name="20% - Accent5 3 5 2 8" xfId="15893" xr:uid="{00000000-0005-0000-0000-000034300000}"/>
    <cellStyle name="20% - Accent5 3 5 3" xfId="15894" xr:uid="{00000000-0005-0000-0000-000035300000}"/>
    <cellStyle name="20% - Accent5 3 5 3 2" xfId="15895" xr:uid="{00000000-0005-0000-0000-000036300000}"/>
    <cellStyle name="20% - Accent5 3 5 3 2 2" xfId="15896" xr:uid="{00000000-0005-0000-0000-000037300000}"/>
    <cellStyle name="20% - Accent5 3 5 3 2 2 2" xfId="15897" xr:uid="{00000000-0005-0000-0000-000038300000}"/>
    <cellStyle name="20% - Accent5 3 5 3 2 2 2 2" xfId="15898" xr:uid="{00000000-0005-0000-0000-000039300000}"/>
    <cellStyle name="20% - Accent5 3 5 3 2 2 3" xfId="15899" xr:uid="{00000000-0005-0000-0000-00003A300000}"/>
    <cellStyle name="20% - Accent5 3 5 3 2 3" xfId="15900" xr:uid="{00000000-0005-0000-0000-00003B300000}"/>
    <cellStyle name="20% - Accent5 3 5 3 2 3 2" xfId="15901" xr:uid="{00000000-0005-0000-0000-00003C300000}"/>
    <cellStyle name="20% - Accent5 3 5 3 2 4" xfId="15902" xr:uid="{00000000-0005-0000-0000-00003D300000}"/>
    <cellStyle name="20% - Accent5 3 5 3 2 5" xfId="15903" xr:uid="{00000000-0005-0000-0000-00003E300000}"/>
    <cellStyle name="20% - Accent5 3 5 3 2 6" xfId="15904" xr:uid="{00000000-0005-0000-0000-00003F300000}"/>
    <cellStyle name="20% - Accent5 3 5 3 3" xfId="15905" xr:uid="{00000000-0005-0000-0000-000040300000}"/>
    <cellStyle name="20% - Accent5 3 5 3 3 2" xfId="15906" xr:uid="{00000000-0005-0000-0000-000041300000}"/>
    <cellStyle name="20% - Accent5 3 5 3 3 2 2" xfId="15907" xr:uid="{00000000-0005-0000-0000-000042300000}"/>
    <cellStyle name="20% - Accent5 3 5 3 3 3" xfId="15908" xr:uid="{00000000-0005-0000-0000-000043300000}"/>
    <cellStyle name="20% - Accent5 3 5 3 4" xfId="15909" xr:uid="{00000000-0005-0000-0000-000044300000}"/>
    <cellStyle name="20% - Accent5 3 5 3 4 2" xfId="15910" xr:uid="{00000000-0005-0000-0000-000045300000}"/>
    <cellStyle name="20% - Accent5 3 5 3 5" xfId="15911" xr:uid="{00000000-0005-0000-0000-000046300000}"/>
    <cellStyle name="20% - Accent5 3 5 3 6" xfId="15912" xr:uid="{00000000-0005-0000-0000-000047300000}"/>
    <cellStyle name="20% - Accent5 3 5 3 7" xfId="15913" xr:uid="{00000000-0005-0000-0000-000048300000}"/>
    <cellStyle name="20% - Accent5 3 5 4" xfId="15914" xr:uid="{00000000-0005-0000-0000-000049300000}"/>
    <cellStyle name="20% - Accent5 3 5 4 2" xfId="15915" xr:uid="{00000000-0005-0000-0000-00004A300000}"/>
    <cellStyle name="20% - Accent5 3 5 4 2 2" xfId="15916" xr:uid="{00000000-0005-0000-0000-00004B300000}"/>
    <cellStyle name="20% - Accent5 3 5 4 2 2 2" xfId="15917" xr:uid="{00000000-0005-0000-0000-00004C300000}"/>
    <cellStyle name="20% - Accent5 3 5 4 2 3" xfId="15918" xr:uid="{00000000-0005-0000-0000-00004D300000}"/>
    <cellStyle name="20% - Accent5 3 5 4 3" xfId="15919" xr:uid="{00000000-0005-0000-0000-00004E300000}"/>
    <cellStyle name="20% - Accent5 3 5 4 3 2" xfId="15920" xr:uid="{00000000-0005-0000-0000-00004F300000}"/>
    <cellStyle name="20% - Accent5 3 5 4 4" xfId="15921" xr:uid="{00000000-0005-0000-0000-000050300000}"/>
    <cellStyle name="20% - Accent5 3 5 4 5" xfId="15922" xr:uid="{00000000-0005-0000-0000-000051300000}"/>
    <cellStyle name="20% - Accent5 3 5 4 6" xfId="15923" xr:uid="{00000000-0005-0000-0000-000052300000}"/>
    <cellStyle name="20% - Accent5 3 5 5" xfId="15924" xr:uid="{00000000-0005-0000-0000-000053300000}"/>
    <cellStyle name="20% - Accent5 3 5 5 2" xfId="15925" xr:uid="{00000000-0005-0000-0000-000054300000}"/>
    <cellStyle name="20% - Accent5 3 5 5 2 2" xfId="15926" xr:uid="{00000000-0005-0000-0000-000055300000}"/>
    <cellStyle name="20% - Accent5 3 5 5 3" xfId="15927" xr:uid="{00000000-0005-0000-0000-000056300000}"/>
    <cellStyle name="20% - Accent5 3 5 6" xfId="15928" xr:uid="{00000000-0005-0000-0000-000057300000}"/>
    <cellStyle name="20% - Accent5 3 5 6 2" xfId="15929" xr:uid="{00000000-0005-0000-0000-000058300000}"/>
    <cellStyle name="20% - Accent5 3 5 6 2 2" xfId="15930" xr:uid="{00000000-0005-0000-0000-000059300000}"/>
    <cellStyle name="20% - Accent5 3 5 6 3" xfId="15931" xr:uid="{00000000-0005-0000-0000-00005A300000}"/>
    <cellStyle name="20% - Accent5 3 5 7" xfId="15932" xr:uid="{00000000-0005-0000-0000-00005B300000}"/>
    <cellStyle name="20% - Accent5 3 5 7 2" xfId="15933" xr:uid="{00000000-0005-0000-0000-00005C300000}"/>
    <cellStyle name="20% - Accent5 3 5 8" xfId="15934" xr:uid="{00000000-0005-0000-0000-00005D300000}"/>
    <cellStyle name="20% - Accent5 3 5 8 2" xfId="15935" xr:uid="{00000000-0005-0000-0000-00005E300000}"/>
    <cellStyle name="20% - Accent5 3 5 9" xfId="15936" xr:uid="{00000000-0005-0000-0000-00005F300000}"/>
    <cellStyle name="20% - Accent5 3 6" xfId="15937" xr:uid="{00000000-0005-0000-0000-000060300000}"/>
    <cellStyle name="20% - Accent5 3 6 10" xfId="15938" xr:uid="{00000000-0005-0000-0000-000061300000}"/>
    <cellStyle name="20% - Accent5 3 6 11" xfId="15939" xr:uid="{00000000-0005-0000-0000-000062300000}"/>
    <cellStyle name="20% - Accent5 3 6 2" xfId="15940" xr:uid="{00000000-0005-0000-0000-000063300000}"/>
    <cellStyle name="20% - Accent5 3 6 2 2" xfId="15941" xr:uid="{00000000-0005-0000-0000-000064300000}"/>
    <cellStyle name="20% - Accent5 3 6 2 2 2" xfId="15942" xr:uid="{00000000-0005-0000-0000-000065300000}"/>
    <cellStyle name="20% - Accent5 3 6 2 2 2 2" xfId="15943" xr:uid="{00000000-0005-0000-0000-000066300000}"/>
    <cellStyle name="20% - Accent5 3 6 2 2 2 2 2" xfId="15944" xr:uid="{00000000-0005-0000-0000-000067300000}"/>
    <cellStyle name="20% - Accent5 3 6 2 2 2 3" xfId="15945" xr:uid="{00000000-0005-0000-0000-000068300000}"/>
    <cellStyle name="20% - Accent5 3 6 2 2 3" xfId="15946" xr:uid="{00000000-0005-0000-0000-000069300000}"/>
    <cellStyle name="20% - Accent5 3 6 2 2 3 2" xfId="15947" xr:uid="{00000000-0005-0000-0000-00006A300000}"/>
    <cellStyle name="20% - Accent5 3 6 2 2 4" xfId="15948" xr:uid="{00000000-0005-0000-0000-00006B300000}"/>
    <cellStyle name="20% - Accent5 3 6 2 2 5" xfId="15949" xr:uid="{00000000-0005-0000-0000-00006C300000}"/>
    <cellStyle name="20% - Accent5 3 6 2 2 6" xfId="15950" xr:uid="{00000000-0005-0000-0000-00006D300000}"/>
    <cellStyle name="20% - Accent5 3 6 2 3" xfId="15951" xr:uid="{00000000-0005-0000-0000-00006E300000}"/>
    <cellStyle name="20% - Accent5 3 6 2 3 2" xfId="15952" xr:uid="{00000000-0005-0000-0000-00006F300000}"/>
    <cellStyle name="20% - Accent5 3 6 2 3 2 2" xfId="15953" xr:uid="{00000000-0005-0000-0000-000070300000}"/>
    <cellStyle name="20% - Accent5 3 6 2 3 3" xfId="15954" xr:uid="{00000000-0005-0000-0000-000071300000}"/>
    <cellStyle name="20% - Accent5 3 6 2 4" xfId="15955" xr:uid="{00000000-0005-0000-0000-000072300000}"/>
    <cellStyle name="20% - Accent5 3 6 2 4 2" xfId="15956" xr:uid="{00000000-0005-0000-0000-000073300000}"/>
    <cellStyle name="20% - Accent5 3 6 2 5" xfId="15957" xr:uid="{00000000-0005-0000-0000-000074300000}"/>
    <cellStyle name="20% - Accent5 3 6 2 5 2" xfId="15958" xr:uid="{00000000-0005-0000-0000-000075300000}"/>
    <cellStyle name="20% - Accent5 3 6 2 6" xfId="15959" xr:uid="{00000000-0005-0000-0000-000076300000}"/>
    <cellStyle name="20% - Accent5 3 6 2 7" xfId="15960" xr:uid="{00000000-0005-0000-0000-000077300000}"/>
    <cellStyle name="20% - Accent5 3 6 2 8" xfId="15961" xr:uid="{00000000-0005-0000-0000-000078300000}"/>
    <cellStyle name="20% - Accent5 3 6 3" xfId="15962" xr:uid="{00000000-0005-0000-0000-000079300000}"/>
    <cellStyle name="20% - Accent5 3 6 3 2" xfId="15963" xr:uid="{00000000-0005-0000-0000-00007A300000}"/>
    <cellStyle name="20% - Accent5 3 6 3 2 2" xfId="15964" xr:uid="{00000000-0005-0000-0000-00007B300000}"/>
    <cellStyle name="20% - Accent5 3 6 3 2 2 2" xfId="15965" xr:uid="{00000000-0005-0000-0000-00007C300000}"/>
    <cellStyle name="20% - Accent5 3 6 3 2 2 2 2" xfId="15966" xr:uid="{00000000-0005-0000-0000-00007D300000}"/>
    <cellStyle name="20% - Accent5 3 6 3 2 2 3" xfId="15967" xr:uid="{00000000-0005-0000-0000-00007E300000}"/>
    <cellStyle name="20% - Accent5 3 6 3 2 3" xfId="15968" xr:uid="{00000000-0005-0000-0000-00007F300000}"/>
    <cellStyle name="20% - Accent5 3 6 3 2 3 2" xfId="15969" xr:uid="{00000000-0005-0000-0000-000080300000}"/>
    <cellStyle name="20% - Accent5 3 6 3 2 4" xfId="15970" xr:uid="{00000000-0005-0000-0000-000081300000}"/>
    <cellStyle name="20% - Accent5 3 6 3 2 5" xfId="15971" xr:uid="{00000000-0005-0000-0000-000082300000}"/>
    <cellStyle name="20% - Accent5 3 6 3 2 6" xfId="15972" xr:uid="{00000000-0005-0000-0000-000083300000}"/>
    <cellStyle name="20% - Accent5 3 6 3 3" xfId="15973" xr:uid="{00000000-0005-0000-0000-000084300000}"/>
    <cellStyle name="20% - Accent5 3 6 3 3 2" xfId="15974" xr:uid="{00000000-0005-0000-0000-000085300000}"/>
    <cellStyle name="20% - Accent5 3 6 3 3 2 2" xfId="15975" xr:uid="{00000000-0005-0000-0000-000086300000}"/>
    <cellStyle name="20% - Accent5 3 6 3 3 3" xfId="15976" xr:uid="{00000000-0005-0000-0000-000087300000}"/>
    <cellStyle name="20% - Accent5 3 6 3 4" xfId="15977" xr:uid="{00000000-0005-0000-0000-000088300000}"/>
    <cellStyle name="20% - Accent5 3 6 3 4 2" xfId="15978" xr:uid="{00000000-0005-0000-0000-000089300000}"/>
    <cellStyle name="20% - Accent5 3 6 3 5" xfId="15979" xr:uid="{00000000-0005-0000-0000-00008A300000}"/>
    <cellStyle name="20% - Accent5 3 6 3 6" xfId="15980" xr:uid="{00000000-0005-0000-0000-00008B300000}"/>
    <cellStyle name="20% - Accent5 3 6 3 7" xfId="15981" xr:uid="{00000000-0005-0000-0000-00008C300000}"/>
    <cellStyle name="20% - Accent5 3 6 4" xfId="15982" xr:uid="{00000000-0005-0000-0000-00008D300000}"/>
    <cellStyle name="20% - Accent5 3 6 4 2" xfId="15983" xr:uid="{00000000-0005-0000-0000-00008E300000}"/>
    <cellStyle name="20% - Accent5 3 6 4 2 2" xfId="15984" xr:uid="{00000000-0005-0000-0000-00008F300000}"/>
    <cellStyle name="20% - Accent5 3 6 4 2 2 2" xfId="15985" xr:uid="{00000000-0005-0000-0000-000090300000}"/>
    <cellStyle name="20% - Accent5 3 6 4 2 3" xfId="15986" xr:uid="{00000000-0005-0000-0000-000091300000}"/>
    <cellStyle name="20% - Accent5 3 6 4 3" xfId="15987" xr:uid="{00000000-0005-0000-0000-000092300000}"/>
    <cellStyle name="20% - Accent5 3 6 4 3 2" xfId="15988" xr:uid="{00000000-0005-0000-0000-000093300000}"/>
    <cellStyle name="20% - Accent5 3 6 4 4" xfId="15989" xr:uid="{00000000-0005-0000-0000-000094300000}"/>
    <cellStyle name="20% - Accent5 3 6 4 5" xfId="15990" xr:uid="{00000000-0005-0000-0000-000095300000}"/>
    <cellStyle name="20% - Accent5 3 6 4 6" xfId="15991" xr:uid="{00000000-0005-0000-0000-000096300000}"/>
    <cellStyle name="20% - Accent5 3 6 5" xfId="15992" xr:uid="{00000000-0005-0000-0000-000097300000}"/>
    <cellStyle name="20% - Accent5 3 6 5 2" xfId="15993" xr:uid="{00000000-0005-0000-0000-000098300000}"/>
    <cellStyle name="20% - Accent5 3 6 5 2 2" xfId="15994" xr:uid="{00000000-0005-0000-0000-000099300000}"/>
    <cellStyle name="20% - Accent5 3 6 5 3" xfId="15995" xr:uid="{00000000-0005-0000-0000-00009A300000}"/>
    <cellStyle name="20% - Accent5 3 6 6" xfId="15996" xr:uid="{00000000-0005-0000-0000-00009B300000}"/>
    <cellStyle name="20% - Accent5 3 6 6 2" xfId="15997" xr:uid="{00000000-0005-0000-0000-00009C300000}"/>
    <cellStyle name="20% - Accent5 3 6 6 2 2" xfId="15998" xr:uid="{00000000-0005-0000-0000-00009D300000}"/>
    <cellStyle name="20% - Accent5 3 6 6 3" xfId="15999" xr:uid="{00000000-0005-0000-0000-00009E300000}"/>
    <cellStyle name="20% - Accent5 3 6 7" xfId="16000" xr:uid="{00000000-0005-0000-0000-00009F300000}"/>
    <cellStyle name="20% - Accent5 3 6 7 2" xfId="16001" xr:uid="{00000000-0005-0000-0000-0000A0300000}"/>
    <cellStyle name="20% - Accent5 3 6 8" xfId="16002" xr:uid="{00000000-0005-0000-0000-0000A1300000}"/>
    <cellStyle name="20% - Accent5 3 6 8 2" xfId="16003" xr:uid="{00000000-0005-0000-0000-0000A2300000}"/>
    <cellStyle name="20% - Accent5 3 6 9" xfId="16004" xr:uid="{00000000-0005-0000-0000-0000A3300000}"/>
    <cellStyle name="20% - Accent5 3 7" xfId="16005" xr:uid="{00000000-0005-0000-0000-0000A4300000}"/>
    <cellStyle name="20% - Accent5 3 7 10" xfId="16006" xr:uid="{00000000-0005-0000-0000-0000A5300000}"/>
    <cellStyle name="20% - Accent5 3 7 11" xfId="16007" xr:uid="{00000000-0005-0000-0000-0000A6300000}"/>
    <cellStyle name="20% - Accent5 3 7 2" xfId="16008" xr:uid="{00000000-0005-0000-0000-0000A7300000}"/>
    <cellStyle name="20% - Accent5 3 7 2 2" xfId="16009" xr:uid="{00000000-0005-0000-0000-0000A8300000}"/>
    <cellStyle name="20% - Accent5 3 7 2 2 2" xfId="16010" xr:uid="{00000000-0005-0000-0000-0000A9300000}"/>
    <cellStyle name="20% - Accent5 3 7 2 2 2 2" xfId="16011" xr:uid="{00000000-0005-0000-0000-0000AA300000}"/>
    <cellStyle name="20% - Accent5 3 7 2 2 2 2 2" xfId="16012" xr:uid="{00000000-0005-0000-0000-0000AB300000}"/>
    <cellStyle name="20% - Accent5 3 7 2 2 2 3" xfId="16013" xr:uid="{00000000-0005-0000-0000-0000AC300000}"/>
    <cellStyle name="20% - Accent5 3 7 2 2 3" xfId="16014" xr:uid="{00000000-0005-0000-0000-0000AD300000}"/>
    <cellStyle name="20% - Accent5 3 7 2 2 3 2" xfId="16015" xr:uid="{00000000-0005-0000-0000-0000AE300000}"/>
    <cellStyle name="20% - Accent5 3 7 2 2 4" xfId="16016" xr:uid="{00000000-0005-0000-0000-0000AF300000}"/>
    <cellStyle name="20% - Accent5 3 7 2 2 5" xfId="16017" xr:uid="{00000000-0005-0000-0000-0000B0300000}"/>
    <cellStyle name="20% - Accent5 3 7 2 2 6" xfId="16018" xr:uid="{00000000-0005-0000-0000-0000B1300000}"/>
    <cellStyle name="20% - Accent5 3 7 2 3" xfId="16019" xr:uid="{00000000-0005-0000-0000-0000B2300000}"/>
    <cellStyle name="20% - Accent5 3 7 2 3 2" xfId="16020" xr:uid="{00000000-0005-0000-0000-0000B3300000}"/>
    <cellStyle name="20% - Accent5 3 7 2 3 2 2" xfId="16021" xr:uid="{00000000-0005-0000-0000-0000B4300000}"/>
    <cellStyle name="20% - Accent5 3 7 2 3 3" xfId="16022" xr:uid="{00000000-0005-0000-0000-0000B5300000}"/>
    <cellStyle name="20% - Accent5 3 7 2 4" xfId="16023" xr:uid="{00000000-0005-0000-0000-0000B6300000}"/>
    <cellStyle name="20% - Accent5 3 7 2 4 2" xfId="16024" xr:uid="{00000000-0005-0000-0000-0000B7300000}"/>
    <cellStyle name="20% - Accent5 3 7 2 5" xfId="16025" xr:uid="{00000000-0005-0000-0000-0000B8300000}"/>
    <cellStyle name="20% - Accent5 3 7 2 5 2" xfId="16026" xr:uid="{00000000-0005-0000-0000-0000B9300000}"/>
    <cellStyle name="20% - Accent5 3 7 2 6" xfId="16027" xr:uid="{00000000-0005-0000-0000-0000BA300000}"/>
    <cellStyle name="20% - Accent5 3 7 2 7" xfId="16028" xr:uid="{00000000-0005-0000-0000-0000BB300000}"/>
    <cellStyle name="20% - Accent5 3 7 2 8" xfId="16029" xr:uid="{00000000-0005-0000-0000-0000BC300000}"/>
    <cellStyle name="20% - Accent5 3 7 3" xfId="16030" xr:uid="{00000000-0005-0000-0000-0000BD300000}"/>
    <cellStyle name="20% - Accent5 3 7 3 2" xfId="16031" xr:uid="{00000000-0005-0000-0000-0000BE300000}"/>
    <cellStyle name="20% - Accent5 3 7 3 2 2" xfId="16032" xr:uid="{00000000-0005-0000-0000-0000BF300000}"/>
    <cellStyle name="20% - Accent5 3 7 3 2 2 2" xfId="16033" xr:uid="{00000000-0005-0000-0000-0000C0300000}"/>
    <cellStyle name="20% - Accent5 3 7 3 2 2 2 2" xfId="16034" xr:uid="{00000000-0005-0000-0000-0000C1300000}"/>
    <cellStyle name="20% - Accent5 3 7 3 2 2 3" xfId="16035" xr:uid="{00000000-0005-0000-0000-0000C2300000}"/>
    <cellStyle name="20% - Accent5 3 7 3 2 3" xfId="16036" xr:uid="{00000000-0005-0000-0000-0000C3300000}"/>
    <cellStyle name="20% - Accent5 3 7 3 2 3 2" xfId="16037" xr:uid="{00000000-0005-0000-0000-0000C4300000}"/>
    <cellStyle name="20% - Accent5 3 7 3 2 4" xfId="16038" xr:uid="{00000000-0005-0000-0000-0000C5300000}"/>
    <cellStyle name="20% - Accent5 3 7 3 2 5" xfId="16039" xr:uid="{00000000-0005-0000-0000-0000C6300000}"/>
    <cellStyle name="20% - Accent5 3 7 3 2 6" xfId="16040" xr:uid="{00000000-0005-0000-0000-0000C7300000}"/>
    <cellStyle name="20% - Accent5 3 7 3 3" xfId="16041" xr:uid="{00000000-0005-0000-0000-0000C8300000}"/>
    <cellStyle name="20% - Accent5 3 7 3 3 2" xfId="16042" xr:uid="{00000000-0005-0000-0000-0000C9300000}"/>
    <cellStyle name="20% - Accent5 3 7 3 3 2 2" xfId="16043" xr:uid="{00000000-0005-0000-0000-0000CA300000}"/>
    <cellStyle name="20% - Accent5 3 7 3 3 3" xfId="16044" xr:uid="{00000000-0005-0000-0000-0000CB300000}"/>
    <cellStyle name="20% - Accent5 3 7 3 4" xfId="16045" xr:uid="{00000000-0005-0000-0000-0000CC300000}"/>
    <cellStyle name="20% - Accent5 3 7 3 4 2" xfId="16046" xr:uid="{00000000-0005-0000-0000-0000CD300000}"/>
    <cellStyle name="20% - Accent5 3 7 3 5" xfId="16047" xr:uid="{00000000-0005-0000-0000-0000CE300000}"/>
    <cellStyle name="20% - Accent5 3 7 3 6" xfId="16048" xr:uid="{00000000-0005-0000-0000-0000CF300000}"/>
    <cellStyle name="20% - Accent5 3 7 3 7" xfId="16049" xr:uid="{00000000-0005-0000-0000-0000D0300000}"/>
    <cellStyle name="20% - Accent5 3 7 4" xfId="16050" xr:uid="{00000000-0005-0000-0000-0000D1300000}"/>
    <cellStyle name="20% - Accent5 3 7 4 2" xfId="16051" xr:uid="{00000000-0005-0000-0000-0000D2300000}"/>
    <cellStyle name="20% - Accent5 3 7 4 2 2" xfId="16052" xr:uid="{00000000-0005-0000-0000-0000D3300000}"/>
    <cellStyle name="20% - Accent5 3 7 4 2 2 2" xfId="16053" xr:uid="{00000000-0005-0000-0000-0000D4300000}"/>
    <cellStyle name="20% - Accent5 3 7 4 2 3" xfId="16054" xr:uid="{00000000-0005-0000-0000-0000D5300000}"/>
    <cellStyle name="20% - Accent5 3 7 4 3" xfId="16055" xr:uid="{00000000-0005-0000-0000-0000D6300000}"/>
    <cellStyle name="20% - Accent5 3 7 4 3 2" xfId="16056" xr:uid="{00000000-0005-0000-0000-0000D7300000}"/>
    <cellStyle name="20% - Accent5 3 7 4 4" xfId="16057" xr:uid="{00000000-0005-0000-0000-0000D8300000}"/>
    <cellStyle name="20% - Accent5 3 7 4 5" xfId="16058" xr:uid="{00000000-0005-0000-0000-0000D9300000}"/>
    <cellStyle name="20% - Accent5 3 7 4 6" xfId="16059" xr:uid="{00000000-0005-0000-0000-0000DA300000}"/>
    <cellStyle name="20% - Accent5 3 7 5" xfId="16060" xr:uid="{00000000-0005-0000-0000-0000DB300000}"/>
    <cellStyle name="20% - Accent5 3 7 5 2" xfId="16061" xr:uid="{00000000-0005-0000-0000-0000DC300000}"/>
    <cellStyle name="20% - Accent5 3 7 5 2 2" xfId="16062" xr:uid="{00000000-0005-0000-0000-0000DD300000}"/>
    <cellStyle name="20% - Accent5 3 7 5 3" xfId="16063" xr:uid="{00000000-0005-0000-0000-0000DE300000}"/>
    <cellStyle name="20% - Accent5 3 7 6" xfId="16064" xr:uid="{00000000-0005-0000-0000-0000DF300000}"/>
    <cellStyle name="20% - Accent5 3 7 6 2" xfId="16065" xr:uid="{00000000-0005-0000-0000-0000E0300000}"/>
    <cellStyle name="20% - Accent5 3 7 6 2 2" xfId="16066" xr:uid="{00000000-0005-0000-0000-0000E1300000}"/>
    <cellStyle name="20% - Accent5 3 7 6 3" xfId="16067" xr:uid="{00000000-0005-0000-0000-0000E2300000}"/>
    <cellStyle name="20% - Accent5 3 7 7" xfId="16068" xr:uid="{00000000-0005-0000-0000-0000E3300000}"/>
    <cellStyle name="20% - Accent5 3 7 7 2" xfId="16069" xr:uid="{00000000-0005-0000-0000-0000E4300000}"/>
    <cellStyle name="20% - Accent5 3 7 8" xfId="16070" xr:uid="{00000000-0005-0000-0000-0000E5300000}"/>
    <cellStyle name="20% - Accent5 3 7 8 2" xfId="16071" xr:uid="{00000000-0005-0000-0000-0000E6300000}"/>
    <cellStyle name="20% - Accent5 3 7 9" xfId="16072" xr:uid="{00000000-0005-0000-0000-0000E7300000}"/>
    <cellStyle name="20% - Accent5 3 8" xfId="16073" xr:uid="{00000000-0005-0000-0000-0000E8300000}"/>
    <cellStyle name="20% - Accent5 3 8 10" xfId="16074" xr:uid="{00000000-0005-0000-0000-0000E9300000}"/>
    <cellStyle name="20% - Accent5 3 8 11" xfId="16075" xr:uid="{00000000-0005-0000-0000-0000EA300000}"/>
    <cellStyle name="20% - Accent5 3 8 2" xfId="16076" xr:uid="{00000000-0005-0000-0000-0000EB300000}"/>
    <cellStyle name="20% - Accent5 3 8 2 2" xfId="16077" xr:uid="{00000000-0005-0000-0000-0000EC300000}"/>
    <cellStyle name="20% - Accent5 3 8 2 2 2" xfId="16078" xr:uid="{00000000-0005-0000-0000-0000ED300000}"/>
    <cellStyle name="20% - Accent5 3 8 2 2 2 2" xfId="16079" xr:uid="{00000000-0005-0000-0000-0000EE300000}"/>
    <cellStyle name="20% - Accent5 3 8 2 2 2 2 2" xfId="16080" xr:uid="{00000000-0005-0000-0000-0000EF300000}"/>
    <cellStyle name="20% - Accent5 3 8 2 2 2 3" xfId="16081" xr:uid="{00000000-0005-0000-0000-0000F0300000}"/>
    <cellStyle name="20% - Accent5 3 8 2 2 3" xfId="16082" xr:uid="{00000000-0005-0000-0000-0000F1300000}"/>
    <cellStyle name="20% - Accent5 3 8 2 2 3 2" xfId="16083" xr:uid="{00000000-0005-0000-0000-0000F2300000}"/>
    <cellStyle name="20% - Accent5 3 8 2 2 4" xfId="16084" xr:uid="{00000000-0005-0000-0000-0000F3300000}"/>
    <cellStyle name="20% - Accent5 3 8 2 2 5" xfId="16085" xr:uid="{00000000-0005-0000-0000-0000F4300000}"/>
    <cellStyle name="20% - Accent5 3 8 2 2 6" xfId="16086" xr:uid="{00000000-0005-0000-0000-0000F5300000}"/>
    <cellStyle name="20% - Accent5 3 8 2 3" xfId="16087" xr:uid="{00000000-0005-0000-0000-0000F6300000}"/>
    <cellStyle name="20% - Accent5 3 8 2 3 2" xfId="16088" xr:uid="{00000000-0005-0000-0000-0000F7300000}"/>
    <cellStyle name="20% - Accent5 3 8 2 3 2 2" xfId="16089" xr:uid="{00000000-0005-0000-0000-0000F8300000}"/>
    <cellStyle name="20% - Accent5 3 8 2 3 3" xfId="16090" xr:uid="{00000000-0005-0000-0000-0000F9300000}"/>
    <cellStyle name="20% - Accent5 3 8 2 4" xfId="16091" xr:uid="{00000000-0005-0000-0000-0000FA300000}"/>
    <cellStyle name="20% - Accent5 3 8 2 4 2" xfId="16092" xr:uid="{00000000-0005-0000-0000-0000FB300000}"/>
    <cellStyle name="20% - Accent5 3 8 2 5" xfId="16093" xr:uid="{00000000-0005-0000-0000-0000FC300000}"/>
    <cellStyle name="20% - Accent5 3 8 2 5 2" xfId="16094" xr:uid="{00000000-0005-0000-0000-0000FD300000}"/>
    <cellStyle name="20% - Accent5 3 8 2 6" xfId="16095" xr:uid="{00000000-0005-0000-0000-0000FE300000}"/>
    <cellStyle name="20% - Accent5 3 8 2 7" xfId="16096" xr:uid="{00000000-0005-0000-0000-0000FF300000}"/>
    <cellStyle name="20% - Accent5 3 8 2 8" xfId="16097" xr:uid="{00000000-0005-0000-0000-000000310000}"/>
    <cellStyle name="20% - Accent5 3 8 3" xfId="16098" xr:uid="{00000000-0005-0000-0000-000001310000}"/>
    <cellStyle name="20% - Accent5 3 8 3 2" xfId="16099" xr:uid="{00000000-0005-0000-0000-000002310000}"/>
    <cellStyle name="20% - Accent5 3 8 3 2 2" xfId="16100" xr:uid="{00000000-0005-0000-0000-000003310000}"/>
    <cellStyle name="20% - Accent5 3 8 3 2 2 2" xfId="16101" xr:uid="{00000000-0005-0000-0000-000004310000}"/>
    <cellStyle name="20% - Accent5 3 8 3 2 2 2 2" xfId="16102" xr:uid="{00000000-0005-0000-0000-000005310000}"/>
    <cellStyle name="20% - Accent5 3 8 3 2 2 3" xfId="16103" xr:uid="{00000000-0005-0000-0000-000006310000}"/>
    <cellStyle name="20% - Accent5 3 8 3 2 3" xfId="16104" xr:uid="{00000000-0005-0000-0000-000007310000}"/>
    <cellStyle name="20% - Accent5 3 8 3 2 3 2" xfId="16105" xr:uid="{00000000-0005-0000-0000-000008310000}"/>
    <cellStyle name="20% - Accent5 3 8 3 2 4" xfId="16106" xr:uid="{00000000-0005-0000-0000-000009310000}"/>
    <cellStyle name="20% - Accent5 3 8 3 2 5" xfId="16107" xr:uid="{00000000-0005-0000-0000-00000A310000}"/>
    <cellStyle name="20% - Accent5 3 8 3 2 6" xfId="16108" xr:uid="{00000000-0005-0000-0000-00000B310000}"/>
    <cellStyle name="20% - Accent5 3 8 3 3" xfId="16109" xr:uid="{00000000-0005-0000-0000-00000C310000}"/>
    <cellStyle name="20% - Accent5 3 8 3 3 2" xfId="16110" xr:uid="{00000000-0005-0000-0000-00000D310000}"/>
    <cellStyle name="20% - Accent5 3 8 3 3 2 2" xfId="16111" xr:uid="{00000000-0005-0000-0000-00000E310000}"/>
    <cellStyle name="20% - Accent5 3 8 3 3 3" xfId="16112" xr:uid="{00000000-0005-0000-0000-00000F310000}"/>
    <cellStyle name="20% - Accent5 3 8 3 4" xfId="16113" xr:uid="{00000000-0005-0000-0000-000010310000}"/>
    <cellStyle name="20% - Accent5 3 8 3 4 2" xfId="16114" xr:uid="{00000000-0005-0000-0000-000011310000}"/>
    <cellStyle name="20% - Accent5 3 8 3 5" xfId="16115" xr:uid="{00000000-0005-0000-0000-000012310000}"/>
    <cellStyle name="20% - Accent5 3 8 3 6" xfId="16116" xr:uid="{00000000-0005-0000-0000-000013310000}"/>
    <cellStyle name="20% - Accent5 3 8 3 7" xfId="16117" xr:uid="{00000000-0005-0000-0000-000014310000}"/>
    <cellStyle name="20% - Accent5 3 8 4" xfId="16118" xr:uid="{00000000-0005-0000-0000-000015310000}"/>
    <cellStyle name="20% - Accent5 3 8 4 2" xfId="16119" xr:uid="{00000000-0005-0000-0000-000016310000}"/>
    <cellStyle name="20% - Accent5 3 8 4 2 2" xfId="16120" xr:uid="{00000000-0005-0000-0000-000017310000}"/>
    <cellStyle name="20% - Accent5 3 8 4 2 2 2" xfId="16121" xr:uid="{00000000-0005-0000-0000-000018310000}"/>
    <cellStyle name="20% - Accent5 3 8 4 2 3" xfId="16122" xr:uid="{00000000-0005-0000-0000-000019310000}"/>
    <cellStyle name="20% - Accent5 3 8 4 3" xfId="16123" xr:uid="{00000000-0005-0000-0000-00001A310000}"/>
    <cellStyle name="20% - Accent5 3 8 4 3 2" xfId="16124" xr:uid="{00000000-0005-0000-0000-00001B310000}"/>
    <cellStyle name="20% - Accent5 3 8 4 4" xfId="16125" xr:uid="{00000000-0005-0000-0000-00001C310000}"/>
    <cellStyle name="20% - Accent5 3 8 4 5" xfId="16126" xr:uid="{00000000-0005-0000-0000-00001D310000}"/>
    <cellStyle name="20% - Accent5 3 8 4 6" xfId="16127" xr:uid="{00000000-0005-0000-0000-00001E310000}"/>
    <cellStyle name="20% - Accent5 3 8 5" xfId="16128" xr:uid="{00000000-0005-0000-0000-00001F310000}"/>
    <cellStyle name="20% - Accent5 3 8 5 2" xfId="16129" xr:uid="{00000000-0005-0000-0000-000020310000}"/>
    <cellStyle name="20% - Accent5 3 8 5 2 2" xfId="16130" xr:uid="{00000000-0005-0000-0000-000021310000}"/>
    <cellStyle name="20% - Accent5 3 8 5 3" xfId="16131" xr:uid="{00000000-0005-0000-0000-000022310000}"/>
    <cellStyle name="20% - Accent5 3 8 6" xfId="16132" xr:uid="{00000000-0005-0000-0000-000023310000}"/>
    <cellStyle name="20% - Accent5 3 8 6 2" xfId="16133" xr:uid="{00000000-0005-0000-0000-000024310000}"/>
    <cellStyle name="20% - Accent5 3 8 6 2 2" xfId="16134" xr:uid="{00000000-0005-0000-0000-000025310000}"/>
    <cellStyle name="20% - Accent5 3 8 6 3" xfId="16135" xr:uid="{00000000-0005-0000-0000-000026310000}"/>
    <cellStyle name="20% - Accent5 3 8 7" xfId="16136" xr:uid="{00000000-0005-0000-0000-000027310000}"/>
    <cellStyle name="20% - Accent5 3 8 7 2" xfId="16137" xr:uid="{00000000-0005-0000-0000-000028310000}"/>
    <cellStyle name="20% - Accent5 3 8 8" xfId="16138" xr:uid="{00000000-0005-0000-0000-000029310000}"/>
    <cellStyle name="20% - Accent5 3 8 8 2" xfId="16139" xr:uid="{00000000-0005-0000-0000-00002A310000}"/>
    <cellStyle name="20% - Accent5 3 8 9" xfId="16140" xr:uid="{00000000-0005-0000-0000-00002B310000}"/>
    <cellStyle name="20% - Accent5 3 9" xfId="16141" xr:uid="{00000000-0005-0000-0000-00002C310000}"/>
    <cellStyle name="20% - Accent5 3 9 2" xfId="16142" xr:uid="{00000000-0005-0000-0000-00002D310000}"/>
    <cellStyle name="20% - Accent5 3 9 2 2" xfId="16143" xr:uid="{00000000-0005-0000-0000-00002E310000}"/>
    <cellStyle name="20% - Accent5 4" xfId="183" xr:uid="{00000000-0005-0000-0000-00002F310000}"/>
    <cellStyle name="20% - Accent5 4 10" xfId="16144" xr:uid="{00000000-0005-0000-0000-000030310000}"/>
    <cellStyle name="20% - Accent5 4 10 2" xfId="16145" xr:uid="{00000000-0005-0000-0000-000031310000}"/>
    <cellStyle name="20% - Accent5 4 10 2 2" xfId="16146" xr:uid="{00000000-0005-0000-0000-000032310000}"/>
    <cellStyle name="20% - Accent5 4 10 2 2 2" xfId="16147" xr:uid="{00000000-0005-0000-0000-000033310000}"/>
    <cellStyle name="20% - Accent5 4 10 2 2 2 2" xfId="16148" xr:uid="{00000000-0005-0000-0000-000034310000}"/>
    <cellStyle name="20% - Accent5 4 10 2 2 3" xfId="16149" xr:uid="{00000000-0005-0000-0000-000035310000}"/>
    <cellStyle name="20% - Accent5 4 10 2 3" xfId="16150" xr:uid="{00000000-0005-0000-0000-000036310000}"/>
    <cellStyle name="20% - Accent5 4 10 2 3 2" xfId="16151" xr:uid="{00000000-0005-0000-0000-000037310000}"/>
    <cellStyle name="20% - Accent5 4 10 2 4" xfId="16152" xr:uid="{00000000-0005-0000-0000-000038310000}"/>
    <cellStyle name="20% - Accent5 4 10 2 5" xfId="16153" xr:uid="{00000000-0005-0000-0000-000039310000}"/>
    <cellStyle name="20% - Accent5 4 10 2 6" xfId="16154" xr:uid="{00000000-0005-0000-0000-00003A310000}"/>
    <cellStyle name="20% - Accent5 4 10 3" xfId="16155" xr:uid="{00000000-0005-0000-0000-00003B310000}"/>
    <cellStyle name="20% - Accent5 4 10 3 2" xfId="16156" xr:uid="{00000000-0005-0000-0000-00003C310000}"/>
    <cellStyle name="20% - Accent5 4 10 3 2 2" xfId="16157" xr:uid="{00000000-0005-0000-0000-00003D310000}"/>
    <cellStyle name="20% - Accent5 4 10 3 3" xfId="16158" xr:uid="{00000000-0005-0000-0000-00003E310000}"/>
    <cellStyle name="20% - Accent5 4 10 4" xfId="16159" xr:uid="{00000000-0005-0000-0000-00003F310000}"/>
    <cellStyle name="20% - Accent5 4 10 4 2" xfId="16160" xr:uid="{00000000-0005-0000-0000-000040310000}"/>
    <cellStyle name="20% - Accent5 4 10 4 2 2" xfId="16161" xr:uid="{00000000-0005-0000-0000-000041310000}"/>
    <cellStyle name="20% - Accent5 4 10 4 3" xfId="16162" xr:uid="{00000000-0005-0000-0000-000042310000}"/>
    <cellStyle name="20% - Accent5 4 10 5" xfId="16163" xr:uid="{00000000-0005-0000-0000-000043310000}"/>
    <cellStyle name="20% - Accent5 4 10 6" xfId="16164" xr:uid="{00000000-0005-0000-0000-000044310000}"/>
    <cellStyle name="20% - Accent5 4 11" xfId="16165" xr:uid="{00000000-0005-0000-0000-000045310000}"/>
    <cellStyle name="20% - Accent5 4 11 2" xfId="16166" xr:uid="{00000000-0005-0000-0000-000046310000}"/>
    <cellStyle name="20% - Accent5 4 11 2 2" xfId="16167" xr:uid="{00000000-0005-0000-0000-000047310000}"/>
    <cellStyle name="20% - Accent5 4 11 2 2 2" xfId="16168" xr:uid="{00000000-0005-0000-0000-000048310000}"/>
    <cellStyle name="20% - Accent5 4 11 2 2 2 2" xfId="16169" xr:uid="{00000000-0005-0000-0000-000049310000}"/>
    <cellStyle name="20% - Accent5 4 11 2 2 3" xfId="16170" xr:uid="{00000000-0005-0000-0000-00004A310000}"/>
    <cellStyle name="20% - Accent5 4 11 2 3" xfId="16171" xr:uid="{00000000-0005-0000-0000-00004B310000}"/>
    <cellStyle name="20% - Accent5 4 11 2 3 2" xfId="16172" xr:uid="{00000000-0005-0000-0000-00004C310000}"/>
    <cellStyle name="20% - Accent5 4 11 2 4" xfId="16173" xr:uid="{00000000-0005-0000-0000-00004D310000}"/>
    <cellStyle name="20% - Accent5 4 11 2 5" xfId="16174" xr:uid="{00000000-0005-0000-0000-00004E310000}"/>
    <cellStyle name="20% - Accent5 4 11 2 6" xfId="16175" xr:uid="{00000000-0005-0000-0000-00004F310000}"/>
    <cellStyle name="20% - Accent5 4 11 3" xfId="16176" xr:uid="{00000000-0005-0000-0000-000050310000}"/>
    <cellStyle name="20% - Accent5 4 11 3 2" xfId="16177" xr:uid="{00000000-0005-0000-0000-000051310000}"/>
    <cellStyle name="20% - Accent5 4 11 3 2 2" xfId="16178" xr:uid="{00000000-0005-0000-0000-000052310000}"/>
    <cellStyle name="20% - Accent5 4 11 3 3" xfId="16179" xr:uid="{00000000-0005-0000-0000-000053310000}"/>
    <cellStyle name="20% - Accent5 4 11 4" xfId="16180" xr:uid="{00000000-0005-0000-0000-000054310000}"/>
    <cellStyle name="20% - Accent5 4 11 4 2" xfId="16181" xr:uid="{00000000-0005-0000-0000-000055310000}"/>
    <cellStyle name="20% - Accent5 4 11 5" xfId="16182" xr:uid="{00000000-0005-0000-0000-000056310000}"/>
    <cellStyle name="20% - Accent5 4 11 6" xfId="16183" xr:uid="{00000000-0005-0000-0000-000057310000}"/>
    <cellStyle name="20% - Accent5 4 11 7" xfId="16184" xr:uid="{00000000-0005-0000-0000-000058310000}"/>
    <cellStyle name="20% - Accent5 4 12" xfId="16185" xr:uid="{00000000-0005-0000-0000-000059310000}"/>
    <cellStyle name="20% - Accent5 4 13" xfId="16186" xr:uid="{00000000-0005-0000-0000-00005A310000}"/>
    <cellStyle name="20% - Accent5 4 13 2" xfId="16187" xr:uid="{00000000-0005-0000-0000-00005B310000}"/>
    <cellStyle name="20% - Accent5 4 13 2 2" xfId="16188" xr:uid="{00000000-0005-0000-0000-00005C310000}"/>
    <cellStyle name="20% - Accent5 4 13 3" xfId="16189" xr:uid="{00000000-0005-0000-0000-00005D310000}"/>
    <cellStyle name="20% - Accent5 4 14" xfId="16190" xr:uid="{00000000-0005-0000-0000-00005E310000}"/>
    <cellStyle name="20% - Accent5 4 14 2" xfId="16191" xr:uid="{00000000-0005-0000-0000-00005F310000}"/>
    <cellStyle name="20% - Accent5 4 15" xfId="16192" xr:uid="{00000000-0005-0000-0000-000060310000}"/>
    <cellStyle name="20% - Accent5 4 16" xfId="16193" xr:uid="{00000000-0005-0000-0000-000061310000}"/>
    <cellStyle name="20% - Accent5 4 2" xfId="16194" xr:uid="{00000000-0005-0000-0000-000062310000}"/>
    <cellStyle name="20% - Accent5 4 2 10" xfId="16195" xr:uid="{00000000-0005-0000-0000-000063310000}"/>
    <cellStyle name="20% - Accent5 4 2 11" xfId="16196" xr:uid="{00000000-0005-0000-0000-000064310000}"/>
    <cellStyle name="20% - Accent5 4 2 2" xfId="16197" xr:uid="{00000000-0005-0000-0000-000065310000}"/>
    <cellStyle name="20% - Accent5 4 2 2 2" xfId="16198" xr:uid="{00000000-0005-0000-0000-000066310000}"/>
    <cellStyle name="20% - Accent5 4 2 2 2 2" xfId="16199" xr:uid="{00000000-0005-0000-0000-000067310000}"/>
    <cellStyle name="20% - Accent5 4 2 2 2 2 2" xfId="16200" xr:uid="{00000000-0005-0000-0000-000068310000}"/>
    <cellStyle name="20% - Accent5 4 2 2 2 2 2 2" xfId="16201" xr:uid="{00000000-0005-0000-0000-000069310000}"/>
    <cellStyle name="20% - Accent5 4 2 2 2 2 3" xfId="16202" xr:uid="{00000000-0005-0000-0000-00006A310000}"/>
    <cellStyle name="20% - Accent5 4 2 2 2 3" xfId="16203" xr:uid="{00000000-0005-0000-0000-00006B310000}"/>
    <cellStyle name="20% - Accent5 4 2 2 2 3 2" xfId="16204" xr:uid="{00000000-0005-0000-0000-00006C310000}"/>
    <cellStyle name="20% - Accent5 4 2 2 2 4" xfId="16205" xr:uid="{00000000-0005-0000-0000-00006D310000}"/>
    <cellStyle name="20% - Accent5 4 2 2 2 5" xfId="16206" xr:uid="{00000000-0005-0000-0000-00006E310000}"/>
    <cellStyle name="20% - Accent5 4 2 2 2 6" xfId="16207" xr:uid="{00000000-0005-0000-0000-00006F310000}"/>
    <cellStyle name="20% - Accent5 4 2 2 3" xfId="16208" xr:uid="{00000000-0005-0000-0000-000070310000}"/>
    <cellStyle name="20% - Accent5 4 2 2 3 2" xfId="16209" xr:uid="{00000000-0005-0000-0000-000071310000}"/>
    <cellStyle name="20% - Accent5 4 2 2 3 2 2" xfId="16210" xr:uid="{00000000-0005-0000-0000-000072310000}"/>
    <cellStyle name="20% - Accent5 4 2 2 3 3" xfId="16211" xr:uid="{00000000-0005-0000-0000-000073310000}"/>
    <cellStyle name="20% - Accent5 4 2 2 4" xfId="16212" xr:uid="{00000000-0005-0000-0000-000074310000}"/>
    <cellStyle name="20% - Accent5 4 2 2 4 2" xfId="16213" xr:uid="{00000000-0005-0000-0000-000075310000}"/>
    <cellStyle name="20% - Accent5 4 2 2 5" xfId="16214" xr:uid="{00000000-0005-0000-0000-000076310000}"/>
    <cellStyle name="20% - Accent5 4 2 2 5 2" xfId="16215" xr:uid="{00000000-0005-0000-0000-000077310000}"/>
    <cellStyle name="20% - Accent5 4 2 2 6" xfId="16216" xr:uid="{00000000-0005-0000-0000-000078310000}"/>
    <cellStyle name="20% - Accent5 4 2 2 7" xfId="16217" xr:uid="{00000000-0005-0000-0000-000079310000}"/>
    <cellStyle name="20% - Accent5 4 2 2 8" xfId="16218" xr:uid="{00000000-0005-0000-0000-00007A310000}"/>
    <cellStyle name="20% - Accent5 4 2 3" xfId="16219" xr:uid="{00000000-0005-0000-0000-00007B310000}"/>
    <cellStyle name="20% - Accent5 4 2 3 2" xfId="16220" xr:uid="{00000000-0005-0000-0000-00007C310000}"/>
    <cellStyle name="20% - Accent5 4 2 3 2 2" xfId="16221" xr:uid="{00000000-0005-0000-0000-00007D310000}"/>
    <cellStyle name="20% - Accent5 4 2 3 2 2 2" xfId="16222" xr:uid="{00000000-0005-0000-0000-00007E310000}"/>
    <cellStyle name="20% - Accent5 4 2 3 2 2 2 2" xfId="16223" xr:uid="{00000000-0005-0000-0000-00007F310000}"/>
    <cellStyle name="20% - Accent5 4 2 3 2 2 3" xfId="16224" xr:uid="{00000000-0005-0000-0000-000080310000}"/>
    <cellStyle name="20% - Accent5 4 2 3 2 3" xfId="16225" xr:uid="{00000000-0005-0000-0000-000081310000}"/>
    <cellStyle name="20% - Accent5 4 2 3 2 3 2" xfId="16226" xr:uid="{00000000-0005-0000-0000-000082310000}"/>
    <cellStyle name="20% - Accent5 4 2 3 2 4" xfId="16227" xr:uid="{00000000-0005-0000-0000-000083310000}"/>
    <cellStyle name="20% - Accent5 4 2 3 2 5" xfId="16228" xr:uid="{00000000-0005-0000-0000-000084310000}"/>
    <cellStyle name="20% - Accent5 4 2 3 2 6" xfId="16229" xr:uid="{00000000-0005-0000-0000-000085310000}"/>
    <cellStyle name="20% - Accent5 4 2 3 3" xfId="16230" xr:uid="{00000000-0005-0000-0000-000086310000}"/>
    <cellStyle name="20% - Accent5 4 2 3 3 2" xfId="16231" xr:uid="{00000000-0005-0000-0000-000087310000}"/>
    <cellStyle name="20% - Accent5 4 2 3 3 2 2" xfId="16232" xr:uid="{00000000-0005-0000-0000-000088310000}"/>
    <cellStyle name="20% - Accent5 4 2 3 3 3" xfId="16233" xr:uid="{00000000-0005-0000-0000-000089310000}"/>
    <cellStyle name="20% - Accent5 4 2 3 4" xfId="16234" xr:uid="{00000000-0005-0000-0000-00008A310000}"/>
    <cellStyle name="20% - Accent5 4 2 3 4 2" xfId="16235" xr:uid="{00000000-0005-0000-0000-00008B310000}"/>
    <cellStyle name="20% - Accent5 4 2 3 5" xfId="16236" xr:uid="{00000000-0005-0000-0000-00008C310000}"/>
    <cellStyle name="20% - Accent5 4 2 3 6" xfId="16237" xr:uid="{00000000-0005-0000-0000-00008D310000}"/>
    <cellStyle name="20% - Accent5 4 2 3 7" xfId="16238" xr:uid="{00000000-0005-0000-0000-00008E310000}"/>
    <cellStyle name="20% - Accent5 4 2 4" xfId="16239" xr:uid="{00000000-0005-0000-0000-00008F310000}"/>
    <cellStyle name="20% - Accent5 4 2 4 2" xfId="16240" xr:uid="{00000000-0005-0000-0000-000090310000}"/>
    <cellStyle name="20% - Accent5 4 2 4 2 2" xfId="16241" xr:uid="{00000000-0005-0000-0000-000091310000}"/>
    <cellStyle name="20% - Accent5 4 2 4 2 2 2" xfId="16242" xr:uid="{00000000-0005-0000-0000-000092310000}"/>
    <cellStyle name="20% - Accent5 4 2 4 2 3" xfId="16243" xr:uid="{00000000-0005-0000-0000-000093310000}"/>
    <cellStyle name="20% - Accent5 4 2 4 3" xfId="16244" xr:uid="{00000000-0005-0000-0000-000094310000}"/>
    <cellStyle name="20% - Accent5 4 2 4 3 2" xfId="16245" xr:uid="{00000000-0005-0000-0000-000095310000}"/>
    <cellStyle name="20% - Accent5 4 2 4 4" xfId="16246" xr:uid="{00000000-0005-0000-0000-000096310000}"/>
    <cellStyle name="20% - Accent5 4 2 4 5" xfId="16247" xr:uid="{00000000-0005-0000-0000-000097310000}"/>
    <cellStyle name="20% - Accent5 4 2 4 6" xfId="16248" xr:uid="{00000000-0005-0000-0000-000098310000}"/>
    <cellStyle name="20% - Accent5 4 2 5" xfId="16249" xr:uid="{00000000-0005-0000-0000-000099310000}"/>
    <cellStyle name="20% - Accent5 4 2 5 2" xfId="16250" xr:uid="{00000000-0005-0000-0000-00009A310000}"/>
    <cellStyle name="20% - Accent5 4 2 5 2 2" xfId="16251" xr:uid="{00000000-0005-0000-0000-00009B310000}"/>
    <cellStyle name="20% - Accent5 4 2 5 3" xfId="16252" xr:uid="{00000000-0005-0000-0000-00009C310000}"/>
    <cellStyle name="20% - Accent5 4 2 6" xfId="16253" xr:uid="{00000000-0005-0000-0000-00009D310000}"/>
    <cellStyle name="20% - Accent5 4 2 6 2" xfId="16254" xr:uid="{00000000-0005-0000-0000-00009E310000}"/>
    <cellStyle name="20% - Accent5 4 2 6 2 2" xfId="16255" xr:uid="{00000000-0005-0000-0000-00009F310000}"/>
    <cellStyle name="20% - Accent5 4 2 6 3" xfId="16256" xr:uid="{00000000-0005-0000-0000-0000A0310000}"/>
    <cellStyle name="20% - Accent5 4 2 7" xfId="16257" xr:uid="{00000000-0005-0000-0000-0000A1310000}"/>
    <cellStyle name="20% - Accent5 4 2 7 2" xfId="16258" xr:uid="{00000000-0005-0000-0000-0000A2310000}"/>
    <cellStyle name="20% - Accent5 4 2 8" xfId="16259" xr:uid="{00000000-0005-0000-0000-0000A3310000}"/>
    <cellStyle name="20% - Accent5 4 2 8 2" xfId="16260" xr:uid="{00000000-0005-0000-0000-0000A4310000}"/>
    <cellStyle name="20% - Accent5 4 2 9" xfId="16261" xr:uid="{00000000-0005-0000-0000-0000A5310000}"/>
    <cellStyle name="20% - Accent5 4 3" xfId="16262" xr:uid="{00000000-0005-0000-0000-0000A6310000}"/>
    <cellStyle name="20% - Accent5 4 3 10" xfId="16263" xr:uid="{00000000-0005-0000-0000-0000A7310000}"/>
    <cellStyle name="20% - Accent5 4 3 11" xfId="16264" xr:uid="{00000000-0005-0000-0000-0000A8310000}"/>
    <cellStyle name="20% - Accent5 4 3 2" xfId="16265" xr:uid="{00000000-0005-0000-0000-0000A9310000}"/>
    <cellStyle name="20% - Accent5 4 3 2 2" xfId="16266" xr:uid="{00000000-0005-0000-0000-0000AA310000}"/>
    <cellStyle name="20% - Accent5 4 3 2 2 2" xfId="16267" xr:uid="{00000000-0005-0000-0000-0000AB310000}"/>
    <cellStyle name="20% - Accent5 4 3 2 2 2 2" xfId="16268" xr:uid="{00000000-0005-0000-0000-0000AC310000}"/>
    <cellStyle name="20% - Accent5 4 3 2 2 2 2 2" xfId="16269" xr:uid="{00000000-0005-0000-0000-0000AD310000}"/>
    <cellStyle name="20% - Accent5 4 3 2 2 2 3" xfId="16270" xr:uid="{00000000-0005-0000-0000-0000AE310000}"/>
    <cellStyle name="20% - Accent5 4 3 2 2 3" xfId="16271" xr:uid="{00000000-0005-0000-0000-0000AF310000}"/>
    <cellStyle name="20% - Accent5 4 3 2 2 3 2" xfId="16272" xr:uid="{00000000-0005-0000-0000-0000B0310000}"/>
    <cellStyle name="20% - Accent5 4 3 2 2 4" xfId="16273" xr:uid="{00000000-0005-0000-0000-0000B1310000}"/>
    <cellStyle name="20% - Accent5 4 3 2 2 5" xfId="16274" xr:uid="{00000000-0005-0000-0000-0000B2310000}"/>
    <cellStyle name="20% - Accent5 4 3 2 2 6" xfId="16275" xr:uid="{00000000-0005-0000-0000-0000B3310000}"/>
    <cellStyle name="20% - Accent5 4 3 2 3" xfId="16276" xr:uid="{00000000-0005-0000-0000-0000B4310000}"/>
    <cellStyle name="20% - Accent5 4 3 2 3 2" xfId="16277" xr:uid="{00000000-0005-0000-0000-0000B5310000}"/>
    <cellStyle name="20% - Accent5 4 3 2 3 2 2" xfId="16278" xr:uid="{00000000-0005-0000-0000-0000B6310000}"/>
    <cellStyle name="20% - Accent5 4 3 2 3 3" xfId="16279" xr:uid="{00000000-0005-0000-0000-0000B7310000}"/>
    <cellStyle name="20% - Accent5 4 3 2 4" xfId="16280" xr:uid="{00000000-0005-0000-0000-0000B8310000}"/>
    <cellStyle name="20% - Accent5 4 3 2 4 2" xfId="16281" xr:uid="{00000000-0005-0000-0000-0000B9310000}"/>
    <cellStyle name="20% - Accent5 4 3 2 5" xfId="16282" xr:uid="{00000000-0005-0000-0000-0000BA310000}"/>
    <cellStyle name="20% - Accent5 4 3 2 5 2" xfId="16283" xr:uid="{00000000-0005-0000-0000-0000BB310000}"/>
    <cellStyle name="20% - Accent5 4 3 2 6" xfId="16284" xr:uid="{00000000-0005-0000-0000-0000BC310000}"/>
    <cellStyle name="20% - Accent5 4 3 2 7" xfId="16285" xr:uid="{00000000-0005-0000-0000-0000BD310000}"/>
    <cellStyle name="20% - Accent5 4 3 2 8" xfId="16286" xr:uid="{00000000-0005-0000-0000-0000BE310000}"/>
    <cellStyle name="20% - Accent5 4 3 3" xfId="16287" xr:uid="{00000000-0005-0000-0000-0000BF310000}"/>
    <cellStyle name="20% - Accent5 4 3 3 2" xfId="16288" xr:uid="{00000000-0005-0000-0000-0000C0310000}"/>
    <cellStyle name="20% - Accent5 4 3 3 2 2" xfId="16289" xr:uid="{00000000-0005-0000-0000-0000C1310000}"/>
    <cellStyle name="20% - Accent5 4 3 3 2 2 2" xfId="16290" xr:uid="{00000000-0005-0000-0000-0000C2310000}"/>
    <cellStyle name="20% - Accent5 4 3 3 2 2 2 2" xfId="16291" xr:uid="{00000000-0005-0000-0000-0000C3310000}"/>
    <cellStyle name="20% - Accent5 4 3 3 2 2 3" xfId="16292" xr:uid="{00000000-0005-0000-0000-0000C4310000}"/>
    <cellStyle name="20% - Accent5 4 3 3 2 3" xfId="16293" xr:uid="{00000000-0005-0000-0000-0000C5310000}"/>
    <cellStyle name="20% - Accent5 4 3 3 2 3 2" xfId="16294" xr:uid="{00000000-0005-0000-0000-0000C6310000}"/>
    <cellStyle name="20% - Accent5 4 3 3 2 4" xfId="16295" xr:uid="{00000000-0005-0000-0000-0000C7310000}"/>
    <cellStyle name="20% - Accent5 4 3 3 2 5" xfId="16296" xr:uid="{00000000-0005-0000-0000-0000C8310000}"/>
    <cellStyle name="20% - Accent5 4 3 3 2 6" xfId="16297" xr:uid="{00000000-0005-0000-0000-0000C9310000}"/>
    <cellStyle name="20% - Accent5 4 3 3 3" xfId="16298" xr:uid="{00000000-0005-0000-0000-0000CA310000}"/>
    <cellStyle name="20% - Accent5 4 3 3 3 2" xfId="16299" xr:uid="{00000000-0005-0000-0000-0000CB310000}"/>
    <cellStyle name="20% - Accent5 4 3 3 3 2 2" xfId="16300" xr:uid="{00000000-0005-0000-0000-0000CC310000}"/>
    <cellStyle name="20% - Accent5 4 3 3 3 3" xfId="16301" xr:uid="{00000000-0005-0000-0000-0000CD310000}"/>
    <cellStyle name="20% - Accent5 4 3 3 4" xfId="16302" xr:uid="{00000000-0005-0000-0000-0000CE310000}"/>
    <cellStyle name="20% - Accent5 4 3 3 4 2" xfId="16303" xr:uid="{00000000-0005-0000-0000-0000CF310000}"/>
    <cellStyle name="20% - Accent5 4 3 3 5" xfId="16304" xr:uid="{00000000-0005-0000-0000-0000D0310000}"/>
    <cellStyle name="20% - Accent5 4 3 3 6" xfId="16305" xr:uid="{00000000-0005-0000-0000-0000D1310000}"/>
    <cellStyle name="20% - Accent5 4 3 3 7" xfId="16306" xr:uid="{00000000-0005-0000-0000-0000D2310000}"/>
    <cellStyle name="20% - Accent5 4 3 4" xfId="16307" xr:uid="{00000000-0005-0000-0000-0000D3310000}"/>
    <cellStyle name="20% - Accent5 4 3 4 2" xfId="16308" xr:uid="{00000000-0005-0000-0000-0000D4310000}"/>
    <cellStyle name="20% - Accent5 4 3 4 2 2" xfId="16309" xr:uid="{00000000-0005-0000-0000-0000D5310000}"/>
    <cellStyle name="20% - Accent5 4 3 4 2 2 2" xfId="16310" xr:uid="{00000000-0005-0000-0000-0000D6310000}"/>
    <cellStyle name="20% - Accent5 4 3 4 2 3" xfId="16311" xr:uid="{00000000-0005-0000-0000-0000D7310000}"/>
    <cellStyle name="20% - Accent5 4 3 4 3" xfId="16312" xr:uid="{00000000-0005-0000-0000-0000D8310000}"/>
    <cellStyle name="20% - Accent5 4 3 4 3 2" xfId="16313" xr:uid="{00000000-0005-0000-0000-0000D9310000}"/>
    <cellStyle name="20% - Accent5 4 3 4 4" xfId="16314" xr:uid="{00000000-0005-0000-0000-0000DA310000}"/>
    <cellStyle name="20% - Accent5 4 3 4 5" xfId="16315" xr:uid="{00000000-0005-0000-0000-0000DB310000}"/>
    <cellStyle name="20% - Accent5 4 3 4 6" xfId="16316" xr:uid="{00000000-0005-0000-0000-0000DC310000}"/>
    <cellStyle name="20% - Accent5 4 3 5" xfId="16317" xr:uid="{00000000-0005-0000-0000-0000DD310000}"/>
    <cellStyle name="20% - Accent5 4 3 5 2" xfId="16318" xr:uid="{00000000-0005-0000-0000-0000DE310000}"/>
    <cellStyle name="20% - Accent5 4 3 5 2 2" xfId="16319" xr:uid="{00000000-0005-0000-0000-0000DF310000}"/>
    <cellStyle name="20% - Accent5 4 3 5 3" xfId="16320" xr:uid="{00000000-0005-0000-0000-0000E0310000}"/>
    <cellStyle name="20% - Accent5 4 3 6" xfId="16321" xr:uid="{00000000-0005-0000-0000-0000E1310000}"/>
    <cellStyle name="20% - Accent5 4 3 6 2" xfId="16322" xr:uid="{00000000-0005-0000-0000-0000E2310000}"/>
    <cellStyle name="20% - Accent5 4 3 6 2 2" xfId="16323" xr:uid="{00000000-0005-0000-0000-0000E3310000}"/>
    <cellStyle name="20% - Accent5 4 3 6 3" xfId="16324" xr:uid="{00000000-0005-0000-0000-0000E4310000}"/>
    <cellStyle name="20% - Accent5 4 3 7" xfId="16325" xr:uid="{00000000-0005-0000-0000-0000E5310000}"/>
    <cellStyle name="20% - Accent5 4 3 7 2" xfId="16326" xr:uid="{00000000-0005-0000-0000-0000E6310000}"/>
    <cellStyle name="20% - Accent5 4 3 8" xfId="16327" xr:uid="{00000000-0005-0000-0000-0000E7310000}"/>
    <cellStyle name="20% - Accent5 4 3 8 2" xfId="16328" xr:uid="{00000000-0005-0000-0000-0000E8310000}"/>
    <cellStyle name="20% - Accent5 4 3 9" xfId="16329" xr:uid="{00000000-0005-0000-0000-0000E9310000}"/>
    <cellStyle name="20% - Accent5 4 4" xfId="16330" xr:uid="{00000000-0005-0000-0000-0000EA310000}"/>
    <cellStyle name="20% - Accent5 4 4 10" xfId="16331" xr:uid="{00000000-0005-0000-0000-0000EB310000}"/>
    <cellStyle name="20% - Accent5 4 4 11" xfId="16332" xr:uid="{00000000-0005-0000-0000-0000EC310000}"/>
    <cellStyle name="20% - Accent5 4 4 2" xfId="16333" xr:uid="{00000000-0005-0000-0000-0000ED310000}"/>
    <cellStyle name="20% - Accent5 4 4 2 2" xfId="16334" xr:uid="{00000000-0005-0000-0000-0000EE310000}"/>
    <cellStyle name="20% - Accent5 4 4 2 2 2" xfId="16335" xr:uid="{00000000-0005-0000-0000-0000EF310000}"/>
    <cellStyle name="20% - Accent5 4 4 2 2 2 2" xfId="16336" xr:uid="{00000000-0005-0000-0000-0000F0310000}"/>
    <cellStyle name="20% - Accent5 4 4 2 2 2 2 2" xfId="16337" xr:uid="{00000000-0005-0000-0000-0000F1310000}"/>
    <cellStyle name="20% - Accent5 4 4 2 2 2 3" xfId="16338" xr:uid="{00000000-0005-0000-0000-0000F2310000}"/>
    <cellStyle name="20% - Accent5 4 4 2 2 3" xfId="16339" xr:uid="{00000000-0005-0000-0000-0000F3310000}"/>
    <cellStyle name="20% - Accent5 4 4 2 2 3 2" xfId="16340" xr:uid="{00000000-0005-0000-0000-0000F4310000}"/>
    <cellStyle name="20% - Accent5 4 4 2 2 4" xfId="16341" xr:uid="{00000000-0005-0000-0000-0000F5310000}"/>
    <cellStyle name="20% - Accent5 4 4 2 2 5" xfId="16342" xr:uid="{00000000-0005-0000-0000-0000F6310000}"/>
    <cellStyle name="20% - Accent5 4 4 2 2 6" xfId="16343" xr:uid="{00000000-0005-0000-0000-0000F7310000}"/>
    <cellStyle name="20% - Accent5 4 4 2 3" xfId="16344" xr:uid="{00000000-0005-0000-0000-0000F8310000}"/>
    <cellStyle name="20% - Accent5 4 4 2 3 2" xfId="16345" xr:uid="{00000000-0005-0000-0000-0000F9310000}"/>
    <cellStyle name="20% - Accent5 4 4 2 3 2 2" xfId="16346" xr:uid="{00000000-0005-0000-0000-0000FA310000}"/>
    <cellStyle name="20% - Accent5 4 4 2 3 3" xfId="16347" xr:uid="{00000000-0005-0000-0000-0000FB310000}"/>
    <cellStyle name="20% - Accent5 4 4 2 4" xfId="16348" xr:uid="{00000000-0005-0000-0000-0000FC310000}"/>
    <cellStyle name="20% - Accent5 4 4 2 4 2" xfId="16349" xr:uid="{00000000-0005-0000-0000-0000FD310000}"/>
    <cellStyle name="20% - Accent5 4 4 2 5" xfId="16350" xr:uid="{00000000-0005-0000-0000-0000FE310000}"/>
    <cellStyle name="20% - Accent5 4 4 2 5 2" xfId="16351" xr:uid="{00000000-0005-0000-0000-0000FF310000}"/>
    <cellStyle name="20% - Accent5 4 4 2 6" xfId="16352" xr:uid="{00000000-0005-0000-0000-000000320000}"/>
    <cellStyle name="20% - Accent5 4 4 2 7" xfId="16353" xr:uid="{00000000-0005-0000-0000-000001320000}"/>
    <cellStyle name="20% - Accent5 4 4 2 8" xfId="16354" xr:uid="{00000000-0005-0000-0000-000002320000}"/>
    <cellStyle name="20% - Accent5 4 4 3" xfId="16355" xr:uid="{00000000-0005-0000-0000-000003320000}"/>
    <cellStyle name="20% - Accent5 4 4 3 2" xfId="16356" xr:uid="{00000000-0005-0000-0000-000004320000}"/>
    <cellStyle name="20% - Accent5 4 4 3 2 2" xfId="16357" xr:uid="{00000000-0005-0000-0000-000005320000}"/>
    <cellStyle name="20% - Accent5 4 4 3 2 2 2" xfId="16358" xr:uid="{00000000-0005-0000-0000-000006320000}"/>
    <cellStyle name="20% - Accent5 4 4 3 2 2 2 2" xfId="16359" xr:uid="{00000000-0005-0000-0000-000007320000}"/>
    <cellStyle name="20% - Accent5 4 4 3 2 2 3" xfId="16360" xr:uid="{00000000-0005-0000-0000-000008320000}"/>
    <cellStyle name="20% - Accent5 4 4 3 2 3" xfId="16361" xr:uid="{00000000-0005-0000-0000-000009320000}"/>
    <cellStyle name="20% - Accent5 4 4 3 2 3 2" xfId="16362" xr:uid="{00000000-0005-0000-0000-00000A320000}"/>
    <cellStyle name="20% - Accent5 4 4 3 2 4" xfId="16363" xr:uid="{00000000-0005-0000-0000-00000B320000}"/>
    <cellStyle name="20% - Accent5 4 4 3 2 5" xfId="16364" xr:uid="{00000000-0005-0000-0000-00000C320000}"/>
    <cellStyle name="20% - Accent5 4 4 3 2 6" xfId="16365" xr:uid="{00000000-0005-0000-0000-00000D320000}"/>
    <cellStyle name="20% - Accent5 4 4 3 3" xfId="16366" xr:uid="{00000000-0005-0000-0000-00000E320000}"/>
    <cellStyle name="20% - Accent5 4 4 3 3 2" xfId="16367" xr:uid="{00000000-0005-0000-0000-00000F320000}"/>
    <cellStyle name="20% - Accent5 4 4 3 3 2 2" xfId="16368" xr:uid="{00000000-0005-0000-0000-000010320000}"/>
    <cellStyle name="20% - Accent5 4 4 3 3 3" xfId="16369" xr:uid="{00000000-0005-0000-0000-000011320000}"/>
    <cellStyle name="20% - Accent5 4 4 3 4" xfId="16370" xr:uid="{00000000-0005-0000-0000-000012320000}"/>
    <cellStyle name="20% - Accent5 4 4 3 4 2" xfId="16371" xr:uid="{00000000-0005-0000-0000-000013320000}"/>
    <cellStyle name="20% - Accent5 4 4 3 5" xfId="16372" xr:uid="{00000000-0005-0000-0000-000014320000}"/>
    <cellStyle name="20% - Accent5 4 4 3 6" xfId="16373" xr:uid="{00000000-0005-0000-0000-000015320000}"/>
    <cellStyle name="20% - Accent5 4 4 3 7" xfId="16374" xr:uid="{00000000-0005-0000-0000-000016320000}"/>
    <cellStyle name="20% - Accent5 4 4 4" xfId="16375" xr:uid="{00000000-0005-0000-0000-000017320000}"/>
    <cellStyle name="20% - Accent5 4 4 4 2" xfId="16376" xr:uid="{00000000-0005-0000-0000-000018320000}"/>
    <cellStyle name="20% - Accent5 4 4 4 2 2" xfId="16377" xr:uid="{00000000-0005-0000-0000-000019320000}"/>
    <cellStyle name="20% - Accent5 4 4 4 2 2 2" xfId="16378" xr:uid="{00000000-0005-0000-0000-00001A320000}"/>
    <cellStyle name="20% - Accent5 4 4 4 2 3" xfId="16379" xr:uid="{00000000-0005-0000-0000-00001B320000}"/>
    <cellStyle name="20% - Accent5 4 4 4 3" xfId="16380" xr:uid="{00000000-0005-0000-0000-00001C320000}"/>
    <cellStyle name="20% - Accent5 4 4 4 3 2" xfId="16381" xr:uid="{00000000-0005-0000-0000-00001D320000}"/>
    <cellStyle name="20% - Accent5 4 4 4 4" xfId="16382" xr:uid="{00000000-0005-0000-0000-00001E320000}"/>
    <cellStyle name="20% - Accent5 4 4 4 5" xfId="16383" xr:uid="{00000000-0005-0000-0000-00001F320000}"/>
    <cellStyle name="20% - Accent5 4 4 4 6" xfId="16384" xr:uid="{00000000-0005-0000-0000-000020320000}"/>
    <cellStyle name="20% - Accent5 4 4 5" xfId="16385" xr:uid="{00000000-0005-0000-0000-000021320000}"/>
    <cellStyle name="20% - Accent5 4 4 5 2" xfId="16386" xr:uid="{00000000-0005-0000-0000-000022320000}"/>
    <cellStyle name="20% - Accent5 4 4 5 2 2" xfId="16387" xr:uid="{00000000-0005-0000-0000-000023320000}"/>
    <cellStyle name="20% - Accent5 4 4 5 3" xfId="16388" xr:uid="{00000000-0005-0000-0000-000024320000}"/>
    <cellStyle name="20% - Accent5 4 4 6" xfId="16389" xr:uid="{00000000-0005-0000-0000-000025320000}"/>
    <cellStyle name="20% - Accent5 4 4 6 2" xfId="16390" xr:uid="{00000000-0005-0000-0000-000026320000}"/>
    <cellStyle name="20% - Accent5 4 4 6 2 2" xfId="16391" xr:uid="{00000000-0005-0000-0000-000027320000}"/>
    <cellStyle name="20% - Accent5 4 4 6 3" xfId="16392" xr:uid="{00000000-0005-0000-0000-000028320000}"/>
    <cellStyle name="20% - Accent5 4 4 7" xfId="16393" xr:uid="{00000000-0005-0000-0000-000029320000}"/>
    <cellStyle name="20% - Accent5 4 4 7 2" xfId="16394" xr:uid="{00000000-0005-0000-0000-00002A320000}"/>
    <cellStyle name="20% - Accent5 4 4 8" xfId="16395" xr:uid="{00000000-0005-0000-0000-00002B320000}"/>
    <cellStyle name="20% - Accent5 4 4 8 2" xfId="16396" xr:uid="{00000000-0005-0000-0000-00002C320000}"/>
    <cellStyle name="20% - Accent5 4 4 9" xfId="16397" xr:uid="{00000000-0005-0000-0000-00002D320000}"/>
    <cellStyle name="20% - Accent5 4 5" xfId="16398" xr:uid="{00000000-0005-0000-0000-00002E320000}"/>
    <cellStyle name="20% - Accent5 4 5 10" xfId="16399" xr:uid="{00000000-0005-0000-0000-00002F320000}"/>
    <cellStyle name="20% - Accent5 4 5 11" xfId="16400" xr:uid="{00000000-0005-0000-0000-000030320000}"/>
    <cellStyle name="20% - Accent5 4 5 2" xfId="16401" xr:uid="{00000000-0005-0000-0000-000031320000}"/>
    <cellStyle name="20% - Accent5 4 5 2 2" xfId="16402" xr:uid="{00000000-0005-0000-0000-000032320000}"/>
    <cellStyle name="20% - Accent5 4 5 2 2 2" xfId="16403" xr:uid="{00000000-0005-0000-0000-000033320000}"/>
    <cellStyle name="20% - Accent5 4 5 2 2 2 2" xfId="16404" xr:uid="{00000000-0005-0000-0000-000034320000}"/>
    <cellStyle name="20% - Accent5 4 5 2 2 2 2 2" xfId="16405" xr:uid="{00000000-0005-0000-0000-000035320000}"/>
    <cellStyle name="20% - Accent5 4 5 2 2 2 3" xfId="16406" xr:uid="{00000000-0005-0000-0000-000036320000}"/>
    <cellStyle name="20% - Accent5 4 5 2 2 3" xfId="16407" xr:uid="{00000000-0005-0000-0000-000037320000}"/>
    <cellStyle name="20% - Accent5 4 5 2 2 3 2" xfId="16408" xr:uid="{00000000-0005-0000-0000-000038320000}"/>
    <cellStyle name="20% - Accent5 4 5 2 2 4" xfId="16409" xr:uid="{00000000-0005-0000-0000-000039320000}"/>
    <cellStyle name="20% - Accent5 4 5 2 2 5" xfId="16410" xr:uid="{00000000-0005-0000-0000-00003A320000}"/>
    <cellStyle name="20% - Accent5 4 5 2 2 6" xfId="16411" xr:uid="{00000000-0005-0000-0000-00003B320000}"/>
    <cellStyle name="20% - Accent5 4 5 2 3" xfId="16412" xr:uid="{00000000-0005-0000-0000-00003C320000}"/>
    <cellStyle name="20% - Accent5 4 5 2 3 2" xfId="16413" xr:uid="{00000000-0005-0000-0000-00003D320000}"/>
    <cellStyle name="20% - Accent5 4 5 2 3 2 2" xfId="16414" xr:uid="{00000000-0005-0000-0000-00003E320000}"/>
    <cellStyle name="20% - Accent5 4 5 2 3 3" xfId="16415" xr:uid="{00000000-0005-0000-0000-00003F320000}"/>
    <cellStyle name="20% - Accent5 4 5 2 4" xfId="16416" xr:uid="{00000000-0005-0000-0000-000040320000}"/>
    <cellStyle name="20% - Accent5 4 5 2 4 2" xfId="16417" xr:uid="{00000000-0005-0000-0000-000041320000}"/>
    <cellStyle name="20% - Accent5 4 5 2 5" xfId="16418" xr:uid="{00000000-0005-0000-0000-000042320000}"/>
    <cellStyle name="20% - Accent5 4 5 2 5 2" xfId="16419" xr:uid="{00000000-0005-0000-0000-000043320000}"/>
    <cellStyle name="20% - Accent5 4 5 2 6" xfId="16420" xr:uid="{00000000-0005-0000-0000-000044320000}"/>
    <cellStyle name="20% - Accent5 4 5 2 7" xfId="16421" xr:uid="{00000000-0005-0000-0000-000045320000}"/>
    <cellStyle name="20% - Accent5 4 5 2 8" xfId="16422" xr:uid="{00000000-0005-0000-0000-000046320000}"/>
    <cellStyle name="20% - Accent5 4 5 3" xfId="16423" xr:uid="{00000000-0005-0000-0000-000047320000}"/>
    <cellStyle name="20% - Accent5 4 5 3 2" xfId="16424" xr:uid="{00000000-0005-0000-0000-000048320000}"/>
    <cellStyle name="20% - Accent5 4 5 3 2 2" xfId="16425" xr:uid="{00000000-0005-0000-0000-000049320000}"/>
    <cellStyle name="20% - Accent5 4 5 3 2 2 2" xfId="16426" xr:uid="{00000000-0005-0000-0000-00004A320000}"/>
    <cellStyle name="20% - Accent5 4 5 3 2 2 2 2" xfId="16427" xr:uid="{00000000-0005-0000-0000-00004B320000}"/>
    <cellStyle name="20% - Accent5 4 5 3 2 2 3" xfId="16428" xr:uid="{00000000-0005-0000-0000-00004C320000}"/>
    <cellStyle name="20% - Accent5 4 5 3 2 3" xfId="16429" xr:uid="{00000000-0005-0000-0000-00004D320000}"/>
    <cellStyle name="20% - Accent5 4 5 3 2 3 2" xfId="16430" xr:uid="{00000000-0005-0000-0000-00004E320000}"/>
    <cellStyle name="20% - Accent5 4 5 3 2 4" xfId="16431" xr:uid="{00000000-0005-0000-0000-00004F320000}"/>
    <cellStyle name="20% - Accent5 4 5 3 2 5" xfId="16432" xr:uid="{00000000-0005-0000-0000-000050320000}"/>
    <cellStyle name="20% - Accent5 4 5 3 2 6" xfId="16433" xr:uid="{00000000-0005-0000-0000-000051320000}"/>
    <cellStyle name="20% - Accent5 4 5 3 3" xfId="16434" xr:uid="{00000000-0005-0000-0000-000052320000}"/>
    <cellStyle name="20% - Accent5 4 5 3 3 2" xfId="16435" xr:uid="{00000000-0005-0000-0000-000053320000}"/>
    <cellStyle name="20% - Accent5 4 5 3 3 2 2" xfId="16436" xr:uid="{00000000-0005-0000-0000-000054320000}"/>
    <cellStyle name="20% - Accent5 4 5 3 3 3" xfId="16437" xr:uid="{00000000-0005-0000-0000-000055320000}"/>
    <cellStyle name="20% - Accent5 4 5 3 4" xfId="16438" xr:uid="{00000000-0005-0000-0000-000056320000}"/>
    <cellStyle name="20% - Accent5 4 5 3 4 2" xfId="16439" xr:uid="{00000000-0005-0000-0000-000057320000}"/>
    <cellStyle name="20% - Accent5 4 5 3 5" xfId="16440" xr:uid="{00000000-0005-0000-0000-000058320000}"/>
    <cellStyle name="20% - Accent5 4 5 3 6" xfId="16441" xr:uid="{00000000-0005-0000-0000-000059320000}"/>
    <cellStyle name="20% - Accent5 4 5 3 7" xfId="16442" xr:uid="{00000000-0005-0000-0000-00005A320000}"/>
    <cellStyle name="20% - Accent5 4 5 4" xfId="16443" xr:uid="{00000000-0005-0000-0000-00005B320000}"/>
    <cellStyle name="20% - Accent5 4 5 4 2" xfId="16444" xr:uid="{00000000-0005-0000-0000-00005C320000}"/>
    <cellStyle name="20% - Accent5 4 5 4 2 2" xfId="16445" xr:uid="{00000000-0005-0000-0000-00005D320000}"/>
    <cellStyle name="20% - Accent5 4 5 4 2 2 2" xfId="16446" xr:uid="{00000000-0005-0000-0000-00005E320000}"/>
    <cellStyle name="20% - Accent5 4 5 4 2 3" xfId="16447" xr:uid="{00000000-0005-0000-0000-00005F320000}"/>
    <cellStyle name="20% - Accent5 4 5 4 3" xfId="16448" xr:uid="{00000000-0005-0000-0000-000060320000}"/>
    <cellStyle name="20% - Accent5 4 5 4 3 2" xfId="16449" xr:uid="{00000000-0005-0000-0000-000061320000}"/>
    <cellStyle name="20% - Accent5 4 5 4 4" xfId="16450" xr:uid="{00000000-0005-0000-0000-000062320000}"/>
    <cellStyle name="20% - Accent5 4 5 4 5" xfId="16451" xr:uid="{00000000-0005-0000-0000-000063320000}"/>
    <cellStyle name="20% - Accent5 4 5 4 6" xfId="16452" xr:uid="{00000000-0005-0000-0000-000064320000}"/>
    <cellStyle name="20% - Accent5 4 5 5" xfId="16453" xr:uid="{00000000-0005-0000-0000-000065320000}"/>
    <cellStyle name="20% - Accent5 4 5 5 2" xfId="16454" xr:uid="{00000000-0005-0000-0000-000066320000}"/>
    <cellStyle name="20% - Accent5 4 5 5 2 2" xfId="16455" xr:uid="{00000000-0005-0000-0000-000067320000}"/>
    <cellStyle name="20% - Accent5 4 5 5 3" xfId="16456" xr:uid="{00000000-0005-0000-0000-000068320000}"/>
    <cellStyle name="20% - Accent5 4 5 6" xfId="16457" xr:uid="{00000000-0005-0000-0000-000069320000}"/>
    <cellStyle name="20% - Accent5 4 5 6 2" xfId="16458" xr:uid="{00000000-0005-0000-0000-00006A320000}"/>
    <cellStyle name="20% - Accent5 4 5 6 2 2" xfId="16459" xr:uid="{00000000-0005-0000-0000-00006B320000}"/>
    <cellStyle name="20% - Accent5 4 5 6 3" xfId="16460" xr:uid="{00000000-0005-0000-0000-00006C320000}"/>
    <cellStyle name="20% - Accent5 4 5 7" xfId="16461" xr:uid="{00000000-0005-0000-0000-00006D320000}"/>
    <cellStyle name="20% - Accent5 4 5 7 2" xfId="16462" xr:uid="{00000000-0005-0000-0000-00006E320000}"/>
    <cellStyle name="20% - Accent5 4 5 8" xfId="16463" xr:uid="{00000000-0005-0000-0000-00006F320000}"/>
    <cellStyle name="20% - Accent5 4 5 8 2" xfId="16464" xr:uid="{00000000-0005-0000-0000-000070320000}"/>
    <cellStyle name="20% - Accent5 4 5 9" xfId="16465" xr:uid="{00000000-0005-0000-0000-000071320000}"/>
    <cellStyle name="20% - Accent5 4 6" xfId="16466" xr:uid="{00000000-0005-0000-0000-000072320000}"/>
    <cellStyle name="20% - Accent5 4 6 10" xfId="16467" xr:uid="{00000000-0005-0000-0000-000073320000}"/>
    <cellStyle name="20% - Accent5 4 6 11" xfId="16468" xr:uid="{00000000-0005-0000-0000-000074320000}"/>
    <cellStyle name="20% - Accent5 4 6 2" xfId="16469" xr:uid="{00000000-0005-0000-0000-000075320000}"/>
    <cellStyle name="20% - Accent5 4 6 2 2" xfId="16470" xr:uid="{00000000-0005-0000-0000-000076320000}"/>
    <cellStyle name="20% - Accent5 4 6 2 2 2" xfId="16471" xr:uid="{00000000-0005-0000-0000-000077320000}"/>
    <cellStyle name="20% - Accent5 4 6 2 2 2 2" xfId="16472" xr:uid="{00000000-0005-0000-0000-000078320000}"/>
    <cellStyle name="20% - Accent5 4 6 2 2 2 2 2" xfId="16473" xr:uid="{00000000-0005-0000-0000-000079320000}"/>
    <cellStyle name="20% - Accent5 4 6 2 2 2 3" xfId="16474" xr:uid="{00000000-0005-0000-0000-00007A320000}"/>
    <cellStyle name="20% - Accent5 4 6 2 2 3" xfId="16475" xr:uid="{00000000-0005-0000-0000-00007B320000}"/>
    <cellStyle name="20% - Accent5 4 6 2 2 3 2" xfId="16476" xr:uid="{00000000-0005-0000-0000-00007C320000}"/>
    <cellStyle name="20% - Accent5 4 6 2 2 4" xfId="16477" xr:uid="{00000000-0005-0000-0000-00007D320000}"/>
    <cellStyle name="20% - Accent5 4 6 2 2 5" xfId="16478" xr:uid="{00000000-0005-0000-0000-00007E320000}"/>
    <cellStyle name="20% - Accent5 4 6 2 2 6" xfId="16479" xr:uid="{00000000-0005-0000-0000-00007F320000}"/>
    <cellStyle name="20% - Accent5 4 6 2 3" xfId="16480" xr:uid="{00000000-0005-0000-0000-000080320000}"/>
    <cellStyle name="20% - Accent5 4 6 2 3 2" xfId="16481" xr:uid="{00000000-0005-0000-0000-000081320000}"/>
    <cellStyle name="20% - Accent5 4 6 2 3 2 2" xfId="16482" xr:uid="{00000000-0005-0000-0000-000082320000}"/>
    <cellStyle name="20% - Accent5 4 6 2 3 3" xfId="16483" xr:uid="{00000000-0005-0000-0000-000083320000}"/>
    <cellStyle name="20% - Accent5 4 6 2 4" xfId="16484" xr:uid="{00000000-0005-0000-0000-000084320000}"/>
    <cellStyle name="20% - Accent5 4 6 2 4 2" xfId="16485" xr:uid="{00000000-0005-0000-0000-000085320000}"/>
    <cellStyle name="20% - Accent5 4 6 2 5" xfId="16486" xr:uid="{00000000-0005-0000-0000-000086320000}"/>
    <cellStyle name="20% - Accent5 4 6 2 5 2" xfId="16487" xr:uid="{00000000-0005-0000-0000-000087320000}"/>
    <cellStyle name="20% - Accent5 4 6 2 6" xfId="16488" xr:uid="{00000000-0005-0000-0000-000088320000}"/>
    <cellStyle name="20% - Accent5 4 6 2 7" xfId="16489" xr:uid="{00000000-0005-0000-0000-000089320000}"/>
    <cellStyle name="20% - Accent5 4 6 2 8" xfId="16490" xr:uid="{00000000-0005-0000-0000-00008A320000}"/>
    <cellStyle name="20% - Accent5 4 6 3" xfId="16491" xr:uid="{00000000-0005-0000-0000-00008B320000}"/>
    <cellStyle name="20% - Accent5 4 6 3 2" xfId="16492" xr:uid="{00000000-0005-0000-0000-00008C320000}"/>
    <cellStyle name="20% - Accent5 4 6 3 2 2" xfId="16493" xr:uid="{00000000-0005-0000-0000-00008D320000}"/>
    <cellStyle name="20% - Accent5 4 6 3 2 2 2" xfId="16494" xr:uid="{00000000-0005-0000-0000-00008E320000}"/>
    <cellStyle name="20% - Accent5 4 6 3 2 2 2 2" xfId="16495" xr:uid="{00000000-0005-0000-0000-00008F320000}"/>
    <cellStyle name="20% - Accent5 4 6 3 2 2 3" xfId="16496" xr:uid="{00000000-0005-0000-0000-000090320000}"/>
    <cellStyle name="20% - Accent5 4 6 3 2 3" xfId="16497" xr:uid="{00000000-0005-0000-0000-000091320000}"/>
    <cellStyle name="20% - Accent5 4 6 3 2 3 2" xfId="16498" xr:uid="{00000000-0005-0000-0000-000092320000}"/>
    <cellStyle name="20% - Accent5 4 6 3 2 4" xfId="16499" xr:uid="{00000000-0005-0000-0000-000093320000}"/>
    <cellStyle name="20% - Accent5 4 6 3 2 5" xfId="16500" xr:uid="{00000000-0005-0000-0000-000094320000}"/>
    <cellStyle name="20% - Accent5 4 6 3 2 6" xfId="16501" xr:uid="{00000000-0005-0000-0000-000095320000}"/>
    <cellStyle name="20% - Accent5 4 6 3 3" xfId="16502" xr:uid="{00000000-0005-0000-0000-000096320000}"/>
    <cellStyle name="20% - Accent5 4 6 3 3 2" xfId="16503" xr:uid="{00000000-0005-0000-0000-000097320000}"/>
    <cellStyle name="20% - Accent5 4 6 3 3 2 2" xfId="16504" xr:uid="{00000000-0005-0000-0000-000098320000}"/>
    <cellStyle name="20% - Accent5 4 6 3 3 3" xfId="16505" xr:uid="{00000000-0005-0000-0000-000099320000}"/>
    <cellStyle name="20% - Accent5 4 6 3 4" xfId="16506" xr:uid="{00000000-0005-0000-0000-00009A320000}"/>
    <cellStyle name="20% - Accent5 4 6 3 4 2" xfId="16507" xr:uid="{00000000-0005-0000-0000-00009B320000}"/>
    <cellStyle name="20% - Accent5 4 6 3 5" xfId="16508" xr:uid="{00000000-0005-0000-0000-00009C320000}"/>
    <cellStyle name="20% - Accent5 4 6 3 6" xfId="16509" xr:uid="{00000000-0005-0000-0000-00009D320000}"/>
    <cellStyle name="20% - Accent5 4 6 3 7" xfId="16510" xr:uid="{00000000-0005-0000-0000-00009E320000}"/>
    <cellStyle name="20% - Accent5 4 6 4" xfId="16511" xr:uid="{00000000-0005-0000-0000-00009F320000}"/>
    <cellStyle name="20% - Accent5 4 6 4 2" xfId="16512" xr:uid="{00000000-0005-0000-0000-0000A0320000}"/>
    <cellStyle name="20% - Accent5 4 6 4 2 2" xfId="16513" xr:uid="{00000000-0005-0000-0000-0000A1320000}"/>
    <cellStyle name="20% - Accent5 4 6 4 2 2 2" xfId="16514" xr:uid="{00000000-0005-0000-0000-0000A2320000}"/>
    <cellStyle name="20% - Accent5 4 6 4 2 3" xfId="16515" xr:uid="{00000000-0005-0000-0000-0000A3320000}"/>
    <cellStyle name="20% - Accent5 4 6 4 3" xfId="16516" xr:uid="{00000000-0005-0000-0000-0000A4320000}"/>
    <cellStyle name="20% - Accent5 4 6 4 3 2" xfId="16517" xr:uid="{00000000-0005-0000-0000-0000A5320000}"/>
    <cellStyle name="20% - Accent5 4 6 4 4" xfId="16518" xr:uid="{00000000-0005-0000-0000-0000A6320000}"/>
    <cellStyle name="20% - Accent5 4 6 4 5" xfId="16519" xr:uid="{00000000-0005-0000-0000-0000A7320000}"/>
    <cellStyle name="20% - Accent5 4 6 4 6" xfId="16520" xr:uid="{00000000-0005-0000-0000-0000A8320000}"/>
    <cellStyle name="20% - Accent5 4 6 5" xfId="16521" xr:uid="{00000000-0005-0000-0000-0000A9320000}"/>
    <cellStyle name="20% - Accent5 4 6 5 2" xfId="16522" xr:uid="{00000000-0005-0000-0000-0000AA320000}"/>
    <cellStyle name="20% - Accent5 4 6 5 2 2" xfId="16523" xr:uid="{00000000-0005-0000-0000-0000AB320000}"/>
    <cellStyle name="20% - Accent5 4 6 5 3" xfId="16524" xr:uid="{00000000-0005-0000-0000-0000AC320000}"/>
    <cellStyle name="20% - Accent5 4 6 6" xfId="16525" xr:uid="{00000000-0005-0000-0000-0000AD320000}"/>
    <cellStyle name="20% - Accent5 4 6 6 2" xfId="16526" xr:uid="{00000000-0005-0000-0000-0000AE320000}"/>
    <cellStyle name="20% - Accent5 4 6 6 2 2" xfId="16527" xr:uid="{00000000-0005-0000-0000-0000AF320000}"/>
    <cellStyle name="20% - Accent5 4 6 6 3" xfId="16528" xr:uid="{00000000-0005-0000-0000-0000B0320000}"/>
    <cellStyle name="20% - Accent5 4 6 7" xfId="16529" xr:uid="{00000000-0005-0000-0000-0000B1320000}"/>
    <cellStyle name="20% - Accent5 4 6 7 2" xfId="16530" xr:uid="{00000000-0005-0000-0000-0000B2320000}"/>
    <cellStyle name="20% - Accent5 4 6 8" xfId="16531" xr:uid="{00000000-0005-0000-0000-0000B3320000}"/>
    <cellStyle name="20% - Accent5 4 6 8 2" xfId="16532" xr:uid="{00000000-0005-0000-0000-0000B4320000}"/>
    <cellStyle name="20% - Accent5 4 6 9" xfId="16533" xr:uid="{00000000-0005-0000-0000-0000B5320000}"/>
    <cellStyle name="20% - Accent5 4 7" xfId="16534" xr:uid="{00000000-0005-0000-0000-0000B6320000}"/>
    <cellStyle name="20% - Accent5 4 7 10" xfId="16535" xr:uid="{00000000-0005-0000-0000-0000B7320000}"/>
    <cellStyle name="20% - Accent5 4 7 11" xfId="16536" xr:uid="{00000000-0005-0000-0000-0000B8320000}"/>
    <cellStyle name="20% - Accent5 4 7 2" xfId="16537" xr:uid="{00000000-0005-0000-0000-0000B9320000}"/>
    <cellStyle name="20% - Accent5 4 7 2 2" xfId="16538" xr:uid="{00000000-0005-0000-0000-0000BA320000}"/>
    <cellStyle name="20% - Accent5 4 7 2 2 2" xfId="16539" xr:uid="{00000000-0005-0000-0000-0000BB320000}"/>
    <cellStyle name="20% - Accent5 4 7 2 2 2 2" xfId="16540" xr:uid="{00000000-0005-0000-0000-0000BC320000}"/>
    <cellStyle name="20% - Accent5 4 7 2 2 2 2 2" xfId="16541" xr:uid="{00000000-0005-0000-0000-0000BD320000}"/>
    <cellStyle name="20% - Accent5 4 7 2 2 2 3" xfId="16542" xr:uid="{00000000-0005-0000-0000-0000BE320000}"/>
    <cellStyle name="20% - Accent5 4 7 2 2 3" xfId="16543" xr:uid="{00000000-0005-0000-0000-0000BF320000}"/>
    <cellStyle name="20% - Accent5 4 7 2 2 3 2" xfId="16544" xr:uid="{00000000-0005-0000-0000-0000C0320000}"/>
    <cellStyle name="20% - Accent5 4 7 2 2 4" xfId="16545" xr:uid="{00000000-0005-0000-0000-0000C1320000}"/>
    <cellStyle name="20% - Accent5 4 7 2 2 5" xfId="16546" xr:uid="{00000000-0005-0000-0000-0000C2320000}"/>
    <cellStyle name="20% - Accent5 4 7 2 2 6" xfId="16547" xr:uid="{00000000-0005-0000-0000-0000C3320000}"/>
    <cellStyle name="20% - Accent5 4 7 2 3" xfId="16548" xr:uid="{00000000-0005-0000-0000-0000C4320000}"/>
    <cellStyle name="20% - Accent5 4 7 2 3 2" xfId="16549" xr:uid="{00000000-0005-0000-0000-0000C5320000}"/>
    <cellStyle name="20% - Accent5 4 7 2 3 2 2" xfId="16550" xr:uid="{00000000-0005-0000-0000-0000C6320000}"/>
    <cellStyle name="20% - Accent5 4 7 2 3 3" xfId="16551" xr:uid="{00000000-0005-0000-0000-0000C7320000}"/>
    <cellStyle name="20% - Accent5 4 7 2 4" xfId="16552" xr:uid="{00000000-0005-0000-0000-0000C8320000}"/>
    <cellStyle name="20% - Accent5 4 7 2 4 2" xfId="16553" xr:uid="{00000000-0005-0000-0000-0000C9320000}"/>
    <cellStyle name="20% - Accent5 4 7 2 5" xfId="16554" xr:uid="{00000000-0005-0000-0000-0000CA320000}"/>
    <cellStyle name="20% - Accent5 4 7 2 5 2" xfId="16555" xr:uid="{00000000-0005-0000-0000-0000CB320000}"/>
    <cellStyle name="20% - Accent5 4 7 2 6" xfId="16556" xr:uid="{00000000-0005-0000-0000-0000CC320000}"/>
    <cellStyle name="20% - Accent5 4 7 2 7" xfId="16557" xr:uid="{00000000-0005-0000-0000-0000CD320000}"/>
    <cellStyle name="20% - Accent5 4 7 2 8" xfId="16558" xr:uid="{00000000-0005-0000-0000-0000CE320000}"/>
    <cellStyle name="20% - Accent5 4 7 3" xfId="16559" xr:uid="{00000000-0005-0000-0000-0000CF320000}"/>
    <cellStyle name="20% - Accent5 4 7 3 2" xfId="16560" xr:uid="{00000000-0005-0000-0000-0000D0320000}"/>
    <cellStyle name="20% - Accent5 4 7 3 2 2" xfId="16561" xr:uid="{00000000-0005-0000-0000-0000D1320000}"/>
    <cellStyle name="20% - Accent5 4 7 3 2 2 2" xfId="16562" xr:uid="{00000000-0005-0000-0000-0000D2320000}"/>
    <cellStyle name="20% - Accent5 4 7 3 2 2 2 2" xfId="16563" xr:uid="{00000000-0005-0000-0000-0000D3320000}"/>
    <cellStyle name="20% - Accent5 4 7 3 2 2 3" xfId="16564" xr:uid="{00000000-0005-0000-0000-0000D4320000}"/>
    <cellStyle name="20% - Accent5 4 7 3 2 3" xfId="16565" xr:uid="{00000000-0005-0000-0000-0000D5320000}"/>
    <cellStyle name="20% - Accent5 4 7 3 2 3 2" xfId="16566" xr:uid="{00000000-0005-0000-0000-0000D6320000}"/>
    <cellStyle name="20% - Accent5 4 7 3 2 4" xfId="16567" xr:uid="{00000000-0005-0000-0000-0000D7320000}"/>
    <cellStyle name="20% - Accent5 4 7 3 2 5" xfId="16568" xr:uid="{00000000-0005-0000-0000-0000D8320000}"/>
    <cellStyle name="20% - Accent5 4 7 3 2 6" xfId="16569" xr:uid="{00000000-0005-0000-0000-0000D9320000}"/>
    <cellStyle name="20% - Accent5 4 7 3 3" xfId="16570" xr:uid="{00000000-0005-0000-0000-0000DA320000}"/>
    <cellStyle name="20% - Accent5 4 7 3 3 2" xfId="16571" xr:uid="{00000000-0005-0000-0000-0000DB320000}"/>
    <cellStyle name="20% - Accent5 4 7 3 3 2 2" xfId="16572" xr:uid="{00000000-0005-0000-0000-0000DC320000}"/>
    <cellStyle name="20% - Accent5 4 7 3 3 3" xfId="16573" xr:uid="{00000000-0005-0000-0000-0000DD320000}"/>
    <cellStyle name="20% - Accent5 4 7 3 4" xfId="16574" xr:uid="{00000000-0005-0000-0000-0000DE320000}"/>
    <cellStyle name="20% - Accent5 4 7 3 4 2" xfId="16575" xr:uid="{00000000-0005-0000-0000-0000DF320000}"/>
    <cellStyle name="20% - Accent5 4 7 3 5" xfId="16576" xr:uid="{00000000-0005-0000-0000-0000E0320000}"/>
    <cellStyle name="20% - Accent5 4 7 3 6" xfId="16577" xr:uid="{00000000-0005-0000-0000-0000E1320000}"/>
    <cellStyle name="20% - Accent5 4 7 3 7" xfId="16578" xr:uid="{00000000-0005-0000-0000-0000E2320000}"/>
    <cellStyle name="20% - Accent5 4 7 4" xfId="16579" xr:uid="{00000000-0005-0000-0000-0000E3320000}"/>
    <cellStyle name="20% - Accent5 4 7 4 2" xfId="16580" xr:uid="{00000000-0005-0000-0000-0000E4320000}"/>
    <cellStyle name="20% - Accent5 4 7 4 2 2" xfId="16581" xr:uid="{00000000-0005-0000-0000-0000E5320000}"/>
    <cellStyle name="20% - Accent5 4 7 4 2 2 2" xfId="16582" xr:uid="{00000000-0005-0000-0000-0000E6320000}"/>
    <cellStyle name="20% - Accent5 4 7 4 2 3" xfId="16583" xr:uid="{00000000-0005-0000-0000-0000E7320000}"/>
    <cellStyle name="20% - Accent5 4 7 4 3" xfId="16584" xr:uid="{00000000-0005-0000-0000-0000E8320000}"/>
    <cellStyle name="20% - Accent5 4 7 4 3 2" xfId="16585" xr:uid="{00000000-0005-0000-0000-0000E9320000}"/>
    <cellStyle name="20% - Accent5 4 7 4 4" xfId="16586" xr:uid="{00000000-0005-0000-0000-0000EA320000}"/>
    <cellStyle name="20% - Accent5 4 7 4 5" xfId="16587" xr:uid="{00000000-0005-0000-0000-0000EB320000}"/>
    <cellStyle name="20% - Accent5 4 7 4 6" xfId="16588" xr:uid="{00000000-0005-0000-0000-0000EC320000}"/>
    <cellStyle name="20% - Accent5 4 7 5" xfId="16589" xr:uid="{00000000-0005-0000-0000-0000ED320000}"/>
    <cellStyle name="20% - Accent5 4 7 5 2" xfId="16590" xr:uid="{00000000-0005-0000-0000-0000EE320000}"/>
    <cellStyle name="20% - Accent5 4 7 5 2 2" xfId="16591" xr:uid="{00000000-0005-0000-0000-0000EF320000}"/>
    <cellStyle name="20% - Accent5 4 7 5 3" xfId="16592" xr:uid="{00000000-0005-0000-0000-0000F0320000}"/>
    <cellStyle name="20% - Accent5 4 7 6" xfId="16593" xr:uid="{00000000-0005-0000-0000-0000F1320000}"/>
    <cellStyle name="20% - Accent5 4 7 6 2" xfId="16594" xr:uid="{00000000-0005-0000-0000-0000F2320000}"/>
    <cellStyle name="20% - Accent5 4 7 6 2 2" xfId="16595" xr:uid="{00000000-0005-0000-0000-0000F3320000}"/>
    <cellStyle name="20% - Accent5 4 7 6 3" xfId="16596" xr:uid="{00000000-0005-0000-0000-0000F4320000}"/>
    <cellStyle name="20% - Accent5 4 7 7" xfId="16597" xr:uid="{00000000-0005-0000-0000-0000F5320000}"/>
    <cellStyle name="20% - Accent5 4 7 7 2" xfId="16598" xr:uid="{00000000-0005-0000-0000-0000F6320000}"/>
    <cellStyle name="20% - Accent5 4 7 8" xfId="16599" xr:uid="{00000000-0005-0000-0000-0000F7320000}"/>
    <cellStyle name="20% - Accent5 4 7 8 2" xfId="16600" xr:uid="{00000000-0005-0000-0000-0000F8320000}"/>
    <cellStyle name="20% - Accent5 4 7 9" xfId="16601" xr:uid="{00000000-0005-0000-0000-0000F9320000}"/>
    <cellStyle name="20% - Accent5 4 8" xfId="16602" xr:uid="{00000000-0005-0000-0000-0000FA320000}"/>
    <cellStyle name="20% - Accent5 4 8 10" xfId="16603" xr:uid="{00000000-0005-0000-0000-0000FB320000}"/>
    <cellStyle name="20% - Accent5 4 8 11" xfId="16604" xr:uid="{00000000-0005-0000-0000-0000FC320000}"/>
    <cellStyle name="20% - Accent5 4 8 2" xfId="16605" xr:uid="{00000000-0005-0000-0000-0000FD320000}"/>
    <cellStyle name="20% - Accent5 4 8 2 2" xfId="16606" xr:uid="{00000000-0005-0000-0000-0000FE320000}"/>
    <cellStyle name="20% - Accent5 4 8 2 2 2" xfId="16607" xr:uid="{00000000-0005-0000-0000-0000FF320000}"/>
    <cellStyle name="20% - Accent5 4 8 2 2 2 2" xfId="16608" xr:uid="{00000000-0005-0000-0000-000000330000}"/>
    <cellStyle name="20% - Accent5 4 8 2 2 2 2 2" xfId="16609" xr:uid="{00000000-0005-0000-0000-000001330000}"/>
    <cellStyle name="20% - Accent5 4 8 2 2 2 3" xfId="16610" xr:uid="{00000000-0005-0000-0000-000002330000}"/>
    <cellStyle name="20% - Accent5 4 8 2 2 3" xfId="16611" xr:uid="{00000000-0005-0000-0000-000003330000}"/>
    <cellStyle name="20% - Accent5 4 8 2 2 3 2" xfId="16612" xr:uid="{00000000-0005-0000-0000-000004330000}"/>
    <cellStyle name="20% - Accent5 4 8 2 2 4" xfId="16613" xr:uid="{00000000-0005-0000-0000-000005330000}"/>
    <cellStyle name="20% - Accent5 4 8 2 2 5" xfId="16614" xr:uid="{00000000-0005-0000-0000-000006330000}"/>
    <cellStyle name="20% - Accent5 4 8 2 2 6" xfId="16615" xr:uid="{00000000-0005-0000-0000-000007330000}"/>
    <cellStyle name="20% - Accent5 4 8 2 3" xfId="16616" xr:uid="{00000000-0005-0000-0000-000008330000}"/>
    <cellStyle name="20% - Accent5 4 8 2 3 2" xfId="16617" xr:uid="{00000000-0005-0000-0000-000009330000}"/>
    <cellStyle name="20% - Accent5 4 8 2 3 2 2" xfId="16618" xr:uid="{00000000-0005-0000-0000-00000A330000}"/>
    <cellStyle name="20% - Accent5 4 8 2 3 3" xfId="16619" xr:uid="{00000000-0005-0000-0000-00000B330000}"/>
    <cellStyle name="20% - Accent5 4 8 2 4" xfId="16620" xr:uid="{00000000-0005-0000-0000-00000C330000}"/>
    <cellStyle name="20% - Accent5 4 8 2 4 2" xfId="16621" xr:uid="{00000000-0005-0000-0000-00000D330000}"/>
    <cellStyle name="20% - Accent5 4 8 2 5" xfId="16622" xr:uid="{00000000-0005-0000-0000-00000E330000}"/>
    <cellStyle name="20% - Accent5 4 8 2 5 2" xfId="16623" xr:uid="{00000000-0005-0000-0000-00000F330000}"/>
    <cellStyle name="20% - Accent5 4 8 2 6" xfId="16624" xr:uid="{00000000-0005-0000-0000-000010330000}"/>
    <cellStyle name="20% - Accent5 4 8 2 7" xfId="16625" xr:uid="{00000000-0005-0000-0000-000011330000}"/>
    <cellStyle name="20% - Accent5 4 8 2 8" xfId="16626" xr:uid="{00000000-0005-0000-0000-000012330000}"/>
    <cellStyle name="20% - Accent5 4 8 3" xfId="16627" xr:uid="{00000000-0005-0000-0000-000013330000}"/>
    <cellStyle name="20% - Accent5 4 8 3 2" xfId="16628" xr:uid="{00000000-0005-0000-0000-000014330000}"/>
    <cellStyle name="20% - Accent5 4 8 3 2 2" xfId="16629" xr:uid="{00000000-0005-0000-0000-000015330000}"/>
    <cellStyle name="20% - Accent5 4 8 3 2 2 2" xfId="16630" xr:uid="{00000000-0005-0000-0000-000016330000}"/>
    <cellStyle name="20% - Accent5 4 8 3 2 2 2 2" xfId="16631" xr:uid="{00000000-0005-0000-0000-000017330000}"/>
    <cellStyle name="20% - Accent5 4 8 3 2 2 3" xfId="16632" xr:uid="{00000000-0005-0000-0000-000018330000}"/>
    <cellStyle name="20% - Accent5 4 8 3 2 3" xfId="16633" xr:uid="{00000000-0005-0000-0000-000019330000}"/>
    <cellStyle name="20% - Accent5 4 8 3 2 3 2" xfId="16634" xr:uid="{00000000-0005-0000-0000-00001A330000}"/>
    <cellStyle name="20% - Accent5 4 8 3 2 4" xfId="16635" xr:uid="{00000000-0005-0000-0000-00001B330000}"/>
    <cellStyle name="20% - Accent5 4 8 3 2 5" xfId="16636" xr:uid="{00000000-0005-0000-0000-00001C330000}"/>
    <cellStyle name="20% - Accent5 4 8 3 2 6" xfId="16637" xr:uid="{00000000-0005-0000-0000-00001D330000}"/>
    <cellStyle name="20% - Accent5 4 8 3 3" xfId="16638" xr:uid="{00000000-0005-0000-0000-00001E330000}"/>
    <cellStyle name="20% - Accent5 4 8 3 3 2" xfId="16639" xr:uid="{00000000-0005-0000-0000-00001F330000}"/>
    <cellStyle name="20% - Accent5 4 8 3 3 2 2" xfId="16640" xr:uid="{00000000-0005-0000-0000-000020330000}"/>
    <cellStyle name="20% - Accent5 4 8 3 3 3" xfId="16641" xr:uid="{00000000-0005-0000-0000-000021330000}"/>
    <cellStyle name="20% - Accent5 4 8 3 4" xfId="16642" xr:uid="{00000000-0005-0000-0000-000022330000}"/>
    <cellStyle name="20% - Accent5 4 8 3 4 2" xfId="16643" xr:uid="{00000000-0005-0000-0000-000023330000}"/>
    <cellStyle name="20% - Accent5 4 8 3 5" xfId="16644" xr:uid="{00000000-0005-0000-0000-000024330000}"/>
    <cellStyle name="20% - Accent5 4 8 3 6" xfId="16645" xr:uid="{00000000-0005-0000-0000-000025330000}"/>
    <cellStyle name="20% - Accent5 4 8 3 7" xfId="16646" xr:uid="{00000000-0005-0000-0000-000026330000}"/>
    <cellStyle name="20% - Accent5 4 8 4" xfId="16647" xr:uid="{00000000-0005-0000-0000-000027330000}"/>
    <cellStyle name="20% - Accent5 4 8 4 2" xfId="16648" xr:uid="{00000000-0005-0000-0000-000028330000}"/>
    <cellStyle name="20% - Accent5 4 8 4 2 2" xfId="16649" xr:uid="{00000000-0005-0000-0000-000029330000}"/>
    <cellStyle name="20% - Accent5 4 8 4 2 2 2" xfId="16650" xr:uid="{00000000-0005-0000-0000-00002A330000}"/>
    <cellStyle name="20% - Accent5 4 8 4 2 3" xfId="16651" xr:uid="{00000000-0005-0000-0000-00002B330000}"/>
    <cellStyle name="20% - Accent5 4 8 4 3" xfId="16652" xr:uid="{00000000-0005-0000-0000-00002C330000}"/>
    <cellStyle name="20% - Accent5 4 8 4 3 2" xfId="16653" xr:uid="{00000000-0005-0000-0000-00002D330000}"/>
    <cellStyle name="20% - Accent5 4 8 4 4" xfId="16654" xr:uid="{00000000-0005-0000-0000-00002E330000}"/>
    <cellStyle name="20% - Accent5 4 8 4 5" xfId="16655" xr:uid="{00000000-0005-0000-0000-00002F330000}"/>
    <cellStyle name="20% - Accent5 4 8 4 6" xfId="16656" xr:uid="{00000000-0005-0000-0000-000030330000}"/>
    <cellStyle name="20% - Accent5 4 8 5" xfId="16657" xr:uid="{00000000-0005-0000-0000-000031330000}"/>
    <cellStyle name="20% - Accent5 4 8 5 2" xfId="16658" xr:uid="{00000000-0005-0000-0000-000032330000}"/>
    <cellStyle name="20% - Accent5 4 8 5 2 2" xfId="16659" xr:uid="{00000000-0005-0000-0000-000033330000}"/>
    <cellStyle name="20% - Accent5 4 8 5 3" xfId="16660" xr:uid="{00000000-0005-0000-0000-000034330000}"/>
    <cellStyle name="20% - Accent5 4 8 6" xfId="16661" xr:uid="{00000000-0005-0000-0000-000035330000}"/>
    <cellStyle name="20% - Accent5 4 8 6 2" xfId="16662" xr:uid="{00000000-0005-0000-0000-000036330000}"/>
    <cellStyle name="20% - Accent5 4 8 6 2 2" xfId="16663" xr:uid="{00000000-0005-0000-0000-000037330000}"/>
    <cellStyle name="20% - Accent5 4 8 6 3" xfId="16664" xr:uid="{00000000-0005-0000-0000-000038330000}"/>
    <cellStyle name="20% - Accent5 4 8 7" xfId="16665" xr:uid="{00000000-0005-0000-0000-000039330000}"/>
    <cellStyle name="20% - Accent5 4 8 7 2" xfId="16666" xr:uid="{00000000-0005-0000-0000-00003A330000}"/>
    <cellStyle name="20% - Accent5 4 8 8" xfId="16667" xr:uid="{00000000-0005-0000-0000-00003B330000}"/>
    <cellStyle name="20% - Accent5 4 8 8 2" xfId="16668" xr:uid="{00000000-0005-0000-0000-00003C330000}"/>
    <cellStyle name="20% - Accent5 4 8 9" xfId="16669" xr:uid="{00000000-0005-0000-0000-00003D330000}"/>
    <cellStyle name="20% - Accent5 4 9" xfId="16670" xr:uid="{00000000-0005-0000-0000-00003E330000}"/>
    <cellStyle name="20% - Accent5 4 9 10" xfId="16671" xr:uid="{00000000-0005-0000-0000-00003F330000}"/>
    <cellStyle name="20% - Accent5 4 9 2" xfId="16672" xr:uid="{00000000-0005-0000-0000-000040330000}"/>
    <cellStyle name="20% - Accent5 4 9 2 2" xfId="16673" xr:uid="{00000000-0005-0000-0000-000041330000}"/>
    <cellStyle name="20% - Accent5 4 9 2 2 2" xfId="16674" xr:uid="{00000000-0005-0000-0000-000042330000}"/>
    <cellStyle name="20% - Accent5 4 9 2 2 2 2" xfId="16675" xr:uid="{00000000-0005-0000-0000-000043330000}"/>
    <cellStyle name="20% - Accent5 4 9 2 2 2 2 2" xfId="16676" xr:uid="{00000000-0005-0000-0000-000044330000}"/>
    <cellStyle name="20% - Accent5 4 9 2 2 2 3" xfId="16677" xr:uid="{00000000-0005-0000-0000-000045330000}"/>
    <cellStyle name="20% - Accent5 4 9 2 2 3" xfId="16678" xr:uid="{00000000-0005-0000-0000-000046330000}"/>
    <cellStyle name="20% - Accent5 4 9 2 2 3 2" xfId="16679" xr:uid="{00000000-0005-0000-0000-000047330000}"/>
    <cellStyle name="20% - Accent5 4 9 2 2 4" xfId="16680" xr:uid="{00000000-0005-0000-0000-000048330000}"/>
    <cellStyle name="20% - Accent5 4 9 2 2 5" xfId="16681" xr:uid="{00000000-0005-0000-0000-000049330000}"/>
    <cellStyle name="20% - Accent5 4 9 2 2 6" xfId="16682" xr:uid="{00000000-0005-0000-0000-00004A330000}"/>
    <cellStyle name="20% - Accent5 4 9 2 3" xfId="16683" xr:uid="{00000000-0005-0000-0000-00004B330000}"/>
    <cellStyle name="20% - Accent5 4 9 2 3 2" xfId="16684" xr:uid="{00000000-0005-0000-0000-00004C330000}"/>
    <cellStyle name="20% - Accent5 4 9 2 3 2 2" xfId="16685" xr:uid="{00000000-0005-0000-0000-00004D330000}"/>
    <cellStyle name="20% - Accent5 4 9 2 3 3" xfId="16686" xr:uid="{00000000-0005-0000-0000-00004E330000}"/>
    <cellStyle name="20% - Accent5 4 9 2 4" xfId="16687" xr:uid="{00000000-0005-0000-0000-00004F330000}"/>
    <cellStyle name="20% - Accent5 4 9 2 4 2" xfId="16688" xr:uid="{00000000-0005-0000-0000-000050330000}"/>
    <cellStyle name="20% - Accent5 4 9 2 5" xfId="16689" xr:uid="{00000000-0005-0000-0000-000051330000}"/>
    <cellStyle name="20% - Accent5 4 9 2 6" xfId="16690" xr:uid="{00000000-0005-0000-0000-000052330000}"/>
    <cellStyle name="20% - Accent5 4 9 2 7" xfId="16691" xr:uid="{00000000-0005-0000-0000-000053330000}"/>
    <cellStyle name="20% - Accent5 4 9 3" xfId="16692" xr:uid="{00000000-0005-0000-0000-000054330000}"/>
    <cellStyle name="20% - Accent5 4 9 3 2" xfId="16693" xr:uid="{00000000-0005-0000-0000-000055330000}"/>
    <cellStyle name="20% - Accent5 4 9 3 2 2" xfId="16694" xr:uid="{00000000-0005-0000-0000-000056330000}"/>
    <cellStyle name="20% - Accent5 4 9 3 2 2 2" xfId="16695" xr:uid="{00000000-0005-0000-0000-000057330000}"/>
    <cellStyle name="20% - Accent5 4 9 3 2 3" xfId="16696" xr:uid="{00000000-0005-0000-0000-000058330000}"/>
    <cellStyle name="20% - Accent5 4 9 3 3" xfId="16697" xr:uid="{00000000-0005-0000-0000-000059330000}"/>
    <cellStyle name="20% - Accent5 4 9 3 3 2" xfId="16698" xr:uid="{00000000-0005-0000-0000-00005A330000}"/>
    <cellStyle name="20% - Accent5 4 9 3 4" xfId="16699" xr:uid="{00000000-0005-0000-0000-00005B330000}"/>
    <cellStyle name="20% - Accent5 4 9 3 5" xfId="16700" xr:uid="{00000000-0005-0000-0000-00005C330000}"/>
    <cellStyle name="20% - Accent5 4 9 3 6" xfId="16701" xr:uid="{00000000-0005-0000-0000-00005D330000}"/>
    <cellStyle name="20% - Accent5 4 9 4" xfId="16702" xr:uid="{00000000-0005-0000-0000-00005E330000}"/>
    <cellStyle name="20% - Accent5 4 9 4 2" xfId="16703" xr:uid="{00000000-0005-0000-0000-00005F330000}"/>
    <cellStyle name="20% - Accent5 4 9 4 2 2" xfId="16704" xr:uid="{00000000-0005-0000-0000-000060330000}"/>
    <cellStyle name="20% - Accent5 4 9 4 3" xfId="16705" xr:uid="{00000000-0005-0000-0000-000061330000}"/>
    <cellStyle name="20% - Accent5 4 9 5" xfId="16706" xr:uid="{00000000-0005-0000-0000-000062330000}"/>
    <cellStyle name="20% - Accent5 4 9 5 2" xfId="16707" xr:uid="{00000000-0005-0000-0000-000063330000}"/>
    <cellStyle name="20% - Accent5 4 9 5 2 2" xfId="16708" xr:uid="{00000000-0005-0000-0000-000064330000}"/>
    <cellStyle name="20% - Accent5 4 9 5 3" xfId="16709" xr:uid="{00000000-0005-0000-0000-000065330000}"/>
    <cellStyle name="20% - Accent5 4 9 6" xfId="16710" xr:uid="{00000000-0005-0000-0000-000066330000}"/>
    <cellStyle name="20% - Accent5 4 9 6 2" xfId="16711" xr:uid="{00000000-0005-0000-0000-000067330000}"/>
    <cellStyle name="20% - Accent5 4 9 7" xfId="16712" xr:uid="{00000000-0005-0000-0000-000068330000}"/>
    <cellStyle name="20% - Accent5 4 9 7 2" xfId="16713" xr:uid="{00000000-0005-0000-0000-000069330000}"/>
    <cellStyle name="20% - Accent5 4 9 8" xfId="16714" xr:uid="{00000000-0005-0000-0000-00006A330000}"/>
    <cellStyle name="20% - Accent5 4 9 9" xfId="16715" xr:uid="{00000000-0005-0000-0000-00006B330000}"/>
    <cellStyle name="20% - Accent5 5" xfId="184" xr:uid="{00000000-0005-0000-0000-00006C330000}"/>
    <cellStyle name="20% - Accent5 5 10" xfId="16716" xr:uid="{00000000-0005-0000-0000-00006D330000}"/>
    <cellStyle name="20% - Accent5 5 10 2" xfId="16717" xr:uid="{00000000-0005-0000-0000-00006E330000}"/>
    <cellStyle name="20% - Accent5 5 11" xfId="16718" xr:uid="{00000000-0005-0000-0000-00006F330000}"/>
    <cellStyle name="20% - Accent5 5 11 2" xfId="16719" xr:uid="{00000000-0005-0000-0000-000070330000}"/>
    <cellStyle name="20% - Accent5 5 11 2 2" xfId="16720" xr:uid="{00000000-0005-0000-0000-000071330000}"/>
    <cellStyle name="20% - Accent5 5 11 2 2 2" xfId="16721" xr:uid="{00000000-0005-0000-0000-000072330000}"/>
    <cellStyle name="20% - Accent5 5 11 2 2 2 2" xfId="16722" xr:uid="{00000000-0005-0000-0000-000073330000}"/>
    <cellStyle name="20% - Accent5 5 11 2 2 3" xfId="16723" xr:uid="{00000000-0005-0000-0000-000074330000}"/>
    <cellStyle name="20% - Accent5 5 11 2 3" xfId="16724" xr:uid="{00000000-0005-0000-0000-000075330000}"/>
    <cellStyle name="20% - Accent5 5 11 2 3 2" xfId="16725" xr:uid="{00000000-0005-0000-0000-000076330000}"/>
    <cellStyle name="20% - Accent5 5 11 2 4" xfId="16726" xr:uid="{00000000-0005-0000-0000-000077330000}"/>
    <cellStyle name="20% - Accent5 5 11 2 5" xfId="16727" xr:uid="{00000000-0005-0000-0000-000078330000}"/>
    <cellStyle name="20% - Accent5 5 11 2 6" xfId="16728" xr:uid="{00000000-0005-0000-0000-000079330000}"/>
    <cellStyle name="20% - Accent5 5 11 3" xfId="16729" xr:uid="{00000000-0005-0000-0000-00007A330000}"/>
    <cellStyle name="20% - Accent5 5 11 3 2" xfId="16730" xr:uid="{00000000-0005-0000-0000-00007B330000}"/>
    <cellStyle name="20% - Accent5 5 11 3 2 2" xfId="16731" xr:uid="{00000000-0005-0000-0000-00007C330000}"/>
    <cellStyle name="20% - Accent5 5 11 3 3" xfId="16732" xr:uid="{00000000-0005-0000-0000-00007D330000}"/>
    <cellStyle name="20% - Accent5 5 11 4" xfId="16733" xr:uid="{00000000-0005-0000-0000-00007E330000}"/>
    <cellStyle name="20% - Accent5 5 11 4 2" xfId="16734" xr:uid="{00000000-0005-0000-0000-00007F330000}"/>
    <cellStyle name="20% - Accent5 5 11 5" xfId="16735" xr:uid="{00000000-0005-0000-0000-000080330000}"/>
    <cellStyle name="20% - Accent5 5 11 6" xfId="16736" xr:uid="{00000000-0005-0000-0000-000081330000}"/>
    <cellStyle name="20% - Accent5 5 11 7" xfId="16737" xr:uid="{00000000-0005-0000-0000-000082330000}"/>
    <cellStyle name="20% - Accent5 5 12" xfId="16738" xr:uid="{00000000-0005-0000-0000-000083330000}"/>
    <cellStyle name="20% - Accent5 5 12 2" xfId="16739" xr:uid="{00000000-0005-0000-0000-000084330000}"/>
    <cellStyle name="20% - Accent5 5 12 2 2" xfId="16740" xr:uid="{00000000-0005-0000-0000-000085330000}"/>
    <cellStyle name="20% - Accent5 5 12 2 2 2" xfId="16741" xr:uid="{00000000-0005-0000-0000-000086330000}"/>
    <cellStyle name="20% - Accent5 5 12 2 2 2 2" xfId="16742" xr:uid="{00000000-0005-0000-0000-000087330000}"/>
    <cellStyle name="20% - Accent5 5 12 2 2 3" xfId="16743" xr:uid="{00000000-0005-0000-0000-000088330000}"/>
    <cellStyle name="20% - Accent5 5 12 2 3" xfId="16744" xr:uid="{00000000-0005-0000-0000-000089330000}"/>
    <cellStyle name="20% - Accent5 5 12 2 3 2" xfId="16745" xr:uid="{00000000-0005-0000-0000-00008A330000}"/>
    <cellStyle name="20% - Accent5 5 12 2 4" xfId="16746" xr:uid="{00000000-0005-0000-0000-00008B330000}"/>
    <cellStyle name="20% - Accent5 5 12 2 5" xfId="16747" xr:uid="{00000000-0005-0000-0000-00008C330000}"/>
    <cellStyle name="20% - Accent5 5 12 2 6" xfId="16748" xr:uid="{00000000-0005-0000-0000-00008D330000}"/>
    <cellStyle name="20% - Accent5 5 12 3" xfId="16749" xr:uid="{00000000-0005-0000-0000-00008E330000}"/>
    <cellStyle name="20% - Accent5 5 12 3 2" xfId="16750" xr:uid="{00000000-0005-0000-0000-00008F330000}"/>
    <cellStyle name="20% - Accent5 5 12 3 2 2" xfId="16751" xr:uid="{00000000-0005-0000-0000-000090330000}"/>
    <cellStyle name="20% - Accent5 5 12 3 3" xfId="16752" xr:uid="{00000000-0005-0000-0000-000091330000}"/>
    <cellStyle name="20% - Accent5 5 12 4" xfId="16753" xr:uid="{00000000-0005-0000-0000-000092330000}"/>
    <cellStyle name="20% - Accent5 5 12 4 2" xfId="16754" xr:uid="{00000000-0005-0000-0000-000093330000}"/>
    <cellStyle name="20% - Accent5 5 12 5" xfId="16755" xr:uid="{00000000-0005-0000-0000-000094330000}"/>
    <cellStyle name="20% - Accent5 5 12 6" xfId="16756" xr:uid="{00000000-0005-0000-0000-000095330000}"/>
    <cellStyle name="20% - Accent5 5 12 7" xfId="16757" xr:uid="{00000000-0005-0000-0000-000096330000}"/>
    <cellStyle name="20% - Accent5 5 13" xfId="16758" xr:uid="{00000000-0005-0000-0000-000097330000}"/>
    <cellStyle name="20% - Accent5 5 13 2" xfId="16759" xr:uid="{00000000-0005-0000-0000-000098330000}"/>
    <cellStyle name="20% - Accent5 5 13 2 2" xfId="16760" xr:uid="{00000000-0005-0000-0000-000099330000}"/>
    <cellStyle name="20% - Accent5 5 13 2 2 2" xfId="16761" xr:uid="{00000000-0005-0000-0000-00009A330000}"/>
    <cellStyle name="20% - Accent5 5 13 2 3" xfId="16762" xr:uid="{00000000-0005-0000-0000-00009B330000}"/>
    <cellStyle name="20% - Accent5 5 13 3" xfId="16763" xr:uid="{00000000-0005-0000-0000-00009C330000}"/>
    <cellStyle name="20% - Accent5 5 13 3 2" xfId="16764" xr:uid="{00000000-0005-0000-0000-00009D330000}"/>
    <cellStyle name="20% - Accent5 5 13 4" xfId="16765" xr:uid="{00000000-0005-0000-0000-00009E330000}"/>
    <cellStyle name="20% - Accent5 5 13 5" xfId="16766" xr:uid="{00000000-0005-0000-0000-00009F330000}"/>
    <cellStyle name="20% - Accent5 5 13 6" xfId="16767" xr:uid="{00000000-0005-0000-0000-0000A0330000}"/>
    <cellStyle name="20% - Accent5 5 14" xfId="16768" xr:uid="{00000000-0005-0000-0000-0000A1330000}"/>
    <cellStyle name="20% - Accent5 5 14 2" xfId="16769" xr:uid="{00000000-0005-0000-0000-0000A2330000}"/>
    <cellStyle name="20% - Accent5 5 14 2 2" xfId="16770" xr:uid="{00000000-0005-0000-0000-0000A3330000}"/>
    <cellStyle name="20% - Accent5 5 14 3" xfId="16771" xr:uid="{00000000-0005-0000-0000-0000A4330000}"/>
    <cellStyle name="20% - Accent5 5 15" xfId="16772" xr:uid="{00000000-0005-0000-0000-0000A5330000}"/>
    <cellStyle name="20% - Accent5 5 15 2" xfId="16773" xr:uid="{00000000-0005-0000-0000-0000A6330000}"/>
    <cellStyle name="20% - Accent5 5 15 2 2" xfId="16774" xr:uid="{00000000-0005-0000-0000-0000A7330000}"/>
    <cellStyle name="20% - Accent5 5 15 3" xfId="16775" xr:uid="{00000000-0005-0000-0000-0000A8330000}"/>
    <cellStyle name="20% - Accent5 5 16" xfId="16776" xr:uid="{00000000-0005-0000-0000-0000A9330000}"/>
    <cellStyle name="20% - Accent5 5 16 2" xfId="16777" xr:uid="{00000000-0005-0000-0000-0000AA330000}"/>
    <cellStyle name="20% - Accent5 5 17" xfId="16778" xr:uid="{00000000-0005-0000-0000-0000AB330000}"/>
    <cellStyle name="20% - Accent5 5 17 2" xfId="16779" xr:uid="{00000000-0005-0000-0000-0000AC330000}"/>
    <cellStyle name="20% - Accent5 5 18" xfId="16780" xr:uid="{00000000-0005-0000-0000-0000AD330000}"/>
    <cellStyle name="20% - Accent5 5 19" xfId="16781" xr:uid="{00000000-0005-0000-0000-0000AE330000}"/>
    <cellStyle name="20% - Accent5 5 2" xfId="16782" xr:uid="{00000000-0005-0000-0000-0000AF330000}"/>
    <cellStyle name="20% - Accent5 5 2 10" xfId="16783" xr:uid="{00000000-0005-0000-0000-0000B0330000}"/>
    <cellStyle name="20% - Accent5 5 2 11" xfId="16784" xr:uid="{00000000-0005-0000-0000-0000B1330000}"/>
    <cellStyle name="20% - Accent5 5 2 2" xfId="16785" xr:uid="{00000000-0005-0000-0000-0000B2330000}"/>
    <cellStyle name="20% - Accent5 5 2 2 2" xfId="16786" xr:uid="{00000000-0005-0000-0000-0000B3330000}"/>
    <cellStyle name="20% - Accent5 5 2 2 2 2" xfId="16787" xr:uid="{00000000-0005-0000-0000-0000B4330000}"/>
    <cellStyle name="20% - Accent5 5 2 2 2 2 2" xfId="16788" xr:uid="{00000000-0005-0000-0000-0000B5330000}"/>
    <cellStyle name="20% - Accent5 5 2 2 2 2 2 2" xfId="16789" xr:uid="{00000000-0005-0000-0000-0000B6330000}"/>
    <cellStyle name="20% - Accent5 5 2 2 2 2 3" xfId="16790" xr:uid="{00000000-0005-0000-0000-0000B7330000}"/>
    <cellStyle name="20% - Accent5 5 2 2 2 3" xfId="16791" xr:uid="{00000000-0005-0000-0000-0000B8330000}"/>
    <cellStyle name="20% - Accent5 5 2 2 2 3 2" xfId="16792" xr:uid="{00000000-0005-0000-0000-0000B9330000}"/>
    <cellStyle name="20% - Accent5 5 2 2 2 4" xfId="16793" xr:uid="{00000000-0005-0000-0000-0000BA330000}"/>
    <cellStyle name="20% - Accent5 5 2 2 2 5" xfId="16794" xr:uid="{00000000-0005-0000-0000-0000BB330000}"/>
    <cellStyle name="20% - Accent5 5 2 2 2 6" xfId="16795" xr:uid="{00000000-0005-0000-0000-0000BC330000}"/>
    <cellStyle name="20% - Accent5 5 2 2 3" xfId="16796" xr:uid="{00000000-0005-0000-0000-0000BD330000}"/>
    <cellStyle name="20% - Accent5 5 2 2 3 2" xfId="16797" xr:uid="{00000000-0005-0000-0000-0000BE330000}"/>
    <cellStyle name="20% - Accent5 5 2 2 3 2 2" xfId="16798" xr:uid="{00000000-0005-0000-0000-0000BF330000}"/>
    <cellStyle name="20% - Accent5 5 2 2 3 3" xfId="16799" xr:uid="{00000000-0005-0000-0000-0000C0330000}"/>
    <cellStyle name="20% - Accent5 5 2 2 4" xfId="16800" xr:uid="{00000000-0005-0000-0000-0000C1330000}"/>
    <cellStyle name="20% - Accent5 5 2 2 4 2" xfId="16801" xr:uid="{00000000-0005-0000-0000-0000C2330000}"/>
    <cellStyle name="20% - Accent5 5 2 2 5" xfId="16802" xr:uid="{00000000-0005-0000-0000-0000C3330000}"/>
    <cellStyle name="20% - Accent5 5 2 2 5 2" xfId="16803" xr:uid="{00000000-0005-0000-0000-0000C4330000}"/>
    <cellStyle name="20% - Accent5 5 2 2 6" xfId="16804" xr:uid="{00000000-0005-0000-0000-0000C5330000}"/>
    <cellStyle name="20% - Accent5 5 2 2 7" xfId="16805" xr:uid="{00000000-0005-0000-0000-0000C6330000}"/>
    <cellStyle name="20% - Accent5 5 2 2 8" xfId="16806" xr:uid="{00000000-0005-0000-0000-0000C7330000}"/>
    <cellStyle name="20% - Accent5 5 2 3" xfId="16807" xr:uid="{00000000-0005-0000-0000-0000C8330000}"/>
    <cellStyle name="20% - Accent5 5 2 3 2" xfId="16808" xr:uid="{00000000-0005-0000-0000-0000C9330000}"/>
    <cellStyle name="20% - Accent5 5 2 3 2 2" xfId="16809" xr:uid="{00000000-0005-0000-0000-0000CA330000}"/>
    <cellStyle name="20% - Accent5 5 2 3 2 2 2" xfId="16810" xr:uid="{00000000-0005-0000-0000-0000CB330000}"/>
    <cellStyle name="20% - Accent5 5 2 3 2 2 2 2" xfId="16811" xr:uid="{00000000-0005-0000-0000-0000CC330000}"/>
    <cellStyle name="20% - Accent5 5 2 3 2 2 3" xfId="16812" xr:uid="{00000000-0005-0000-0000-0000CD330000}"/>
    <cellStyle name="20% - Accent5 5 2 3 2 3" xfId="16813" xr:uid="{00000000-0005-0000-0000-0000CE330000}"/>
    <cellStyle name="20% - Accent5 5 2 3 2 3 2" xfId="16814" xr:uid="{00000000-0005-0000-0000-0000CF330000}"/>
    <cellStyle name="20% - Accent5 5 2 3 2 4" xfId="16815" xr:uid="{00000000-0005-0000-0000-0000D0330000}"/>
    <cellStyle name="20% - Accent5 5 2 3 2 5" xfId="16816" xr:uid="{00000000-0005-0000-0000-0000D1330000}"/>
    <cellStyle name="20% - Accent5 5 2 3 2 6" xfId="16817" xr:uid="{00000000-0005-0000-0000-0000D2330000}"/>
    <cellStyle name="20% - Accent5 5 2 3 3" xfId="16818" xr:uid="{00000000-0005-0000-0000-0000D3330000}"/>
    <cellStyle name="20% - Accent5 5 2 3 3 2" xfId="16819" xr:uid="{00000000-0005-0000-0000-0000D4330000}"/>
    <cellStyle name="20% - Accent5 5 2 3 3 2 2" xfId="16820" xr:uid="{00000000-0005-0000-0000-0000D5330000}"/>
    <cellStyle name="20% - Accent5 5 2 3 3 3" xfId="16821" xr:uid="{00000000-0005-0000-0000-0000D6330000}"/>
    <cellStyle name="20% - Accent5 5 2 3 4" xfId="16822" xr:uid="{00000000-0005-0000-0000-0000D7330000}"/>
    <cellStyle name="20% - Accent5 5 2 3 4 2" xfId="16823" xr:uid="{00000000-0005-0000-0000-0000D8330000}"/>
    <cellStyle name="20% - Accent5 5 2 3 5" xfId="16824" xr:uid="{00000000-0005-0000-0000-0000D9330000}"/>
    <cellStyle name="20% - Accent5 5 2 3 6" xfId="16825" xr:uid="{00000000-0005-0000-0000-0000DA330000}"/>
    <cellStyle name="20% - Accent5 5 2 3 7" xfId="16826" xr:uid="{00000000-0005-0000-0000-0000DB330000}"/>
    <cellStyle name="20% - Accent5 5 2 4" xfId="16827" xr:uid="{00000000-0005-0000-0000-0000DC330000}"/>
    <cellStyle name="20% - Accent5 5 2 4 2" xfId="16828" xr:uid="{00000000-0005-0000-0000-0000DD330000}"/>
    <cellStyle name="20% - Accent5 5 2 4 2 2" xfId="16829" xr:uid="{00000000-0005-0000-0000-0000DE330000}"/>
    <cellStyle name="20% - Accent5 5 2 4 2 2 2" xfId="16830" xr:uid="{00000000-0005-0000-0000-0000DF330000}"/>
    <cellStyle name="20% - Accent5 5 2 4 2 3" xfId="16831" xr:uid="{00000000-0005-0000-0000-0000E0330000}"/>
    <cellStyle name="20% - Accent5 5 2 4 3" xfId="16832" xr:uid="{00000000-0005-0000-0000-0000E1330000}"/>
    <cellStyle name="20% - Accent5 5 2 4 3 2" xfId="16833" xr:uid="{00000000-0005-0000-0000-0000E2330000}"/>
    <cellStyle name="20% - Accent5 5 2 4 4" xfId="16834" xr:uid="{00000000-0005-0000-0000-0000E3330000}"/>
    <cellStyle name="20% - Accent5 5 2 4 5" xfId="16835" xr:uid="{00000000-0005-0000-0000-0000E4330000}"/>
    <cellStyle name="20% - Accent5 5 2 4 6" xfId="16836" xr:uid="{00000000-0005-0000-0000-0000E5330000}"/>
    <cellStyle name="20% - Accent5 5 2 5" xfId="16837" xr:uid="{00000000-0005-0000-0000-0000E6330000}"/>
    <cellStyle name="20% - Accent5 5 2 5 2" xfId="16838" xr:uid="{00000000-0005-0000-0000-0000E7330000}"/>
    <cellStyle name="20% - Accent5 5 2 5 2 2" xfId="16839" xr:uid="{00000000-0005-0000-0000-0000E8330000}"/>
    <cellStyle name="20% - Accent5 5 2 5 3" xfId="16840" xr:uid="{00000000-0005-0000-0000-0000E9330000}"/>
    <cellStyle name="20% - Accent5 5 2 6" xfId="16841" xr:uid="{00000000-0005-0000-0000-0000EA330000}"/>
    <cellStyle name="20% - Accent5 5 2 6 2" xfId="16842" xr:uid="{00000000-0005-0000-0000-0000EB330000}"/>
    <cellStyle name="20% - Accent5 5 2 6 2 2" xfId="16843" xr:uid="{00000000-0005-0000-0000-0000EC330000}"/>
    <cellStyle name="20% - Accent5 5 2 6 3" xfId="16844" xr:uid="{00000000-0005-0000-0000-0000ED330000}"/>
    <cellStyle name="20% - Accent5 5 2 7" xfId="16845" xr:uid="{00000000-0005-0000-0000-0000EE330000}"/>
    <cellStyle name="20% - Accent5 5 2 7 2" xfId="16846" xr:uid="{00000000-0005-0000-0000-0000EF330000}"/>
    <cellStyle name="20% - Accent5 5 2 8" xfId="16847" xr:uid="{00000000-0005-0000-0000-0000F0330000}"/>
    <cellStyle name="20% - Accent5 5 2 8 2" xfId="16848" xr:uid="{00000000-0005-0000-0000-0000F1330000}"/>
    <cellStyle name="20% - Accent5 5 2 9" xfId="16849" xr:uid="{00000000-0005-0000-0000-0000F2330000}"/>
    <cellStyle name="20% - Accent5 5 20" xfId="16850" xr:uid="{00000000-0005-0000-0000-0000F3330000}"/>
    <cellStyle name="20% - Accent5 5 3" xfId="16851" xr:uid="{00000000-0005-0000-0000-0000F4330000}"/>
    <cellStyle name="20% - Accent5 5 3 10" xfId="16852" xr:uid="{00000000-0005-0000-0000-0000F5330000}"/>
    <cellStyle name="20% - Accent5 5 3 11" xfId="16853" xr:uid="{00000000-0005-0000-0000-0000F6330000}"/>
    <cellStyle name="20% - Accent5 5 3 2" xfId="16854" xr:uid="{00000000-0005-0000-0000-0000F7330000}"/>
    <cellStyle name="20% - Accent5 5 3 2 2" xfId="16855" xr:uid="{00000000-0005-0000-0000-0000F8330000}"/>
    <cellStyle name="20% - Accent5 5 3 2 2 2" xfId="16856" xr:uid="{00000000-0005-0000-0000-0000F9330000}"/>
    <cellStyle name="20% - Accent5 5 3 2 2 2 2" xfId="16857" xr:uid="{00000000-0005-0000-0000-0000FA330000}"/>
    <cellStyle name="20% - Accent5 5 3 2 2 2 2 2" xfId="16858" xr:uid="{00000000-0005-0000-0000-0000FB330000}"/>
    <cellStyle name="20% - Accent5 5 3 2 2 2 3" xfId="16859" xr:uid="{00000000-0005-0000-0000-0000FC330000}"/>
    <cellStyle name="20% - Accent5 5 3 2 2 3" xfId="16860" xr:uid="{00000000-0005-0000-0000-0000FD330000}"/>
    <cellStyle name="20% - Accent5 5 3 2 2 3 2" xfId="16861" xr:uid="{00000000-0005-0000-0000-0000FE330000}"/>
    <cellStyle name="20% - Accent5 5 3 2 2 4" xfId="16862" xr:uid="{00000000-0005-0000-0000-0000FF330000}"/>
    <cellStyle name="20% - Accent5 5 3 2 2 5" xfId="16863" xr:uid="{00000000-0005-0000-0000-000000340000}"/>
    <cellStyle name="20% - Accent5 5 3 2 2 6" xfId="16864" xr:uid="{00000000-0005-0000-0000-000001340000}"/>
    <cellStyle name="20% - Accent5 5 3 2 3" xfId="16865" xr:uid="{00000000-0005-0000-0000-000002340000}"/>
    <cellStyle name="20% - Accent5 5 3 2 3 2" xfId="16866" xr:uid="{00000000-0005-0000-0000-000003340000}"/>
    <cellStyle name="20% - Accent5 5 3 2 3 2 2" xfId="16867" xr:uid="{00000000-0005-0000-0000-000004340000}"/>
    <cellStyle name="20% - Accent5 5 3 2 3 3" xfId="16868" xr:uid="{00000000-0005-0000-0000-000005340000}"/>
    <cellStyle name="20% - Accent5 5 3 2 4" xfId="16869" xr:uid="{00000000-0005-0000-0000-000006340000}"/>
    <cellStyle name="20% - Accent5 5 3 2 4 2" xfId="16870" xr:uid="{00000000-0005-0000-0000-000007340000}"/>
    <cellStyle name="20% - Accent5 5 3 2 5" xfId="16871" xr:uid="{00000000-0005-0000-0000-000008340000}"/>
    <cellStyle name="20% - Accent5 5 3 2 5 2" xfId="16872" xr:uid="{00000000-0005-0000-0000-000009340000}"/>
    <cellStyle name="20% - Accent5 5 3 2 6" xfId="16873" xr:uid="{00000000-0005-0000-0000-00000A340000}"/>
    <cellStyle name="20% - Accent5 5 3 2 7" xfId="16874" xr:uid="{00000000-0005-0000-0000-00000B340000}"/>
    <cellStyle name="20% - Accent5 5 3 2 8" xfId="16875" xr:uid="{00000000-0005-0000-0000-00000C340000}"/>
    <cellStyle name="20% - Accent5 5 3 3" xfId="16876" xr:uid="{00000000-0005-0000-0000-00000D340000}"/>
    <cellStyle name="20% - Accent5 5 3 3 2" xfId="16877" xr:uid="{00000000-0005-0000-0000-00000E340000}"/>
    <cellStyle name="20% - Accent5 5 3 3 2 2" xfId="16878" xr:uid="{00000000-0005-0000-0000-00000F340000}"/>
    <cellStyle name="20% - Accent5 5 3 3 2 2 2" xfId="16879" xr:uid="{00000000-0005-0000-0000-000010340000}"/>
    <cellStyle name="20% - Accent5 5 3 3 2 2 2 2" xfId="16880" xr:uid="{00000000-0005-0000-0000-000011340000}"/>
    <cellStyle name="20% - Accent5 5 3 3 2 2 3" xfId="16881" xr:uid="{00000000-0005-0000-0000-000012340000}"/>
    <cellStyle name="20% - Accent5 5 3 3 2 3" xfId="16882" xr:uid="{00000000-0005-0000-0000-000013340000}"/>
    <cellStyle name="20% - Accent5 5 3 3 2 3 2" xfId="16883" xr:uid="{00000000-0005-0000-0000-000014340000}"/>
    <cellStyle name="20% - Accent5 5 3 3 2 4" xfId="16884" xr:uid="{00000000-0005-0000-0000-000015340000}"/>
    <cellStyle name="20% - Accent5 5 3 3 2 5" xfId="16885" xr:uid="{00000000-0005-0000-0000-000016340000}"/>
    <cellStyle name="20% - Accent5 5 3 3 2 6" xfId="16886" xr:uid="{00000000-0005-0000-0000-000017340000}"/>
    <cellStyle name="20% - Accent5 5 3 3 3" xfId="16887" xr:uid="{00000000-0005-0000-0000-000018340000}"/>
    <cellStyle name="20% - Accent5 5 3 3 3 2" xfId="16888" xr:uid="{00000000-0005-0000-0000-000019340000}"/>
    <cellStyle name="20% - Accent5 5 3 3 3 2 2" xfId="16889" xr:uid="{00000000-0005-0000-0000-00001A340000}"/>
    <cellStyle name="20% - Accent5 5 3 3 3 3" xfId="16890" xr:uid="{00000000-0005-0000-0000-00001B340000}"/>
    <cellStyle name="20% - Accent5 5 3 3 4" xfId="16891" xr:uid="{00000000-0005-0000-0000-00001C340000}"/>
    <cellStyle name="20% - Accent5 5 3 3 4 2" xfId="16892" xr:uid="{00000000-0005-0000-0000-00001D340000}"/>
    <cellStyle name="20% - Accent5 5 3 3 5" xfId="16893" xr:uid="{00000000-0005-0000-0000-00001E340000}"/>
    <cellStyle name="20% - Accent5 5 3 3 6" xfId="16894" xr:uid="{00000000-0005-0000-0000-00001F340000}"/>
    <cellStyle name="20% - Accent5 5 3 3 7" xfId="16895" xr:uid="{00000000-0005-0000-0000-000020340000}"/>
    <cellStyle name="20% - Accent5 5 3 4" xfId="16896" xr:uid="{00000000-0005-0000-0000-000021340000}"/>
    <cellStyle name="20% - Accent5 5 3 4 2" xfId="16897" xr:uid="{00000000-0005-0000-0000-000022340000}"/>
    <cellStyle name="20% - Accent5 5 3 4 2 2" xfId="16898" xr:uid="{00000000-0005-0000-0000-000023340000}"/>
    <cellStyle name="20% - Accent5 5 3 4 2 2 2" xfId="16899" xr:uid="{00000000-0005-0000-0000-000024340000}"/>
    <cellStyle name="20% - Accent5 5 3 4 2 3" xfId="16900" xr:uid="{00000000-0005-0000-0000-000025340000}"/>
    <cellStyle name="20% - Accent5 5 3 4 3" xfId="16901" xr:uid="{00000000-0005-0000-0000-000026340000}"/>
    <cellStyle name="20% - Accent5 5 3 4 3 2" xfId="16902" xr:uid="{00000000-0005-0000-0000-000027340000}"/>
    <cellStyle name="20% - Accent5 5 3 4 4" xfId="16903" xr:uid="{00000000-0005-0000-0000-000028340000}"/>
    <cellStyle name="20% - Accent5 5 3 4 5" xfId="16904" xr:uid="{00000000-0005-0000-0000-000029340000}"/>
    <cellStyle name="20% - Accent5 5 3 4 6" xfId="16905" xr:uid="{00000000-0005-0000-0000-00002A340000}"/>
    <cellStyle name="20% - Accent5 5 3 5" xfId="16906" xr:uid="{00000000-0005-0000-0000-00002B340000}"/>
    <cellStyle name="20% - Accent5 5 3 5 2" xfId="16907" xr:uid="{00000000-0005-0000-0000-00002C340000}"/>
    <cellStyle name="20% - Accent5 5 3 5 2 2" xfId="16908" xr:uid="{00000000-0005-0000-0000-00002D340000}"/>
    <cellStyle name="20% - Accent5 5 3 5 3" xfId="16909" xr:uid="{00000000-0005-0000-0000-00002E340000}"/>
    <cellStyle name="20% - Accent5 5 3 6" xfId="16910" xr:uid="{00000000-0005-0000-0000-00002F340000}"/>
    <cellStyle name="20% - Accent5 5 3 6 2" xfId="16911" xr:uid="{00000000-0005-0000-0000-000030340000}"/>
    <cellStyle name="20% - Accent5 5 3 6 2 2" xfId="16912" xr:uid="{00000000-0005-0000-0000-000031340000}"/>
    <cellStyle name="20% - Accent5 5 3 6 3" xfId="16913" xr:uid="{00000000-0005-0000-0000-000032340000}"/>
    <cellStyle name="20% - Accent5 5 3 7" xfId="16914" xr:uid="{00000000-0005-0000-0000-000033340000}"/>
    <cellStyle name="20% - Accent5 5 3 7 2" xfId="16915" xr:uid="{00000000-0005-0000-0000-000034340000}"/>
    <cellStyle name="20% - Accent5 5 3 8" xfId="16916" xr:uid="{00000000-0005-0000-0000-000035340000}"/>
    <cellStyle name="20% - Accent5 5 3 8 2" xfId="16917" xr:uid="{00000000-0005-0000-0000-000036340000}"/>
    <cellStyle name="20% - Accent5 5 3 9" xfId="16918" xr:uid="{00000000-0005-0000-0000-000037340000}"/>
    <cellStyle name="20% - Accent5 5 4" xfId="16919" xr:uid="{00000000-0005-0000-0000-000038340000}"/>
    <cellStyle name="20% - Accent5 5 4 10" xfId="16920" xr:uid="{00000000-0005-0000-0000-000039340000}"/>
    <cellStyle name="20% - Accent5 5 4 11" xfId="16921" xr:uid="{00000000-0005-0000-0000-00003A340000}"/>
    <cellStyle name="20% - Accent5 5 4 2" xfId="16922" xr:uid="{00000000-0005-0000-0000-00003B340000}"/>
    <cellStyle name="20% - Accent5 5 4 2 2" xfId="16923" xr:uid="{00000000-0005-0000-0000-00003C340000}"/>
    <cellStyle name="20% - Accent5 5 4 2 2 2" xfId="16924" xr:uid="{00000000-0005-0000-0000-00003D340000}"/>
    <cellStyle name="20% - Accent5 5 4 2 2 2 2" xfId="16925" xr:uid="{00000000-0005-0000-0000-00003E340000}"/>
    <cellStyle name="20% - Accent5 5 4 2 2 2 2 2" xfId="16926" xr:uid="{00000000-0005-0000-0000-00003F340000}"/>
    <cellStyle name="20% - Accent5 5 4 2 2 2 3" xfId="16927" xr:uid="{00000000-0005-0000-0000-000040340000}"/>
    <cellStyle name="20% - Accent5 5 4 2 2 3" xfId="16928" xr:uid="{00000000-0005-0000-0000-000041340000}"/>
    <cellStyle name="20% - Accent5 5 4 2 2 3 2" xfId="16929" xr:uid="{00000000-0005-0000-0000-000042340000}"/>
    <cellStyle name="20% - Accent5 5 4 2 2 4" xfId="16930" xr:uid="{00000000-0005-0000-0000-000043340000}"/>
    <cellStyle name="20% - Accent5 5 4 2 2 5" xfId="16931" xr:uid="{00000000-0005-0000-0000-000044340000}"/>
    <cellStyle name="20% - Accent5 5 4 2 2 6" xfId="16932" xr:uid="{00000000-0005-0000-0000-000045340000}"/>
    <cellStyle name="20% - Accent5 5 4 2 3" xfId="16933" xr:uid="{00000000-0005-0000-0000-000046340000}"/>
    <cellStyle name="20% - Accent5 5 4 2 3 2" xfId="16934" xr:uid="{00000000-0005-0000-0000-000047340000}"/>
    <cellStyle name="20% - Accent5 5 4 2 3 2 2" xfId="16935" xr:uid="{00000000-0005-0000-0000-000048340000}"/>
    <cellStyle name="20% - Accent5 5 4 2 3 3" xfId="16936" xr:uid="{00000000-0005-0000-0000-000049340000}"/>
    <cellStyle name="20% - Accent5 5 4 2 4" xfId="16937" xr:uid="{00000000-0005-0000-0000-00004A340000}"/>
    <cellStyle name="20% - Accent5 5 4 2 4 2" xfId="16938" xr:uid="{00000000-0005-0000-0000-00004B340000}"/>
    <cellStyle name="20% - Accent5 5 4 2 5" xfId="16939" xr:uid="{00000000-0005-0000-0000-00004C340000}"/>
    <cellStyle name="20% - Accent5 5 4 2 5 2" xfId="16940" xr:uid="{00000000-0005-0000-0000-00004D340000}"/>
    <cellStyle name="20% - Accent5 5 4 2 6" xfId="16941" xr:uid="{00000000-0005-0000-0000-00004E340000}"/>
    <cellStyle name="20% - Accent5 5 4 2 7" xfId="16942" xr:uid="{00000000-0005-0000-0000-00004F340000}"/>
    <cellStyle name="20% - Accent5 5 4 2 8" xfId="16943" xr:uid="{00000000-0005-0000-0000-000050340000}"/>
    <cellStyle name="20% - Accent5 5 4 3" xfId="16944" xr:uid="{00000000-0005-0000-0000-000051340000}"/>
    <cellStyle name="20% - Accent5 5 4 3 2" xfId="16945" xr:uid="{00000000-0005-0000-0000-000052340000}"/>
    <cellStyle name="20% - Accent5 5 4 3 2 2" xfId="16946" xr:uid="{00000000-0005-0000-0000-000053340000}"/>
    <cellStyle name="20% - Accent5 5 4 3 2 2 2" xfId="16947" xr:uid="{00000000-0005-0000-0000-000054340000}"/>
    <cellStyle name="20% - Accent5 5 4 3 2 2 2 2" xfId="16948" xr:uid="{00000000-0005-0000-0000-000055340000}"/>
    <cellStyle name="20% - Accent5 5 4 3 2 2 3" xfId="16949" xr:uid="{00000000-0005-0000-0000-000056340000}"/>
    <cellStyle name="20% - Accent5 5 4 3 2 3" xfId="16950" xr:uid="{00000000-0005-0000-0000-000057340000}"/>
    <cellStyle name="20% - Accent5 5 4 3 2 3 2" xfId="16951" xr:uid="{00000000-0005-0000-0000-000058340000}"/>
    <cellStyle name="20% - Accent5 5 4 3 2 4" xfId="16952" xr:uid="{00000000-0005-0000-0000-000059340000}"/>
    <cellStyle name="20% - Accent5 5 4 3 2 5" xfId="16953" xr:uid="{00000000-0005-0000-0000-00005A340000}"/>
    <cellStyle name="20% - Accent5 5 4 3 2 6" xfId="16954" xr:uid="{00000000-0005-0000-0000-00005B340000}"/>
    <cellStyle name="20% - Accent5 5 4 3 3" xfId="16955" xr:uid="{00000000-0005-0000-0000-00005C340000}"/>
    <cellStyle name="20% - Accent5 5 4 3 3 2" xfId="16956" xr:uid="{00000000-0005-0000-0000-00005D340000}"/>
    <cellStyle name="20% - Accent5 5 4 3 3 2 2" xfId="16957" xr:uid="{00000000-0005-0000-0000-00005E340000}"/>
    <cellStyle name="20% - Accent5 5 4 3 3 3" xfId="16958" xr:uid="{00000000-0005-0000-0000-00005F340000}"/>
    <cellStyle name="20% - Accent5 5 4 3 4" xfId="16959" xr:uid="{00000000-0005-0000-0000-000060340000}"/>
    <cellStyle name="20% - Accent5 5 4 3 4 2" xfId="16960" xr:uid="{00000000-0005-0000-0000-000061340000}"/>
    <cellStyle name="20% - Accent5 5 4 3 5" xfId="16961" xr:uid="{00000000-0005-0000-0000-000062340000}"/>
    <cellStyle name="20% - Accent5 5 4 3 6" xfId="16962" xr:uid="{00000000-0005-0000-0000-000063340000}"/>
    <cellStyle name="20% - Accent5 5 4 3 7" xfId="16963" xr:uid="{00000000-0005-0000-0000-000064340000}"/>
    <cellStyle name="20% - Accent5 5 4 4" xfId="16964" xr:uid="{00000000-0005-0000-0000-000065340000}"/>
    <cellStyle name="20% - Accent5 5 4 4 2" xfId="16965" xr:uid="{00000000-0005-0000-0000-000066340000}"/>
    <cellStyle name="20% - Accent5 5 4 4 2 2" xfId="16966" xr:uid="{00000000-0005-0000-0000-000067340000}"/>
    <cellStyle name="20% - Accent5 5 4 4 2 2 2" xfId="16967" xr:uid="{00000000-0005-0000-0000-000068340000}"/>
    <cellStyle name="20% - Accent5 5 4 4 2 3" xfId="16968" xr:uid="{00000000-0005-0000-0000-000069340000}"/>
    <cellStyle name="20% - Accent5 5 4 4 3" xfId="16969" xr:uid="{00000000-0005-0000-0000-00006A340000}"/>
    <cellStyle name="20% - Accent5 5 4 4 3 2" xfId="16970" xr:uid="{00000000-0005-0000-0000-00006B340000}"/>
    <cellStyle name="20% - Accent5 5 4 4 4" xfId="16971" xr:uid="{00000000-0005-0000-0000-00006C340000}"/>
    <cellStyle name="20% - Accent5 5 4 4 5" xfId="16972" xr:uid="{00000000-0005-0000-0000-00006D340000}"/>
    <cellStyle name="20% - Accent5 5 4 4 6" xfId="16973" xr:uid="{00000000-0005-0000-0000-00006E340000}"/>
    <cellStyle name="20% - Accent5 5 4 5" xfId="16974" xr:uid="{00000000-0005-0000-0000-00006F340000}"/>
    <cellStyle name="20% - Accent5 5 4 5 2" xfId="16975" xr:uid="{00000000-0005-0000-0000-000070340000}"/>
    <cellStyle name="20% - Accent5 5 4 5 2 2" xfId="16976" xr:uid="{00000000-0005-0000-0000-000071340000}"/>
    <cellStyle name="20% - Accent5 5 4 5 3" xfId="16977" xr:uid="{00000000-0005-0000-0000-000072340000}"/>
    <cellStyle name="20% - Accent5 5 4 6" xfId="16978" xr:uid="{00000000-0005-0000-0000-000073340000}"/>
    <cellStyle name="20% - Accent5 5 4 6 2" xfId="16979" xr:uid="{00000000-0005-0000-0000-000074340000}"/>
    <cellStyle name="20% - Accent5 5 4 6 2 2" xfId="16980" xr:uid="{00000000-0005-0000-0000-000075340000}"/>
    <cellStyle name="20% - Accent5 5 4 6 3" xfId="16981" xr:uid="{00000000-0005-0000-0000-000076340000}"/>
    <cellStyle name="20% - Accent5 5 4 7" xfId="16982" xr:uid="{00000000-0005-0000-0000-000077340000}"/>
    <cellStyle name="20% - Accent5 5 4 7 2" xfId="16983" xr:uid="{00000000-0005-0000-0000-000078340000}"/>
    <cellStyle name="20% - Accent5 5 4 8" xfId="16984" xr:uid="{00000000-0005-0000-0000-000079340000}"/>
    <cellStyle name="20% - Accent5 5 4 8 2" xfId="16985" xr:uid="{00000000-0005-0000-0000-00007A340000}"/>
    <cellStyle name="20% - Accent5 5 4 9" xfId="16986" xr:uid="{00000000-0005-0000-0000-00007B340000}"/>
    <cellStyle name="20% - Accent5 5 5" xfId="16987" xr:uid="{00000000-0005-0000-0000-00007C340000}"/>
    <cellStyle name="20% - Accent5 5 5 10" xfId="16988" xr:uid="{00000000-0005-0000-0000-00007D340000}"/>
    <cellStyle name="20% - Accent5 5 5 11" xfId="16989" xr:uid="{00000000-0005-0000-0000-00007E340000}"/>
    <cellStyle name="20% - Accent5 5 5 2" xfId="16990" xr:uid="{00000000-0005-0000-0000-00007F340000}"/>
    <cellStyle name="20% - Accent5 5 5 2 2" xfId="16991" xr:uid="{00000000-0005-0000-0000-000080340000}"/>
    <cellStyle name="20% - Accent5 5 5 2 2 2" xfId="16992" xr:uid="{00000000-0005-0000-0000-000081340000}"/>
    <cellStyle name="20% - Accent5 5 5 2 2 2 2" xfId="16993" xr:uid="{00000000-0005-0000-0000-000082340000}"/>
    <cellStyle name="20% - Accent5 5 5 2 2 2 2 2" xfId="16994" xr:uid="{00000000-0005-0000-0000-000083340000}"/>
    <cellStyle name="20% - Accent5 5 5 2 2 2 3" xfId="16995" xr:uid="{00000000-0005-0000-0000-000084340000}"/>
    <cellStyle name="20% - Accent5 5 5 2 2 3" xfId="16996" xr:uid="{00000000-0005-0000-0000-000085340000}"/>
    <cellStyle name="20% - Accent5 5 5 2 2 3 2" xfId="16997" xr:uid="{00000000-0005-0000-0000-000086340000}"/>
    <cellStyle name="20% - Accent5 5 5 2 2 4" xfId="16998" xr:uid="{00000000-0005-0000-0000-000087340000}"/>
    <cellStyle name="20% - Accent5 5 5 2 2 5" xfId="16999" xr:uid="{00000000-0005-0000-0000-000088340000}"/>
    <cellStyle name="20% - Accent5 5 5 2 2 6" xfId="17000" xr:uid="{00000000-0005-0000-0000-000089340000}"/>
    <cellStyle name="20% - Accent5 5 5 2 3" xfId="17001" xr:uid="{00000000-0005-0000-0000-00008A340000}"/>
    <cellStyle name="20% - Accent5 5 5 2 3 2" xfId="17002" xr:uid="{00000000-0005-0000-0000-00008B340000}"/>
    <cellStyle name="20% - Accent5 5 5 2 3 2 2" xfId="17003" xr:uid="{00000000-0005-0000-0000-00008C340000}"/>
    <cellStyle name="20% - Accent5 5 5 2 3 3" xfId="17004" xr:uid="{00000000-0005-0000-0000-00008D340000}"/>
    <cellStyle name="20% - Accent5 5 5 2 4" xfId="17005" xr:uid="{00000000-0005-0000-0000-00008E340000}"/>
    <cellStyle name="20% - Accent5 5 5 2 4 2" xfId="17006" xr:uid="{00000000-0005-0000-0000-00008F340000}"/>
    <cellStyle name="20% - Accent5 5 5 2 5" xfId="17007" xr:uid="{00000000-0005-0000-0000-000090340000}"/>
    <cellStyle name="20% - Accent5 5 5 2 5 2" xfId="17008" xr:uid="{00000000-0005-0000-0000-000091340000}"/>
    <cellStyle name="20% - Accent5 5 5 2 6" xfId="17009" xr:uid="{00000000-0005-0000-0000-000092340000}"/>
    <cellStyle name="20% - Accent5 5 5 2 7" xfId="17010" xr:uid="{00000000-0005-0000-0000-000093340000}"/>
    <cellStyle name="20% - Accent5 5 5 2 8" xfId="17011" xr:uid="{00000000-0005-0000-0000-000094340000}"/>
    <cellStyle name="20% - Accent5 5 5 3" xfId="17012" xr:uid="{00000000-0005-0000-0000-000095340000}"/>
    <cellStyle name="20% - Accent5 5 5 3 2" xfId="17013" xr:uid="{00000000-0005-0000-0000-000096340000}"/>
    <cellStyle name="20% - Accent5 5 5 3 2 2" xfId="17014" xr:uid="{00000000-0005-0000-0000-000097340000}"/>
    <cellStyle name="20% - Accent5 5 5 3 2 2 2" xfId="17015" xr:uid="{00000000-0005-0000-0000-000098340000}"/>
    <cellStyle name="20% - Accent5 5 5 3 2 2 2 2" xfId="17016" xr:uid="{00000000-0005-0000-0000-000099340000}"/>
    <cellStyle name="20% - Accent5 5 5 3 2 2 3" xfId="17017" xr:uid="{00000000-0005-0000-0000-00009A340000}"/>
    <cellStyle name="20% - Accent5 5 5 3 2 3" xfId="17018" xr:uid="{00000000-0005-0000-0000-00009B340000}"/>
    <cellStyle name="20% - Accent5 5 5 3 2 3 2" xfId="17019" xr:uid="{00000000-0005-0000-0000-00009C340000}"/>
    <cellStyle name="20% - Accent5 5 5 3 2 4" xfId="17020" xr:uid="{00000000-0005-0000-0000-00009D340000}"/>
    <cellStyle name="20% - Accent5 5 5 3 2 5" xfId="17021" xr:uid="{00000000-0005-0000-0000-00009E340000}"/>
    <cellStyle name="20% - Accent5 5 5 3 2 6" xfId="17022" xr:uid="{00000000-0005-0000-0000-00009F340000}"/>
    <cellStyle name="20% - Accent5 5 5 3 3" xfId="17023" xr:uid="{00000000-0005-0000-0000-0000A0340000}"/>
    <cellStyle name="20% - Accent5 5 5 3 3 2" xfId="17024" xr:uid="{00000000-0005-0000-0000-0000A1340000}"/>
    <cellStyle name="20% - Accent5 5 5 3 3 2 2" xfId="17025" xr:uid="{00000000-0005-0000-0000-0000A2340000}"/>
    <cellStyle name="20% - Accent5 5 5 3 3 3" xfId="17026" xr:uid="{00000000-0005-0000-0000-0000A3340000}"/>
    <cellStyle name="20% - Accent5 5 5 3 4" xfId="17027" xr:uid="{00000000-0005-0000-0000-0000A4340000}"/>
    <cellStyle name="20% - Accent5 5 5 3 4 2" xfId="17028" xr:uid="{00000000-0005-0000-0000-0000A5340000}"/>
    <cellStyle name="20% - Accent5 5 5 3 5" xfId="17029" xr:uid="{00000000-0005-0000-0000-0000A6340000}"/>
    <cellStyle name="20% - Accent5 5 5 3 6" xfId="17030" xr:uid="{00000000-0005-0000-0000-0000A7340000}"/>
    <cellStyle name="20% - Accent5 5 5 3 7" xfId="17031" xr:uid="{00000000-0005-0000-0000-0000A8340000}"/>
    <cellStyle name="20% - Accent5 5 5 4" xfId="17032" xr:uid="{00000000-0005-0000-0000-0000A9340000}"/>
    <cellStyle name="20% - Accent5 5 5 4 2" xfId="17033" xr:uid="{00000000-0005-0000-0000-0000AA340000}"/>
    <cellStyle name="20% - Accent5 5 5 4 2 2" xfId="17034" xr:uid="{00000000-0005-0000-0000-0000AB340000}"/>
    <cellStyle name="20% - Accent5 5 5 4 2 2 2" xfId="17035" xr:uid="{00000000-0005-0000-0000-0000AC340000}"/>
    <cellStyle name="20% - Accent5 5 5 4 2 3" xfId="17036" xr:uid="{00000000-0005-0000-0000-0000AD340000}"/>
    <cellStyle name="20% - Accent5 5 5 4 3" xfId="17037" xr:uid="{00000000-0005-0000-0000-0000AE340000}"/>
    <cellStyle name="20% - Accent5 5 5 4 3 2" xfId="17038" xr:uid="{00000000-0005-0000-0000-0000AF340000}"/>
    <cellStyle name="20% - Accent5 5 5 4 4" xfId="17039" xr:uid="{00000000-0005-0000-0000-0000B0340000}"/>
    <cellStyle name="20% - Accent5 5 5 4 5" xfId="17040" xr:uid="{00000000-0005-0000-0000-0000B1340000}"/>
    <cellStyle name="20% - Accent5 5 5 4 6" xfId="17041" xr:uid="{00000000-0005-0000-0000-0000B2340000}"/>
    <cellStyle name="20% - Accent5 5 5 5" xfId="17042" xr:uid="{00000000-0005-0000-0000-0000B3340000}"/>
    <cellStyle name="20% - Accent5 5 5 5 2" xfId="17043" xr:uid="{00000000-0005-0000-0000-0000B4340000}"/>
    <cellStyle name="20% - Accent5 5 5 5 2 2" xfId="17044" xr:uid="{00000000-0005-0000-0000-0000B5340000}"/>
    <cellStyle name="20% - Accent5 5 5 5 3" xfId="17045" xr:uid="{00000000-0005-0000-0000-0000B6340000}"/>
    <cellStyle name="20% - Accent5 5 5 6" xfId="17046" xr:uid="{00000000-0005-0000-0000-0000B7340000}"/>
    <cellStyle name="20% - Accent5 5 5 6 2" xfId="17047" xr:uid="{00000000-0005-0000-0000-0000B8340000}"/>
    <cellStyle name="20% - Accent5 5 5 6 2 2" xfId="17048" xr:uid="{00000000-0005-0000-0000-0000B9340000}"/>
    <cellStyle name="20% - Accent5 5 5 6 3" xfId="17049" xr:uid="{00000000-0005-0000-0000-0000BA340000}"/>
    <cellStyle name="20% - Accent5 5 5 7" xfId="17050" xr:uid="{00000000-0005-0000-0000-0000BB340000}"/>
    <cellStyle name="20% - Accent5 5 5 7 2" xfId="17051" xr:uid="{00000000-0005-0000-0000-0000BC340000}"/>
    <cellStyle name="20% - Accent5 5 5 8" xfId="17052" xr:uid="{00000000-0005-0000-0000-0000BD340000}"/>
    <cellStyle name="20% - Accent5 5 5 8 2" xfId="17053" xr:uid="{00000000-0005-0000-0000-0000BE340000}"/>
    <cellStyle name="20% - Accent5 5 5 9" xfId="17054" xr:uid="{00000000-0005-0000-0000-0000BF340000}"/>
    <cellStyle name="20% - Accent5 5 6" xfId="17055" xr:uid="{00000000-0005-0000-0000-0000C0340000}"/>
    <cellStyle name="20% - Accent5 5 6 10" xfId="17056" xr:uid="{00000000-0005-0000-0000-0000C1340000}"/>
    <cellStyle name="20% - Accent5 5 6 11" xfId="17057" xr:uid="{00000000-0005-0000-0000-0000C2340000}"/>
    <cellStyle name="20% - Accent5 5 6 2" xfId="17058" xr:uid="{00000000-0005-0000-0000-0000C3340000}"/>
    <cellStyle name="20% - Accent5 5 6 2 2" xfId="17059" xr:uid="{00000000-0005-0000-0000-0000C4340000}"/>
    <cellStyle name="20% - Accent5 5 6 2 2 2" xfId="17060" xr:uid="{00000000-0005-0000-0000-0000C5340000}"/>
    <cellStyle name="20% - Accent5 5 6 2 2 2 2" xfId="17061" xr:uid="{00000000-0005-0000-0000-0000C6340000}"/>
    <cellStyle name="20% - Accent5 5 6 2 2 2 2 2" xfId="17062" xr:uid="{00000000-0005-0000-0000-0000C7340000}"/>
    <cellStyle name="20% - Accent5 5 6 2 2 2 3" xfId="17063" xr:uid="{00000000-0005-0000-0000-0000C8340000}"/>
    <cellStyle name="20% - Accent5 5 6 2 2 3" xfId="17064" xr:uid="{00000000-0005-0000-0000-0000C9340000}"/>
    <cellStyle name="20% - Accent5 5 6 2 2 3 2" xfId="17065" xr:uid="{00000000-0005-0000-0000-0000CA340000}"/>
    <cellStyle name="20% - Accent5 5 6 2 2 4" xfId="17066" xr:uid="{00000000-0005-0000-0000-0000CB340000}"/>
    <cellStyle name="20% - Accent5 5 6 2 2 5" xfId="17067" xr:uid="{00000000-0005-0000-0000-0000CC340000}"/>
    <cellStyle name="20% - Accent5 5 6 2 2 6" xfId="17068" xr:uid="{00000000-0005-0000-0000-0000CD340000}"/>
    <cellStyle name="20% - Accent5 5 6 2 3" xfId="17069" xr:uid="{00000000-0005-0000-0000-0000CE340000}"/>
    <cellStyle name="20% - Accent5 5 6 2 3 2" xfId="17070" xr:uid="{00000000-0005-0000-0000-0000CF340000}"/>
    <cellStyle name="20% - Accent5 5 6 2 3 2 2" xfId="17071" xr:uid="{00000000-0005-0000-0000-0000D0340000}"/>
    <cellStyle name="20% - Accent5 5 6 2 3 3" xfId="17072" xr:uid="{00000000-0005-0000-0000-0000D1340000}"/>
    <cellStyle name="20% - Accent5 5 6 2 4" xfId="17073" xr:uid="{00000000-0005-0000-0000-0000D2340000}"/>
    <cellStyle name="20% - Accent5 5 6 2 4 2" xfId="17074" xr:uid="{00000000-0005-0000-0000-0000D3340000}"/>
    <cellStyle name="20% - Accent5 5 6 2 5" xfId="17075" xr:uid="{00000000-0005-0000-0000-0000D4340000}"/>
    <cellStyle name="20% - Accent5 5 6 2 5 2" xfId="17076" xr:uid="{00000000-0005-0000-0000-0000D5340000}"/>
    <cellStyle name="20% - Accent5 5 6 2 6" xfId="17077" xr:uid="{00000000-0005-0000-0000-0000D6340000}"/>
    <cellStyle name="20% - Accent5 5 6 2 7" xfId="17078" xr:uid="{00000000-0005-0000-0000-0000D7340000}"/>
    <cellStyle name="20% - Accent5 5 6 2 8" xfId="17079" xr:uid="{00000000-0005-0000-0000-0000D8340000}"/>
    <cellStyle name="20% - Accent5 5 6 3" xfId="17080" xr:uid="{00000000-0005-0000-0000-0000D9340000}"/>
    <cellStyle name="20% - Accent5 5 6 3 2" xfId="17081" xr:uid="{00000000-0005-0000-0000-0000DA340000}"/>
    <cellStyle name="20% - Accent5 5 6 3 2 2" xfId="17082" xr:uid="{00000000-0005-0000-0000-0000DB340000}"/>
    <cellStyle name="20% - Accent5 5 6 3 2 2 2" xfId="17083" xr:uid="{00000000-0005-0000-0000-0000DC340000}"/>
    <cellStyle name="20% - Accent5 5 6 3 2 2 2 2" xfId="17084" xr:uid="{00000000-0005-0000-0000-0000DD340000}"/>
    <cellStyle name="20% - Accent5 5 6 3 2 2 3" xfId="17085" xr:uid="{00000000-0005-0000-0000-0000DE340000}"/>
    <cellStyle name="20% - Accent5 5 6 3 2 3" xfId="17086" xr:uid="{00000000-0005-0000-0000-0000DF340000}"/>
    <cellStyle name="20% - Accent5 5 6 3 2 3 2" xfId="17087" xr:uid="{00000000-0005-0000-0000-0000E0340000}"/>
    <cellStyle name="20% - Accent5 5 6 3 2 4" xfId="17088" xr:uid="{00000000-0005-0000-0000-0000E1340000}"/>
    <cellStyle name="20% - Accent5 5 6 3 2 5" xfId="17089" xr:uid="{00000000-0005-0000-0000-0000E2340000}"/>
    <cellStyle name="20% - Accent5 5 6 3 2 6" xfId="17090" xr:uid="{00000000-0005-0000-0000-0000E3340000}"/>
    <cellStyle name="20% - Accent5 5 6 3 3" xfId="17091" xr:uid="{00000000-0005-0000-0000-0000E4340000}"/>
    <cellStyle name="20% - Accent5 5 6 3 3 2" xfId="17092" xr:uid="{00000000-0005-0000-0000-0000E5340000}"/>
    <cellStyle name="20% - Accent5 5 6 3 3 2 2" xfId="17093" xr:uid="{00000000-0005-0000-0000-0000E6340000}"/>
    <cellStyle name="20% - Accent5 5 6 3 3 3" xfId="17094" xr:uid="{00000000-0005-0000-0000-0000E7340000}"/>
    <cellStyle name="20% - Accent5 5 6 3 4" xfId="17095" xr:uid="{00000000-0005-0000-0000-0000E8340000}"/>
    <cellStyle name="20% - Accent5 5 6 3 4 2" xfId="17096" xr:uid="{00000000-0005-0000-0000-0000E9340000}"/>
    <cellStyle name="20% - Accent5 5 6 3 5" xfId="17097" xr:uid="{00000000-0005-0000-0000-0000EA340000}"/>
    <cellStyle name="20% - Accent5 5 6 3 6" xfId="17098" xr:uid="{00000000-0005-0000-0000-0000EB340000}"/>
    <cellStyle name="20% - Accent5 5 6 3 7" xfId="17099" xr:uid="{00000000-0005-0000-0000-0000EC340000}"/>
    <cellStyle name="20% - Accent5 5 6 4" xfId="17100" xr:uid="{00000000-0005-0000-0000-0000ED340000}"/>
    <cellStyle name="20% - Accent5 5 6 4 2" xfId="17101" xr:uid="{00000000-0005-0000-0000-0000EE340000}"/>
    <cellStyle name="20% - Accent5 5 6 4 2 2" xfId="17102" xr:uid="{00000000-0005-0000-0000-0000EF340000}"/>
    <cellStyle name="20% - Accent5 5 6 4 2 2 2" xfId="17103" xr:uid="{00000000-0005-0000-0000-0000F0340000}"/>
    <cellStyle name="20% - Accent5 5 6 4 2 3" xfId="17104" xr:uid="{00000000-0005-0000-0000-0000F1340000}"/>
    <cellStyle name="20% - Accent5 5 6 4 3" xfId="17105" xr:uid="{00000000-0005-0000-0000-0000F2340000}"/>
    <cellStyle name="20% - Accent5 5 6 4 3 2" xfId="17106" xr:uid="{00000000-0005-0000-0000-0000F3340000}"/>
    <cellStyle name="20% - Accent5 5 6 4 4" xfId="17107" xr:uid="{00000000-0005-0000-0000-0000F4340000}"/>
    <cellStyle name="20% - Accent5 5 6 4 5" xfId="17108" xr:uid="{00000000-0005-0000-0000-0000F5340000}"/>
    <cellStyle name="20% - Accent5 5 6 4 6" xfId="17109" xr:uid="{00000000-0005-0000-0000-0000F6340000}"/>
    <cellStyle name="20% - Accent5 5 6 5" xfId="17110" xr:uid="{00000000-0005-0000-0000-0000F7340000}"/>
    <cellStyle name="20% - Accent5 5 6 5 2" xfId="17111" xr:uid="{00000000-0005-0000-0000-0000F8340000}"/>
    <cellStyle name="20% - Accent5 5 6 5 2 2" xfId="17112" xr:uid="{00000000-0005-0000-0000-0000F9340000}"/>
    <cellStyle name="20% - Accent5 5 6 5 3" xfId="17113" xr:uid="{00000000-0005-0000-0000-0000FA340000}"/>
    <cellStyle name="20% - Accent5 5 6 6" xfId="17114" xr:uid="{00000000-0005-0000-0000-0000FB340000}"/>
    <cellStyle name="20% - Accent5 5 6 6 2" xfId="17115" xr:uid="{00000000-0005-0000-0000-0000FC340000}"/>
    <cellStyle name="20% - Accent5 5 6 6 2 2" xfId="17116" xr:uid="{00000000-0005-0000-0000-0000FD340000}"/>
    <cellStyle name="20% - Accent5 5 6 6 3" xfId="17117" xr:uid="{00000000-0005-0000-0000-0000FE340000}"/>
    <cellStyle name="20% - Accent5 5 6 7" xfId="17118" xr:uid="{00000000-0005-0000-0000-0000FF340000}"/>
    <cellStyle name="20% - Accent5 5 6 7 2" xfId="17119" xr:uid="{00000000-0005-0000-0000-000000350000}"/>
    <cellStyle name="20% - Accent5 5 6 8" xfId="17120" xr:uid="{00000000-0005-0000-0000-000001350000}"/>
    <cellStyle name="20% - Accent5 5 6 8 2" xfId="17121" xr:uid="{00000000-0005-0000-0000-000002350000}"/>
    <cellStyle name="20% - Accent5 5 6 9" xfId="17122" xr:uid="{00000000-0005-0000-0000-000003350000}"/>
    <cellStyle name="20% - Accent5 5 7" xfId="17123" xr:uid="{00000000-0005-0000-0000-000004350000}"/>
    <cellStyle name="20% - Accent5 5 7 10" xfId="17124" xr:uid="{00000000-0005-0000-0000-000005350000}"/>
    <cellStyle name="20% - Accent5 5 7 11" xfId="17125" xr:uid="{00000000-0005-0000-0000-000006350000}"/>
    <cellStyle name="20% - Accent5 5 7 2" xfId="17126" xr:uid="{00000000-0005-0000-0000-000007350000}"/>
    <cellStyle name="20% - Accent5 5 7 2 2" xfId="17127" xr:uid="{00000000-0005-0000-0000-000008350000}"/>
    <cellStyle name="20% - Accent5 5 7 2 2 2" xfId="17128" xr:uid="{00000000-0005-0000-0000-000009350000}"/>
    <cellStyle name="20% - Accent5 5 7 2 2 2 2" xfId="17129" xr:uid="{00000000-0005-0000-0000-00000A350000}"/>
    <cellStyle name="20% - Accent5 5 7 2 2 2 2 2" xfId="17130" xr:uid="{00000000-0005-0000-0000-00000B350000}"/>
    <cellStyle name="20% - Accent5 5 7 2 2 2 3" xfId="17131" xr:uid="{00000000-0005-0000-0000-00000C350000}"/>
    <cellStyle name="20% - Accent5 5 7 2 2 3" xfId="17132" xr:uid="{00000000-0005-0000-0000-00000D350000}"/>
    <cellStyle name="20% - Accent5 5 7 2 2 3 2" xfId="17133" xr:uid="{00000000-0005-0000-0000-00000E350000}"/>
    <cellStyle name="20% - Accent5 5 7 2 2 4" xfId="17134" xr:uid="{00000000-0005-0000-0000-00000F350000}"/>
    <cellStyle name="20% - Accent5 5 7 2 2 5" xfId="17135" xr:uid="{00000000-0005-0000-0000-000010350000}"/>
    <cellStyle name="20% - Accent5 5 7 2 2 6" xfId="17136" xr:uid="{00000000-0005-0000-0000-000011350000}"/>
    <cellStyle name="20% - Accent5 5 7 2 3" xfId="17137" xr:uid="{00000000-0005-0000-0000-000012350000}"/>
    <cellStyle name="20% - Accent5 5 7 2 3 2" xfId="17138" xr:uid="{00000000-0005-0000-0000-000013350000}"/>
    <cellStyle name="20% - Accent5 5 7 2 3 2 2" xfId="17139" xr:uid="{00000000-0005-0000-0000-000014350000}"/>
    <cellStyle name="20% - Accent5 5 7 2 3 3" xfId="17140" xr:uid="{00000000-0005-0000-0000-000015350000}"/>
    <cellStyle name="20% - Accent5 5 7 2 4" xfId="17141" xr:uid="{00000000-0005-0000-0000-000016350000}"/>
    <cellStyle name="20% - Accent5 5 7 2 4 2" xfId="17142" xr:uid="{00000000-0005-0000-0000-000017350000}"/>
    <cellStyle name="20% - Accent5 5 7 2 5" xfId="17143" xr:uid="{00000000-0005-0000-0000-000018350000}"/>
    <cellStyle name="20% - Accent5 5 7 2 5 2" xfId="17144" xr:uid="{00000000-0005-0000-0000-000019350000}"/>
    <cellStyle name="20% - Accent5 5 7 2 6" xfId="17145" xr:uid="{00000000-0005-0000-0000-00001A350000}"/>
    <cellStyle name="20% - Accent5 5 7 2 7" xfId="17146" xr:uid="{00000000-0005-0000-0000-00001B350000}"/>
    <cellStyle name="20% - Accent5 5 7 2 8" xfId="17147" xr:uid="{00000000-0005-0000-0000-00001C350000}"/>
    <cellStyle name="20% - Accent5 5 7 3" xfId="17148" xr:uid="{00000000-0005-0000-0000-00001D350000}"/>
    <cellStyle name="20% - Accent5 5 7 3 2" xfId="17149" xr:uid="{00000000-0005-0000-0000-00001E350000}"/>
    <cellStyle name="20% - Accent5 5 7 3 2 2" xfId="17150" xr:uid="{00000000-0005-0000-0000-00001F350000}"/>
    <cellStyle name="20% - Accent5 5 7 3 2 2 2" xfId="17151" xr:uid="{00000000-0005-0000-0000-000020350000}"/>
    <cellStyle name="20% - Accent5 5 7 3 2 2 2 2" xfId="17152" xr:uid="{00000000-0005-0000-0000-000021350000}"/>
    <cellStyle name="20% - Accent5 5 7 3 2 2 3" xfId="17153" xr:uid="{00000000-0005-0000-0000-000022350000}"/>
    <cellStyle name="20% - Accent5 5 7 3 2 3" xfId="17154" xr:uid="{00000000-0005-0000-0000-000023350000}"/>
    <cellStyle name="20% - Accent5 5 7 3 2 3 2" xfId="17155" xr:uid="{00000000-0005-0000-0000-000024350000}"/>
    <cellStyle name="20% - Accent5 5 7 3 2 4" xfId="17156" xr:uid="{00000000-0005-0000-0000-000025350000}"/>
    <cellStyle name="20% - Accent5 5 7 3 2 5" xfId="17157" xr:uid="{00000000-0005-0000-0000-000026350000}"/>
    <cellStyle name="20% - Accent5 5 7 3 2 6" xfId="17158" xr:uid="{00000000-0005-0000-0000-000027350000}"/>
    <cellStyle name="20% - Accent5 5 7 3 3" xfId="17159" xr:uid="{00000000-0005-0000-0000-000028350000}"/>
    <cellStyle name="20% - Accent5 5 7 3 3 2" xfId="17160" xr:uid="{00000000-0005-0000-0000-000029350000}"/>
    <cellStyle name="20% - Accent5 5 7 3 3 2 2" xfId="17161" xr:uid="{00000000-0005-0000-0000-00002A350000}"/>
    <cellStyle name="20% - Accent5 5 7 3 3 3" xfId="17162" xr:uid="{00000000-0005-0000-0000-00002B350000}"/>
    <cellStyle name="20% - Accent5 5 7 3 4" xfId="17163" xr:uid="{00000000-0005-0000-0000-00002C350000}"/>
    <cellStyle name="20% - Accent5 5 7 3 4 2" xfId="17164" xr:uid="{00000000-0005-0000-0000-00002D350000}"/>
    <cellStyle name="20% - Accent5 5 7 3 5" xfId="17165" xr:uid="{00000000-0005-0000-0000-00002E350000}"/>
    <cellStyle name="20% - Accent5 5 7 3 6" xfId="17166" xr:uid="{00000000-0005-0000-0000-00002F350000}"/>
    <cellStyle name="20% - Accent5 5 7 3 7" xfId="17167" xr:uid="{00000000-0005-0000-0000-000030350000}"/>
    <cellStyle name="20% - Accent5 5 7 4" xfId="17168" xr:uid="{00000000-0005-0000-0000-000031350000}"/>
    <cellStyle name="20% - Accent5 5 7 4 2" xfId="17169" xr:uid="{00000000-0005-0000-0000-000032350000}"/>
    <cellStyle name="20% - Accent5 5 7 4 2 2" xfId="17170" xr:uid="{00000000-0005-0000-0000-000033350000}"/>
    <cellStyle name="20% - Accent5 5 7 4 2 2 2" xfId="17171" xr:uid="{00000000-0005-0000-0000-000034350000}"/>
    <cellStyle name="20% - Accent5 5 7 4 2 3" xfId="17172" xr:uid="{00000000-0005-0000-0000-000035350000}"/>
    <cellStyle name="20% - Accent5 5 7 4 3" xfId="17173" xr:uid="{00000000-0005-0000-0000-000036350000}"/>
    <cellStyle name="20% - Accent5 5 7 4 3 2" xfId="17174" xr:uid="{00000000-0005-0000-0000-000037350000}"/>
    <cellStyle name="20% - Accent5 5 7 4 4" xfId="17175" xr:uid="{00000000-0005-0000-0000-000038350000}"/>
    <cellStyle name="20% - Accent5 5 7 4 5" xfId="17176" xr:uid="{00000000-0005-0000-0000-000039350000}"/>
    <cellStyle name="20% - Accent5 5 7 4 6" xfId="17177" xr:uid="{00000000-0005-0000-0000-00003A350000}"/>
    <cellStyle name="20% - Accent5 5 7 5" xfId="17178" xr:uid="{00000000-0005-0000-0000-00003B350000}"/>
    <cellStyle name="20% - Accent5 5 7 5 2" xfId="17179" xr:uid="{00000000-0005-0000-0000-00003C350000}"/>
    <cellStyle name="20% - Accent5 5 7 5 2 2" xfId="17180" xr:uid="{00000000-0005-0000-0000-00003D350000}"/>
    <cellStyle name="20% - Accent5 5 7 5 3" xfId="17181" xr:uid="{00000000-0005-0000-0000-00003E350000}"/>
    <cellStyle name="20% - Accent5 5 7 6" xfId="17182" xr:uid="{00000000-0005-0000-0000-00003F350000}"/>
    <cellStyle name="20% - Accent5 5 7 6 2" xfId="17183" xr:uid="{00000000-0005-0000-0000-000040350000}"/>
    <cellStyle name="20% - Accent5 5 7 6 2 2" xfId="17184" xr:uid="{00000000-0005-0000-0000-000041350000}"/>
    <cellStyle name="20% - Accent5 5 7 6 3" xfId="17185" xr:uid="{00000000-0005-0000-0000-000042350000}"/>
    <cellStyle name="20% - Accent5 5 7 7" xfId="17186" xr:uid="{00000000-0005-0000-0000-000043350000}"/>
    <cellStyle name="20% - Accent5 5 7 7 2" xfId="17187" xr:uid="{00000000-0005-0000-0000-000044350000}"/>
    <cellStyle name="20% - Accent5 5 7 8" xfId="17188" xr:uid="{00000000-0005-0000-0000-000045350000}"/>
    <cellStyle name="20% - Accent5 5 7 8 2" xfId="17189" xr:uid="{00000000-0005-0000-0000-000046350000}"/>
    <cellStyle name="20% - Accent5 5 7 9" xfId="17190" xr:uid="{00000000-0005-0000-0000-000047350000}"/>
    <cellStyle name="20% - Accent5 5 8" xfId="17191" xr:uid="{00000000-0005-0000-0000-000048350000}"/>
    <cellStyle name="20% - Accent5 5 8 10" xfId="17192" xr:uid="{00000000-0005-0000-0000-000049350000}"/>
    <cellStyle name="20% - Accent5 5 8 11" xfId="17193" xr:uid="{00000000-0005-0000-0000-00004A350000}"/>
    <cellStyle name="20% - Accent5 5 8 2" xfId="17194" xr:uid="{00000000-0005-0000-0000-00004B350000}"/>
    <cellStyle name="20% - Accent5 5 8 2 2" xfId="17195" xr:uid="{00000000-0005-0000-0000-00004C350000}"/>
    <cellStyle name="20% - Accent5 5 8 2 2 2" xfId="17196" xr:uid="{00000000-0005-0000-0000-00004D350000}"/>
    <cellStyle name="20% - Accent5 5 8 2 2 2 2" xfId="17197" xr:uid="{00000000-0005-0000-0000-00004E350000}"/>
    <cellStyle name="20% - Accent5 5 8 2 2 2 2 2" xfId="17198" xr:uid="{00000000-0005-0000-0000-00004F350000}"/>
    <cellStyle name="20% - Accent5 5 8 2 2 2 3" xfId="17199" xr:uid="{00000000-0005-0000-0000-000050350000}"/>
    <cellStyle name="20% - Accent5 5 8 2 2 3" xfId="17200" xr:uid="{00000000-0005-0000-0000-000051350000}"/>
    <cellStyle name="20% - Accent5 5 8 2 2 3 2" xfId="17201" xr:uid="{00000000-0005-0000-0000-000052350000}"/>
    <cellStyle name="20% - Accent5 5 8 2 2 4" xfId="17202" xr:uid="{00000000-0005-0000-0000-000053350000}"/>
    <cellStyle name="20% - Accent5 5 8 2 2 5" xfId="17203" xr:uid="{00000000-0005-0000-0000-000054350000}"/>
    <cellStyle name="20% - Accent5 5 8 2 2 6" xfId="17204" xr:uid="{00000000-0005-0000-0000-000055350000}"/>
    <cellStyle name="20% - Accent5 5 8 2 3" xfId="17205" xr:uid="{00000000-0005-0000-0000-000056350000}"/>
    <cellStyle name="20% - Accent5 5 8 2 3 2" xfId="17206" xr:uid="{00000000-0005-0000-0000-000057350000}"/>
    <cellStyle name="20% - Accent5 5 8 2 3 2 2" xfId="17207" xr:uid="{00000000-0005-0000-0000-000058350000}"/>
    <cellStyle name="20% - Accent5 5 8 2 3 3" xfId="17208" xr:uid="{00000000-0005-0000-0000-000059350000}"/>
    <cellStyle name="20% - Accent5 5 8 2 4" xfId="17209" xr:uid="{00000000-0005-0000-0000-00005A350000}"/>
    <cellStyle name="20% - Accent5 5 8 2 4 2" xfId="17210" xr:uid="{00000000-0005-0000-0000-00005B350000}"/>
    <cellStyle name="20% - Accent5 5 8 2 5" xfId="17211" xr:uid="{00000000-0005-0000-0000-00005C350000}"/>
    <cellStyle name="20% - Accent5 5 8 2 5 2" xfId="17212" xr:uid="{00000000-0005-0000-0000-00005D350000}"/>
    <cellStyle name="20% - Accent5 5 8 2 6" xfId="17213" xr:uid="{00000000-0005-0000-0000-00005E350000}"/>
    <cellStyle name="20% - Accent5 5 8 2 7" xfId="17214" xr:uid="{00000000-0005-0000-0000-00005F350000}"/>
    <cellStyle name="20% - Accent5 5 8 2 8" xfId="17215" xr:uid="{00000000-0005-0000-0000-000060350000}"/>
    <cellStyle name="20% - Accent5 5 8 3" xfId="17216" xr:uid="{00000000-0005-0000-0000-000061350000}"/>
    <cellStyle name="20% - Accent5 5 8 3 2" xfId="17217" xr:uid="{00000000-0005-0000-0000-000062350000}"/>
    <cellStyle name="20% - Accent5 5 8 3 2 2" xfId="17218" xr:uid="{00000000-0005-0000-0000-000063350000}"/>
    <cellStyle name="20% - Accent5 5 8 3 2 2 2" xfId="17219" xr:uid="{00000000-0005-0000-0000-000064350000}"/>
    <cellStyle name="20% - Accent5 5 8 3 2 2 2 2" xfId="17220" xr:uid="{00000000-0005-0000-0000-000065350000}"/>
    <cellStyle name="20% - Accent5 5 8 3 2 2 3" xfId="17221" xr:uid="{00000000-0005-0000-0000-000066350000}"/>
    <cellStyle name="20% - Accent5 5 8 3 2 3" xfId="17222" xr:uid="{00000000-0005-0000-0000-000067350000}"/>
    <cellStyle name="20% - Accent5 5 8 3 2 3 2" xfId="17223" xr:uid="{00000000-0005-0000-0000-000068350000}"/>
    <cellStyle name="20% - Accent5 5 8 3 2 4" xfId="17224" xr:uid="{00000000-0005-0000-0000-000069350000}"/>
    <cellStyle name="20% - Accent5 5 8 3 2 5" xfId="17225" xr:uid="{00000000-0005-0000-0000-00006A350000}"/>
    <cellStyle name="20% - Accent5 5 8 3 2 6" xfId="17226" xr:uid="{00000000-0005-0000-0000-00006B350000}"/>
    <cellStyle name="20% - Accent5 5 8 3 3" xfId="17227" xr:uid="{00000000-0005-0000-0000-00006C350000}"/>
    <cellStyle name="20% - Accent5 5 8 3 3 2" xfId="17228" xr:uid="{00000000-0005-0000-0000-00006D350000}"/>
    <cellStyle name="20% - Accent5 5 8 3 3 2 2" xfId="17229" xr:uid="{00000000-0005-0000-0000-00006E350000}"/>
    <cellStyle name="20% - Accent5 5 8 3 3 3" xfId="17230" xr:uid="{00000000-0005-0000-0000-00006F350000}"/>
    <cellStyle name="20% - Accent5 5 8 3 4" xfId="17231" xr:uid="{00000000-0005-0000-0000-000070350000}"/>
    <cellStyle name="20% - Accent5 5 8 3 4 2" xfId="17232" xr:uid="{00000000-0005-0000-0000-000071350000}"/>
    <cellStyle name="20% - Accent5 5 8 3 5" xfId="17233" xr:uid="{00000000-0005-0000-0000-000072350000}"/>
    <cellStyle name="20% - Accent5 5 8 3 6" xfId="17234" xr:uid="{00000000-0005-0000-0000-000073350000}"/>
    <cellStyle name="20% - Accent5 5 8 3 7" xfId="17235" xr:uid="{00000000-0005-0000-0000-000074350000}"/>
    <cellStyle name="20% - Accent5 5 8 4" xfId="17236" xr:uid="{00000000-0005-0000-0000-000075350000}"/>
    <cellStyle name="20% - Accent5 5 8 4 2" xfId="17237" xr:uid="{00000000-0005-0000-0000-000076350000}"/>
    <cellStyle name="20% - Accent5 5 8 4 2 2" xfId="17238" xr:uid="{00000000-0005-0000-0000-000077350000}"/>
    <cellStyle name="20% - Accent5 5 8 4 2 2 2" xfId="17239" xr:uid="{00000000-0005-0000-0000-000078350000}"/>
    <cellStyle name="20% - Accent5 5 8 4 2 3" xfId="17240" xr:uid="{00000000-0005-0000-0000-000079350000}"/>
    <cellStyle name="20% - Accent5 5 8 4 3" xfId="17241" xr:uid="{00000000-0005-0000-0000-00007A350000}"/>
    <cellStyle name="20% - Accent5 5 8 4 3 2" xfId="17242" xr:uid="{00000000-0005-0000-0000-00007B350000}"/>
    <cellStyle name="20% - Accent5 5 8 4 4" xfId="17243" xr:uid="{00000000-0005-0000-0000-00007C350000}"/>
    <cellStyle name="20% - Accent5 5 8 4 5" xfId="17244" xr:uid="{00000000-0005-0000-0000-00007D350000}"/>
    <cellStyle name="20% - Accent5 5 8 4 6" xfId="17245" xr:uid="{00000000-0005-0000-0000-00007E350000}"/>
    <cellStyle name="20% - Accent5 5 8 5" xfId="17246" xr:uid="{00000000-0005-0000-0000-00007F350000}"/>
    <cellStyle name="20% - Accent5 5 8 5 2" xfId="17247" xr:uid="{00000000-0005-0000-0000-000080350000}"/>
    <cellStyle name="20% - Accent5 5 8 5 2 2" xfId="17248" xr:uid="{00000000-0005-0000-0000-000081350000}"/>
    <cellStyle name="20% - Accent5 5 8 5 3" xfId="17249" xr:uid="{00000000-0005-0000-0000-000082350000}"/>
    <cellStyle name="20% - Accent5 5 8 6" xfId="17250" xr:uid="{00000000-0005-0000-0000-000083350000}"/>
    <cellStyle name="20% - Accent5 5 8 6 2" xfId="17251" xr:uid="{00000000-0005-0000-0000-000084350000}"/>
    <cellStyle name="20% - Accent5 5 8 6 2 2" xfId="17252" xr:uid="{00000000-0005-0000-0000-000085350000}"/>
    <cellStyle name="20% - Accent5 5 8 6 3" xfId="17253" xr:uid="{00000000-0005-0000-0000-000086350000}"/>
    <cellStyle name="20% - Accent5 5 8 7" xfId="17254" xr:uid="{00000000-0005-0000-0000-000087350000}"/>
    <cellStyle name="20% - Accent5 5 8 7 2" xfId="17255" xr:uid="{00000000-0005-0000-0000-000088350000}"/>
    <cellStyle name="20% - Accent5 5 8 8" xfId="17256" xr:uid="{00000000-0005-0000-0000-000089350000}"/>
    <cellStyle name="20% - Accent5 5 8 8 2" xfId="17257" xr:uid="{00000000-0005-0000-0000-00008A350000}"/>
    <cellStyle name="20% - Accent5 5 8 9" xfId="17258" xr:uid="{00000000-0005-0000-0000-00008B350000}"/>
    <cellStyle name="20% - Accent5 5 9" xfId="17259" xr:uid="{00000000-0005-0000-0000-00008C350000}"/>
    <cellStyle name="20% - Accent5 5 9 10" xfId="17260" xr:uid="{00000000-0005-0000-0000-00008D350000}"/>
    <cellStyle name="20% - Accent5 5 9 11" xfId="17261" xr:uid="{00000000-0005-0000-0000-00008E350000}"/>
    <cellStyle name="20% - Accent5 5 9 2" xfId="17262" xr:uid="{00000000-0005-0000-0000-00008F350000}"/>
    <cellStyle name="20% - Accent5 5 9 2 2" xfId="17263" xr:uid="{00000000-0005-0000-0000-000090350000}"/>
    <cellStyle name="20% - Accent5 5 9 2 2 2" xfId="17264" xr:uid="{00000000-0005-0000-0000-000091350000}"/>
    <cellStyle name="20% - Accent5 5 9 2 2 2 2" xfId="17265" xr:uid="{00000000-0005-0000-0000-000092350000}"/>
    <cellStyle name="20% - Accent5 5 9 2 2 2 2 2" xfId="17266" xr:uid="{00000000-0005-0000-0000-000093350000}"/>
    <cellStyle name="20% - Accent5 5 9 2 2 2 3" xfId="17267" xr:uid="{00000000-0005-0000-0000-000094350000}"/>
    <cellStyle name="20% - Accent5 5 9 2 2 3" xfId="17268" xr:uid="{00000000-0005-0000-0000-000095350000}"/>
    <cellStyle name="20% - Accent5 5 9 2 2 3 2" xfId="17269" xr:uid="{00000000-0005-0000-0000-000096350000}"/>
    <cellStyle name="20% - Accent5 5 9 2 2 4" xfId="17270" xr:uid="{00000000-0005-0000-0000-000097350000}"/>
    <cellStyle name="20% - Accent5 5 9 2 2 5" xfId="17271" xr:uid="{00000000-0005-0000-0000-000098350000}"/>
    <cellStyle name="20% - Accent5 5 9 2 2 6" xfId="17272" xr:uid="{00000000-0005-0000-0000-000099350000}"/>
    <cellStyle name="20% - Accent5 5 9 2 3" xfId="17273" xr:uid="{00000000-0005-0000-0000-00009A350000}"/>
    <cellStyle name="20% - Accent5 5 9 2 3 2" xfId="17274" xr:uid="{00000000-0005-0000-0000-00009B350000}"/>
    <cellStyle name="20% - Accent5 5 9 2 3 2 2" xfId="17275" xr:uid="{00000000-0005-0000-0000-00009C350000}"/>
    <cellStyle name="20% - Accent5 5 9 2 3 3" xfId="17276" xr:uid="{00000000-0005-0000-0000-00009D350000}"/>
    <cellStyle name="20% - Accent5 5 9 2 4" xfId="17277" xr:uid="{00000000-0005-0000-0000-00009E350000}"/>
    <cellStyle name="20% - Accent5 5 9 2 4 2" xfId="17278" xr:uid="{00000000-0005-0000-0000-00009F350000}"/>
    <cellStyle name="20% - Accent5 5 9 2 5" xfId="17279" xr:uid="{00000000-0005-0000-0000-0000A0350000}"/>
    <cellStyle name="20% - Accent5 5 9 2 6" xfId="17280" xr:uid="{00000000-0005-0000-0000-0000A1350000}"/>
    <cellStyle name="20% - Accent5 5 9 2 7" xfId="17281" xr:uid="{00000000-0005-0000-0000-0000A2350000}"/>
    <cellStyle name="20% - Accent5 5 9 3" xfId="17282" xr:uid="{00000000-0005-0000-0000-0000A3350000}"/>
    <cellStyle name="20% - Accent5 5 9 3 2" xfId="17283" xr:uid="{00000000-0005-0000-0000-0000A4350000}"/>
    <cellStyle name="20% - Accent5 5 9 3 2 2" xfId="17284" xr:uid="{00000000-0005-0000-0000-0000A5350000}"/>
    <cellStyle name="20% - Accent5 5 9 3 2 2 2" xfId="17285" xr:uid="{00000000-0005-0000-0000-0000A6350000}"/>
    <cellStyle name="20% - Accent5 5 9 3 2 2 2 2" xfId="17286" xr:uid="{00000000-0005-0000-0000-0000A7350000}"/>
    <cellStyle name="20% - Accent5 5 9 3 2 2 3" xfId="17287" xr:uid="{00000000-0005-0000-0000-0000A8350000}"/>
    <cellStyle name="20% - Accent5 5 9 3 2 3" xfId="17288" xr:uid="{00000000-0005-0000-0000-0000A9350000}"/>
    <cellStyle name="20% - Accent5 5 9 3 2 3 2" xfId="17289" xr:uid="{00000000-0005-0000-0000-0000AA350000}"/>
    <cellStyle name="20% - Accent5 5 9 3 2 4" xfId="17290" xr:uid="{00000000-0005-0000-0000-0000AB350000}"/>
    <cellStyle name="20% - Accent5 5 9 3 2 5" xfId="17291" xr:uid="{00000000-0005-0000-0000-0000AC350000}"/>
    <cellStyle name="20% - Accent5 5 9 3 2 6" xfId="17292" xr:uid="{00000000-0005-0000-0000-0000AD350000}"/>
    <cellStyle name="20% - Accent5 5 9 3 3" xfId="17293" xr:uid="{00000000-0005-0000-0000-0000AE350000}"/>
    <cellStyle name="20% - Accent5 5 9 3 3 2" xfId="17294" xr:uid="{00000000-0005-0000-0000-0000AF350000}"/>
    <cellStyle name="20% - Accent5 5 9 3 3 2 2" xfId="17295" xr:uid="{00000000-0005-0000-0000-0000B0350000}"/>
    <cellStyle name="20% - Accent5 5 9 3 3 3" xfId="17296" xr:uid="{00000000-0005-0000-0000-0000B1350000}"/>
    <cellStyle name="20% - Accent5 5 9 3 4" xfId="17297" xr:uid="{00000000-0005-0000-0000-0000B2350000}"/>
    <cellStyle name="20% - Accent5 5 9 3 4 2" xfId="17298" xr:uid="{00000000-0005-0000-0000-0000B3350000}"/>
    <cellStyle name="20% - Accent5 5 9 3 5" xfId="17299" xr:uid="{00000000-0005-0000-0000-0000B4350000}"/>
    <cellStyle name="20% - Accent5 5 9 3 6" xfId="17300" xr:uid="{00000000-0005-0000-0000-0000B5350000}"/>
    <cellStyle name="20% - Accent5 5 9 3 7" xfId="17301" xr:uid="{00000000-0005-0000-0000-0000B6350000}"/>
    <cellStyle name="20% - Accent5 5 9 4" xfId="17302" xr:uid="{00000000-0005-0000-0000-0000B7350000}"/>
    <cellStyle name="20% - Accent5 5 9 4 2" xfId="17303" xr:uid="{00000000-0005-0000-0000-0000B8350000}"/>
    <cellStyle name="20% - Accent5 5 9 4 2 2" xfId="17304" xr:uid="{00000000-0005-0000-0000-0000B9350000}"/>
    <cellStyle name="20% - Accent5 5 9 4 2 2 2" xfId="17305" xr:uid="{00000000-0005-0000-0000-0000BA350000}"/>
    <cellStyle name="20% - Accent5 5 9 4 2 3" xfId="17306" xr:uid="{00000000-0005-0000-0000-0000BB350000}"/>
    <cellStyle name="20% - Accent5 5 9 4 3" xfId="17307" xr:uid="{00000000-0005-0000-0000-0000BC350000}"/>
    <cellStyle name="20% - Accent5 5 9 4 3 2" xfId="17308" xr:uid="{00000000-0005-0000-0000-0000BD350000}"/>
    <cellStyle name="20% - Accent5 5 9 4 4" xfId="17309" xr:uid="{00000000-0005-0000-0000-0000BE350000}"/>
    <cellStyle name="20% - Accent5 5 9 4 5" xfId="17310" xr:uid="{00000000-0005-0000-0000-0000BF350000}"/>
    <cellStyle name="20% - Accent5 5 9 4 6" xfId="17311" xr:uid="{00000000-0005-0000-0000-0000C0350000}"/>
    <cellStyle name="20% - Accent5 5 9 5" xfId="17312" xr:uid="{00000000-0005-0000-0000-0000C1350000}"/>
    <cellStyle name="20% - Accent5 5 9 5 2" xfId="17313" xr:uid="{00000000-0005-0000-0000-0000C2350000}"/>
    <cellStyle name="20% - Accent5 5 9 5 2 2" xfId="17314" xr:uid="{00000000-0005-0000-0000-0000C3350000}"/>
    <cellStyle name="20% - Accent5 5 9 5 3" xfId="17315" xr:uid="{00000000-0005-0000-0000-0000C4350000}"/>
    <cellStyle name="20% - Accent5 5 9 6" xfId="17316" xr:uid="{00000000-0005-0000-0000-0000C5350000}"/>
    <cellStyle name="20% - Accent5 5 9 6 2" xfId="17317" xr:uid="{00000000-0005-0000-0000-0000C6350000}"/>
    <cellStyle name="20% - Accent5 5 9 6 2 2" xfId="17318" xr:uid="{00000000-0005-0000-0000-0000C7350000}"/>
    <cellStyle name="20% - Accent5 5 9 6 3" xfId="17319" xr:uid="{00000000-0005-0000-0000-0000C8350000}"/>
    <cellStyle name="20% - Accent5 5 9 7" xfId="17320" xr:uid="{00000000-0005-0000-0000-0000C9350000}"/>
    <cellStyle name="20% - Accent5 5 9 7 2" xfId="17321" xr:uid="{00000000-0005-0000-0000-0000CA350000}"/>
    <cellStyle name="20% - Accent5 5 9 8" xfId="17322" xr:uid="{00000000-0005-0000-0000-0000CB350000}"/>
    <cellStyle name="20% - Accent5 5 9 8 2" xfId="17323" xr:uid="{00000000-0005-0000-0000-0000CC350000}"/>
    <cellStyle name="20% - Accent5 5 9 9" xfId="17324" xr:uid="{00000000-0005-0000-0000-0000CD350000}"/>
    <cellStyle name="20% - Accent5 6" xfId="185" xr:uid="{00000000-0005-0000-0000-0000CE350000}"/>
    <cellStyle name="20% - Accent5 6 10" xfId="17325" xr:uid="{00000000-0005-0000-0000-0000CF350000}"/>
    <cellStyle name="20% - Accent5 6 11" xfId="17326" xr:uid="{00000000-0005-0000-0000-0000D0350000}"/>
    <cellStyle name="20% - Accent5 6 12" xfId="17327" xr:uid="{00000000-0005-0000-0000-0000D1350000}"/>
    <cellStyle name="20% - Accent5 6 2" xfId="17328" xr:uid="{00000000-0005-0000-0000-0000D2350000}"/>
    <cellStyle name="20% - Accent5 6 2 10" xfId="17329" xr:uid="{00000000-0005-0000-0000-0000D3350000}"/>
    <cellStyle name="20% - Accent5 6 2 2" xfId="17330" xr:uid="{00000000-0005-0000-0000-0000D4350000}"/>
    <cellStyle name="20% - Accent5 6 2 2 2" xfId="17331" xr:uid="{00000000-0005-0000-0000-0000D5350000}"/>
    <cellStyle name="20% - Accent5 6 2 2 2 2" xfId="17332" xr:uid="{00000000-0005-0000-0000-0000D6350000}"/>
    <cellStyle name="20% - Accent5 6 2 2 2 2 2" xfId="17333" xr:uid="{00000000-0005-0000-0000-0000D7350000}"/>
    <cellStyle name="20% - Accent5 6 2 2 2 2 2 2" xfId="17334" xr:uid="{00000000-0005-0000-0000-0000D8350000}"/>
    <cellStyle name="20% - Accent5 6 2 2 2 2 3" xfId="17335" xr:uid="{00000000-0005-0000-0000-0000D9350000}"/>
    <cellStyle name="20% - Accent5 6 2 2 2 3" xfId="17336" xr:uid="{00000000-0005-0000-0000-0000DA350000}"/>
    <cellStyle name="20% - Accent5 6 2 2 2 3 2" xfId="17337" xr:uid="{00000000-0005-0000-0000-0000DB350000}"/>
    <cellStyle name="20% - Accent5 6 2 2 2 4" xfId="17338" xr:uid="{00000000-0005-0000-0000-0000DC350000}"/>
    <cellStyle name="20% - Accent5 6 2 2 2 5" xfId="17339" xr:uid="{00000000-0005-0000-0000-0000DD350000}"/>
    <cellStyle name="20% - Accent5 6 2 2 2 6" xfId="17340" xr:uid="{00000000-0005-0000-0000-0000DE350000}"/>
    <cellStyle name="20% - Accent5 6 2 2 3" xfId="17341" xr:uid="{00000000-0005-0000-0000-0000DF350000}"/>
    <cellStyle name="20% - Accent5 6 2 2 3 2" xfId="17342" xr:uid="{00000000-0005-0000-0000-0000E0350000}"/>
    <cellStyle name="20% - Accent5 6 2 2 3 2 2" xfId="17343" xr:uid="{00000000-0005-0000-0000-0000E1350000}"/>
    <cellStyle name="20% - Accent5 6 2 2 3 3" xfId="17344" xr:uid="{00000000-0005-0000-0000-0000E2350000}"/>
    <cellStyle name="20% - Accent5 6 2 2 4" xfId="17345" xr:uid="{00000000-0005-0000-0000-0000E3350000}"/>
    <cellStyle name="20% - Accent5 6 2 2 4 2" xfId="17346" xr:uid="{00000000-0005-0000-0000-0000E4350000}"/>
    <cellStyle name="20% - Accent5 6 2 2 5" xfId="17347" xr:uid="{00000000-0005-0000-0000-0000E5350000}"/>
    <cellStyle name="20% - Accent5 6 2 2 6" xfId="17348" xr:uid="{00000000-0005-0000-0000-0000E6350000}"/>
    <cellStyle name="20% - Accent5 6 2 2 7" xfId="17349" xr:uid="{00000000-0005-0000-0000-0000E7350000}"/>
    <cellStyle name="20% - Accent5 6 2 3" xfId="17350" xr:uid="{00000000-0005-0000-0000-0000E8350000}"/>
    <cellStyle name="20% - Accent5 6 2 3 2" xfId="17351" xr:uid="{00000000-0005-0000-0000-0000E9350000}"/>
    <cellStyle name="20% - Accent5 6 2 3 2 2" xfId="17352" xr:uid="{00000000-0005-0000-0000-0000EA350000}"/>
    <cellStyle name="20% - Accent5 6 2 3 2 2 2" xfId="17353" xr:uid="{00000000-0005-0000-0000-0000EB350000}"/>
    <cellStyle name="20% - Accent5 6 2 3 2 3" xfId="17354" xr:uid="{00000000-0005-0000-0000-0000EC350000}"/>
    <cellStyle name="20% - Accent5 6 2 3 3" xfId="17355" xr:uid="{00000000-0005-0000-0000-0000ED350000}"/>
    <cellStyle name="20% - Accent5 6 2 3 3 2" xfId="17356" xr:uid="{00000000-0005-0000-0000-0000EE350000}"/>
    <cellStyle name="20% - Accent5 6 2 3 4" xfId="17357" xr:uid="{00000000-0005-0000-0000-0000EF350000}"/>
    <cellStyle name="20% - Accent5 6 2 3 5" xfId="17358" xr:uid="{00000000-0005-0000-0000-0000F0350000}"/>
    <cellStyle name="20% - Accent5 6 2 3 6" xfId="17359" xr:uid="{00000000-0005-0000-0000-0000F1350000}"/>
    <cellStyle name="20% - Accent5 6 2 4" xfId="17360" xr:uid="{00000000-0005-0000-0000-0000F2350000}"/>
    <cellStyle name="20% - Accent5 6 2 4 2" xfId="17361" xr:uid="{00000000-0005-0000-0000-0000F3350000}"/>
    <cellStyle name="20% - Accent5 6 2 4 2 2" xfId="17362" xr:uid="{00000000-0005-0000-0000-0000F4350000}"/>
    <cellStyle name="20% - Accent5 6 2 4 3" xfId="17363" xr:uid="{00000000-0005-0000-0000-0000F5350000}"/>
    <cellStyle name="20% - Accent5 6 2 5" xfId="17364" xr:uid="{00000000-0005-0000-0000-0000F6350000}"/>
    <cellStyle name="20% - Accent5 6 2 5 2" xfId="17365" xr:uid="{00000000-0005-0000-0000-0000F7350000}"/>
    <cellStyle name="20% - Accent5 6 2 5 2 2" xfId="17366" xr:uid="{00000000-0005-0000-0000-0000F8350000}"/>
    <cellStyle name="20% - Accent5 6 2 5 3" xfId="17367" xr:uid="{00000000-0005-0000-0000-0000F9350000}"/>
    <cellStyle name="20% - Accent5 6 2 6" xfId="17368" xr:uid="{00000000-0005-0000-0000-0000FA350000}"/>
    <cellStyle name="20% - Accent5 6 2 6 2" xfId="17369" xr:uid="{00000000-0005-0000-0000-0000FB350000}"/>
    <cellStyle name="20% - Accent5 6 2 7" xfId="17370" xr:uid="{00000000-0005-0000-0000-0000FC350000}"/>
    <cellStyle name="20% - Accent5 6 2 7 2" xfId="17371" xr:uid="{00000000-0005-0000-0000-0000FD350000}"/>
    <cellStyle name="20% - Accent5 6 2 8" xfId="17372" xr:uid="{00000000-0005-0000-0000-0000FE350000}"/>
    <cellStyle name="20% - Accent5 6 2 9" xfId="17373" xr:uid="{00000000-0005-0000-0000-0000FF350000}"/>
    <cellStyle name="20% - Accent5 6 3" xfId="17374" xr:uid="{00000000-0005-0000-0000-000000360000}"/>
    <cellStyle name="20% - Accent5 6 3 2" xfId="17375" xr:uid="{00000000-0005-0000-0000-000001360000}"/>
    <cellStyle name="20% - Accent5 6 3 2 2" xfId="17376" xr:uid="{00000000-0005-0000-0000-000002360000}"/>
    <cellStyle name="20% - Accent5 6 3 2 2 2" xfId="17377" xr:uid="{00000000-0005-0000-0000-000003360000}"/>
    <cellStyle name="20% - Accent5 6 3 2 2 2 2" xfId="17378" xr:uid="{00000000-0005-0000-0000-000004360000}"/>
    <cellStyle name="20% - Accent5 6 3 2 2 3" xfId="17379" xr:uid="{00000000-0005-0000-0000-000005360000}"/>
    <cellStyle name="20% - Accent5 6 3 2 3" xfId="17380" xr:uid="{00000000-0005-0000-0000-000006360000}"/>
    <cellStyle name="20% - Accent5 6 3 2 3 2" xfId="17381" xr:uid="{00000000-0005-0000-0000-000007360000}"/>
    <cellStyle name="20% - Accent5 6 3 2 4" xfId="17382" xr:uid="{00000000-0005-0000-0000-000008360000}"/>
    <cellStyle name="20% - Accent5 6 3 2 5" xfId="17383" xr:uid="{00000000-0005-0000-0000-000009360000}"/>
    <cellStyle name="20% - Accent5 6 3 2 6" xfId="17384" xr:uid="{00000000-0005-0000-0000-00000A360000}"/>
    <cellStyle name="20% - Accent5 6 3 3" xfId="17385" xr:uid="{00000000-0005-0000-0000-00000B360000}"/>
    <cellStyle name="20% - Accent5 6 3 3 2" xfId="17386" xr:uid="{00000000-0005-0000-0000-00000C360000}"/>
    <cellStyle name="20% - Accent5 6 3 3 2 2" xfId="17387" xr:uid="{00000000-0005-0000-0000-00000D360000}"/>
    <cellStyle name="20% - Accent5 6 3 3 3" xfId="17388" xr:uid="{00000000-0005-0000-0000-00000E360000}"/>
    <cellStyle name="20% - Accent5 6 3 4" xfId="17389" xr:uid="{00000000-0005-0000-0000-00000F360000}"/>
    <cellStyle name="20% - Accent5 6 3 4 2" xfId="17390" xr:uid="{00000000-0005-0000-0000-000010360000}"/>
    <cellStyle name="20% - Accent5 6 3 5" xfId="17391" xr:uid="{00000000-0005-0000-0000-000011360000}"/>
    <cellStyle name="20% - Accent5 6 3 6" xfId="17392" xr:uid="{00000000-0005-0000-0000-000012360000}"/>
    <cellStyle name="20% - Accent5 6 3 7" xfId="17393" xr:uid="{00000000-0005-0000-0000-000013360000}"/>
    <cellStyle name="20% - Accent5 6 4" xfId="17394" xr:uid="{00000000-0005-0000-0000-000014360000}"/>
    <cellStyle name="20% - Accent5 6 4 2" xfId="17395" xr:uid="{00000000-0005-0000-0000-000015360000}"/>
    <cellStyle name="20% - Accent5 6 4 2 2" xfId="17396" xr:uid="{00000000-0005-0000-0000-000016360000}"/>
    <cellStyle name="20% - Accent5 6 4 2 2 2" xfId="17397" xr:uid="{00000000-0005-0000-0000-000017360000}"/>
    <cellStyle name="20% - Accent5 6 4 2 2 2 2" xfId="17398" xr:uid="{00000000-0005-0000-0000-000018360000}"/>
    <cellStyle name="20% - Accent5 6 4 2 2 3" xfId="17399" xr:uid="{00000000-0005-0000-0000-000019360000}"/>
    <cellStyle name="20% - Accent5 6 4 2 3" xfId="17400" xr:uid="{00000000-0005-0000-0000-00001A360000}"/>
    <cellStyle name="20% - Accent5 6 4 2 3 2" xfId="17401" xr:uid="{00000000-0005-0000-0000-00001B360000}"/>
    <cellStyle name="20% - Accent5 6 4 2 4" xfId="17402" xr:uid="{00000000-0005-0000-0000-00001C360000}"/>
    <cellStyle name="20% - Accent5 6 4 2 5" xfId="17403" xr:uid="{00000000-0005-0000-0000-00001D360000}"/>
    <cellStyle name="20% - Accent5 6 4 2 6" xfId="17404" xr:uid="{00000000-0005-0000-0000-00001E360000}"/>
    <cellStyle name="20% - Accent5 6 4 3" xfId="17405" xr:uid="{00000000-0005-0000-0000-00001F360000}"/>
    <cellStyle name="20% - Accent5 6 4 3 2" xfId="17406" xr:uid="{00000000-0005-0000-0000-000020360000}"/>
    <cellStyle name="20% - Accent5 6 4 3 2 2" xfId="17407" xr:uid="{00000000-0005-0000-0000-000021360000}"/>
    <cellStyle name="20% - Accent5 6 4 3 3" xfId="17408" xr:uid="{00000000-0005-0000-0000-000022360000}"/>
    <cellStyle name="20% - Accent5 6 4 4" xfId="17409" xr:uid="{00000000-0005-0000-0000-000023360000}"/>
    <cellStyle name="20% - Accent5 6 4 4 2" xfId="17410" xr:uid="{00000000-0005-0000-0000-000024360000}"/>
    <cellStyle name="20% - Accent5 6 4 5" xfId="17411" xr:uid="{00000000-0005-0000-0000-000025360000}"/>
    <cellStyle name="20% - Accent5 6 4 6" xfId="17412" xr:uid="{00000000-0005-0000-0000-000026360000}"/>
    <cellStyle name="20% - Accent5 6 4 7" xfId="17413" xr:uid="{00000000-0005-0000-0000-000027360000}"/>
    <cellStyle name="20% - Accent5 6 5" xfId="17414" xr:uid="{00000000-0005-0000-0000-000028360000}"/>
    <cellStyle name="20% - Accent5 6 5 2" xfId="17415" xr:uid="{00000000-0005-0000-0000-000029360000}"/>
    <cellStyle name="20% - Accent5 6 5 2 2" xfId="17416" xr:uid="{00000000-0005-0000-0000-00002A360000}"/>
    <cellStyle name="20% - Accent5 6 5 2 2 2" xfId="17417" xr:uid="{00000000-0005-0000-0000-00002B360000}"/>
    <cellStyle name="20% - Accent5 6 5 2 3" xfId="17418" xr:uid="{00000000-0005-0000-0000-00002C360000}"/>
    <cellStyle name="20% - Accent5 6 5 3" xfId="17419" xr:uid="{00000000-0005-0000-0000-00002D360000}"/>
    <cellStyle name="20% - Accent5 6 5 3 2" xfId="17420" xr:uid="{00000000-0005-0000-0000-00002E360000}"/>
    <cellStyle name="20% - Accent5 6 5 4" xfId="17421" xr:uid="{00000000-0005-0000-0000-00002F360000}"/>
    <cellStyle name="20% - Accent5 6 5 5" xfId="17422" xr:uid="{00000000-0005-0000-0000-000030360000}"/>
    <cellStyle name="20% - Accent5 6 5 6" xfId="17423" xr:uid="{00000000-0005-0000-0000-000031360000}"/>
    <cellStyle name="20% - Accent5 6 6" xfId="17424" xr:uid="{00000000-0005-0000-0000-000032360000}"/>
    <cellStyle name="20% - Accent5 6 6 2" xfId="17425" xr:uid="{00000000-0005-0000-0000-000033360000}"/>
    <cellStyle name="20% - Accent5 6 6 2 2" xfId="17426" xr:uid="{00000000-0005-0000-0000-000034360000}"/>
    <cellStyle name="20% - Accent5 6 6 3" xfId="17427" xr:uid="{00000000-0005-0000-0000-000035360000}"/>
    <cellStyle name="20% - Accent5 6 7" xfId="17428" xr:uid="{00000000-0005-0000-0000-000036360000}"/>
    <cellStyle name="20% - Accent5 6 7 2" xfId="17429" xr:uid="{00000000-0005-0000-0000-000037360000}"/>
    <cellStyle name="20% - Accent5 6 7 2 2" xfId="17430" xr:uid="{00000000-0005-0000-0000-000038360000}"/>
    <cellStyle name="20% - Accent5 6 7 3" xfId="17431" xr:uid="{00000000-0005-0000-0000-000039360000}"/>
    <cellStyle name="20% - Accent5 6 8" xfId="17432" xr:uid="{00000000-0005-0000-0000-00003A360000}"/>
    <cellStyle name="20% - Accent5 6 8 2" xfId="17433" xr:uid="{00000000-0005-0000-0000-00003B360000}"/>
    <cellStyle name="20% - Accent5 6 9" xfId="17434" xr:uid="{00000000-0005-0000-0000-00003C360000}"/>
    <cellStyle name="20% - Accent5 6 9 2" xfId="17435" xr:uid="{00000000-0005-0000-0000-00003D360000}"/>
    <cellStyle name="20% - Accent5 7" xfId="17436" xr:uid="{00000000-0005-0000-0000-00003E360000}"/>
    <cellStyle name="20% - Accent5 7 10" xfId="17437" xr:uid="{00000000-0005-0000-0000-00003F360000}"/>
    <cellStyle name="20% - Accent5 7 11" xfId="17438" xr:uid="{00000000-0005-0000-0000-000040360000}"/>
    <cellStyle name="20% - Accent5 7 12" xfId="17439" xr:uid="{00000000-0005-0000-0000-000041360000}"/>
    <cellStyle name="20% - Accent5 7 2" xfId="17440" xr:uid="{00000000-0005-0000-0000-000042360000}"/>
    <cellStyle name="20% - Accent5 7 2 10" xfId="17441" xr:uid="{00000000-0005-0000-0000-000043360000}"/>
    <cellStyle name="20% - Accent5 7 2 2" xfId="17442" xr:uid="{00000000-0005-0000-0000-000044360000}"/>
    <cellStyle name="20% - Accent5 7 2 2 2" xfId="17443" xr:uid="{00000000-0005-0000-0000-000045360000}"/>
    <cellStyle name="20% - Accent5 7 2 2 2 2" xfId="17444" xr:uid="{00000000-0005-0000-0000-000046360000}"/>
    <cellStyle name="20% - Accent5 7 2 2 2 2 2" xfId="17445" xr:uid="{00000000-0005-0000-0000-000047360000}"/>
    <cellStyle name="20% - Accent5 7 2 2 2 2 2 2" xfId="17446" xr:uid="{00000000-0005-0000-0000-000048360000}"/>
    <cellStyle name="20% - Accent5 7 2 2 2 2 3" xfId="17447" xr:uid="{00000000-0005-0000-0000-000049360000}"/>
    <cellStyle name="20% - Accent5 7 2 2 2 3" xfId="17448" xr:uid="{00000000-0005-0000-0000-00004A360000}"/>
    <cellStyle name="20% - Accent5 7 2 2 2 3 2" xfId="17449" xr:uid="{00000000-0005-0000-0000-00004B360000}"/>
    <cellStyle name="20% - Accent5 7 2 2 2 4" xfId="17450" xr:uid="{00000000-0005-0000-0000-00004C360000}"/>
    <cellStyle name="20% - Accent5 7 2 2 2 5" xfId="17451" xr:uid="{00000000-0005-0000-0000-00004D360000}"/>
    <cellStyle name="20% - Accent5 7 2 2 2 6" xfId="17452" xr:uid="{00000000-0005-0000-0000-00004E360000}"/>
    <cellStyle name="20% - Accent5 7 2 2 3" xfId="17453" xr:uid="{00000000-0005-0000-0000-00004F360000}"/>
    <cellStyle name="20% - Accent5 7 2 2 3 2" xfId="17454" xr:uid="{00000000-0005-0000-0000-000050360000}"/>
    <cellStyle name="20% - Accent5 7 2 2 3 2 2" xfId="17455" xr:uid="{00000000-0005-0000-0000-000051360000}"/>
    <cellStyle name="20% - Accent5 7 2 2 3 3" xfId="17456" xr:uid="{00000000-0005-0000-0000-000052360000}"/>
    <cellStyle name="20% - Accent5 7 2 2 4" xfId="17457" xr:uid="{00000000-0005-0000-0000-000053360000}"/>
    <cellStyle name="20% - Accent5 7 2 2 4 2" xfId="17458" xr:uid="{00000000-0005-0000-0000-000054360000}"/>
    <cellStyle name="20% - Accent5 7 2 2 5" xfId="17459" xr:uid="{00000000-0005-0000-0000-000055360000}"/>
    <cellStyle name="20% - Accent5 7 2 2 6" xfId="17460" xr:uid="{00000000-0005-0000-0000-000056360000}"/>
    <cellStyle name="20% - Accent5 7 2 2 7" xfId="17461" xr:uid="{00000000-0005-0000-0000-000057360000}"/>
    <cellStyle name="20% - Accent5 7 2 3" xfId="17462" xr:uid="{00000000-0005-0000-0000-000058360000}"/>
    <cellStyle name="20% - Accent5 7 2 3 2" xfId="17463" xr:uid="{00000000-0005-0000-0000-000059360000}"/>
    <cellStyle name="20% - Accent5 7 2 3 2 2" xfId="17464" xr:uid="{00000000-0005-0000-0000-00005A360000}"/>
    <cellStyle name="20% - Accent5 7 2 3 2 2 2" xfId="17465" xr:uid="{00000000-0005-0000-0000-00005B360000}"/>
    <cellStyle name="20% - Accent5 7 2 3 2 3" xfId="17466" xr:uid="{00000000-0005-0000-0000-00005C360000}"/>
    <cellStyle name="20% - Accent5 7 2 3 3" xfId="17467" xr:uid="{00000000-0005-0000-0000-00005D360000}"/>
    <cellStyle name="20% - Accent5 7 2 3 3 2" xfId="17468" xr:uid="{00000000-0005-0000-0000-00005E360000}"/>
    <cellStyle name="20% - Accent5 7 2 3 4" xfId="17469" xr:uid="{00000000-0005-0000-0000-00005F360000}"/>
    <cellStyle name="20% - Accent5 7 2 3 5" xfId="17470" xr:uid="{00000000-0005-0000-0000-000060360000}"/>
    <cellStyle name="20% - Accent5 7 2 3 6" xfId="17471" xr:uid="{00000000-0005-0000-0000-000061360000}"/>
    <cellStyle name="20% - Accent5 7 2 4" xfId="17472" xr:uid="{00000000-0005-0000-0000-000062360000}"/>
    <cellStyle name="20% - Accent5 7 2 4 2" xfId="17473" xr:uid="{00000000-0005-0000-0000-000063360000}"/>
    <cellStyle name="20% - Accent5 7 2 4 2 2" xfId="17474" xr:uid="{00000000-0005-0000-0000-000064360000}"/>
    <cellStyle name="20% - Accent5 7 2 4 3" xfId="17475" xr:uid="{00000000-0005-0000-0000-000065360000}"/>
    <cellStyle name="20% - Accent5 7 2 5" xfId="17476" xr:uid="{00000000-0005-0000-0000-000066360000}"/>
    <cellStyle name="20% - Accent5 7 2 5 2" xfId="17477" xr:uid="{00000000-0005-0000-0000-000067360000}"/>
    <cellStyle name="20% - Accent5 7 2 5 2 2" xfId="17478" xr:uid="{00000000-0005-0000-0000-000068360000}"/>
    <cellStyle name="20% - Accent5 7 2 5 3" xfId="17479" xr:uid="{00000000-0005-0000-0000-000069360000}"/>
    <cellStyle name="20% - Accent5 7 2 6" xfId="17480" xr:uid="{00000000-0005-0000-0000-00006A360000}"/>
    <cellStyle name="20% - Accent5 7 2 6 2" xfId="17481" xr:uid="{00000000-0005-0000-0000-00006B360000}"/>
    <cellStyle name="20% - Accent5 7 2 7" xfId="17482" xr:uid="{00000000-0005-0000-0000-00006C360000}"/>
    <cellStyle name="20% - Accent5 7 2 7 2" xfId="17483" xr:uid="{00000000-0005-0000-0000-00006D360000}"/>
    <cellStyle name="20% - Accent5 7 2 8" xfId="17484" xr:uid="{00000000-0005-0000-0000-00006E360000}"/>
    <cellStyle name="20% - Accent5 7 2 9" xfId="17485" xr:uid="{00000000-0005-0000-0000-00006F360000}"/>
    <cellStyle name="20% - Accent5 7 3" xfId="17486" xr:uid="{00000000-0005-0000-0000-000070360000}"/>
    <cellStyle name="20% - Accent5 7 3 2" xfId="17487" xr:uid="{00000000-0005-0000-0000-000071360000}"/>
    <cellStyle name="20% - Accent5 7 3 2 2" xfId="17488" xr:uid="{00000000-0005-0000-0000-000072360000}"/>
    <cellStyle name="20% - Accent5 7 3 2 2 2" xfId="17489" xr:uid="{00000000-0005-0000-0000-000073360000}"/>
    <cellStyle name="20% - Accent5 7 3 2 2 2 2" xfId="17490" xr:uid="{00000000-0005-0000-0000-000074360000}"/>
    <cellStyle name="20% - Accent5 7 3 2 2 3" xfId="17491" xr:uid="{00000000-0005-0000-0000-000075360000}"/>
    <cellStyle name="20% - Accent5 7 3 2 3" xfId="17492" xr:uid="{00000000-0005-0000-0000-000076360000}"/>
    <cellStyle name="20% - Accent5 7 3 2 3 2" xfId="17493" xr:uid="{00000000-0005-0000-0000-000077360000}"/>
    <cellStyle name="20% - Accent5 7 3 2 4" xfId="17494" xr:uid="{00000000-0005-0000-0000-000078360000}"/>
    <cellStyle name="20% - Accent5 7 3 2 5" xfId="17495" xr:uid="{00000000-0005-0000-0000-000079360000}"/>
    <cellStyle name="20% - Accent5 7 3 2 6" xfId="17496" xr:uid="{00000000-0005-0000-0000-00007A360000}"/>
    <cellStyle name="20% - Accent5 7 3 3" xfId="17497" xr:uid="{00000000-0005-0000-0000-00007B360000}"/>
    <cellStyle name="20% - Accent5 7 3 3 2" xfId="17498" xr:uid="{00000000-0005-0000-0000-00007C360000}"/>
    <cellStyle name="20% - Accent5 7 3 3 2 2" xfId="17499" xr:uid="{00000000-0005-0000-0000-00007D360000}"/>
    <cellStyle name="20% - Accent5 7 3 3 3" xfId="17500" xr:uid="{00000000-0005-0000-0000-00007E360000}"/>
    <cellStyle name="20% - Accent5 7 3 4" xfId="17501" xr:uid="{00000000-0005-0000-0000-00007F360000}"/>
    <cellStyle name="20% - Accent5 7 3 4 2" xfId="17502" xr:uid="{00000000-0005-0000-0000-000080360000}"/>
    <cellStyle name="20% - Accent5 7 3 5" xfId="17503" xr:uid="{00000000-0005-0000-0000-000081360000}"/>
    <cellStyle name="20% - Accent5 7 3 6" xfId="17504" xr:uid="{00000000-0005-0000-0000-000082360000}"/>
    <cellStyle name="20% - Accent5 7 3 7" xfId="17505" xr:uid="{00000000-0005-0000-0000-000083360000}"/>
    <cellStyle name="20% - Accent5 7 4" xfId="17506" xr:uid="{00000000-0005-0000-0000-000084360000}"/>
    <cellStyle name="20% - Accent5 7 4 2" xfId="17507" xr:uid="{00000000-0005-0000-0000-000085360000}"/>
    <cellStyle name="20% - Accent5 7 4 2 2" xfId="17508" xr:uid="{00000000-0005-0000-0000-000086360000}"/>
    <cellStyle name="20% - Accent5 7 4 2 2 2" xfId="17509" xr:uid="{00000000-0005-0000-0000-000087360000}"/>
    <cellStyle name="20% - Accent5 7 4 2 2 2 2" xfId="17510" xr:uid="{00000000-0005-0000-0000-000088360000}"/>
    <cellStyle name="20% - Accent5 7 4 2 2 3" xfId="17511" xr:uid="{00000000-0005-0000-0000-000089360000}"/>
    <cellStyle name="20% - Accent5 7 4 2 3" xfId="17512" xr:uid="{00000000-0005-0000-0000-00008A360000}"/>
    <cellStyle name="20% - Accent5 7 4 2 3 2" xfId="17513" xr:uid="{00000000-0005-0000-0000-00008B360000}"/>
    <cellStyle name="20% - Accent5 7 4 2 4" xfId="17514" xr:uid="{00000000-0005-0000-0000-00008C360000}"/>
    <cellStyle name="20% - Accent5 7 4 2 5" xfId="17515" xr:uid="{00000000-0005-0000-0000-00008D360000}"/>
    <cellStyle name="20% - Accent5 7 4 2 6" xfId="17516" xr:uid="{00000000-0005-0000-0000-00008E360000}"/>
    <cellStyle name="20% - Accent5 7 4 3" xfId="17517" xr:uid="{00000000-0005-0000-0000-00008F360000}"/>
    <cellStyle name="20% - Accent5 7 4 3 2" xfId="17518" xr:uid="{00000000-0005-0000-0000-000090360000}"/>
    <cellStyle name="20% - Accent5 7 4 3 2 2" xfId="17519" xr:uid="{00000000-0005-0000-0000-000091360000}"/>
    <cellStyle name="20% - Accent5 7 4 3 3" xfId="17520" xr:uid="{00000000-0005-0000-0000-000092360000}"/>
    <cellStyle name="20% - Accent5 7 4 4" xfId="17521" xr:uid="{00000000-0005-0000-0000-000093360000}"/>
    <cellStyle name="20% - Accent5 7 4 4 2" xfId="17522" xr:uid="{00000000-0005-0000-0000-000094360000}"/>
    <cellStyle name="20% - Accent5 7 4 5" xfId="17523" xr:uid="{00000000-0005-0000-0000-000095360000}"/>
    <cellStyle name="20% - Accent5 7 4 6" xfId="17524" xr:uid="{00000000-0005-0000-0000-000096360000}"/>
    <cellStyle name="20% - Accent5 7 4 7" xfId="17525" xr:uid="{00000000-0005-0000-0000-000097360000}"/>
    <cellStyle name="20% - Accent5 7 5" xfId="17526" xr:uid="{00000000-0005-0000-0000-000098360000}"/>
    <cellStyle name="20% - Accent5 7 5 2" xfId="17527" xr:uid="{00000000-0005-0000-0000-000099360000}"/>
    <cellStyle name="20% - Accent5 7 5 2 2" xfId="17528" xr:uid="{00000000-0005-0000-0000-00009A360000}"/>
    <cellStyle name="20% - Accent5 7 5 2 2 2" xfId="17529" xr:uid="{00000000-0005-0000-0000-00009B360000}"/>
    <cellStyle name="20% - Accent5 7 5 2 3" xfId="17530" xr:uid="{00000000-0005-0000-0000-00009C360000}"/>
    <cellStyle name="20% - Accent5 7 5 3" xfId="17531" xr:uid="{00000000-0005-0000-0000-00009D360000}"/>
    <cellStyle name="20% - Accent5 7 5 3 2" xfId="17532" xr:uid="{00000000-0005-0000-0000-00009E360000}"/>
    <cellStyle name="20% - Accent5 7 5 4" xfId="17533" xr:uid="{00000000-0005-0000-0000-00009F360000}"/>
    <cellStyle name="20% - Accent5 7 5 5" xfId="17534" xr:uid="{00000000-0005-0000-0000-0000A0360000}"/>
    <cellStyle name="20% - Accent5 7 5 6" xfId="17535" xr:uid="{00000000-0005-0000-0000-0000A1360000}"/>
    <cellStyle name="20% - Accent5 7 6" xfId="17536" xr:uid="{00000000-0005-0000-0000-0000A2360000}"/>
    <cellStyle name="20% - Accent5 7 6 2" xfId="17537" xr:uid="{00000000-0005-0000-0000-0000A3360000}"/>
    <cellStyle name="20% - Accent5 7 6 2 2" xfId="17538" xr:uid="{00000000-0005-0000-0000-0000A4360000}"/>
    <cellStyle name="20% - Accent5 7 6 3" xfId="17539" xr:uid="{00000000-0005-0000-0000-0000A5360000}"/>
    <cellStyle name="20% - Accent5 7 7" xfId="17540" xr:uid="{00000000-0005-0000-0000-0000A6360000}"/>
    <cellStyle name="20% - Accent5 7 7 2" xfId="17541" xr:uid="{00000000-0005-0000-0000-0000A7360000}"/>
    <cellStyle name="20% - Accent5 7 7 2 2" xfId="17542" xr:uid="{00000000-0005-0000-0000-0000A8360000}"/>
    <cellStyle name="20% - Accent5 7 7 3" xfId="17543" xr:uid="{00000000-0005-0000-0000-0000A9360000}"/>
    <cellStyle name="20% - Accent5 7 8" xfId="17544" xr:uid="{00000000-0005-0000-0000-0000AA360000}"/>
    <cellStyle name="20% - Accent5 7 8 2" xfId="17545" xr:uid="{00000000-0005-0000-0000-0000AB360000}"/>
    <cellStyle name="20% - Accent5 7 9" xfId="17546" xr:uid="{00000000-0005-0000-0000-0000AC360000}"/>
    <cellStyle name="20% - Accent5 7 9 2" xfId="17547" xr:uid="{00000000-0005-0000-0000-0000AD360000}"/>
    <cellStyle name="20% - Accent5 8" xfId="17548" xr:uid="{00000000-0005-0000-0000-0000AE360000}"/>
    <cellStyle name="20% - Accent5 8 10" xfId="17549" xr:uid="{00000000-0005-0000-0000-0000AF360000}"/>
    <cellStyle name="20% - Accent5 8 11" xfId="17550" xr:uid="{00000000-0005-0000-0000-0000B0360000}"/>
    <cellStyle name="20% - Accent5 8 12" xfId="17551" xr:uid="{00000000-0005-0000-0000-0000B1360000}"/>
    <cellStyle name="20% - Accent5 8 2" xfId="17552" xr:uid="{00000000-0005-0000-0000-0000B2360000}"/>
    <cellStyle name="20% - Accent5 8 2 10" xfId="17553" xr:uid="{00000000-0005-0000-0000-0000B3360000}"/>
    <cellStyle name="20% - Accent5 8 2 2" xfId="17554" xr:uid="{00000000-0005-0000-0000-0000B4360000}"/>
    <cellStyle name="20% - Accent5 8 2 2 2" xfId="17555" xr:uid="{00000000-0005-0000-0000-0000B5360000}"/>
    <cellStyle name="20% - Accent5 8 2 2 2 2" xfId="17556" xr:uid="{00000000-0005-0000-0000-0000B6360000}"/>
    <cellStyle name="20% - Accent5 8 2 2 2 2 2" xfId="17557" xr:uid="{00000000-0005-0000-0000-0000B7360000}"/>
    <cellStyle name="20% - Accent5 8 2 2 2 2 2 2" xfId="17558" xr:uid="{00000000-0005-0000-0000-0000B8360000}"/>
    <cellStyle name="20% - Accent5 8 2 2 2 2 3" xfId="17559" xr:uid="{00000000-0005-0000-0000-0000B9360000}"/>
    <cellStyle name="20% - Accent5 8 2 2 2 3" xfId="17560" xr:uid="{00000000-0005-0000-0000-0000BA360000}"/>
    <cellStyle name="20% - Accent5 8 2 2 2 3 2" xfId="17561" xr:uid="{00000000-0005-0000-0000-0000BB360000}"/>
    <cellStyle name="20% - Accent5 8 2 2 2 4" xfId="17562" xr:uid="{00000000-0005-0000-0000-0000BC360000}"/>
    <cellStyle name="20% - Accent5 8 2 2 2 5" xfId="17563" xr:uid="{00000000-0005-0000-0000-0000BD360000}"/>
    <cellStyle name="20% - Accent5 8 2 2 2 6" xfId="17564" xr:uid="{00000000-0005-0000-0000-0000BE360000}"/>
    <cellStyle name="20% - Accent5 8 2 2 3" xfId="17565" xr:uid="{00000000-0005-0000-0000-0000BF360000}"/>
    <cellStyle name="20% - Accent5 8 2 2 3 2" xfId="17566" xr:uid="{00000000-0005-0000-0000-0000C0360000}"/>
    <cellStyle name="20% - Accent5 8 2 2 3 2 2" xfId="17567" xr:uid="{00000000-0005-0000-0000-0000C1360000}"/>
    <cellStyle name="20% - Accent5 8 2 2 3 3" xfId="17568" xr:uid="{00000000-0005-0000-0000-0000C2360000}"/>
    <cellStyle name="20% - Accent5 8 2 2 4" xfId="17569" xr:uid="{00000000-0005-0000-0000-0000C3360000}"/>
    <cellStyle name="20% - Accent5 8 2 2 4 2" xfId="17570" xr:uid="{00000000-0005-0000-0000-0000C4360000}"/>
    <cellStyle name="20% - Accent5 8 2 2 5" xfId="17571" xr:uid="{00000000-0005-0000-0000-0000C5360000}"/>
    <cellStyle name="20% - Accent5 8 2 2 6" xfId="17572" xr:uid="{00000000-0005-0000-0000-0000C6360000}"/>
    <cellStyle name="20% - Accent5 8 2 2 7" xfId="17573" xr:uid="{00000000-0005-0000-0000-0000C7360000}"/>
    <cellStyle name="20% - Accent5 8 2 3" xfId="17574" xr:uid="{00000000-0005-0000-0000-0000C8360000}"/>
    <cellStyle name="20% - Accent5 8 2 3 2" xfId="17575" xr:uid="{00000000-0005-0000-0000-0000C9360000}"/>
    <cellStyle name="20% - Accent5 8 2 3 2 2" xfId="17576" xr:uid="{00000000-0005-0000-0000-0000CA360000}"/>
    <cellStyle name="20% - Accent5 8 2 3 2 2 2" xfId="17577" xr:uid="{00000000-0005-0000-0000-0000CB360000}"/>
    <cellStyle name="20% - Accent5 8 2 3 2 3" xfId="17578" xr:uid="{00000000-0005-0000-0000-0000CC360000}"/>
    <cellStyle name="20% - Accent5 8 2 3 3" xfId="17579" xr:uid="{00000000-0005-0000-0000-0000CD360000}"/>
    <cellStyle name="20% - Accent5 8 2 3 3 2" xfId="17580" xr:uid="{00000000-0005-0000-0000-0000CE360000}"/>
    <cellStyle name="20% - Accent5 8 2 3 4" xfId="17581" xr:uid="{00000000-0005-0000-0000-0000CF360000}"/>
    <cellStyle name="20% - Accent5 8 2 3 5" xfId="17582" xr:uid="{00000000-0005-0000-0000-0000D0360000}"/>
    <cellStyle name="20% - Accent5 8 2 3 6" xfId="17583" xr:uid="{00000000-0005-0000-0000-0000D1360000}"/>
    <cellStyle name="20% - Accent5 8 2 4" xfId="17584" xr:uid="{00000000-0005-0000-0000-0000D2360000}"/>
    <cellStyle name="20% - Accent5 8 2 4 2" xfId="17585" xr:uid="{00000000-0005-0000-0000-0000D3360000}"/>
    <cellStyle name="20% - Accent5 8 2 4 2 2" xfId="17586" xr:uid="{00000000-0005-0000-0000-0000D4360000}"/>
    <cellStyle name="20% - Accent5 8 2 4 3" xfId="17587" xr:uid="{00000000-0005-0000-0000-0000D5360000}"/>
    <cellStyle name="20% - Accent5 8 2 5" xfId="17588" xr:uid="{00000000-0005-0000-0000-0000D6360000}"/>
    <cellStyle name="20% - Accent5 8 2 5 2" xfId="17589" xr:uid="{00000000-0005-0000-0000-0000D7360000}"/>
    <cellStyle name="20% - Accent5 8 2 5 2 2" xfId="17590" xr:uid="{00000000-0005-0000-0000-0000D8360000}"/>
    <cellStyle name="20% - Accent5 8 2 5 3" xfId="17591" xr:uid="{00000000-0005-0000-0000-0000D9360000}"/>
    <cellStyle name="20% - Accent5 8 2 6" xfId="17592" xr:uid="{00000000-0005-0000-0000-0000DA360000}"/>
    <cellStyle name="20% - Accent5 8 2 6 2" xfId="17593" xr:uid="{00000000-0005-0000-0000-0000DB360000}"/>
    <cellStyle name="20% - Accent5 8 2 7" xfId="17594" xr:uid="{00000000-0005-0000-0000-0000DC360000}"/>
    <cellStyle name="20% - Accent5 8 2 7 2" xfId="17595" xr:uid="{00000000-0005-0000-0000-0000DD360000}"/>
    <cellStyle name="20% - Accent5 8 2 8" xfId="17596" xr:uid="{00000000-0005-0000-0000-0000DE360000}"/>
    <cellStyle name="20% - Accent5 8 2 9" xfId="17597" xr:uid="{00000000-0005-0000-0000-0000DF360000}"/>
    <cellStyle name="20% - Accent5 8 3" xfId="17598" xr:uid="{00000000-0005-0000-0000-0000E0360000}"/>
    <cellStyle name="20% - Accent5 8 3 2" xfId="17599" xr:uid="{00000000-0005-0000-0000-0000E1360000}"/>
    <cellStyle name="20% - Accent5 8 3 2 2" xfId="17600" xr:uid="{00000000-0005-0000-0000-0000E2360000}"/>
    <cellStyle name="20% - Accent5 8 3 2 2 2" xfId="17601" xr:uid="{00000000-0005-0000-0000-0000E3360000}"/>
    <cellStyle name="20% - Accent5 8 3 2 2 2 2" xfId="17602" xr:uid="{00000000-0005-0000-0000-0000E4360000}"/>
    <cellStyle name="20% - Accent5 8 3 2 2 3" xfId="17603" xr:uid="{00000000-0005-0000-0000-0000E5360000}"/>
    <cellStyle name="20% - Accent5 8 3 2 3" xfId="17604" xr:uid="{00000000-0005-0000-0000-0000E6360000}"/>
    <cellStyle name="20% - Accent5 8 3 2 3 2" xfId="17605" xr:uid="{00000000-0005-0000-0000-0000E7360000}"/>
    <cellStyle name="20% - Accent5 8 3 2 4" xfId="17606" xr:uid="{00000000-0005-0000-0000-0000E8360000}"/>
    <cellStyle name="20% - Accent5 8 3 2 5" xfId="17607" xr:uid="{00000000-0005-0000-0000-0000E9360000}"/>
    <cellStyle name="20% - Accent5 8 3 2 6" xfId="17608" xr:uid="{00000000-0005-0000-0000-0000EA360000}"/>
    <cellStyle name="20% - Accent5 8 3 3" xfId="17609" xr:uid="{00000000-0005-0000-0000-0000EB360000}"/>
    <cellStyle name="20% - Accent5 8 3 3 2" xfId="17610" xr:uid="{00000000-0005-0000-0000-0000EC360000}"/>
    <cellStyle name="20% - Accent5 8 3 3 2 2" xfId="17611" xr:uid="{00000000-0005-0000-0000-0000ED360000}"/>
    <cellStyle name="20% - Accent5 8 3 3 3" xfId="17612" xr:uid="{00000000-0005-0000-0000-0000EE360000}"/>
    <cellStyle name="20% - Accent5 8 3 4" xfId="17613" xr:uid="{00000000-0005-0000-0000-0000EF360000}"/>
    <cellStyle name="20% - Accent5 8 3 4 2" xfId="17614" xr:uid="{00000000-0005-0000-0000-0000F0360000}"/>
    <cellStyle name="20% - Accent5 8 3 5" xfId="17615" xr:uid="{00000000-0005-0000-0000-0000F1360000}"/>
    <cellStyle name="20% - Accent5 8 3 6" xfId="17616" xr:uid="{00000000-0005-0000-0000-0000F2360000}"/>
    <cellStyle name="20% - Accent5 8 3 7" xfId="17617" xr:uid="{00000000-0005-0000-0000-0000F3360000}"/>
    <cellStyle name="20% - Accent5 8 4" xfId="17618" xr:uid="{00000000-0005-0000-0000-0000F4360000}"/>
    <cellStyle name="20% - Accent5 8 4 2" xfId="17619" xr:uid="{00000000-0005-0000-0000-0000F5360000}"/>
    <cellStyle name="20% - Accent5 8 4 2 2" xfId="17620" xr:uid="{00000000-0005-0000-0000-0000F6360000}"/>
    <cellStyle name="20% - Accent5 8 4 2 2 2" xfId="17621" xr:uid="{00000000-0005-0000-0000-0000F7360000}"/>
    <cellStyle name="20% - Accent5 8 4 2 2 2 2" xfId="17622" xr:uid="{00000000-0005-0000-0000-0000F8360000}"/>
    <cellStyle name="20% - Accent5 8 4 2 2 3" xfId="17623" xr:uid="{00000000-0005-0000-0000-0000F9360000}"/>
    <cellStyle name="20% - Accent5 8 4 2 3" xfId="17624" xr:uid="{00000000-0005-0000-0000-0000FA360000}"/>
    <cellStyle name="20% - Accent5 8 4 2 3 2" xfId="17625" xr:uid="{00000000-0005-0000-0000-0000FB360000}"/>
    <cellStyle name="20% - Accent5 8 4 2 4" xfId="17626" xr:uid="{00000000-0005-0000-0000-0000FC360000}"/>
    <cellStyle name="20% - Accent5 8 4 2 5" xfId="17627" xr:uid="{00000000-0005-0000-0000-0000FD360000}"/>
    <cellStyle name="20% - Accent5 8 4 2 6" xfId="17628" xr:uid="{00000000-0005-0000-0000-0000FE360000}"/>
    <cellStyle name="20% - Accent5 8 4 3" xfId="17629" xr:uid="{00000000-0005-0000-0000-0000FF360000}"/>
    <cellStyle name="20% - Accent5 8 4 3 2" xfId="17630" xr:uid="{00000000-0005-0000-0000-000000370000}"/>
    <cellStyle name="20% - Accent5 8 4 3 2 2" xfId="17631" xr:uid="{00000000-0005-0000-0000-000001370000}"/>
    <cellStyle name="20% - Accent5 8 4 3 3" xfId="17632" xr:uid="{00000000-0005-0000-0000-000002370000}"/>
    <cellStyle name="20% - Accent5 8 4 4" xfId="17633" xr:uid="{00000000-0005-0000-0000-000003370000}"/>
    <cellStyle name="20% - Accent5 8 4 4 2" xfId="17634" xr:uid="{00000000-0005-0000-0000-000004370000}"/>
    <cellStyle name="20% - Accent5 8 4 5" xfId="17635" xr:uid="{00000000-0005-0000-0000-000005370000}"/>
    <cellStyle name="20% - Accent5 8 4 6" xfId="17636" xr:uid="{00000000-0005-0000-0000-000006370000}"/>
    <cellStyle name="20% - Accent5 8 4 7" xfId="17637" xr:uid="{00000000-0005-0000-0000-000007370000}"/>
    <cellStyle name="20% - Accent5 8 5" xfId="17638" xr:uid="{00000000-0005-0000-0000-000008370000}"/>
    <cellStyle name="20% - Accent5 8 5 2" xfId="17639" xr:uid="{00000000-0005-0000-0000-000009370000}"/>
    <cellStyle name="20% - Accent5 8 5 2 2" xfId="17640" xr:uid="{00000000-0005-0000-0000-00000A370000}"/>
    <cellStyle name="20% - Accent5 8 5 2 2 2" xfId="17641" xr:uid="{00000000-0005-0000-0000-00000B370000}"/>
    <cellStyle name="20% - Accent5 8 5 2 3" xfId="17642" xr:uid="{00000000-0005-0000-0000-00000C370000}"/>
    <cellStyle name="20% - Accent5 8 5 3" xfId="17643" xr:uid="{00000000-0005-0000-0000-00000D370000}"/>
    <cellStyle name="20% - Accent5 8 5 3 2" xfId="17644" xr:uid="{00000000-0005-0000-0000-00000E370000}"/>
    <cellStyle name="20% - Accent5 8 5 4" xfId="17645" xr:uid="{00000000-0005-0000-0000-00000F370000}"/>
    <cellStyle name="20% - Accent5 8 5 5" xfId="17646" xr:uid="{00000000-0005-0000-0000-000010370000}"/>
    <cellStyle name="20% - Accent5 8 5 6" xfId="17647" xr:uid="{00000000-0005-0000-0000-000011370000}"/>
    <cellStyle name="20% - Accent5 8 6" xfId="17648" xr:uid="{00000000-0005-0000-0000-000012370000}"/>
    <cellStyle name="20% - Accent5 8 6 2" xfId="17649" xr:uid="{00000000-0005-0000-0000-000013370000}"/>
    <cellStyle name="20% - Accent5 8 6 2 2" xfId="17650" xr:uid="{00000000-0005-0000-0000-000014370000}"/>
    <cellStyle name="20% - Accent5 8 6 3" xfId="17651" xr:uid="{00000000-0005-0000-0000-000015370000}"/>
    <cellStyle name="20% - Accent5 8 7" xfId="17652" xr:uid="{00000000-0005-0000-0000-000016370000}"/>
    <cellStyle name="20% - Accent5 8 7 2" xfId="17653" xr:uid="{00000000-0005-0000-0000-000017370000}"/>
    <cellStyle name="20% - Accent5 8 7 2 2" xfId="17654" xr:uid="{00000000-0005-0000-0000-000018370000}"/>
    <cellStyle name="20% - Accent5 8 7 3" xfId="17655" xr:uid="{00000000-0005-0000-0000-000019370000}"/>
    <cellStyle name="20% - Accent5 8 8" xfId="17656" xr:uid="{00000000-0005-0000-0000-00001A370000}"/>
    <cellStyle name="20% - Accent5 8 8 2" xfId="17657" xr:uid="{00000000-0005-0000-0000-00001B370000}"/>
    <cellStyle name="20% - Accent5 8 9" xfId="17658" xr:uid="{00000000-0005-0000-0000-00001C370000}"/>
    <cellStyle name="20% - Accent5 8 9 2" xfId="17659" xr:uid="{00000000-0005-0000-0000-00001D370000}"/>
    <cellStyle name="20% - Accent5 9" xfId="17660" xr:uid="{00000000-0005-0000-0000-00001E370000}"/>
    <cellStyle name="20% - Accent5 9 10" xfId="17661" xr:uid="{00000000-0005-0000-0000-00001F370000}"/>
    <cellStyle name="20% - Accent5 9 11" xfId="17662" xr:uid="{00000000-0005-0000-0000-000020370000}"/>
    <cellStyle name="20% - Accent5 9 12" xfId="17663" xr:uid="{00000000-0005-0000-0000-000021370000}"/>
    <cellStyle name="20% - Accent5 9 2" xfId="17664" xr:uid="{00000000-0005-0000-0000-000022370000}"/>
    <cellStyle name="20% - Accent5 9 2 10" xfId="17665" xr:uid="{00000000-0005-0000-0000-000023370000}"/>
    <cellStyle name="20% - Accent5 9 2 2" xfId="17666" xr:uid="{00000000-0005-0000-0000-000024370000}"/>
    <cellStyle name="20% - Accent5 9 2 2 2" xfId="17667" xr:uid="{00000000-0005-0000-0000-000025370000}"/>
    <cellStyle name="20% - Accent5 9 2 2 2 2" xfId="17668" xr:uid="{00000000-0005-0000-0000-000026370000}"/>
    <cellStyle name="20% - Accent5 9 2 2 2 2 2" xfId="17669" xr:uid="{00000000-0005-0000-0000-000027370000}"/>
    <cellStyle name="20% - Accent5 9 2 2 2 2 2 2" xfId="17670" xr:uid="{00000000-0005-0000-0000-000028370000}"/>
    <cellStyle name="20% - Accent5 9 2 2 2 2 3" xfId="17671" xr:uid="{00000000-0005-0000-0000-000029370000}"/>
    <cellStyle name="20% - Accent5 9 2 2 2 3" xfId="17672" xr:uid="{00000000-0005-0000-0000-00002A370000}"/>
    <cellStyle name="20% - Accent5 9 2 2 2 3 2" xfId="17673" xr:uid="{00000000-0005-0000-0000-00002B370000}"/>
    <cellStyle name="20% - Accent5 9 2 2 2 4" xfId="17674" xr:uid="{00000000-0005-0000-0000-00002C370000}"/>
    <cellStyle name="20% - Accent5 9 2 2 2 5" xfId="17675" xr:uid="{00000000-0005-0000-0000-00002D370000}"/>
    <cellStyle name="20% - Accent5 9 2 2 2 6" xfId="17676" xr:uid="{00000000-0005-0000-0000-00002E370000}"/>
    <cellStyle name="20% - Accent5 9 2 2 3" xfId="17677" xr:uid="{00000000-0005-0000-0000-00002F370000}"/>
    <cellStyle name="20% - Accent5 9 2 2 3 2" xfId="17678" xr:uid="{00000000-0005-0000-0000-000030370000}"/>
    <cellStyle name="20% - Accent5 9 2 2 3 2 2" xfId="17679" xr:uid="{00000000-0005-0000-0000-000031370000}"/>
    <cellStyle name="20% - Accent5 9 2 2 3 3" xfId="17680" xr:uid="{00000000-0005-0000-0000-000032370000}"/>
    <cellStyle name="20% - Accent5 9 2 2 4" xfId="17681" xr:uid="{00000000-0005-0000-0000-000033370000}"/>
    <cellStyle name="20% - Accent5 9 2 2 4 2" xfId="17682" xr:uid="{00000000-0005-0000-0000-000034370000}"/>
    <cellStyle name="20% - Accent5 9 2 2 5" xfId="17683" xr:uid="{00000000-0005-0000-0000-000035370000}"/>
    <cellStyle name="20% - Accent5 9 2 2 6" xfId="17684" xr:uid="{00000000-0005-0000-0000-000036370000}"/>
    <cellStyle name="20% - Accent5 9 2 2 7" xfId="17685" xr:uid="{00000000-0005-0000-0000-000037370000}"/>
    <cellStyle name="20% - Accent5 9 2 3" xfId="17686" xr:uid="{00000000-0005-0000-0000-000038370000}"/>
    <cellStyle name="20% - Accent5 9 2 3 2" xfId="17687" xr:uid="{00000000-0005-0000-0000-000039370000}"/>
    <cellStyle name="20% - Accent5 9 2 3 2 2" xfId="17688" xr:uid="{00000000-0005-0000-0000-00003A370000}"/>
    <cellStyle name="20% - Accent5 9 2 3 2 2 2" xfId="17689" xr:uid="{00000000-0005-0000-0000-00003B370000}"/>
    <cellStyle name="20% - Accent5 9 2 3 2 3" xfId="17690" xr:uid="{00000000-0005-0000-0000-00003C370000}"/>
    <cellStyle name="20% - Accent5 9 2 3 3" xfId="17691" xr:uid="{00000000-0005-0000-0000-00003D370000}"/>
    <cellStyle name="20% - Accent5 9 2 3 3 2" xfId="17692" xr:uid="{00000000-0005-0000-0000-00003E370000}"/>
    <cellStyle name="20% - Accent5 9 2 3 4" xfId="17693" xr:uid="{00000000-0005-0000-0000-00003F370000}"/>
    <cellStyle name="20% - Accent5 9 2 3 5" xfId="17694" xr:uid="{00000000-0005-0000-0000-000040370000}"/>
    <cellStyle name="20% - Accent5 9 2 3 6" xfId="17695" xr:uid="{00000000-0005-0000-0000-000041370000}"/>
    <cellStyle name="20% - Accent5 9 2 4" xfId="17696" xr:uid="{00000000-0005-0000-0000-000042370000}"/>
    <cellStyle name="20% - Accent5 9 2 4 2" xfId="17697" xr:uid="{00000000-0005-0000-0000-000043370000}"/>
    <cellStyle name="20% - Accent5 9 2 4 2 2" xfId="17698" xr:uid="{00000000-0005-0000-0000-000044370000}"/>
    <cellStyle name="20% - Accent5 9 2 4 3" xfId="17699" xr:uid="{00000000-0005-0000-0000-000045370000}"/>
    <cellStyle name="20% - Accent5 9 2 5" xfId="17700" xr:uid="{00000000-0005-0000-0000-000046370000}"/>
    <cellStyle name="20% - Accent5 9 2 5 2" xfId="17701" xr:uid="{00000000-0005-0000-0000-000047370000}"/>
    <cellStyle name="20% - Accent5 9 2 5 2 2" xfId="17702" xr:uid="{00000000-0005-0000-0000-000048370000}"/>
    <cellStyle name="20% - Accent5 9 2 5 3" xfId="17703" xr:uid="{00000000-0005-0000-0000-000049370000}"/>
    <cellStyle name="20% - Accent5 9 2 6" xfId="17704" xr:uid="{00000000-0005-0000-0000-00004A370000}"/>
    <cellStyle name="20% - Accent5 9 2 6 2" xfId="17705" xr:uid="{00000000-0005-0000-0000-00004B370000}"/>
    <cellStyle name="20% - Accent5 9 2 7" xfId="17706" xr:uid="{00000000-0005-0000-0000-00004C370000}"/>
    <cellStyle name="20% - Accent5 9 2 7 2" xfId="17707" xr:uid="{00000000-0005-0000-0000-00004D370000}"/>
    <cellStyle name="20% - Accent5 9 2 8" xfId="17708" xr:uid="{00000000-0005-0000-0000-00004E370000}"/>
    <cellStyle name="20% - Accent5 9 2 9" xfId="17709" xr:uid="{00000000-0005-0000-0000-00004F370000}"/>
    <cellStyle name="20% - Accent5 9 3" xfId="17710" xr:uid="{00000000-0005-0000-0000-000050370000}"/>
    <cellStyle name="20% - Accent5 9 3 2" xfId="17711" xr:uid="{00000000-0005-0000-0000-000051370000}"/>
    <cellStyle name="20% - Accent5 9 3 2 2" xfId="17712" xr:uid="{00000000-0005-0000-0000-000052370000}"/>
    <cellStyle name="20% - Accent5 9 3 2 2 2" xfId="17713" xr:uid="{00000000-0005-0000-0000-000053370000}"/>
    <cellStyle name="20% - Accent5 9 3 2 2 2 2" xfId="17714" xr:uid="{00000000-0005-0000-0000-000054370000}"/>
    <cellStyle name="20% - Accent5 9 3 2 2 3" xfId="17715" xr:uid="{00000000-0005-0000-0000-000055370000}"/>
    <cellStyle name="20% - Accent5 9 3 2 3" xfId="17716" xr:uid="{00000000-0005-0000-0000-000056370000}"/>
    <cellStyle name="20% - Accent5 9 3 2 3 2" xfId="17717" xr:uid="{00000000-0005-0000-0000-000057370000}"/>
    <cellStyle name="20% - Accent5 9 3 2 4" xfId="17718" xr:uid="{00000000-0005-0000-0000-000058370000}"/>
    <cellStyle name="20% - Accent5 9 3 2 5" xfId="17719" xr:uid="{00000000-0005-0000-0000-000059370000}"/>
    <cellStyle name="20% - Accent5 9 3 2 6" xfId="17720" xr:uid="{00000000-0005-0000-0000-00005A370000}"/>
    <cellStyle name="20% - Accent5 9 3 3" xfId="17721" xr:uid="{00000000-0005-0000-0000-00005B370000}"/>
    <cellStyle name="20% - Accent5 9 3 3 2" xfId="17722" xr:uid="{00000000-0005-0000-0000-00005C370000}"/>
    <cellStyle name="20% - Accent5 9 3 3 2 2" xfId="17723" xr:uid="{00000000-0005-0000-0000-00005D370000}"/>
    <cellStyle name="20% - Accent5 9 3 3 3" xfId="17724" xr:uid="{00000000-0005-0000-0000-00005E370000}"/>
    <cellStyle name="20% - Accent5 9 3 4" xfId="17725" xr:uid="{00000000-0005-0000-0000-00005F370000}"/>
    <cellStyle name="20% - Accent5 9 3 4 2" xfId="17726" xr:uid="{00000000-0005-0000-0000-000060370000}"/>
    <cellStyle name="20% - Accent5 9 3 5" xfId="17727" xr:uid="{00000000-0005-0000-0000-000061370000}"/>
    <cellStyle name="20% - Accent5 9 3 6" xfId="17728" xr:uid="{00000000-0005-0000-0000-000062370000}"/>
    <cellStyle name="20% - Accent5 9 3 7" xfId="17729" xr:uid="{00000000-0005-0000-0000-000063370000}"/>
    <cellStyle name="20% - Accent5 9 4" xfId="17730" xr:uid="{00000000-0005-0000-0000-000064370000}"/>
    <cellStyle name="20% - Accent5 9 4 2" xfId="17731" xr:uid="{00000000-0005-0000-0000-000065370000}"/>
    <cellStyle name="20% - Accent5 9 4 2 2" xfId="17732" xr:uid="{00000000-0005-0000-0000-000066370000}"/>
    <cellStyle name="20% - Accent5 9 4 2 2 2" xfId="17733" xr:uid="{00000000-0005-0000-0000-000067370000}"/>
    <cellStyle name="20% - Accent5 9 4 2 2 2 2" xfId="17734" xr:uid="{00000000-0005-0000-0000-000068370000}"/>
    <cellStyle name="20% - Accent5 9 4 2 2 3" xfId="17735" xr:uid="{00000000-0005-0000-0000-000069370000}"/>
    <cellStyle name="20% - Accent5 9 4 2 3" xfId="17736" xr:uid="{00000000-0005-0000-0000-00006A370000}"/>
    <cellStyle name="20% - Accent5 9 4 2 3 2" xfId="17737" xr:uid="{00000000-0005-0000-0000-00006B370000}"/>
    <cellStyle name="20% - Accent5 9 4 2 4" xfId="17738" xr:uid="{00000000-0005-0000-0000-00006C370000}"/>
    <cellStyle name="20% - Accent5 9 4 2 5" xfId="17739" xr:uid="{00000000-0005-0000-0000-00006D370000}"/>
    <cellStyle name="20% - Accent5 9 4 2 6" xfId="17740" xr:uid="{00000000-0005-0000-0000-00006E370000}"/>
    <cellStyle name="20% - Accent5 9 4 3" xfId="17741" xr:uid="{00000000-0005-0000-0000-00006F370000}"/>
    <cellStyle name="20% - Accent5 9 4 3 2" xfId="17742" xr:uid="{00000000-0005-0000-0000-000070370000}"/>
    <cellStyle name="20% - Accent5 9 4 3 2 2" xfId="17743" xr:uid="{00000000-0005-0000-0000-000071370000}"/>
    <cellStyle name="20% - Accent5 9 4 3 3" xfId="17744" xr:uid="{00000000-0005-0000-0000-000072370000}"/>
    <cellStyle name="20% - Accent5 9 4 4" xfId="17745" xr:uid="{00000000-0005-0000-0000-000073370000}"/>
    <cellStyle name="20% - Accent5 9 4 4 2" xfId="17746" xr:uid="{00000000-0005-0000-0000-000074370000}"/>
    <cellStyle name="20% - Accent5 9 4 5" xfId="17747" xr:uid="{00000000-0005-0000-0000-000075370000}"/>
    <cellStyle name="20% - Accent5 9 4 6" xfId="17748" xr:uid="{00000000-0005-0000-0000-000076370000}"/>
    <cellStyle name="20% - Accent5 9 4 7" xfId="17749" xr:uid="{00000000-0005-0000-0000-000077370000}"/>
    <cellStyle name="20% - Accent5 9 5" xfId="17750" xr:uid="{00000000-0005-0000-0000-000078370000}"/>
    <cellStyle name="20% - Accent5 9 5 2" xfId="17751" xr:uid="{00000000-0005-0000-0000-000079370000}"/>
    <cellStyle name="20% - Accent5 9 5 2 2" xfId="17752" xr:uid="{00000000-0005-0000-0000-00007A370000}"/>
    <cellStyle name="20% - Accent5 9 5 2 2 2" xfId="17753" xr:uid="{00000000-0005-0000-0000-00007B370000}"/>
    <cellStyle name="20% - Accent5 9 5 2 3" xfId="17754" xr:uid="{00000000-0005-0000-0000-00007C370000}"/>
    <cellStyle name="20% - Accent5 9 5 3" xfId="17755" xr:uid="{00000000-0005-0000-0000-00007D370000}"/>
    <cellStyle name="20% - Accent5 9 5 3 2" xfId="17756" xr:uid="{00000000-0005-0000-0000-00007E370000}"/>
    <cellStyle name="20% - Accent5 9 5 4" xfId="17757" xr:uid="{00000000-0005-0000-0000-00007F370000}"/>
    <cellStyle name="20% - Accent5 9 5 5" xfId="17758" xr:uid="{00000000-0005-0000-0000-000080370000}"/>
    <cellStyle name="20% - Accent5 9 5 6" xfId="17759" xr:uid="{00000000-0005-0000-0000-000081370000}"/>
    <cellStyle name="20% - Accent5 9 6" xfId="17760" xr:uid="{00000000-0005-0000-0000-000082370000}"/>
    <cellStyle name="20% - Accent5 9 6 2" xfId="17761" xr:uid="{00000000-0005-0000-0000-000083370000}"/>
    <cellStyle name="20% - Accent5 9 6 2 2" xfId="17762" xr:uid="{00000000-0005-0000-0000-000084370000}"/>
    <cellStyle name="20% - Accent5 9 6 3" xfId="17763" xr:uid="{00000000-0005-0000-0000-000085370000}"/>
    <cellStyle name="20% - Accent5 9 7" xfId="17764" xr:uid="{00000000-0005-0000-0000-000086370000}"/>
    <cellStyle name="20% - Accent5 9 7 2" xfId="17765" xr:uid="{00000000-0005-0000-0000-000087370000}"/>
    <cellStyle name="20% - Accent5 9 7 2 2" xfId="17766" xr:uid="{00000000-0005-0000-0000-000088370000}"/>
    <cellStyle name="20% - Accent5 9 7 3" xfId="17767" xr:uid="{00000000-0005-0000-0000-000089370000}"/>
    <cellStyle name="20% - Accent5 9 8" xfId="17768" xr:uid="{00000000-0005-0000-0000-00008A370000}"/>
    <cellStyle name="20% - Accent5 9 8 2" xfId="17769" xr:uid="{00000000-0005-0000-0000-00008B370000}"/>
    <cellStyle name="20% - Accent5 9 9" xfId="17770" xr:uid="{00000000-0005-0000-0000-00008C370000}"/>
    <cellStyle name="20% - Accent5 9 9 2" xfId="17771" xr:uid="{00000000-0005-0000-0000-00008D370000}"/>
    <cellStyle name="20% - Accent6" xfId="139" builtinId="50" customBuiltin="1"/>
    <cellStyle name="20% - Accent6 10" xfId="17772" xr:uid="{00000000-0005-0000-0000-00008E370000}"/>
    <cellStyle name="20% - Accent6 10 2" xfId="17773" xr:uid="{00000000-0005-0000-0000-00008F370000}"/>
    <cellStyle name="20% - Accent6 10 2 2" xfId="17774" xr:uid="{00000000-0005-0000-0000-000090370000}"/>
    <cellStyle name="20% - Accent6 10 2 2 2" xfId="17775" xr:uid="{00000000-0005-0000-0000-000091370000}"/>
    <cellStyle name="20% - Accent6 10 2 2 2 2" xfId="17776" xr:uid="{00000000-0005-0000-0000-000092370000}"/>
    <cellStyle name="20% - Accent6 10 2 2 2 2 2" xfId="17777" xr:uid="{00000000-0005-0000-0000-000093370000}"/>
    <cellStyle name="20% - Accent6 10 2 2 2 3" xfId="17778" xr:uid="{00000000-0005-0000-0000-000094370000}"/>
    <cellStyle name="20% - Accent6 10 2 2 3" xfId="17779" xr:uid="{00000000-0005-0000-0000-000095370000}"/>
    <cellStyle name="20% - Accent6 10 2 2 3 2" xfId="17780" xr:uid="{00000000-0005-0000-0000-000096370000}"/>
    <cellStyle name="20% - Accent6 10 2 2 4" xfId="17781" xr:uid="{00000000-0005-0000-0000-000097370000}"/>
    <cellStyle name="20% - Accent6 10 2 2 5" xfId="17782" xr:uid="{00000000-0005-0000-0000-000098370000}"/>
    <cellStyle name="20% - Accent6 10 2 2 6" xfId="17783" xr:uid="{00000000-0005-0000-0000-000099370000}"/>
    <cellStyle name="20% - Accent6 10 2 3" xfId="17784" xr:uid="{00000000-0005-0000-0000-00009A370000}"/>
    <cellStyle name="20% - Accent6 10 2 3 2" xfId="17785" xr:uid="{00000000-0005-0000-0000-00009B370000}"/>
    <cellStyle name="20% - Accent6 10 2 3 2 2" xfId="17786" xr:uid="{00000000-0005-0000-0000-00009C370000}"/>
    <cellStyle name="20% - Accent6 10 2 3 3" xfId="17787" xr:uid="{00000000-0005-0000-0000-00009D370000}"/>
    <cellStyle name="20% - Accent6 10 2 4" xfId="17788" xr:uid="{00000000-0005-0000-0000-00009E370000}"/>
    <cellStyle name="20% - Accent6 10 2 4 2" xfId="17789" xr:uid="{00000000-0005-0000-0000-00009F370000}"/>
    <cellStyle name="20% - Accent6 10 2 5" xfId="17790" xr:uid="{00000000-0005-0000-0000-0000A0370000}"/>
    <cellStyle name="20% - Accent6 10 2 6" xfId="17791" xr:uid="{00000000-0005-0000-0000-0000A1370000}"/>
    <cellStyle name="20% - Accent6 10 2 7" xfId="17792" xr:uid="{00000000-0005-0000-0000-0000A2370000}"/>
    <cellStyle name="20% - Accent6 10 3" xfId="17793" xr:uid="{00000000-0005-0000-0000-0000A3370000}"/>
    <cellStyle name="20% - Accent6 10 3 2" xfId="17794" xr:uid="{00000000-0005-0000-0000-0000A4370000}"/>
    <cellStyle name="20% - Accent6 10 3 2 2" xfId="17795" xr:uid="{00000000-0005-0000-0000-0000A5370000}"/>
    <cellStyle name="20% - Accent6 10 3 2 2 2" xfId="17796" xr:uid="{00000000-0005-0000-0000-0000A6370000}"/>
    <cellStyle name="20% - Accent6 10 3 2 3" xfId="17797" xr:uid="{00000000-0005-0000-0000-0000A7370000}"/>
    <cellStyle name="20% - Accent6 10 3 3" xfId="17798" xr:uid="{00000000-0005-0000-0000-0000A8370000}"/>
    <cellStyle name="20% - Accent6 10 3 3 2" xfId="17799" xr:uid="{00000000-0005-0000-0000-0000A9370000}"/>
    <cellStyle name="20% - Accent6 10 3 4" xfId="17800" xr:uid="{00000000-0005-0000-0000-0000AA370000}"/>
    <cellStyle name="20% - Accent6 10 3 5" xfId="17801" xr:uid="{00000000-0005-0000-0000-0000AB370000}"/>
    <cellStyle name="20% - Accent6 10 3 6" xfId="17802" xr:uid="{00000000-0005-0000-0000-0000AC370000}"/>
    <cellStyle name="20% - Accent6 10 4" xfId="17803" xr:uid="{00000000-0005-0000-0000-0000AD370000}"/>
    <cellStyle name="20% - Accent6 10 4 2" xfId="17804" xr:uid="{00000000-0005-0000-0000-0000AE370000}"/>
    <cellStyle name="20% - Accent6 10 4 2 2" xfId="17805" xr:uid="{00000000-0005-0000-0000-0000AF370000}"/>
    <cellStyle name="20% - Accent6 10 4 3" xfId="17806" xr:uid="{00000000-0005-0000-0000-0000B0370000}"/>
    <cellStyle name="20% - Accent6 10 5" xfId="17807" xr:uid="{00000000-0005-0000-0000-0000B1370000}"/>
    <cellStyle name="20% - Accent6 10 5 2" xfId="17808" xr:uid="{00000000-0005-0000-0000-0000B2370000}"/>
    <cellStyle name="20% - Accent6 10 5 2 2" xfId="17809" xr:uid="{00000000-0005-0000-0000-0000B3370000}"/>
    <cellStyle name="20% - Accent6 10 5 3" xfId="17810" xr:uid="{00000000-0005-0000-0000-0000B4370000}"/>
    <cellStyle name="20% - Accent6 10 6" xfId="17811" xr:uid="{00000000-0005-0000-0000-0000B5370000}"/>
    <cellStyle name="20% - Accent6 10 6 2" xfId="17812" xr:uid="{00000000-0005-0000-0000-0000B6370000}"/>
    <cellStyle name="20% - Accent6 10 7" xfId="17813" xr:uid="{00000000-0005-0000-0000-0000B7370000}"/>
    <cellStyle name="20% - Accent6 10 8" xfId="17814" xr:uid="{00000000-0005-0000-0000-0000B8370000}"/>
    <cellStyle name="20% - Accent6 10 9" xfId="17815" xr:uid="{00000000-0005-0000-0000-0000B9370000}"/>
    <cellStyle name="20% - Accent6 11" xfId="17816" xr:uid="{00000000-0005-0000-0000-0000BA370000}"/>
    <cellStyle name="20% - Accent6 11 2" xfId="17817" xr:uid="{00000000-0005-0000-0000-0000BB370000}"/>
    <cellStyle name="20% - Accent6 11 2 2" xfId="17818" xr:uid="{00000000-0005-0000-0000-0000BC370000}"/>
    <cellStyle name="20% - Accent6 11 2 2 2" xfId="17819" xr:uid="{00000000-0005-0000-0000-0000BD370000}"/>
    <cellStyle name="20% - Accent6 11 2 3" xfId="17820" xr:uid="{00000000-0005-0000-0000-0000BE370000}"/>
    <cellStyle name="20% - Accent6 11 3" xfId="17821" xr:uid="{00000000-0005-0000-0000-0000BF370000}"/>
    <cellStyle name="20% - Accent6 11 3 2" xfId="17822" xr:uid="{00000000-0005-0000-0000-0000C0370000}"/>
    <cellStyle name="20% - Accent6 11 4" xfId="17823" xr:uid="{00000000-0005-0000-0000-0000C1370000}"/>
    <cellStyle name="20% - Accent6 11 5" xfId="17824" xr:uid="{00000000-0005-0000-0000-0000C2370000}"/>
    <cellStyle name="20% - Accent6 11 6" xfId="17825" xr:uid="{00000000-0005-0000-0000-0000C3370000}"/>
    <cellStyle name="20% - Accent6 12" xfId="17826" xr:uid="{00000000-0005-0000-0000-0000C4370000}"/>
    <cellStyle name="20% - Accent6 12 2" xfId="17827" xr:uid="{00000000-0005-0000-0000-0000C5370000}"/>
    <cellStyle name="20% - Accent6 12 2 2" xfId="17828" xr:uid="{00000000-0005-0000-0000-0000C6370000}"/>
    <cellStyle name="20% - Accent6 12 2 2 2" xfId="17829" xr:uid="{00000000-0005-0000-0000-0000C7370000}"/>
    <cellStyle name="20% - Accent6 12 2 3" xfId="17830" xr:uid="{00000000-0005-0000-0000-0000C8370000}"/>
    <cellStyle name="20% - Accent6 12 3" xfId="17831" xr:uid="{00000000-0005-0000-0000-0000C9370000}"/>
    <cellStyle name="20% - Accent6 12 3 2" xfId="17832" xr:uid="{00000000-0005-0000-0000-0000CA370000}"/>
    <cellStyle name="20% - Accent6 12 4" xfId="17833" xr:uid="{00000000-0005-0000-0000-0000CB370000}"/>
    <cellStyle name="20% - Accent6 13" xfId="17834" xr:uid="{00000000-0005-0000-0000-0000CC370000}"/>
    <cellStyle name="20% - Accent6 13 2" xfId="17835" xr:uid="{00000000-0005-0000-0000-0000CD370000}"/>
    <cellStyle name="20% - Accent6 13 2 2" xfId="17836" xr:uid="{00000000-0005-0000-0000-0000CE370000}"/>
    <cellStyle name="20% - Accent6 13 2 2 2" xfId="17837" xr:uid="{00000000-0005-0000-0000-0000CF370000}"/>
    <cellStyle name="20% - Accent6 13 2 3" xfId="17838" xr:uid="{00000000-0005-0000-0000-0000D0370000}"/>
    <cellStyle name="20% - Accent6 13 3" xfId="17839" xr:uid="{00000000-0005-0000-0000-0000D1370000}"/>
    <cellStyle name="20% - Accent6 13 3 2" xfId="17840" xr:uid="{00000000-0005-0000-0000-0000D2370000}"/>
    <cellStyle name="20% - Accent6 13 4" xfId="17841" xr:uid="{00000000-0005-0000-0000-0000D3370000}"/>
    <cellStyle name="20% - Accent6 14" xfId="17842" xr:uid="{00000000-0005-0000-0000-0000D4370000}"/>
    <cellStyle name="20% - Accent6 14 2" xfId="17843" xr:uid="{00000000-0005-0000-0000-0000D5370000}"/>
    <cellStyle name="20% - Accent6 14 2 2" xfId="17844" xr:uid="{00000000-0005-0000-0000-0000D6370000}"/>
    <cellStyle name="20% - Accent6 14 3" xfId="17845" xr:uid="{00000000-0005-0000-0000-0000D7370000}"/>
    <cellStyle name="20% - Accent6 15" xfId="17846" xr:uid="{00000000-0005-0000-0000-0000D8370000}"/>
    <cellStyle name="20% - Accent6 16" xfId="17847" xr:uid="{00000000-0005-0000-0000-0000D9370000}"/>
    <cellStyle name="20% - Accent6 17" xfId="17848" xr:uid="{00000000-0005-0000-0000-0000DA370000}"/>
    <cellStyle name="20% - Accent6 2" xfId="186" xr:uid="{00000000-0005-0000-0000-0000DB370000}"/>
    <cellStyle name="20% - Accent6 2 2" xfId="17849" xr:uid="{00000000-0005-0000-0000-0000DC370000}"/>
    <cellStyle name="20% - Accent6 2 2 10" xfId="17850" xr:uid="{00000000-0005-0000-0000-0000DD370000}"/>
    <cellStyle name="20% - Accent6 2 2 10 2" xfId="17851" xr:uid="{00000000-0005-0000-0000-0000DE370000}"/>
    <cellStyle name="20% - Accent6 2 2 10 2 2" xfId="17852" xr:uid="{00000000-0005-0000-0000-0000DF370000}"/>
    <cellStyle name="20% - Accent6 2 2 10 3" xfId="17853" xr:uid="{00000000-0005-0000-0000-0000E0370000}"/>
    <cellStyle name="20% - Accent6 2 2 11" xfId="17854" xr:uid="{00000000-0005-0000-0000-0000E1370000}"/>
    <cellStyle name="20% - Accent6 2 2 11 2" xfId="17855" xr:uid="{00000000-0005-0000-0000-0000E2370000}"/>
    <cellStyle name="20% - Accent6 2 2 11 2 2" xfId="17856" xr:uid="{00000000-0005-0000-0000-0000E3370000}"/>
    <cellStyle name="20% - Accent6 2 2 11 3" xfId="17857" xr:uid="{00000000-0005-0000-0000-0000E4370000}"/>
    <cellStyle name="20% - Accent6 2 2 12" xfId="17858" xr:uid="{00000000-0005-0000-0000-0000E5370000}"/>
    <cellStyle name="20% - Accent6 2 2 12 2" xfId="17859" xr:uid="{00000000-0005-0000-0000-0000E6370000}"/>
    <cellStyle name="20% - Accent6 2 2 12 2 2" xfId="17860" xr:uid="{00000000-0005-0000-0000-0000E7370000}"/>
    <cellStyle name="20% - Accent6 2 2 12 3" xfId="17861" xr:uid="{00000000-0005-0000-0000-0000E8370000}"/>
    <cellStyle name="20% - Accent6 2 2 13" xfId="17862" xr:uid="{00000000-0005-0000-0000-0000E9370000}"/>
    <cellStyle name="20% - Accent6 2 2 13 2" xfId="17863" xr:uid="{00000000-0005-0000-0000-0000EA370000}"/>
    <cellStyle name="20% - Accent6 2 2 14" xfId="17864" xr:uid="{00000000-0005-0000-0000-0000EB370000}"/>
    <cellStyle name="20% - Accent6 2 2 15" xfId="17865" xr:uid="{00000000-0005-0000-0000-0000EC370000}"/>
    <cellStyle name="20% - Accent6 2 2 16" xfId="17866" xr:uid="{00000000-0005-0000-0000-0000ED370000}"/>
    <cellStyle name="20% - Accent6 2 2 2" xfId="17867" xr:uid="{00000000-0005-0000-0000-0000EE370000}"/>
    <cellStyle name="20% - Accent6 2 2 2 10" xfId="17868" xr:uid="{00000000-0005-0000-0000-0000EF370000}"/>
    <cellStyle name="20% - Accent6 2 2 2 11" xfId="17869" xr:uid="{00000000-0005-0000-0000-0000F0370000}"/>
    <cellStyle name="20% - Accent6 2 2 2 2" xfId="17870" xr:uid="{00000000-0005-0000-0000-0000F1370000}"/>
    <cellStyle name="20% - Accent6 2 2 2 2 2" xfId="17871" xr:uid="{00000000-0005-0000-0000-0000F2370000}"/>
    <cellStyle name="20% - Accent6 2 2 2 2 2 2" xfId="17872" xr:uid="{00000000-0005-0000-0000-0000F3370000}"/>
    <cellStyle name="20% - Accent6 2 2 2 2 2 2 2" xfId="17873" xr:uid="{00000000-0005-0000-0000-0000F4370000}"/>
    <cellStyle name="20% - Accent6 2 2 2 2 2 2 2 2" xfId="17874" xr:uid="{00000000-0005-0000-0000-0000F5370000}"/>
    <cellStyle name="20% - Accent6 2 2 2 2 2 2 3" xfId="17875" xr:uid="{00000000-0005-0000-0000-0000F6370000}"/>
    <cellStyle name="20% - Accent6 2 2 2 2 2 3" xfId="17876" xr:uid="{00000000-0005-0000-0000-0000F7370000}"/>
    <cellStyle name="20% - Accent6 2 2 2 2 2 3 2" xfId="17877" xr:uid="{00000000-0005-0000-0000-0000F8370000}"/>
    <cellStyle name="20% - Accent6 2 2 2 2 2 4" xfId="17878" xr:uid="{00000000-0005-0000-0000-0000F9370000}"/>
    <cellStyle name="20% - Accent6 2 2 2 2 2 5" xfId="17879" xr:uid="{00000000-0005-0000-0000-0000FA370000}"/>
    <cellStyle name="20% - Accent6 2 2 2 2 2 6" xfId="17880" xr:uid="{00000000-0005-0000-0000-0000FB370000}"/>
    <cellStyle name="20% - Accent6 2 2 2 2 3" xfId="17881" xr:uid="{00000000-0005-0000-0000-0000FC370000}"/>
    <cellStyle name="20% - Accent6 2 2 2 2 3 2" xfId="17882" xr:uid="{00000000-0005-0000-0000-0000FD370000}"/>
    <cellStyle name="20% - Accent6 2 2 2 2 3 2 2" xfId="17883" xr:uid="{00000000-0005-0000-0000-0000FE370000}"/>
    <cellStyle name="20% - Accent6 2 2 2 2 3 3" xfId="17884" xr:uid="{00000000-0005-0000-0000-0000FF370000}"/>
    <cellStyle name="20% - Accent6 2 2 2 2 4" xfId="17885" xr:uid="{00000000-0005-0000-0000-000000380000}"/>
    <cellStyle name="20% - Accent6 2 2 2 2 4 2" xfId="17886" xr:uid="{00000000-0005-0000-0000-000001380000}"/>
    <cellStyle name="20% - Accent6 2 2 2 2 5" xfId="17887" xr:uid="{00000000-0005-0000-0000-000002380000}"/>
    <cellStyle name="20% - Accent6 2 2 2 2 5 2" xfId="17888" xr:uid="{00000000-0005-0000-0000-000003380000}"/>
    <cellStyle name="20% - Accent6 2 2 2 2 6" xfId="17889" xr:uid="{00000000-0005-0000-0000-000004380000}"/>
    <cellStyle name="20% - Accent6 2 2 2 2 7" xfId="17890" xr:uid="{00000000-0005-0000-0000-000005380000}"/>
    <cellStyle name="20% - Accent6 2 2 2 2 8" xfId="17891" xr:uid="{00000000-0005-0000-0000-000006380000}"/>
    <cellStyle name="20% - Accent6 2 2 2 3" xfId="17892" xr:uid="{00000000-0005-0000-0000-000007380000}"/>
    <cellStyle name="20% - Accent6 2 2 2 3 2" xfId="17893" xr:uid="{00000000-0005-0000-0000-000008380000}"/>
    <cellStyle name="20% - Accent6 2 2 2 3 2 2" xfId="17894" xr:uid="{00000000-0005-0000-0000-000009380000}"/>
    <cellStyle name="20% - Accent6 2 2 2 3 2 2 2" xfId="17895" xr:uid="{00000000-0005-0000-0000-00000A380000}"/>
    <cellStyle name="20% - Accent6 2 2 2 3 2 2 2 2" xfId="17896" xr:uid="{00000000-0005-0000-0000-00000B380000}"/>
    <cellStyle name="20% - Accent6 2 2 2 3 2 2 3" xfId="17897" xr:uid="{00000000-0005-0000-0000-00000C380000}"/>
    <cellStyle name="20% - Accent6 2 2 2 3 2 3" xfId="17898" xr:uid="{00000000-0005-0000-0000-00000D380000}"/>
    <cellStyle name="20% - Accent6 2 2 2 3 2 3 2" xfId="17899" xr:uid="{00000000-0005-0000-0000-00000E380000}"/>
    <cellStyle name="20% - Accent6 2 2 2 3 2 4" xfId="17900" xr:uid="{00000000-0005-0000-0000-00000F380000}"/>
    <cellStyle name="20% - Accent6 2 2 2 3 2 5" xfId="17901" xr:uid="{00000000-0005-0000-0000-000010380000}"/>
    <cellStyle name="20% - Accent6 2 2 2 3 2 6" xfId="17902" xr:uid="{00000000-0005-0000-0000-000011380000}"/>
    <cellStyle name="20% - Accent6 2 2 2 3 3" xfId="17903" xr:uid="{00000000-0005-0000-0000-000012380000}"/>
    <cellStyle name="20% - Accent6 2 2 2 3 3 2" xfId="17904" xr:uid="{00000000-0005-0000-0000-000013380000}"/>
    <cellStyle name="20% - Accent6 2 2 2 3 3 2 2" xfId="17905" xr:uid="{00000000-0005-0000-0000-000014380000}"/>
    <cellStyle name="20% - Accent6 2 2 2 3 3 3" xfId="17906" xr:uid="{00000000-0005-0000-0000-000015380000}"/>
    <cellStyle name="20% - Accent6 2 2 2 3 4" xfId="17907" xr:uid="{00000000-0005-0000-0000-000016380000}"/>
    <cellStyle name="20% - Accent6 2 2 2 3 4 2" xfId="17908" xr:uid="{00000000-0005-0000-0000-000017380000}"/>
    <cellStyle name="20% - Accent6 2 2 2 3 5" xfId="17909" xr:uid="{00000000-0005-0000-0000-000018380000}"/>
    <cellStyle name="20% - Accent6 2 2 2 3 6" xfId="17910" xr:uid="{00000000-0005-0000-0000-000019380000}"/>
    <cellStyle name="20% - Accent6 2 2 2 3 7" xfId="17911" xr:uid="{00000000-0005-0000-0000-00001A380000}"/>
    <cellStyle name="20% - Accent6 2 2 2 4" xfId="17912" xr:uid="{00000000-0005-0000-0000-00001B380000}"/>
    <cellStyle name="20% - Accent6 2 2 2 4 2" xfId="17913" xr:uid="{00000000-0005-0000-0000-00001C380000}"/>
    <cellStyle name="20% - Accent6 2 2 2 4 2 2" xfId="17914" xr:uid="{00000000-0005-0000-0000-00001D380000}"/>
    <cellStyle name="20% - Accent6 2 2 2 4 2 2 2" xfId="17915" xr:uid="{00000000-0005-0000-0000-00001E380000}"/>
    <cellStyle name="20% - Accent6 2 2 2 4 2 3" xfId="17916" xr:uid="{00000000-0005-0000-0000-00001F380000}"/>
    <cellStyle name="20% - Accent6 2 2 2 4 3" xfId="17917" xr:uid="{00000000-0005-0000-0000-000020380000}"/>
    <cellStyle name="20% - Accent6 2 2 2 4 3 2" xfId="17918" xr:uid="{00000000-0005-0000-0000-000021380000}"/>
    <cellStyle name="20% - Accent6 2 2 2 4 4" xfId="17919" xr:uid="{00000000-0005-0000-0000-000022380000}"/>
    <cellStyle name="20% - Accent6 2 2 2 4 5" xfId="17920" xr:uid="{00000000-0005-0000-0000-000023380000}"/>
    <cellStyle name="20% - Accent6 2 2 2 4 6" xfId="17921" xr:uid="{00000000-0005-0000-0000-000024380000}"/>
    <cellStyle name="20% - Accent6 2 2 2 5" xfId="17922" xr:uid="{00000000-0005-0000-0000-000025380000}"/>
    <cellStyle name="20% - Accent6 2 2 2 5 2" xfId="17923" xr:uid="{00000000-0005-0000-0000-000026380000}"/>
    <cellStyle name="20% - Accent6 2 2 2 5 2 2" xfId="17924" xr:uid="{00000000-0005-0000-0000-000027380000}"/>
    <cellStyle name="20% - Accent6 2 2 2 5 3" xfId="17925" xr:uid="{00000000-0005-0000-0000-000028380000}"/>
    <cellStyle name="20% - Accent6 2 2 2 6" xfId="17926" xr:uid="{00000000-0005-0000-0000-000029380000}"/>
    <cellStyle name="20% - Accent6 2 2 2 6 2" xfId="17927" xr:uid="{00000000-0005-0000-0000-00002A380000}"/>
    <cellStyle name="20% - Accent6 2 2 2 6 2 2" xfId="17928" xr:uid="{00000000-0005-0000-0000-00002B380000}"/>
    <cellStyle name="20% - Accent6 2 2 2 6 3" xfId="17929" xr:uid="{00000000-0005-0000-0000-00002C380000}"/>
    <cellStyle name="20% - Accent6 2 2 2 7" xfId="17930" xr:uid="{00000000-0005-0000-0000-00002D380000}"/>
    <cellStyle name="20% - Accent6 2 2 2 7 2" xfId="17931" xr:uid="{00000000-0005-0000-0000-00002E380000}"/>
    <cellStyle name="20% - Accent6 2 2 2 8" xfId="17932" xr:uid="{00000000-0005-0000-0000-00002F380000}"/>
    <cellStyle name="20% - Accent6 2 2 2 8 2" xfId="17933" xr:uid="{00000000-0005-0000-0000-000030380000}"/>
    <cellStyle name="20% - Accent6 2 2 2 9" xfId="17934" xr:uid="{00000000-0005-0000-0000-000031380000}"/>
    <cellStyle name="20% - Accent6 2 2 3" xfId="17935" xr:uid="{00000000-0005-0000-0000-000032380000}"/>
    <cellStyle name="20% - Accent6 2 2 3 10" xfId="17936" xr:uid="{00000000-0005-0000-0000-000033380000}"/>
    <cellStyle name="20% - Accent6 2 2 3 11" xfId="17937" xr:uid="{00000000-0005-0000-0000-000034380000}"/>
    <cellStyle name="20% - Accent6 2 2 3 2" xfId="17938" xr:uid="{00000000-0005-0000-0000-000035380000}"/>
    <cellStyle name="20% - Accent6 2 2 3 2 2" xfId="17939" xr:uid="{00000000-0005-0000-0000-000036380000}"/>
    <cellStyle name="20% - Accent6 2 2 3 2 2 2" xfId="17940" xr:uid="{00000000-0005-0000-0000-000037380000}"/>
    <cellStyle name="20% - Accent6 2 2 3 2 2 2 2" xfId="17941" xr:uid="{00000000-0005-0000-0000-000038380000}"/>
    <cellStyle name="20% - Accent6 2 2 3 2 2 2 2 2" xfId="17942" xr:uid="{00000000-0005-0000-0000-000039380000}"/>
    <cellStyle name="20% - Accent6 2 2 3 2 2 2 3" xfId="17943" xr:uid="{00000000-0005-0000-0000-00003A380000}"/>
    <cellStyle name="20% - Accent6 2 2 3 2 2 3" xfId="17944" xr:uid="{00000000-0005-0000-0000-00003B380000}"/>
    <cellStyle name="20% - Accent6 2 2 3 2 2 3 2" xfId="17945" xr:uid="{00000000-0005-0000-0000-00003C380000}"/>
    <cellStyle name="20% - Accent6 2 2 3 2 2 4" xfId="17946" xr:uid="{00000000-0005-0000-0000-00003D380000}"/>
    <cellStyle name="20% - Accent6 2 2 3 2 2 5" xfId="17947" xr:uid="{00000000-0005-0000-0000-00003E380000}"/>
    <cellStyle name="20% - Accent6 2 2 3 2 2 6" xfId="17948" xr:uid="{00000000-0005-0000-0000-00003F380000}"/>
    <cellStyle name="20% - Accent6 2 2 3 2 3" xfId="17949" xr:uid="{00000000-0005-0000-0000-000040380000}"/>
    <cellStyle name="20% - Accent6 2 2 3 2 3 2" xfId="17950" xr:uid="{00000000-0005-0000-0000-000041380000}"/>
    <cellStyle name="20% - Accent6 2 2 3 2 3 2 2" xfId="17951" xr:uid="{00000000-0005-0000-0000-000042380000}"/>
    <cellStyle name="20% - Accent6 2 2 3 2 3 3" xfId="17952" xr:uid="{00000000-0005-0000-0000-000043380000}"/>
    <cellStyle name="20% - Accent6 2 2 3 2 4" xfId="17953" xr:uid="{00000000-0005-0000-0000-000044380000}"/>
    <cellStyle name="20% - Accent6 2 2 3 2 4 2" xfId="17954" xr:uid="{00000000-0005-0000-0000-000045380000}"/>
    <cellStyle name="20% - Accent6 2 2 3 2 5" xfId="17955" xr:uid="{00000000-0005-0000-0000-000046380000}"/>
    <cellStyle name="20% - Accent6 2 2 3 2 5 2" xfId="17956" xr:uid="{00000000-0005-0000-0000-000047380000}"/>
    <cellStyle name="20% - Accent6 2 2 3 2 6" xfId="17957" xr:uid="{00000000-0005-0000-0000-000048380000}"/>
    <cellStyle name="20% - Accent6 2 2 3 2 7" xfId="17958" xr:uid="{00000000-0005-0000-0000-000049380000}"/>
    <cellStyle name="20% - Accent6 2 2 3 2 8" xfId="17959" xr:uid="{00000000-0005-0000-0000-00004A380000}"/>
    <cellStyle name="20% - Accent6 2 2 3 3" xfId="17960" xr:uid="{00000000-0005-0000-0000-00004B380000}"/>
    <cellStyle name="20% - Accent6 2 2 3 3 2" xfId="17961" xr:uid="{00000000-0005-0000-0000-00004C380000}"/>
    <cellStyle name="20% - Accent6 2 2 3 3 2 2" xfId="17962" xr:uid="{00000000-0005-0000-0000-00004D380000}"/>
    <cellStyle name="20% - Accent6 2 2 3 3 2 2 2" xfId="17963" xr:uid="{00000000-0005-0000-0000-00004E380000}"/>
    <cellStyle name="20% - Accent6 2 2 3 3 2 2 2 2" xfId="17964" xr:uid="{00000000-0005-0000-0000-00004F380000}"/>
    <cellStyle name="20% - Accent6 2 2 3 3 2 2 3" xfId="17965" xr:uid="{00000000-0005-0000-0000-000050380000}"/>
    <cellStyle name="20% - Accent6 2 2 3 3 2 3" xfId="17966" xr:uid="{00000000-0005-0000-0000-000051380000}"/>
    <cellStyle name="20% - Accent6 2 2 3 3 2 3 2" xfId="17967" xr:uid="{00000000-0005-0000-0000-000052380000}"/>
    <cellStyle name="20% - Accent6 2 2 3 3 2 4" xfId="17968" xr:uid="{00000000-0005-0000-0000-000053380000}"/>
    <cellStyle name="20% - Accent6 2 2 3 3 2 5" xfId="17969" xr:uid="{00000000-0005-0000-0000-000054380000}"/>
    <cellStyle name="20% - Accent6 2 2 3 3 2 6" xfId="17970" xr:uid="{00000000-0005-0000-0000-000055380000}"/>
    <cellStyle name="20% - Accent6 2 2 3 3 3" xfId="17971" xr:uid="{00000000-0005-0000-0000-000056380000}"/>
    <cellStyle name="20% - Accent6 2 2 3 3 3 2" xfId="17972" xr:uid="{00000000-0005-0000-0000-000057380000}"/>
    <cellStyle name="20% - Accent6 2 2 3 3 3 2 2" xfId="17973" xr:uid="{00000000-0005-0000-0000-000058380000}"/>
    <cellStyle name="20% - Accent6 2 2 3 3 3 3" xfId="17974" xr:uid="{00000000-0005-0000-0000-000059380000}"/>
    <cellStyle name="20% - Accent6 2 2 3 3 4" xfId="17975" xr:uid="{00000000-0005-0000-0000-00005A380000}"/>
    <cellStyle name="20% - Accent6 2 2 3 3 4 2" xfId="17976" xr:uid="{00000000-0005-0000-0000-00005B380000}"/>
    <cellStyle name="20% - Accent6 2 2 3 3 5" xfId="17977" xr:uid="{00000000-0005-0000-0000-00005C380000}"/>
    <cellStyle name="20% - Accent6 2 2 3 3 6" xfId="17978" xr:uid="{00000000-0005-0000-0000-00005D380000}"/>
    <cellStyle name="20% - Accent6 2 2 3 3 7" xfId="17979" xr:uid="{00000000-0005-0000-0000-00005E380000}"/>
    <cellStyle name="20% - Accent6 2 2 3 4" xfId="17980" xr:uid="{00000000-0005-0000-0000-00005F380000}"/>
    <cellStyle name="20% - Accent6 2 2 3 4 2" xfId="17981" xr:uid="{00000000-0005-0000-0000-000060380000}"/>
    <cellStyle name="20% - Accent6 2 2 3 4 2 2" xfId="17982" xr:uid="{00000000-0005-0000-0000-000061380000}"/>
    <cellStyle name="20% - Accent6 2 2 3 4 2 2 2" xfId="17983" xr:uid="{00000000-0005-0000-0000-000062380000}"/>
    <cellStyle name="20% - Accent6 2 2 3 4 2 3" xfId="17984" xr:uid="{00000000-0005-0000-0000-000063380000}"/>
    <cellStyle name="20% - Accent6 2 2 3 4 3" xfId="17985" xr:uid="{00000000-0005-0000-0000-000064380000}"/>
    <cellStyle name="20% - Accent6 2 2 3 4 3 2" xfId="17986" xr:uid="{00000000-0005-0000-0000-000065380000}"/>
    <cellStyle name="20% - Accent6 2 2 3 4 4" xfId="17987" xr:uid="{00000000-0005-0000-0000-000066380000}"/>
    <cellStyle name="20% - Accent6 2 2 3 4 5" xfId="17988" xr:uid="{00000000-0005-0000-0000-000067380000}"/>
    <cellStyle name="20% - Accent6 2 2 3 4 6" xfId="17989" xr:uid="{00000000-0005-0000-0000-000068380000}"/>
    <cellStyle name="20% - Accent6 2 2 3 5" xfId="17990" xr:uid="{00000000-0005-0000-0000-000069380000}"/>
    <cellStyle name="20% - Accent6 2 2 3 5 2" xfId="17991" xr:uid="{00000000-0005-0000-0000-00006A380000}"/>
    <cellStyle name="20% - Accent6 2 2 3 5 2 2" xfId="17992" xr:uid="{00000000-0005-0000-0000-00006B380000}"/>
    <cellStyle name="20% - Accent6 2 2 3 5 3" xfId="17993" xr:uid="{00000000-0005-0000-0000-00006C380000}"/>
    <cellStyle name="20% - Accent6 2 2 3 6" xfId="17994" xr:uid="{00000000-0005-0000-0000-00006D380000}"/>
    <cellStyle name="20% - Accent6 2 2 3 6 2" xfId="17995" xr:uid="{00000000-0005-0000-0000-00006E380000}"/>
    <cellStyle name="20% - Accent6 2 2 3 6 2 2" xfId="17996" xr:uid="{00000000-0005-0000-0000-00006F380000}"/>
    <cellStyle name="20% - Accent6 2 2 3 6 3" xfId="17997" xr:uid="{00000000-0005-0000-0000-000070380000}"/>
    <cellStyle name="20% - Accent6 2 2 3 7" xfId="17998" xr:uid="{00000000-0005-0000-0000-000071380000}"/>
    <cellStyle name="20% - Accent6 2 2 3 7 2" xfId="17999" xr:uid="{00000000-0005-0000-0000-000072380000}"/>
    <cellStyle name="20% - Accent6 2 2 3 8" xfId="18000" xr:uid="{00000000-0005-0000-0000-000073380000}"/>
    <cellStyle name="20% - Accent6 2 2 3 8 2" xfId="18001" xr:uid="{00000000-0005-0000-0000-000074380000}"/>
    <cellStyle name="20% - Accent6 2 2 3 9" xfId="18002" xr:uid="{00000000-0005-0000-0000-000075380000}"/>
    <cellStyle name="20% - Accent6 2 2 4" xfId="18003" xr:uid="{00000000-0005-0000-0000-000076380000}"/>
    <cellStyle name="20% - Accent6 2 2 4 10" xfId="18004" xr:uid="{00000000-0005-0000-0000-000077380000}"/>
    <cellStyle name="20% - Accent6 2 2 4 11" xfId="18005" xr:uid="{00000000-0005-0000-0000-000078380000}"/>
    <cellStyle name="20% - Accent6 2 2 4 2" xfId="18006" xr:uid="{00000000-0005-0000-0000-000079380000}"/>
    <cellStyle name="20% - Accent6 2 2 4 2 2" xfId="18007" xr:uid="{00000000-0005-0000-0000-00007A380000}"/>
    <cellStyle name="20% - Accent6 2 2 4 2 2 2" xfId="18008" xr:uid="{00000000-0005-0000-0000-00007B380000}"/>
    <cellStyle name="20% - Accent6 2 2 4 2 2 2 2" xfId="18009" xr:uid="{00000000-0005-0000-0000-00007C380000}"/>
    <cellStyle name="20% - Accent6 2 2 4 2 2 2 2 2" xfId="18010" xr:uid="{00000000-0005-0000-0000-00007D380000}"/>
    <cellStyle name="20% - Accent6 2 2 4 2 2 2 3" xfId="18011" xr:uid="{00000000-0005-0000-0000-00007E380000}"/>
    <cellStyle name="20% - Accent6 2 2 4 2 2 3" xfId="18012" xr:uid="{00000000-0005-0000-0000-00007F380000}"/>
    <cellStyle name="20% - Accent6 2 2 4 2 2 3 2" xfId="18013" xr:uid="{00000000-0005-0000-0000-000080380000}"/>
    <cellStyle name="20% - Accent6 2 2 4 2 2 4" xfId="18014" xr:uid="{00000000-0005-0000-0000-000081380000}"/>
    <cellStyle name="20% - Accent6 2 2 4 2 2 5" xfId="18015" xr:uid="{00000000-0005-0000-0000-000082380000}"/>
    <cellStyle name="20% - Accent6 2 2 4 2 2 6" xfId="18016" xr:uid="{00000000-0005-0000-0000-000083380000}"/>
    <cellStyle name="20% - Accent6 2 2 4 2 3" xfId="18017" xr:uid="{00000000-0005-0000-0000-000084380000}"/>
    <cellStyle name="20% - Accent6 2 2 4 2 3 2" xfId="18018" xr:uid="{00000000-0005-0000-0000-000085380000}"/>
    <cellStyle name="20% - Accent6 2 2 4 2 3 2 2" xfId="18019" xr:uid="{00000000-0005-0000-0000-000086380000}"/>
    <cellStyle name="20% - Accent6 2 2 4 2 3 3" xfId="18020" xr:uid="{00000000-0005-0000-0000-000087380000}"/>
    <cellStyle name="20% - Accent6 2 2 4 2 4" xfId="18021" xr:uid="{00000000-0005-0000-0000-000088380000}"/>
    <cellStyle name="20% - Accent6 2 2 4 2 4 2" xfId="18022" xr:uid="{00000000-0005-0000-0000-000089380000}"/>
    <cellStyle name="20% - Accent6 2 2 4 2 5" xfId="18023" xr:uid="{00000000-0005-0000-0000-00008A380000}"/>
    <cellStyle name="20% - Accent6 2 2 4 2 5 2" xfId="18024" xr:uid="{00000000-0005-0000-0000-00008B380000}"/>
    <cellStyle name="20% - Accent6 2 2 4 2 6" xfId="18025" xr:uid="{00000000-0005-0000-0000-00008C380000}"/>
    <cellStyle name="20% - Accent6 2 2 4 2 7" xfId="18026" xr:uid="{00000000-0005-0000-0000-00008D380000}"/>
    <cellStyle name="20% - Accent6 2 2 4 2 8" xfId="18027" xr:uid="{00000000-0005-0000-0000-00008E380000}"/>
    <cellStyle name="20% - Accent6 2 2 4 3" xfId="18028" xr:uid="{00000000-0005-0000-0000-00008F380000}"/>
    <cellStyle name="20% - Accent6 2 2 4 3 2" xfId="18029" xr:uid="{00000000-0005-0000-0000-000090380000}"/>
    <cellStyle name="20% - Accent6 2 2 4 3 2 2" xfId="18030" xr:uid="{00000000-0005-0000-0000-000091380000}"/>
    <cellStyle name="20% - Accent6 2 2 4 3 2 2 2" xfId="18031" xr:uid="{00000000-0005-0000-0000-000092380000}"/>
    <cellStyle name="20% - Accent6 2 2 4 3 2 2 2 2" xfId="18032" xr:uid="{00000000-0005-0000-0000-000093380000}"/>
    <cellStyle name="20% - Accent6 2 2 4 3 2 2 3" xfId="18033" xr:uid="{00000000-0005-0000-0000-000094380000}"/>
    <cellStyle name="20% - Accent6 2 2 4 3 2 3" xfId="18034" xr:uid="{00000000-0005-0000-0000-000095380000}"/>
    <cellStyle name="20% - Accent6 2 2 4 3 2 3 2" xfId="18035" xr:uid="{00000000-0005-0000-0000-000096380000}"/>
    <cellStyle name="20% - Accent6 2 2 4 3 2 4" xfId="18036" xr:uid="{00000000-0005-0000-0000-000097380000}"/>
    <cellStyle name="20% - Accent6 2 2 4 3 2 5" xfId="18037" xr:uid="{00000000-0005-0000-0000-000098380000}"/>
    <cellStyle name="20% - Accent6 2 2 4 3 2 6" xfId="18038" xr:uid="{00000000-0005-0000-0000-000099380000}"/>
    <cellStyle name="20% - Accent6 2 2 4 3 3" xfId="18039" xr:uid="{00000000-0005-0000-0000-00009A380000}"/>
    <cellStyle name="20% - Accent6 2 2 4 3 3 2" xfId="18040" xr:uid="{00000000-0005-0000-0000-00009B380000}"/>
    <cellStyle name="20% - Accent6 2 2 4 3 3 2 2" xfId="18041" xr:uid="{00000000-0005-0000-0000-00009C380000}"/>
    <cellStyle name="20% - Accent6 2 2 4 3 3 3" xfId="18042" xr:uid="{00000000-0005-0000-0000-00009D380000}"/>
    <cellStyle name="20% - Accent6 2 2 4 3 4" xfId="18043" xr:uid="{00000000-0005-0000-0000-00009E380000}"/>
    <cellStyle name="20% - Accent6 2 2 4 3 4 2" xfId="18044" xr:uid="{00000000-0005-0000-0000-00009F380000}"/>
    <cellStyle name="20% - Accent6 2 2 4 3 5" xfId="18045" xr:uid="{00000000-0005-0000-0000-0000A0380000}"/>
    <cellStyle name="20% - Accent6 2 2 4 3 6" xfId="18046" xr:uid="{00000000-0005-0000-0000-0000A1380000}"/>
    <cellStyle name="20% - Accent6 2 2 4 3 7" xfId="18047" xr:uid="{00000000-0005-0000-0000-0000A2380000}"/>
    <cellStyle name="20% - Accent6 2 2 4 4" xfId="18048" xr:uid="{00000000-0005-0000-0000-0000A3380000}"/>
    <cellStyle name="20% - Accent6 2 2 4 4 2" xfId="18049" xr:uid="{00000000-0005-0000-0000-0000A4380000}"/>
    <cellStyle name="20% - Accent6 2 2 4 4 2 2" xfId="18050" xr:uid="{00000000-0005-0000-0000-0000A5380000}"/>
    <cellStyle name="20% - Accent6 2 2 4 4 2 2 2" xfId="18051" xr:uid="{00000000-0005-0000-0000-0000A6380000}"/>
    <cellStyle name="20% - Accent6 2 2 4 4 2 3" xfId="18052" xr:uid="{00000000-0005-0000-0000-0000A7380000}"/>
    <cellStyle name="20% - Accent6 2 2 4 4 3" xfId="18053" xr:uid="{00000000-0005-0000-0000-0000A8380000}"/>
    <cellStyle name="20% - Accent6 2 2 4 4 3 2" xfId="18054" xr:uid="{00000000-0005-0000-0000-0000A9380000}"/>
    <cellStyle name="20% - Accent6 2 2 4 4 4" xfId="18055" xr:uid="{00000000-0005-0000-0000-0000AA380000}"/>
    <cellStyle name="20% - Accent6 2 2 4 4 5" xfId="18056" xr:uid="{00000000-0005-0000-0000-0000AB380000}"/>
    <cellStyle name="20% - Accent6 2 2 4 4 6" xfId="18057" xr:uid="{00000000-0005-0000-0000-0000AC380000}"/>
    <cellStyle name="20% - Accent6 2 2 4 5" xfId="18058" xr:uid="{00000000-0005-0000-0000-0000AD380000}"/>
    <cellStyle name="20% - Accent6 2 2 4 5 2" xfId="18059" xr:uid="{00000000-0005-0000-0000-0000AE380000}"/>
    <cellStyle name="20% - Accent6 2 2 4 5 2 2" xfId="18060" xr:uid="{00000000-0005-0000-0000-0000AF380000}"/>
    <cellStyle name="20% - Accent6 2 2 4 5 3" xfId="18061" xr:uid="{00000000-0005-0000-0000-0000B0380000}"/>
    <cellStyle name="20% - Accent6 2 2 4 6" xfId="18062" xr:uid="{00000000-0005-0000-0000-0000B1380000}"/>
    <cellStyle name="20% - Accent6 2 2 4 6 2" xfId="18063" xr:uid="{00000000-0005-0000-0000-0000B2380000}"/>
    <cellStyle name="20% - Accent6 2 2 4 6 2 2" xfId="18064" xr:uid="{00000000-0005-0000-0000-0000B3380000}"/>
    <cellStyle name="20% - Accent6 2 2 4 6 3" xfId="18065" xr:uid="{00000000-0005-0000-0000-0000B4380000}"/>
    <cellStyle name="20% - Accent6 2 2 4 7" xfId="18066" xr:uid="{00000000-0005-0000-0000-0000B5380000}"/>
    <cellStyle name="20% - Accent6 2 2 4 7 2" xfId="18067" xr:uid="{00000000-0005-0000-0000-0000B6380000}"/>
    <cellStyle name="20% - Accent6 2 2 4 8" xfId="18068" xr:uid="{00000000-0005-0000-0000-0000B7380000}"/>
    <cellStyle name="20% - Accent6 2 2 4 8 2" xfId="18069" xr:uid="{00000000-0005-0000-0000-0000B8380000}"/>
    <cellStyle name="20% - Accent6 2 2 4 9" xfId="18070" xr:uid="{00000000-0005-0000-0000-0000B9380000}"/>
    <cellStyle name="20% - Accent6 2 2 5" xfId="18071" xr:uid="{00000000-0005-0000-0000-0000BA380000}"/>
    <cellStyle name="20% - Accent6 2 2 5 10" xfId="18072" xr:uid="{00000000-0005-0000-0000-0000BB380000}"/>
    <cellStyle name="20% - Accent6 2 2 5 11" xfId="18073" xr:uid="{00000000-0005-0000-0000-0000BC380000}"/>
    <cellStyle name="20% - Accent6 2 2 5 2" xfId="18074" xr:uid="{00000000-0005-0000-0000-0000BD380000}"/>
    <cellStyle name="20% - Accent6 2 2 5 2 2" xfId="18075" xr:uid="{00000000-0005-0000-0000-0000BE380000}"/>
    <cellStyle name="20% - Accent6 2 2 5 2 2 2" xfId="18076" xr:uid="{00000000-0005-0000-0000-0000BF380000}"/>
    <cellStyle name="20% - Accent6 2 2 5 2 2 2 2" xfId="18077" xr:uid="{00000000-0005-0000-0000-0000C0380000}"/>
    <cellStyle name="20% - Accent6 2 2 5 2 2 2 2 2" xfId="18078" xr:uid="{00000000-0005-0000-0000-0000C1380000}"/>
    <cellStyle name="20% - Accent6 2 2 5 2 2 2 3" xfId="18079" xr:uid="{00000000-0005-0000-0000-0000C2380000}"/>
    <cellStyle name="20% - Accent6 2 2 5 2 2 3" xfId="18080" xr:uid="{00000000-0005-0000-0000-0000C3380000}"/>
    <cellStyle name="20% - Accent6 2 2 5 2 2 3 2" xfId="18081" xr:uid="{00000000-0005-0000-0000-0000C4380000}"/>
    <cellStyle name="20% - Accent6 2 2 5 2 2 4" xfId="18082" xr:uid="{00000000-0005-0000-0000-0000C5380000}"/>
    <cellStyle name="20% - Accent6 2 2 5 2 2 5" xfId="18083" xr:uid="{00000000-0005-0000-0000-0000C6380000}"/>
    <cellStyle name="20% - Accent6 2 2 5 2 2 6" xfId="18084" xr:uid="{00000000-0005-0000-0000-0000C7380000}"/>
    <cellStyle name="20% - Accent6 2 2 5 2 3" xfId="18085" xr:uid="{00000000-0005-0000-0000-0000C8380000}"/>
    <cellStyle name="20% - Accent6 2 2 5 2 3 2" xfId="18086" xr:uid="{00000000-0005-0000-0000-0000C9380000}"/>
    <cellStyle name="20% - Accent6 2 2 5 2 3 2 2" xfId="18087" xr:uid="{00000000-0005-0000-0000-0000CA380000}"/>
    <cellStyle name="20% - Accent6 2 2 5 2 3 3" xfId="18088" xr:uid="{00000000-0005-0000-0000-0000CB380000}"/>
    <cellStyle name="20% - Accent6 2 2 5 2 4" xfId="18089" xr:uid="{00000000-0005-0000-0000-0000CC380000}"/>
    <cellStyle name="20% - Accent6 2 2 5 2 4 2" xfId="18090" xr:uid="{00000000-0005-0000-0000-0000CD380000}"/>
    <cellStyle name="20% - Accent6 2 2 5 2 5" xfId="18091" xr:uid="{00000000-0005-0000-0000-0000CE380000}"/>
    <cellStyle name="20% - Accent6 2 2 5 2 5 2" xfId="18092" xr:uid="{00000000-0005-0000-0000-0000CF380000}"/>
    <cellStyle name="20% - Accent6 2 2 5 2 6" xfId="18093" xr:uid="{00000000-0005-0000-0000-0000D0380000}"/>
    <cellStyle name="20% - Accent6 2 2 5 2 7" xfId="18094" xr:uid="{00000000-0005-0000-0000-0000D1380000}"/>
    <cellStyle name="20% - Accent6 2 2 5 2 8" xfId="18095" xr:uid="{00000000-0005-0000-0000-0000D2380000}"/>
    <cellStyle name="20% - Accent6 2 2 5 3" xfId="18096" xr:uid="{00000000-0005-0000-0000-0000D3380000}"/>
    <cellStyle name="20% - Accent6 2 2 5 3 2" xfId="18097" xr:uid="{00000000-0005-0000-0000-0000D4380000}"/>
    <cellStyle name="20% - Accent6 2 2 5 3 2 2" xfId="18098" xr:uid="{00000000-0005-0000-0000-0000D5380000}"/>
    <cellStyle name="20% - Accent6 2 2 5 3 2 2 2" xfId="18099" xr:uid="{00000000-0005-0000-0000-0000D6380000}"/>
    <cellStyle name="20% - Accent6 2 2 5 3 2 2 2 2" xfId="18100" xr:uid="{00000000-0005-0000-0000-0000D7380000}"/>
    <cellStyle name="20% - Accent6 2 2 5 3 2 2 3" xfId="18101" xr:uid="{00000000-0005-0000-0000-0000D8380000}"/>
    <cellStyle name="20% - Accent6 2 2 5 3 2 3" xfId="18102" xr:uid="{00000000-0005-0000-0000-0000D9380000}"/>
    <cellStyle name="20% - Accent6 2 2 5 3 2 3 2" xfId="18103" xr:uid="{00000000-0005-0000-0000-0000DA380000}"/>
    <cellStyle name="20% - Accent6 2 2 5 3 2 4" xfId="18104" xr:uid="{00000000-0005-0000-0000-0000DB380000}"/>
    <cellStyle name="20% - Accent6 2 2 5 3 2 5" xfId="18105" xr:uid="{00000000-0005-0000-0000-0000DC380000}"/>
    <cellStyle name="20% - Accent6 2 2 5 3 2 6" xfId="18106" xr:uid="{00000000-0005-0000-0000-0000DD380000}"/>
    <cellStyle name="20% - Accent6 2 2 5 3 3" xfId="18107" xr:uid="{00000000-0005-0000-0000-0000DE380000}"/>
    <cellStyle name="20% - Accent6 2 2 5 3 3 2" xfId="18108" xr:uid="{00000000-0005-0000-0000-0000DF380000}"/>
    <cellStyle name="20% - Accent6 2 2 5 3 3 2 2" xfId="18109" xr:uid="{00000000-0005-0000-0000-0000E0380000}"/>
    <cellStyle name="20% - Accent6 2 2 5 3 3 3" xfId="18110" xr:uid="{00000000-0005-0000-0000-0000E1380000}"/>
    <cellStyle name="20% - Accent6 2 2 5 3 4" xfId="18111" xr:uid="{00000000-0005-0000-0000-0000E2380000}"/>
    <cellStyle name="20% - Accent6 2 2 5 3 4 2" xfId="18112" xr:uid="{00000000-0005-0000-0000-0000E3380000}"/>
    <cellStyle name="20% - Accent6 2 2 5 3 5" xfId="18113" xr:uid="{00000000-0005-0000-0000-0000E4380000}"/>
    <cellStyle name="20% - Accent6 2 2 5 3 6" xfId="18114" xr:uid="{00000000-0005-0000-0000-0000E5380000}"/>
    <cellStyle name="20% - Accent6 2 2 5 3 7" xfId="18115" xr:uid="{00000000-0005-0000-0000-0000E6380000}"/>
    <cellStyle name="20% - Accent6 2 2 5 4" xfId="18116" xr:uid="{00000000-0005-0000-0000-0000E7380000}"/>
    <cellStyle name="20% - Accent6 2 2 5 4 2" xfId="18117" xr:uid="{00000000-0005-0000-0000-0000E8380000}"/>
    <cellStyle name="20% - Accent6 2 2 5 4 2 2" xfId="18118" xr:uid="{00000000-0005-0000-0000-0000E9380000}"/>
    <cellStyle name="20% - Accent6 2 2 5 4 2 2 2" xfId="18119" xr:uid="{00000000-0005-0000-0000-0000EA380000}"/>
    <cellStyle name="20% - Accent6 2 2 5 4 2 3" xfId="18120" xr:uid="{00000000-0005-0000-0000-0000EB380000}"/>
    <cellStyle name="20% - Accent6 2 2 5 4 3" xfId="18121" xr:uid="{00000000-0005-0000-0000-0000EC380000}"/>
    <cellStyle name="20% - Accent6 2 2 5 4 3 2" xfId="18122" xr:uid="{00000000-0005-0000-0000-0000ED380000}"/>
    <cellStyle name="20% - Accent6 2 2 5 4 4" xfId="18123" xr:uid="{00000000-0005-0000-0000-0000EE380000}"/>
    <cellStyle name="20% - Accent6 2 2 5 4 5" xfId="18124" xr:uid="{00000000-0005-0000-0000-0000EF380000}"/>
    <cellStyle name="20% - Accent6 2 2 5 4 6" xfId="18125" xr:uid="{00000000-0005-0000-0000-0000F0380000}"/>
    <cellStyle name="20% - Accent6 2 2 5 5" xfId="18126" xr:uid="{00000000-0005-0000-0000-0000F1380000}"/>
    <cellStyle name="20% - Accent6 2 2 5 5 2" xfId="18127" xr:uid="{00000000-0005-0000-0000-0000F2380000}"/>
    <cellStyle name="20% - Accent6 2 2 5 5 2 2" xfId="18128" xr:uid="{00000000-0005-0000-0000-0000F3380000}"/>
    <cellStyle name="20% - Accent6 2 2 5 5 3" xfId="18129" xr:uid="{00000000-0005-0000-0000-0000F4380000}"/>
    <cellStyle name="20% - Accent6 2 2 5 6" xfId="18130" xr:uid="{00000000-0005-0000-0000-0000F5380000}"/>
    <cellStyle name="20% - Accent6 2 2 5 6 2" xfId="18131" xr:uid="{00000000-0005-0000-0000-0000F6380000}"/>
    <cellStyle name="20% - Accent6 2 2 5 6 2 2" xfId="18132" xr:uid="{00000000-0005-0000-0000-0000F7380000}"/>
    <cellStyle name="20% - Accent6 2 2 5 6 3" xfId="18133" xr:uid="{00000000-0005-0000-0000-0000F8380000}"/>
    <cellStyle name="20% - Accent6 2 2 5 7" xfId="18134" xr:uid="{00000000-0005-0000-0000-0000F9380000}"/>
    <cellStyle name="20% - Accent6 2 2 5 7 2" xfId="18135" xr:uid="{00000000-0005-0000-0000-0000FA380000}"/>
    <cellStyle name="20% - Accent6 2 2 5 8" xfId="18136" xr:uid="{00000000-0005-0000-0000-0000FB380000}"/>
    <cellStyle name="20% - Accent6 2 2 5 8 2" xfId="18137" xr:uid="{00000000-0005-0000-0000-0000FC380000}"/>
    <cellStyle name="20% - Accent6 2 2 5 9" xfId="18138" xr:uid="{00000000-0005-0000-0000-0000FD380000}"/>
    <cellStyle name="20% - Accent6 2 2 6" xfId="18139" xr:uid="{00000000-0005-0000-0000-0000FE380000}"/>
    <cellStyle name="20% - Accent6 2 2 6 10" xfId="18140" xr:uid="{00000000-0005-0000-0000-0000FF380000}"/>
    <cellStyle name="20% - Accent6 2 2 6 11" xfId="18141" xr:uid="{00000000-0005-0000-0000-000000390000}"/>
    <cellStyle name="20% - Accent6 2 2 6 2" xfId="18142" xr:uid="{00000000-0005-0000-0000-000001390000}"/>
    <cellStyle name="20% - Accent6 2 2 6 2 2" xfId="18143" xr:uid="{00000000-0005-0000-0000-000002390000}"/>
    <cellStyle name="20% - Accent6 2 2 6 2 2 2" xfId="18144" xr:uid="{00000000-0005-0000-0000-000003390000}"/>
    <cellStyle name="20% - Accent6 2 2 6 2 2 2 2" xfId="18145" xr:uid="{00000000-0005-0000-0000-000004390000}"/>
    <cellStyle name="20% - Accent6 2 2 6 2 2 2 2 2" xfId="18146" xr:uid="{00000000-0005-0000-0000-000005390000}"/>
    <cellStyle name="20% - Accent6 2 2 6 2 2 2 3" xfId="18147" xr:uid="{00000000-0005-0000-0000-000006390000}"/>
    <cellStyle name="20% - Accent6 2 2 6 2 2 3" xfId="18148" xr:uid="{00000000-0005-0000-0000-000007390000}"/>
    <cellStyle name="20% - Accent6 2 2 6 2 2 3 2" xfId="18149" xr:uid="{00000000-0005-0000-0000-000008390000}"/>
    <cellStyle name="20% - Accent6 2 2 6 2 2 4" xfId="18150" xr:uid="{00000000-0005-0000-0000-000009390000}"/>
    <cellStyle name="20% - Accent6 2 2 6 2 2 5" xfId="18151" xr:uid="{00000000-0005-0000-0000-00000A390000}"/>
    <cellStyle name="20% - Accent6 2 2 6 2 2 6" xfId="18152" xr:uid="{00000000-0005-0000-0000-00000B390000}"/>
    <cellStyle name="20% - Accent6 2 2 6 2 3" xfId="18153" xr:uid="{00000000-0005-0000-0000-00000C390000}"/>
    <cellStyle name="20% - Accent6 2 2 6 2 3 2" xfId="18154" xr:uid="{00000000-0005-0000-0000-00000D390000}"/>
    <cellStyle name="20% - Accent6 2 2 6 2 3 2 2" xfId="18155" xr:uid="{00000000-0005-0000-0000-00000E390000}"/>
    <cellStyle name="20% - Accent6 2 2 6 2 3 3" xfId="18156" xr:uid="{00000000-0005-0000-0000-00000F390000}"/>
    <cellStyle name="20% - Accent6 2 2 6 2 4" xfId="18157" xr:uid="{00000000-0005-0000-0000-000010390000}"/>
    <cellStyle name="20% - Accent6 2 2 6 2 4 2" xfId="18158" xr:uid="{00000000-0005-0000-0000-000011390000}"/>
    <cellStyle name="20% - Accent6 2 2 6 2 5" xfId="18159" xr:uid="{00000000-0005-0000-0000-000012390000}"/>
    <cellStyle name="20% - Accent6 2 2 6 2 5 2" xfId="18160" xr:uid="{00000000-0005-0000-0000-000013390000}"/>
    <cellStyle name="20% - Accent6 2 2 6 2 6" xfId="18161" xr:uid="{00000000-0005-0000-0000-000014390000}"/>
    <cellStyle name="20% - Accent6 2 2 6 2 7" xfId="18162" xr:uid="{00000000-0005-0000-0000-000015390000}"/>
    <cellStyle name="20% - Accent6 2 2 6 2 8" xfId="18163" xr:uid="{00000000-0005-0000-0000-000016390000}"/>
    <cellStyle name="20% - Accent6 2 2 6 3" xfId="18164" xr:uid="{00000000-0005-0000-0000-000017390000}"/>
    <cellStyle name="20% - Accent6 2 2 6 3 2" xfId="18165" xr:uid="{00000000-0005-0000-0000-000018390000}"/>
    <cellStyle name="20% - Accent6 2 2 6 3 2 2" xfId="18166" xr:uid="{00000000-0005-0000-0000-000019390000}"/>
    <cellStyle name="20% - Accent6 2 2 6 3 2 2 2" xfId="18167" xr:uid="{00000000-0005-0000-0000-00001A390000}"/>
    <cellStyle name="20% - Accent6 2 2 6 3 2 2 2 2" xfId="18168" xr:uid="{00000000-0005-0000-0000-00001B390000}"/>
    <cellStyle name="20% - Accent6 2 2 6 3 2 2 3" xfId="18169" xr:uid="{00000000-0005-0000-0000-00001C390000}"/>
    <cellStyle name="20% - Accent6 2 2 6 3 2 3" xfId="18170" xr:uid="{00000000-0005-0000-0000-00001D390000}"/>
    <cellStyle name="20% - Accent6 2 2 6 3 2 3 2" xfId="18171" xr:uid="{00000000-0005-0000-0000-00001E390000}"/>
    <cellStyle name="20% - Accent6 2 2 6 3 2 4" xfId="18172" xr:uid="{00000000-0005-0000-0000-00001F390000}"/>
    <cellStyle name="20% - Accent6 2 2 6 3 2 5" xfId="18173" xr:uid="{00000000-0005-0000-0000-000020390000}"/>
    <cellStyle name="20% - Accent6 2 2 6 3 2 6" xfId="18174" xr:uid="{00000000-0005-0000-0000-000021390000}"/>
    <cellStyle name="20% - Accent6 2 2 6 3 3" xfId="18175" xr:uid="{00000000-0005-0000-0000-000022390000}"/>
    <cellStyle name="20% - Accent6 2 2 6 3 3 2" xfId="18176" xr:uid="{00000000-0005-0000-0000-000023390000}"/>
    <cellStyle name="20% - Accent6 2 2 6 3 3 2 2" xfId="18177" xr:uid="{00000000-0005-0000-0000-000024390000}"/>
    <cellStyle name="20% - Accent6 2 2 6 3 3 3" xfId="18178" xr:uid="{00000000-0005-0000-0000-000025390000}"/>
    <cellStyle name="20% - Accent6 2 2 6 3 4" xfId="18179" xr:uid="{00000000-0005-0000-0000-000026390000}"/>
    <cellStyle name="20% - Accent6 2 2 6 3 4 2" xfId="18180" xr:uid="{00000000-0005-0000-0000-000027390000}"/>
    <cellStyle name="20% - Accent6 2 2 6 3 5" xfId="18181" xr:uid="{00000000-0005-0000-0000-000028390000}"/>
    <cellStyle name="20% - Accent6 2 2 6 3 6" xfId="18182" xr:uid="{00000000-0005-0000-0000-000029390000}"/>
    <cellStyle name="20% - Accent6 2 2 6 3 7" xfId="18183" xr:uid="{00000000-0005-0000-0000-00002A390000}"/>
    <cellStyle name="20% - Accent6 2 2 6 4" xfId="18184" xr:uid="{00000000-0005-0000-0000-00002B390000}"/>
    <cellStyle name="20% - Accent6 2 2 6 4 2" xfId="18185" xr:uid="{00000000-0005-0000-0000-00002C390000}"/>
    <cellStyle name="20% - Accent6 2 2 6 4 2 2" xfId="18186" xr:uid="{00000000-0005-0000-0000-00002D390000}"/>
    <cellStyle name="20% - Accent6 2 2 6 4 2 2 2" xfId="18187" xr:uid="{00000000-0005-0000-0000-00002E390000}"/>
    <cellStyle name="20% - Accent6 2 2 6 4 2 3" xfId="18188" xr:uid="{00000000-0005-0000-0000-00002F390000}"/>
    <cellStyle name="20% - Accent6 2 2 6 4 3" xfId="18189" xr:uid="{00000000-0005-0000-0000-000030390000}"/>
    <cellStyle name="20% - Accent6 2 2 6 4 3 2" xfId="18190" xr:uid="{00000000-0005-0000-0000-000031390000}"/>
    <cellStyle name="20% - Accent6 2 2 6 4 4" xfId="18191" xr:uid="{00000000-0005-0000-0000-000032390000}"/>
    <cellStyle name="20% - Accent6 2 2 6 4 5" xfId="18192" xr:uid="{00000000-0005-0000-0000-000033390000}"/>
    <cellStyle name="20% - Accent6 2 2 6 4 6" xfId="18193" xr:uid="{00000000-0005-0000-0000-000034390000}"/>
    <cellStyle name="20% - Accent6 2 2 6 5" xfId="18194" xr:uid="{00000000-0005-0000-0000-000035390000}"/>
    <cellStyle name="20% - Accent6 2 2 6 5 2" xfId="18195" xr:uid="{00000000-0005-0000-0000-000036390000}"/>
    <cellStyle name="20% - Accent6 2 2 6 5 2 2" xfId="18196" xr:uid="{00000000-0005-0000-0000-000037390000}"/>
    <cellStyle name="20% - Accent6 2 2 6 5 3" xfId="18197" xr:uid="{00000000-0005-0000-0000-000038390000}"/>
    <cellStyle name="20% - Accent6 2 2 6 6" xfId="18198" xr:uid="{00000000-0005-0000-0000-000039390000}"/>
    <cellStyle name="20% - Accent6 2 2 6 6 2" xfId="18199" xr:uid="{00000000-0005-0000-0000-00003A390000}"/>
    <cellStyle name="20% - Accent6 2 2 6 6 2 2" xfId="18200" xr:uid="{00000000-0005-0000-0000-00003B390000}"/>
    <cellStyle name="20% - Accent6 2 2 6 6 3" xfId="18201" xr:uid="{00000000-0005-0000-0000-00003C390000}"/>
    <cellStyle name="20% - Accent6 2 2 6 7" xfId="18202" xr:uid="{00000000-0005-0000-0000-00003D390000}"/>
    <cellStyle name="20% - Accent6 2 2 6 7 2" xfId="18203" xr:uid="{00000000-0005-0000-0000-00003E390000}"/>
    <cellStyle name="20% - Accent6 2 2 6 8" xfId="18204" xr:uid="{00000000-0005-0000-0000-00003F390000}"/>
    <cellStyle name="20% - Accent6 2 2 6 8 2" xfId="18205" xr:uid="{00000000-0005-0000-0000-000040390000}"/>
    <cellStyle name="20% - Accent6 2 2 6 9" xfId="18206" xr:uid="{00000000-0005-0000-0000-000041390000}"/>
    <cellStyle name="20% - Accent6 2 2 7" xfId="18207" xr:uid="{00000000-0005-0000-0000-000042390000}"/>
    <cellStyle name="20% - Accent6 2 2 7 2" xfId="18208" xr:uid="{00000000-0005-0000-0000-000043390000}"/>
    <cellStyle name="20% - Accent6 2 2 7 2 2" xfId="18209" xr:uid="{00000000-0005-0000-0000-000044390000}"/>
    <cellStyle name="20% - Accent6 2 2 7 2 2 2" xfId="18210" xr:uid="{00000000-0005-0000-0000-000045390000}"/>
    <cellStyle name="20% - Accent6 2 2 7 2 2 2 2" xfId="18211" xr:uid="{00000000-0005-0000-0000-000046390000}"/>
    <cellStyle name="20% - Accent6 2 2 7 2 2 3" xfId="18212" xr:uid="{00000000-0005-0000-0000-000047390000}"/>
    <cellStyle name="20% - Accent6 2 2 7 2 3" xfId="18213" xr:uid="{00000000-0005-0000-0000-000048390000}"/>
    <cellStyle name="20% - Accent6 2 2 7 2 3 2" xfId="18214" xr:uid="{00000000-0005-0000-0000-000049390000}"/>
    <cellStyle name="20% - Accent6 2 2 7 2 4" xfId="18215" xr:uid="{00000000-0005-0000-0000-00004A390000}"/>
    <cellStyle name="20% - Accent6 2 2 7 2 5" xfId="18216" xr:uid="{00000000-0005-0000-0000-00004B390000}"/>
    <cellStyle name="20% - Accent6 2 2 7 2 6" xfId="18217" xr:uid="{00000000-0005-0000-0000-00004C390000}"/>
    <cellStyle name="20% - Accent6 2 2 7 3" xfId="18218" xr:uid="{00000000-0005-0000-0000-00004D390000}"/>
    <cellStyle name="20% - Accent6 2 2 7 3 2" xfId="18219" xr:uid="{00000000-0005-0000-0000-00004E390000}"/>
    <cellStyle name="20% - Accent6 2 2 7 3 2 2" xfId="18220" xr:uid="{00000000-0005-0000-0000-00004F390000}"/>
    <cellStyle name="20% - Accent6 2 2 7 3 3" xfId="18221" xr:uid="{00000000-0005-0000-0000-000050390000}"/>
    <cellStyle name="20% - Accent6 2 2 7 4" xfId="18222" xr:uid="{00000000-0005-0000-0000-000051390000}"/>
    <cellStyle name="20% - Accent6 2 2 7 4 2" xfId="18223" xr:uid="{00000000-0005-0000-0000-000052390000}"/>
    <cellStyle name="20% - Accent6 2 2 7 5" xfId="18224" xr:uid="{00000000-0005-0000-0000-000053390000}"/>
    <cellStyle name="20% - Accent6 2 2 7 5 2" xfId="18225" xr:uid="{00000000-0005-0000-0000-000054390000}"/>
    <cellStyle name="20% - Accent6 2 2 7 6" xfId="18226" xr:uid="{00000000-0005-0000-0000-000055390000}"/>
    <cellStyle name="20% - Accent6 2 2 7 7" xfId="18227" xr:uid="{00000000-0005-0000-0000-000056390000}"/>
    <cellStyle name="20% - Accent6 2 2 7 8" xfId="18228" xr:uid="{00000000-0005-0000-0000-000057390000}"/>
    <cellStyle name="20% - Accent6 2 2 8" xfId="18229" xr:uid="{00000000-0005-0000-0000-000058390000}"/>
    <cellStyle name="20% - Accent6 2 2 8 2" xfId="18230" xr:uid="{00000000-0005-0000-0000-000059390000}"/>
    <cellStyle name="20% - Accent6 2 2 8 2 2" xfId="18231" xr:uid="{00000000-0005-0000-0000-00005A390000}"/>
    <cellStyle name="20% - Accent6 2 2 8 2 2 2" xfId="18232" xr:uid="{00000000-0005-0000-0000-00005B390000}"/>
    <cellStyle name="20% - Accent6 2 2 8 2 2 2 2" xfId="18233" xr:uid="{00000000-0005-0000-0000-00005C390000}"/>
    <cellStyle name="20% - Accent6 2 2 8 2 2 3" xfId="18234" xr:uid="{00000000-0005-0000-0000-00005D390000}"/>
    <cellStyle name="20% - Accent6 2 2 8 2 3" xfId="18235" xr:uid="{00000000-0005-0000-0000-00005E390000}"/>
    <cellStyle name="20% - Accent6 2 2 8 2 3 2" xfId="18236" xr:uid="{00000000-0005-0000-0000-00005F390000}"/>
    <cellStyle name="20% - Accent6 2 2 8 2 4" xfId="18237" xr:uid="{00000000-0005-0000-0000-000060390000}"/>
    <cellStyle name="20% - Accent6 2 2 8 2 5" xfId="18238" xr:uid="{00000000-0005-0000-0000-000061390000}"/>
    <cellStyle name="20% - Accent6 2 2 8 2 6" xfId="18239" xr:uid="{00000000-0005-0000-0000-000062390000}"/>
    <cellStyle name="20% - Accent6 2 2 8 3" xfId="18240" xr:uid="{00000000-0005-0000-0000-000063390000}"/>
    <cellStyle name="20% - Accent6 2 2 8 3 2" xfId="18241" xr:uid="{00000000-0005-0000-0000-000064390000}"/>
    <cellStyle name="20% - Accent6 2 2 8 3 2 2" xfId="18242" xr:uid="{00000000-0005-0000-0000-000065390000}"/>
    <cellStyle name="20% - Accent6 2 2 8 3 3" xfId="18243" xr:uid="{00000000-0005-0000-0000-000066390000}"/>
    <cellStyle name="20% - Accent6 2 2 8 4" xfId="18244" xr:uid="{00000000-0005-0000-0000-000067390000}"/>
    <cellStyle name="20% - Accent6 2 2 8 4 2" xfId="18245" xr:uid="{00000000-0005-0000-0000-000068390000}"/>
    <cellStyle name="20% - Accent6 2 2 8 5" xfId="18246" xr:uid="{00000000-0005-0000-0000-000069390000}"/>
    <cellStyle name="20% - Accent6 2 2 8 6" xfId="18247" xr:uid="{00000000-0005-0000-0000-00006A390000}"/>
    <cellStyle name="20% - Accent6 2 2 8 7" xfId="18248" xr:uid="{00000000-0005-0000-0000-00006B390000}"/>
    <cellStyle name="20% - Accent6 2 2 9" xfId="18249" xr:uid="{00000000-0005-0000-0000-00006C390000}"/>
    <cellStyle name="20% - Accent6 2 2 9 2" xfId="18250" xr:uid="{00000000-0005-0000-0000-00006D390000}"/>
    <cellStyle name="20% - Accent6 2 2 9 2 2" xfId="18251" xr:uid="{00000000-0005-0000-0000-00006E390000}"/>
    <cellStyle name="20% - Accent6 2 2 9 2 2 2" xfId="18252" xr:uid="{00000000-0005-0000-0000-00006F390000}"/>
    <cellStyle name="20% - Accent6 2 2 9 2 3" xfId="18253" xr:uid="{00000000-0005-0000-0000-000070390000}"/>
    <cellStyle name="20% - Accent6 2 2 9 3" xfId="18254" xr:uid="{00000000-0005-0000-0000-000071390000}"/>
    <cellStyle name="20% - Accent6 2 2 9 3 2" xfId="18255" xr:uid="{00000000-0005-0000-0000-000072390000}"/>
    <cellStyle name="20% - Accent6 2 2 9 4" xfId="18256" xr:uid="{00000000-0005-0000-0000-000073390000}"/>
    <cellStyle name="20% - Accent6 2 2 9 5" xfId="18257" xr:uid="{00000000-0005-0000-0000-000074390000}"/>
    <cellStyle name="20% - Accent6 2 2 9 6" xfId="18258" xr:uid="{00000000-0005-0000-0000-000075390000}"/>
    <cellStyle name="20% - Accent6 2 3" xfId="18259" xr:uid="{00000000-0005-0000-0000-000076390000}"/>
    <cellStyle name="20% - Accent6 2 3 2" xfId="18260" xr:uid="{00000000-0005-0000-0000-000077390000}"/>
    <cellStyle name="20% - Accent6 2 3 2 2" xfId="18261" xr:uid="{00000000-0005-0000-0000-000078390000}"/>
    <cellStyle name="20% - Accent6 2 3 2 2 2" xfId="18262" xr:uid="{00000000-0005-0000-0000-000079390000}"/>
    <cellStyle name="20% - Accent6 2 3 2 2 2 2" xfId="18263" xr:uid="{00000000-0005-0000-0000-00007A390000}"/>
    <cellStyle name="20% - Accent6 2 3 2 2 3" xfId="18264" xr:uid="{00000000-0005-0000-0000-00007B390000}"/>
    <cellStyle name="20% - Accent6 2 3 2 3" xfId="18265" xr:uid="{00000000-0005-0000-0000-00007C390000}"/>
    <cellStyle name="20% - Accent6 2 3 2 3 2" xfId="18266" xr:uid="{00000000-0005-0000-0000-00007D390000}"/>
    <cellStyle name="20% - Accent6 2 3 2 4" xfId="18267" xr:uid="{00000000-0005-0000-0000-00007E390000}"/>
    <cellStyle name="20% - Accent6 2 3 3" xfId="18268" xr:uid="{00000000-0005-0000-0000-00007F390000}"/>
    <cellStyle name="20% - Accent6 2 3 3 2" xfId="18269" xr:uid="{00000000-0005-0000-0000-000080390000}"/>
    <cellStyle name="20% - Accent6 2 3 3 2 2" xfId="18270" xr:uid="{00000000-0005-0000-0000-000081390000}"/>
    <cellStyle name="20% - Accent6 2 3 3 2 2 2" xfId="18271" xr:uid="{00000000-0005-0000-0000-000082390000}"/>
    <cellStyle name="20% - Accent6 2 3 3 2 3" xfId="18272" xr:uid="{00000000-0005-0000-0000-000083390000}"/>
    <cellStyle name="20% - Accent6 2 3 3 3" xfId="18273" xr:uid="{00000000-0005-0000-0000-000084390000}"/>
    <cellStyle name="20% - Accent6 2 3 3 3 2" xfId="18274" xr:uid="{00000000-0005-0000-0000-000085390000}"/>
    <cellStyle name="20% - Accent6 2 3 3 4" xfId="18275" xr:uid="{00000000-0005-0000-0000-000086390000}"/>
    <cellStyle name="20% - Accent6 2 3 4" xfId="18276" xr:uid="{00000000-0005-0000-0000-000087390000}"/>
    <cellStyle name="20% - Accent6 2 3 4 2" xfId="18277" xr:uid="{00000000-0005-0000-0000-000088390000}"/>
    <cellStyle name="20% - Accent6 2 3 4 2 2" xfId="18278" xr:uid="{00000000-0005-0000-0000-000089390000}"/>
    <cellStyle name="20% - Accent6 2 3 4 2 2 2" xfId="18279" xr:uid="{00000000-0005-0000-0000-00008A390000}"/>
    <cellStyle name="20% - Accent6 2 3 4 2 3" xfId="18280" xr:uid="{00000000-0005-0000-0000-00008B390000}"/>
    <cellStyle name="20% - Accent6 2 3 4 3" xfId="18281" xr:uid="{00000000-0005-0000-0000-00008C390000}"/>
    <cellStyle name="20% - Accent6 2 3 4 3 2" xfId="18282" xr:uid="{00000000-0005-0000-0000-00008D390000}"/>
    <cellStyle name="20% - Accent6 2 3 4 4" xfId="18283" xr:uid="{00000000-0005-0000-0000-00008E390000}"/>
    <cellStyle name="20% - Accent6 2 4" xfId="18284" xr:uid="{00000000-0005-0000-0000-00008F390000}"/>
    <cellStyle name="20% - Accent6 2 4 2" xfId="18285" xr:uid="{00000000-0005-0000-0000-000090390000}"/>
    <cellStyle name="20% - Accent6 2 5" xfId="18286" xr:uid="{00000000-0005-0000-0000-000091390000}"/>
    <cellStyle name="20% - Accent6 2 5 2" xfId="18287" xr:uid="{00000000-0005-0000-0000-000092390000}"/>
    <cellStyle name="20% - Accent6 2 6" xfId="18288" xr:uid="{00000000-0005-0000-0000-000093390000}"/>
    <cellStyle name="20% - Accent6 2 6 2" xfId="18289" xr:uid="{00000000-0005-0000-0000-000094390000}"/>
    <cellStyle name="20% - Accent6 2 7" xfId="18290" xr:uid="{00000000-0005-0000-0000-000095390000}"/>
    <cellStyle name="20% - Accent6 2 7 2" xfId="18291" xr:uid="{00000000-0005-0000-0000-000096390000}"/>
    <cellStyle name="20% - Accent6 2 7 2 2" xfId="18292" xr:uid="{00000000-0005-0000-0000-000097390000}"/>
    <cellStyle name="20% - Accent6 2 7 3" xfId="18293" xr:uid="{00000000-0005-0000-0000-000098390000}"/>
    <cellStyle name="20% - Accent6 3" xfId="187" xr:uid="{00000000-0005-0000-0000-000099390000}"/>
    <cellStyle name="20% - Accent6 3 2" xfId="18294" xr:uid="{00000000-0005-0000-0000-00009A390000}"/>
    <cellStyle name="20% - Accent6 3 2 2" xfId="18295" xr:uid="{00000000-0005-0000-0000-00009B390000}"/>
    <cellStyle name="20% - Accent6 3 2 2 2" xfId="18296" xr:uid="{00000000-0005-0000-0000-00009C390000}"/>
    <cellStyle name="20% - Accent6 3 3" xfId="18297" xr:uid="{00000000-0005-0000-0000-00009D390000}"/>
    <cellStyle name="20% - Accent6 3 3 2" xfId="18298" xr:uid="{00000000-0005-0000-0000-00009E390000}"/>
    <cellStyle name="20% - Accent6 3 3 2 2" xfId="18299" xr:uid="{00000000-0005-0000-0000-00009F390000}"/>
    <cellStyle name="20% - Accent6 3 3 2 2 2" xfId="18300" xr:uid="{00000000-0005-0000-0000-0000A0390000}"/>
    <cellStyle name="20% - Accent6 3 3 2 2 2 2" xfId="18301" xr:uid="{00000000-0005-0000-0000-0000A1390000}"/>
    <cellStyle name="20% - Accent6 3 3 2 2 3" xfId="18302" xr:uid="{00000000-0005-0000-0000-0000A2390000}"/>
    <cellStyle name="20% - Accent6 3 3 2 3" xfId="18303" xr:uid="{00000000-0005-0000-0000-0000A3390000}"/>
    <cellStyle name="20% - Accent6 3 3 2 3 2" xfId="18304" xr:uid="{00000000-0005-0000-0000-0000A4390000}"/>
    <cellStyle name="20% - Accent6 3 3 2 4" xfId="18305" xr:uid="{00000000-0005-0000-0000-0000A5390000}"/>
    <cellStyle name="20% - Accent6 3 3 2 5" xfId="18306" xr:uid="{00000000-0005-0000-0000-0000A6390000}"/>
    <cellStyle name="20% - Accent6 3 3 2 6" xfId="18307" xr:uid="{00000000-0005-0000-0000-0000A7390000}"/>
    <cellStyle name="20% - Accent6 3 3 3" xfId="18308" xr:uid="{00000000-0005-0000-0000-0000A8390000}"/>
    <cellStyle name="20% - Accent6 3 3 3 2" xfId="18309" xr:uid="{00000000-0005-0000-0000-0000A9390000}"/>
    <cellStyle name="20% - Accent6 3 3 3 2 2" xfId="18310" xr:uid="{00000000-0005-0000-0000-0000AA390000}"/>
    <cellStyle name="20% - Accent6 3 3 3 3" xfId="18311" xr:uid="{00000000-0005-0000-0000-0000AB390000}"/>
    <cellStyle name="20% - Accent6 3 3 4" xfId="18312" xr:uid="{00000000-0005-0000-0000-0000AC390000}"/>
    <cellStyle name="20% - Accent6 3 3 4 2" xfId="18313" xr:uid="{00000000-0005-0000-0000-0000AD390000}"/>
    <cellStyle name="20% - Accent6 3 3 4 2 2" xfId="18314" xr:uid="{00000000-0005-0000-0000-0000AE390000}"/>
    <cellStyle name="20% - Accent6 3 3 4 3" xfId="18315" xr:uid="{00000000-0005-0000-0000-0000AF390000}"/>
    <cellStyle name="20% - Accent6 3 3 5" xfId="18316" xr:uid="{00000000-0005-0000-0000-0000B0390000}"/>
    <cellStyle name="20% - Accent6 3 3 6" xfId="18317" xr:uid="{00000000-0005-0000-0000-0000B1390000}"/>
    <cellStyle name="20% - Accent6 3 4" xfId="18318" xr:uid="{00000000-0005-0000-0000-0000B2390000}"/>
    <cellStyle name="20% - Accent6 3 4 2" xfId="18319" xr:uid="{00000000-0005-0000-0000-0000B3390000}"/>
    <cellStyle name="20% - Accent6 3 4 2 2" xfId="18320" xr:uid="{00000000-0005-0000-0000-0000B4390000}"/>
    <cellStyle name="20% - Accent6 3 4 2 2 2" xfId="18321" xr:uid="{00000000-0005-0000-0000-0000B5390000}"/>
    <cellStyle name="20% - Accent6 3 4 2 2 2 2" xfId="18322" xr:uid="{00000000-0005-0000-0000-0000B6390000}"/>
    <cellStyle name="20% - Accent6 3 4 2 2 3" xfId="18323" xr:uid="{00000000-0005-0000-0000-0000B7390000}"/>
    <cellStyle name="20% - Accent6 3 4 2 3" xfId="18324" xr:uid="{00000000-0005-0000-0000-0000B8390000}"/>
    <cellStyle name="20% - Accent6 3 4 2 3 2" xfId="18325" xr:uid="{00000000-0005-0000-0000-0000B9390000}"/>
    <cellStyle name="20% - Accent6 3 4 2 4" xfId="18326" xr:uid="{00000000-0005-0000-0000-0000BA390000}"/>
    <cellStyle name="20% - Accent6 3 4 2 5" xfId="18327" xr:uid="{00000000-0005-0000-0000-0000BB390000}"/>
    <cellStyle name="20% - Accent6 3 4 2 6" xfId="18328" xr:uid="{00000000-0005-0000-0000-0000BC390000}"/>
    <cellStyle name="20% - Accent6 3 4 3" xfId="18329" xr:uid="{00000000-0005-0000-0000-0000BD390000}"/>
    <cellStyle name="20% - Accent6 3 4 3 2" xfId="18330" xr:uid="{00000000-0005-0000-0000-0000BE390000}"/>
    <cellStyle name="20% - Accent6 3 4 3 2 2" xfId="18331" xr:uid="{00000000-0005-0000-0000-0000BF390000}"/>
    <cellStyle name="20% - Accent6 3 4 3 3" xfId="18332" xr:uid="{00000000-0005-0000-0000-0000C0390000}"/>
    <cellStyle name="20% - Accent6 3 4 4" xfId="18333" xr:uid="{00000000-0005-0000-0000-0000C1390000}"/>
    <cellStyle name="20% - Accent6 3 4 4 2" xfId="18334" xr:uid="{00000000-0005-0000-0000-0000C2390000}"/>
    <cellStyle name="20% - Accent6 3 4 5" xfId="18335" xr:uid="{00000000-0005-0000-0000-0000C3390000}"/>
    <cellStyle name="20% - Accent6 3 4 6" xfId="18336" xr:uid="{00000000-0005-0000-0000-0000C4390000}"/>
    <cellStyle name="20% - Accent6 3 4 7" xfId="18337" xr:uid="{00000000-0005-0000-0000-0000C5390000}"/>
    <cellStyle name="20% - Accent6 3 5" xfId="18338" xr:uid="{00000000-0005-0000-0000-0000C6390000}"/>
    <cellStyle name="20% - Accent6 3 6" xfId="18339" xr:uid="{00000000-0005-0000-0000-0000C7390000}"/>
    <cellStyle name="20% - Accent6 3 6 2" xfId="18340" xr:uid="{00000000-0005-0000-0000-0000C8390000}"/>
    <cellStyle name="20% - Accent6 3 6 2 2" xfId="18341" xr:uid="{00000000-0005-0000-0000-0000C9390000}"/>
    <cellStyle name="20% - Accent6 3 6 2 2 2" xfId="18342" xr:uid="{00000000-0005-0000-0000-0000CA390000}"/>
    <cellStyle name="20% - Accent6 3 6 2 3" xfId="18343" xr:uid="{00000000-0005-0000-0000-0000CB390000}"/>
    <cellStyle name="20% - Accent6 3 6 3" xfId="18344" xr:uid="{00000000-0005-0000-0000-0000CC390000}"/>
    <cellStyle name="20% - Accent6 3 6 3 2" xfId="18345" xr:uid="{00000000-0005-0000-0000-0000CD390000}"/>
    <cellStyle name="20% - Accent6 3 6 4" xfId="18346" xr:uid="{00000000-0005-0000-0000-0000CE390000}"/>
    <cellStyle name="20% - Accent6 3 7" xfId="18347" xr:uid="{00000000-0005-0000-0000-0000CF390000}"/>
    <cellStyle name="20% - Accent6 3 7 2" xfId="18348" xr:uid="{00000000-0005-0000-0000-0000D0390000}"/>
    <cellStyle name="20% - Accent6 3 7 2 2" xfId="18349" xr:uid="{00000000-0005-0000-0000-0000D1390000}"/>
    <cellStyle name="20% - Accent6 3 7 2 2 2" xfId="18350" xr:uid="{00000000-0005-0000-0000-0000D2390000}"/>
    <cellStyle name="20% - Accent6 3 7 2 3" xfId="18351" xr:uid="{00000000-0005-0000-0000-0000D3390000}"/>
    <cellStyle name="20% - Accent6 3 7 3" xfId="18352" xr:uid="{00000000-0005-0000-0000-0000D4390000}"/>
    <cellStyle name="20% - Accent6 3 7 3 2" xfId="18353" xr:uid="{00000000-0005-0000-0000-0000D5390000}"/>
    <cellStyle name="20% - Accent6 3 7 4" xfId="18354" xr:uid="{00000000-0005-0000-0000-0000D6390000}"/>
    <cellStyle name="20% - Accent6 3 8" xfId="18355" xr:uid="{00000000-0005-0000-0000-0000D7390000}"/>
    <cellStyle name="20% - Accent6 3 8 2" xfId="18356" xr:uid="{00000000-0005-0000-0000-0000D8390000}"/>
    <cellStyle name="20% - Accent6 3 8 2 2" xfId="18357" xr:uid="{00000000-0005-0000-0000-0000D9390000}"/>
    <cellStyle name="20% - Accent6 3 8 2 2 2" xfId="18358" xr:uid="{00000000-0005-0000-0000-0000DA390000}"/>
    <cellStyle name="20% - Accent6 3 8 2 3" xfId="18359" xr:uid="{00000000-0005-0000-0000-0000DB390000}"/>
    <cellStyle name="20% - Accent6 3 8 3" xfId="18360" xr:uid="{00000000-0005-0000-0000-0000DC390000}"/>
    <cellStyle name="20% - Accent6 3 8 3 2" xfId="18361" xr:uid="{00000000-0005-0000-0000-0000DD390000}"/>
    <cellStyle name="20% - Accent6 3 8 4" xfId="18362" xr:uid="{00000000-0005-0000-0000-0000DE390000}"/>
    <cellStyle name="20% - Accent6 3 9" xfId="18363" xr:uid="{00000000-0005-0000-0000-0000DF390000}"/>
    <cellStyle name="20% - Accent6 3 9 2" xfId="18364" xr:uid="{00000000-0005-0000-0000-0000E0390000}"/>
    <cellStyle name="20% - Accent6 3 9 2 2" xfId="18365" xr:uid="{00000000-0005-0000-0000-0000E1390000}"/>
    <cellStyle name="20% - Accent6 3 9 3" xfId="18366" xr:uid="{00000000-0005-0000-0000-0000E2390000}"/>
    <cellStyle name="20% - Accent6 4" xfId="188" xr:uid="{00000000-0005-0000-0000-0000E3390000}"/>
    <cellStyle name="20% - Accent6 4 2" xfId="18367" xr:uid="{00000000-0005-0000-0000-0000E4390000}"/>
    <cellStyle name="20% - Accent6 4 2 10" xfId="18368" xr:uid="{00000000-0005-0000-0000-0000E5390000}"/>
    <cellStyle name="20% - Accent6 4 2 2" xfId="18369" xr:uid="{00000000-0005-0000-0000-0000E6390000}"/>
    <cellStyle name="20% - Accent6 4 2 2 2" xfId="18370" xr:uid="{00000000-0005-0000-0000-0000E7390000}"/>
    <cellStyle name="20% - Accent6 4 2 2 2 2" xfId="18371" xr:uid="{00000000-0005-0000-0000-0000E8390000}"/>
    <cellStyle name="20% - Accent6 4 2 2 2 2 2" xfId="18372" xr:uid="{00000000-0005-0000-0000-0000E9390000}"/>
    <cellStyle name="20% - Accent6 4 2 2 2 2 2 2" xfId="18373" xr:uid="{00000000-0005-0000-0000-0000EA390000}"/>
    <cellStyle name="20% - Accent6 4 2 2 2 2 3" xfId="18374" xr:uid="{00000000-0005-0000-0000-0000EB390000}"/>
    <cellStyle name="20% - Accent6 4 2 2 2 3" xfId="18375" xr:uid="{00000000-0005-0000-0000-0000EC390000}"/>
    <cellStyle name="20% - Accent6 4 2 2 2 3 2" xfId="18376" xr:uid="{00000000-0005-0000-0000-0000ED390000}"/>
    <cellStyle name="20% - Accent6 4 2 2 2 4" xfId="18377" xr:uid="{00000000-0005-0000-0000-0000EE390000}"/>
    <cellStyle name="20% - Accent6 4 2 2 2 5" xfId="18378" xr:uid="{00000000-0005-0000-0000-0000EF390000}"/>
    <cellStyle name="20% - Accent6 4 2 2 2 6" xfId="18379" xr:uid="{00000000-0005-0000-0000-0000F0390000}"/>
    <cellStyle name="20% - Accent6 4 2 2 3" xfId="18380" xr:uid="{00000000-0005-0000-0000-0000F1390000}"/>
    <cellStyle name="20% - Accent6 4 2 2 3 2" xfId="18381" xr:uid="{00000000-0005-0000-0000-0000F2390000}"/>
    <cellStyle name="20% - Accent6 4 2 2 3 2 2" xfId="18382" xr:uid="{00000000-0005-0000-0000-0000F3390000}"/>
    <cellStyle name="20% - Accent6 4 2 2 3 3" xfId="18383" xr:uid="{00000000-0005-0000-0000-0000F4390000}"/>
    <cellStyle name="20% - Accent6 4 2 2 4" xfId="18384" xr:uid="{00000000-0005-0000-0000-0000F5390000}"/>
    <cellStyle name="20% - Accent6 4 2 2 4 2" xfId="18385" xr:uid="{00000000-0005-0000-0000-0000F6390000}"/>
    <cellStyle name="20% - Accent6 4 2 2 5" xfId="18386" xr:uid="{00000000-0005-0000-0000-0000F7390000}"/>
    <cellStyle name="20% - Accent6 4 2 2 6" xfId="18387" xr:uid="{00000000-0005-0000-0000-0000F8390000}"/>
    <cellStyle name="20% - Accent6 4 2 2 7" xfId="18388" xr:uid="{00000000-0005-0000-0000-0000F9390000}"/>
    <cellStyle name="20% - Accent6 4 2 3" xfId="18389" xr:uid="{00000000-0005-0000-0000-0000FA390000}"/>
    <cellStyle name="20% - Accent6 4 2 3 2" xfId="18390" xr:uid="{00000000-0005-0000-0000-0000FB390000}"/>
    <cellStyle name="20% - Accent6 4 2 3 2 2" xfId="18391" xr:uid="{00000000-0005-0000-0000-0000FC390000}"/>
    <cellStyle name="20% - Accent6 4 2 3 2 2 2" xfId="18392" xr:uid="{00000000-0005-0000-0000-0000FD390000}"/>
    <cellStyle name="20% - Accent6 4 2 3 2 3" xfId="18393" xr:uid="{00000000-0005-0000-0000-0000FE390000}"/>
    <cellStyle name="20% - Accent6 4 2 3 3" xfId="18394" xr:uid="{00000000-0005-0000-0000-0000FF390000}"/>
    <cellStyle name="20% - Accent6 4 2 3 3 2" xfId="18395" xr:uid="{00000000-0005-0000-0000-0000003A0000}"/>
    <cellStyle name="20% - Accent6 4 2 3 4" xfId="18396" xr:uid="{00000000-0005-0000-0000-0000013A0000}"/>
    <cellStyle name="20% - Accent6 4 2 3 5" xfId="18397" xr:uid="{00000000-0005-0000-0000-0000023A0000}"/>
    <cellStyle name="20% - Accent6 4 2 3 6" xfId="18398" xr:uid="{00000000-0005-0000-0000-0000033A0000}"/>
    <cellStyle name="20% - Accent6 4 2 4" xfId="18399" xr:uid="{00000000-0005-0000-0000-0000043A0000}"/>
    <cellStyle name="20% - Accent6 4 2 4 2" xfId="18400" xr:uid="{00000000-0005-0000-0000-0000053A0000}"/>
    <cellStyle name="20% - Accent6 4 2 4 2 2" xfId="18401" xr:uid="{00000000-0005-0000-0000-0000063A0000}"/>
    <cellStyle name="20% - Accent6 4 2 4 3" xfId="18402" xr:uid="{00000000-0005-0000-0000-0000073A0000}"/>
    <cellStyle name="20% - Accent6 4 2 5" xfId="18403" xr:uid="{00000000-0005-0000-0000-0000083A0000}"/>
    <cellStyle name="20% - Accent6 4 2 5 2" xfId="18404" xr:uid="{00000000-0005-0000-0000-0000093A0000}"/>
    <cellStyle name="20% - Accent6 4 2 5 2 2" xfId="18405" xr:uid="{00000000-0005-0000-0000-00000A3A0000}"/>
    <cellStyle name="20% - Accent6 4 2 5 3" xfId="18406" xr:uid="{00000000-0005-0000-0000-00000B3A0000}"/>
    <cellStyle name="20% - Accent6 4 2 6" xfId="18407" xr:uid="{00000000-0005-0000-0000-00000C3A0000}"/>
    <cellStyle name="20% - Accent6 4 2 6 2" xfId="18408" xr:uid="{00000000-0005-0000-0000-00000D3A0000}"/>
    <cellStyle name="20% - Accent6 4 2 7" xfId="18409" xr:uid="{00000000-0005-0000-0000-00000E3A0000}"/>
    <cellStyle name="20% - Accent6 4 2 7 2" xfId="18410" xr:uid="{00000000-0005-0000-0000-00000F3A0000}"/>
    <cellStyle name="20% - Accent6 4 2 8" xfId="18411" xr:uid="{00000000-0005-0000-0000-0000103A0000}"/>
    <cellStyle name="20% - Accent6 4 2 9" xfId="18412" xr:uid="{00000000-0005-0000-0000-0000113A0000}"/>
    <cellStyle name="20% - Accent6 4 3" xfId="18413" xr:uid="{00000000-0005-0000-0000-0000123A0000}"/>
    <cellStyle name="20% - Accent6 4 3 2" xfId="18414" xr:uid="{00000000-0005-0000-0000-0000133A0000}"/>
    <cellStyle name="20% - Accent6 4 3 2 2" xfId="18415" xr:uid="{00000000-0005-0000-0000-0000143A0000}"/>
    <cellStyle name="20% - Accent6 4 3 2 2 2" xfId="18416" xr:uid="{00000000-0005-0000-0000-0000153A0000}"/>
    <cellStyle name="20% - Accent6 4 3 2 2 2 2" xfId="18417" xr:uid="{00000000-0005-0000-0000-0000163A0000}"/>
    <cellStyle name="20% - Accent6 4 3 2 2 3" xfId="18418" xr:uid="{00000000-0005-0000-0000-0000173A0000}"/>
    <cellStyle name="20% - Accent6 4 3 2 3" xfId="18419" xr:uid="{00000000-0005-0000-0000-0000183A0000}"/>
    <cellStyle name="20% - Accent6 4 3 2 3 2" xfId="18420" xr:uid="{00000000-0005-0000-0000-0000193A0000}"/>
    <cellStyle name="20% - Accent6 4 3 2 4" xfId="18421" xr:uid="{00000000-0005-0000-0000-00001A3A0000}"/>
    <cellStyle name="20% - Accent6 4 3 2 5" xfId="18422" xr:uid="{00000000-0005-0000-0000-00001B3A0000}"/>
    <cellStyle name="20% - Accent6 4 3 2 6" xfId="18423" xr:uid="{00000000-0005-0000-0000-00001C3A0000}"/>
    <cellStyle name="20% - Accent6 4 3 3" xfId="18424" xr:uid="{00000000-0005-0000-0000-00001D3A0000}"/>
    <cellStyle name="20% - Accent6 4 3 3 2" xfId="18425" xr:uid="{00000000-0005-0000-0000-00001E3A0000}"/>
    <cellStyle name="20% - Accent6 4 3 3 2 2" xfId="18426" xr:uid="{00000000-0005-0000-0000-00001F3A0000}"/>
    <cellStyle name="20% - Accent6 4 3 3 3" xfId="18427" xr:uid="{00000000-0005-0000-0000-0000203A0000}"/>
    <cellStyle name="20% - Accent6 4 3 4" xfId="18428" xr:uid="{00000000-0005-0000-0000-0000213A0000}"/>
    <cellStyle name="20% - Accent6 4 3 4 2" xfId="18429" xr:uid="{00000000-0005-0000-0000-0000223A0000}"/>
    <cellStyle name="20% - Accent6 4 3 4 2 2" xfId="18430" xr:uid="{00000000-0005-0000-0000-0000233A0000}"/>
    <cellStyle name="20% - Accent6 4 3 4 3" xfId="18431" xr:uid="{00000000-0005-0000-0000-0000243A0000}"/>
    <cellStyle name="20% - Accent6 4 3 5" xfId="18432" xr:uid="{00000000-0005-0000-0000-0000253A0000}"/>
    <cellStyle name="20% - Accent6 4 3 6" xfId="18433" xr:uid="{00000000-0005-0000-0000-0000263A0000}"/>
    <cellStyle name="20% - Accent6 4 4" xfId="18434" xr:uid="{00000000-0005-0000-0000-0000273A0000}"/>
    <cellStyle name="20% - Accent6 4 4 2" xfId="18435" xr:uid="{00000000-0005-0000-0000-0000283A0000}"/>
    <cellStyle name="20% - Accent6 4 4 2 2" xfId="18436" xr:uid="{00000000-0005-0000-0000-0000293A0000}"/>
    <cellStyle name="20% - Accent6 4 4 2 2 2" xfId="18437" xr:uid="{00000000-0005-0000-0000-00002A3A0000}"/>
    <cellStyle name="20% - Accent6 4 4 2 2 2 2" xfId="18438" xr:uid="{00000000-0005-0000-0000-00002B3A0000}"/>
    <cellStyle name="20% - Accent6 4 4 2 2 3" xfId="18439" xr:uid="{00000000-0005-0000-0000-00002C3A0000}"/>
    <cellStyle name="20% - Accent6 4 4 2 3" xfId="18440" xr:uid="{00000000-0005-0000-0000-00002D3A0000}"/>
    <cellStyle name="20% - Accent6 4 4 2 3 2" xfId="18441" xr:uid="{00000000-0005-0000-0000-00002E3A0000}"/>
    <cellStyle name="20% - Accent6 4 4 2 4" xfId="18442" xr:uid="{00000000-0005-0000-0000-00002F3A0000}"/>
    <cellStyle name="20% - Accent6 4 4 2 5" xfId="18443" xr:uid="{00000000-0005-0000-0000-0000303A0000}"/>
    <cellStyle name="20% - Accent6 4 4 2 6" xfId="18444" xr:uid="{00000000-0005-0000-0000-0000313A0000}"/>
    <cellStyle name="20% - Accent6 4 4 3" xfId="18445" xr:uid="{00000000-0005-0000-0000-0000323A0000}"/>
    <cellStyle name="20% - Accent6 4 4 3 2" xfId="18446" xr:uid="{00000000-0005-0000-0000-0000333A0000}"/>
    <cellStyle name="20% - Accent6 4 4 3 2 2" xfId="18447" xr:uid="{00000000-0005-0000-0000-0000343A0000}"/>
    <cellStyle name="20% - Accent6 4 4 3 3" xfId="18448" xr:uid="{00000000-0005-0000-0000-0000353A0000}"/>
    <cellStyle name="20% - Accent6 4 4 4" xfId="18449" xr:uid="{00000000-0005-0000-0000-0000363A0000}"/>
    <cellStyle name="20% - Accent6 4 4 4 2" xfId="18450" xr:uid="{00000000-0005-0000-0000-0000373A0000}"/>
    <cellStyle name="20% - Accent6 4 4 5" xfId="18451" xr:uid="{00000000-0005-0000-0000-0000383A0000}"/>
    <cellStyle name="20% - Accent6 4 4 6" xfId="18452" xr:uid="{00000000-0005-0000-0000-0000393A0000}"/>
    <cellStyle name="20% - Accent6 4 4 7" xfId="18453" xr:uid="{00000000-0005-0000-0000-00003A3A0000}"/>
    <cellStyle name="20% - Accent6 4 5" xfId="18454" xr:uid="{00000000-0005-0000-0000-00003B3A0000}"/>
    <cellStyle name="20% - Accent6 4 6" xfId="18455" xr:uid="{00000000-0005-0000-0000-00003C3A0000}"/>
    <cellStyle name="20% - Accent6 4 6 2" xfId="18456" xr:uid="{00000000-0005-0000-0000-00003D3A0000}"/>
    <cellStyle name="20% - Accent6 4 6 2 2" xfId="18457" xr:uid="{00000000-0005-0000-0000-00003E3A0000}"/>
    <cellStyle name="20% - Accent6 4 6 3" xfId="18458" xr:uid="{00000000-0005-0000-0000-00003F3A0000}"/>
    <cellStyle name="20% - Accent6 4 7" xfId="18459" xr:uid="{00000000-0005-0000-0000-0000403A0000}"/>
    <cellStyle name="20% - Accent6 4 7 2" xfId="18460" xr:uid="{00000000-0005-0000-0000-0000413A0000}"/>
    <cellStyle name="20% - Accent6 4 8" xfId="18461" xr:uid="{00000000-0005-0000-0000-0000423A0000}"/>
    <cellStyle name="20% - Accent6 4 9" xfId="18462" xr:uid="{00000000-0005-0000-0000-0000433A0000}"/>
    <cellStyle name="20% - Accent6 5" xfId="189" xr:uid="{00000000-0005-0000-0000-0000443A0000}"/>
    <cellStyle name="20% - Accent6 5 10" xfId="18463" xr:uid="{00000000-0005-0000-0000-0000453A0000}"/>
    <cellStyle name="20% - Accent6 5 10 2" xfId="18464" xr:uid="{00000000-0005-0000-0000-0000463A0000}"/>
    <cellStyle name="20% - Accent6 5 11" xfId="18465" xr:uid="{00000000-0005-0000-0000-0000473A0000}"/>
    <cellStyle name="20% - Accent6 5 12" xfId="18466" xr:uid="{00000000-0005-0000-0000-0000483A0000}"/>
    <cellStyle name="20% - Accent6 5 13" xfId="18467" xr:uid="{00000000-0005-0000-0000-0000493A0000}"/>
    <cellStyle name="20% - Accent6 5 2" xfId="18468" xr:uid="{00000000-0005-0000-0000-00004A3A0000}"/>
    <cellStyle name="20% - Accent6 5 2 10" xfId="18469" xr:uid="{00000000-0005-0000-0000-00004B3A0000}"/>
    <cellStyle name="20% - Accent6 5 2 11" xfId="18470" xr:uid="{00000000-0005-0000-0000-00004C3A0000}"/>
    <cellStyle name="20% - Accent6 5 2 2" xfId="18471" xr:uid="{00000000-0005-0000-0000-00004D3A0000}"/>
    <cellStyle name="20% - Accent6 5 2 2 2" xfId="18472" xr:uid="{00000000-0005-0000-0000-00004E3A0000}"/>
    <cellStyle name="20% - Accent6 5 2 2 2 2" xfId="18473" xr:uid="{00000000-0005-0000-0000-00004F3A0000}"/>
    <cellStyle name="20% - Accent6 5 2 2 2 2 2" xfId="18474" xr:uid="{00000000-0005-0000-0000-0000503A0000}"/>
    <cellStyle name="20% - Accent6 5 2 2 2 2 2 2" xfId="18475" xr:uid="{00000000-0005-0000-0000-0000513A0000}"/>
    <cellStyle name="20% - Accent6 5 2 2 2 2 3" xfId="18476" xr:uid="{00000000-0005-0000-0000-0000523A0000}"/>
    <cellStyle name="20% - Accent6 5 2 2 2 3" xfId="18477" xr:uid="{00000000-0005-0000-0000-0000533A0000}"/>
    <cellStyle name="20% - Accent6 5 2 2 2 3 2" xfId="18478" xr:uid="{00000000-0005-0000-0000-0000543A0000}"/>
    <cellStyle name="20% - Accent6 5 2 2 2 4" xfId="18479" xr:uid="{00000000-0005-0000-0000-0000553A0000}"/>
    <cellStyle name="20% - Accent6 5 2 2 2 5" xfId="18480" xr:uid="{00000000-0005-0000-0000-0000563A0000}"/>
    <cellStyle name="20% - Accent6 5 2 2 2 6" xfId="18481" xr:uid="{00000000-0005-0000-0000-0000573A0000}"/>
    <cellStyle name="20% - Accent6 5 2 2 3" xfId="18482" xr:uid="{00000000-0005-0000-0000-0000583A0000}"/>
    <cellStyle name="20% - Accent6 5 2 2 3 2" xfId="18483" xr:uid="{00000000-0005-0000-0000-0000593A0000}"/>
    <cellStyle name="20% - Accent6 5 2 2 3 2 2" xfId="18484" xr:uid="{00000000-0005-0000-0000-00005A3A0000}"/>
    <cellStyle name="20% - Accent6 5 2 2 3 3" xfId="18485" xr:uid="{00000000-0005-0000-0000-00005B3A0000}"/>
    <cellStyle name="20% - Accent6 5 2 2 4" xfId="18486" xr:uid="{00000000-0005-0000-0000-00005C3A0000}"/>
    <cellStyle name="20% - Accent6 5 2 2 4 2" xfId="18487" xr:uid="{00000000-0005-0000-0000-00005D3A0000}"/>
    <cellStyle name="20% - Accent6 5 2 2 5" xfId="18488" xr:uid="{00000000-0005-0000-0000-00005E3A0000}"/>
    <cellStyle name="20% - Accent6 5 2 2 6" xfId="18489" xr:uid="{00000000-0005-0000-0000-00005F3A0000}"/>
    <cellStyle name="20% - Accent6 5 2 2 7" xfId="18490" xr:uid="{00000000-0005-0000-0000-0000603A0000}"/>
    <cellStyle name="20% - Accent6 5 2 3" xfId="18491" xr:uid="{00000000-0005-0000-0000-0000613A0000}"/>
    <cellStyle name="20% - Accent6 5 2 3 2" xfId="18492" xr:uid="{00000000-0005-0000-0000-0000623A0000}"/>
    <cellStyle name="20% - Accent6 5 2 3 2 2" xfId="18493" xr:uid="{00000000-0005-0000-0000-0000633A0000}"/>
    <cellStyle name="20% - Accent6 5 2 3 2 2 2" xfId="18494" xr:uid="{00000000-0005-0000-0000-0000643A0000}"/>
    <cellStyle name="20% - Accent6 5 2 3 2 2 2 2" xfId="18495" xr:uid="{00000000-0005-0000-0000-0000653A0000}"/>
    <cellStyle name="20% - Accent6 5 2 3 2 2 3" xfId="18496" xr:uid="{00000000-0005-0000-0000-0000663A0000}"/>
    <cellStyle name="20% - Accent6 5 2 3 2 3" xfId="18497" xr:uid="{00000000-0005-0000-0000-0000673A0000}"/>
    <cellStyle name="20% - Accent6 5 2 3 2 3 2" xfId="18498" xr:uid="{00000000-0005-0000-0000-0000683A0000}"/>
    <cellStyle name="20% - Accent6 5 2 3 2 4" xfId="18499" xr:uid="{00000000-0005-0000-0000-0000693A0000}"/>
    <cellStyle name="20% - Accent6 5 2 3 2 5" xfId="18500" xr:uid="{00000000-0005-0000-0000-00006A3A0000}"/>
    <cellStyle name="20% - Accent6 5 2 3 2 6" xfId="18501" xr:uid="{00000000-0005-0000-0000-00006B3A0000}"/>
    <cellStyle name="20% - Accent6 5 2 3 3" xfId="18502" xr:uid="{00000000-0005-0000-0000-00006C3A0000}"/>
    <cellStyle name="20% - Accent6 5 2 3 3 2" xfId="18503" xr:uid="{00000000-0005-0000-0000-00006D3A0000}"/>
    <cellStyle name="20% - Accent6 5 2 3 3 2 2" xfId="18504" xr:uid="{00000000-0005-0000-0000-00006E3A0000}"/>
    <cellStyle name="20% - Accent6 5 2 3 3 3" xfId="18505" xr:uid="{00000000-0005-0000-0000-00006F3A0000}"/>
    <cellStyle name="20% - Accent6 5 2 3 4" xfId="18506" xr:uid="{00000000-0005-0000-0000-0000703A0000}"/>
    <cellStyle name="20% - Accent6 5 2 3 4 2" xfId="18507" xr:uid="{00000000-0005-0000-0000-0000713A0000}"/>
    <cellStyle name="20% - Accent6 5 2 3 5" xfId="18508" xr:uid="{00000000-0005-0000-0000-0000723A0000}"/>
    <cellStyle name="20% - Accent6 5 2 3 6" xfId="18509" xr:uid="{00000000-0005-0000-0000-0000733A0000}"/>
    <cellStyle name="20% - Accent6 5 2 3 7" xfId="18510" xr:uid="{00000000-0005-0000-0000-0000743A0000}"/>
    <cellStyle name="20% - Accent6 5 2 4" xfId="18511" xr:uid="{00000000-0005-0000-0000-0000753A0000}"/>
    <cellStyle name="20% - Accent6 5 2 4 2" xfId="18512" xr:uid="{00000000-0005-0000-0000-0000763A0000}"/>
    <cellStyle name="20% - Accent6 5 2 4 2 2" xfId="18513" xr:uid="{00000000-0005-0000-0000-0000773A0000}"/>
    <cellStyle name="20% - Accent6 5 2 4 2 2 2" xfId="18514" xr:uid="{00000000-0005-0000-0000-0000783A0000}"/>
    <cellStyle name="20% - Accent6 5 2 4 2 3" xfId="18515" xr:uid="{00000000-0005-0000-0000-0000793A0000}"/>
    <cellStyle name="20% - Accent6 5 2 4 3" xfId="18516" xr:uid="{00000000-0005-0000-0000-00007A3A0000}"/>
    <cellStyle name="20% - Accent6 5 2 4 3 2" xfId="18517" xr:uid="{00000000-0005-0000-0000-00007B3A0000}"/>
    <cellStyle name="20% - Accent6 5 2 4 4" xfId="18518" xr:uid="{00000000-0005-0000-0000-00007C3A0000}"/>
    <cellStyle name="20% - Accent6 5 2 4 5" xfId="18519" xr:uid="{00000000-0005-0000-0000-00007D3A0000}"/>
    <cellStyle name="20% - Accent6 5 2 4 6" xfId="18520" xr:uid="{00000000-0005-0000-0000-00007E3A0000}"/>
    <cellStyle name="20% - Accent6 5 2 5" xfId="18521" xr:uid="{00000000-0005-0000-0000-00007F3A0000}"/>
    <cellStyle name="20% - Accent6 5 2 5 2" xfId="18522" xr:uid="{00000000-0005-0000-0000-0000803A0000}"/>
    <cellStyle name="20% - Accent6 5 2 5 2 2" xfId="18523" xr:uid="{00000000-0005-0000-0000-0000813A0000}"/>
    <cellStyle name="20% - Accent6 5 2 5 3" xfId="18524" xr:uid="{00000000-0005-0000-0000-0000823A0000}"/>
    <cellStyle name="20% - Accent6 5 2 6" xfId="18525" xr:uid="{00000000-0005-0000-0000-0000833A0000}"/>
    <cellStyle name="20% - Accent6 5 2 6 2" xfId="18526" xr:uid="{00000000-0005-0000-0000-0000843A0000}"/>
    <cellStyle name="20% - Accent6 5 2 6 2 2" xfId="18527" xr:uid="{00000000-0005-0000-0000-0000853A0000}"/>
    <cellStyle name="20% - Accent6 5 2 6 3" xfId="18528" xr:uid="{00000000-0005-0000-0000-0000863A0000}"/>
    <cellStyle name="20% - Accent6 5 2 7" xfId="18529" xr:uid="{00000000-0005-0000-0000-0000873A0000}"/>
    <cellStyle name="20% - Accent6 5 2 7 2" xfId="18530" xr:uid="{00000000-0005-0000-0000-0000883A0000}"/>
    <cellStyle name="20% - Accent6 5 2 8" xfId="18531" xr:uid="{00000000-0005-0000-0000-0000893A0000}"/>
    <cellStyle name="20% - Accent6 5 2 8 2" xfId="18532" xr:uid="{00000000-0005-0000-0000-00008A3A0000}"/>
    <cellStyle name="20% - Accent6 5 2 9" xfId="18533" xr:uid="{00000000-0005-0000-0000-00008B3A0000}"/>
    <cellStyle name="20% - Accent6 5 3" xfId="18534" xr:uid="{00000000-0005-0000-0000-00008C3A0000}"/>
    <cellStyle name="20% - Accent6 5 3 2" xfId="18535" xr:uid="{00000000-0005-0000-0000-00008D3A0000}"/>
    <cellStyle name="20% - Accent6 5 3 3" xfId="18536" xr:uid="{00000000-0005-0000-0000-00008E3A0000}"/>
    <cellStyle name="20% - Accent6 5 4" xfId="18537" xr:uid="{00000000-0005-0000-0000-00008F3A0000}"/>
    <cellStyle name="20% - Accent6 5 4 2" xfId="18538" xr:uid="{00000000-0005-0000-0000-0000903A0000}"/>
    <cellStyle name="20% - Accent6 5 4 2 2" xfId="18539" xr:uid="{00000000-0005-0000-0000-0000913A0000}"/>
    <cellStyle name="20% - Accent6 5 4 2 2 2" xfId="18540" xr:uid="{00000000-0005-0000-0000-0000923A0000}"/>
    <cellStyle name="20% - Accent6 5 4 2 2 2 2" xfId="18541" xr:uid="{00000000-0005-0000-0000-0000933A0000}"/>
    <cellStyle name="20% - Accent6 5 4 2 2 3" xfId="18542" xr:uid="{00000000-0005-0000-0000-0000943A0000}"/>
    <cellStyle name="20% - Accent6 5 4 2 3" xfId="18543" xr:uid="{00000000-0005-0000-0000-0000953A0000}"/>
    <cellStyle name="20% - Accent6 5 4 2 3 2" xfId="18544" xr:uid="{00000000-0005-0000-0000-0000963A0000}"/>
    <cellStyle name="20% - Accent6 5 4 2 4" xfId="18545" xr:uid="{00000000-0005-0000-0000-0000973A0000}"/>
    <cellStyle name="20% - Accent6 5 4 2 5" xfId="18546" xr:uid="{00000000-0005-0000-0000-0000983A0000}"/>
    <cellStyle name="20% - Accent6 5 4 2 6" xfId="18547" xr:uid="{00000000-0005-0000-0000-0000993A0000}"/>
    <cellStyle name="20% - Accent6 5 4 3" xfId="18548" xr:uid="{00000000-0005-0000-0000-00009A3A0000}"/>
    <cellStyle name="20% - Accent6 5 4 3 2" xfId="18549" xr:uid="{00000000-0005-0000-0000-00009B3A0000}"/>
    <cellStyle name="20% - Accent6 5 4 3 2 2" xfId="18550" xr:uid="{00000000-0005-0000-0000-00009C3A0000}"/>
    <cellStyle name="20% - Accent6 5 4 3 3" xfId="18551" xr:uid="{00000000-0005-0000-0000-00009D3A0000}"/>
    <cellStyle name="20% - Accent6 5 4 4" xfId="18552" xr:uid="{00000000-0005-0000-0000-00009E3A0000}"/>
    <cellStyle name="20% - Accent6 5 4 4 2" xfId="18553" xr:uid="{00000000-0005-0000-0000-00009F3A0000}"/>
    <cellStyle name="20% - Accent6 5 4 5" xfId="18554" xr:uid="{00000000-0005-0000-0000-0000A03A0000}"/>
    <cellStyle name="20% - Accent6 5 4 6" xfId="18555" xr:uid="{00000000-0005-0000-0000-0000A13A0000}"/>
    <cellStyle name="20% - Accent6 5 4 7" xfId="18556" xr:uid="{00000000-0005-0000-0000-0000A23A0000}"/>
    <cellStyle name="20% - Accent6 5 5" xfId="18557" xr:uid="{00000000-0005-0000-0000-0000A33A0000}"/>
    <cellStyle name="20% - Accent6 5 5 2" xfId="18558" xr:uid="{00000000-0005-0000-0000-0000A43A0000}"/>
    <cellStyle name="20% - Accent6 5 5 2 2" xfId="18559" xr:uid="{00000000-0005-0000-0000-0000A53A0000}"/>
    <cellStyle name="20% - Accent6 5 5 2 2 2" xfId="18560" xr:uid="{00000000-0005-0000-0000-0000A63A0000}"/>
    <cellStyle name="20% - Accent6 5 5 2 2 2 2" xfId="18561" xr:uid="{00000000-0005-0000-0000-0000A73A0000}"/>
    <cellStyle name="20% - Accent6 5 5 2 2 3" xfId="18562" xr:uid="{00000000-0005-0000-0000-0000A83A0000}"/>
    <cellStyle name="20% - Accent6 5 5 2 3" xfId="18563" xr:uid="{00000000-0005-0000-0000-0000A93A0000}"/>
    <cellStyle name="20% - Accent6 5 5 2 3 2" xfId="18564" xr:uid="{00000000-0005-0000-0000-0000AA3A0000}"/>
    <cellStyle name="20% - Accent6 5 5 2 4" xfId="18565" xr:uid="{00000000-0005-0000-0000-0000AB3A0000}"/>
    <cellStyle name="20% - Accent6 5 5 2 5" xfId="18566" xr:uid="{00000000-0005-0000-0000-0000AC3A0000}"/>
    <cellStyle name="20% - Accent6 5 5 2 6" xfId="18567" xr:uid="{00000000-0005-0000-0000-0000AD3A0000}"/>
    <cellStyle name="20% - Accent6 5 5 3" xfId="18568" xr:uid="{00000000-0005-0000-0000-0000AE3A0000}"/>
    <cellStyle name="20% - Accent6 5 5 3 2" xfId="18569" xr:uid="{00000000-0005-0000-0000-0000AF3A0000}"/>
    <cellStyle name="20% - Accent6 5 5 3 2 2" xfId="18570" xr:uid="{00000000-0005-0000-0000-0000B03A0000}"/>
    <cellStyle name="20% - Accent6 5 5 3 3" xfId="18571" xr:uid="{00000000-0005-0000-0000-0000B13A0000}"/>
    <cellStyle name="20% - Accent6 5 5 4" xfId="18572" xr:uid="{00000000-0005-0000-0000-0000B23A0000}"/>
    <cellStyle name="20% - Accent6 5 5 4 2" xfId="18573" xr:uid="{00000000-0005-0000-0000-0000B33A0000}"/>
    <cellStyle name="20% - Accent6 5 5 5" xfId="18574" xr:uid="{00000000-0005-0000-0000-0000B43A0000}"/>
    <cellStyle name="20% - Accent6 5 5 6" xfId="18575" xr:uid="{00000000-0005-0000-0000-0000B53A0000}"/>
    <cellStyle name="20% - Accent6 5 5 7" xfId="18576" xr:uid="{00000000-0005-0000-0000-0000B63A0000}"/>
    <cellStyle name="20% - Accent6 5 6" xfId="18577" xr:uid="{00000000-0005-0000-0000-0000B73A0000}"/>
    <cellStyle name="20% - Accent6 5 6 2" xfId="18578" xr:uid="{00000000-0005-0000-0000-0000B83A0000}"/>
    <cellStyle name="20% - Accent6 5 6 2 2" xfId="18579" xr:uid="{00000000-0005-0000-0000-0000B93A0000}"/>
    <cellStyle name="20% - Accent6 5 6 2 2 2" xfId="18580" xr:uid="{00000000-0005-0000-0000-0000BA3A0000}"/>
    <cellStyle name="20% - Accent6 5 6 2 3" xfId="18581" xr:uid="{00000000-0005-0000-0000-0000BB3A0000}"/>
    <cellStyle name="20% - Accent6 5 6 3" xfId="18582" xr:uid="{00000000-0005-0000-0000-0000BC3A0000}"/>
    <cellStyle name="20% - Accent6 5 6 3 2" xfId="18583" xr:uid="{00000000-0005-0000-0000-0000BD3A0000}"/>
    <cellStyle name="20% - Accent6 5 6 4" xfId="18584" xr:uid="{00000000-0005-0000-0000-0000BE3A0000}"/>
    <cellStyle name="20% - Accent6 5 6 5" xfId="18585" xr:uid="{00000000-0005-0000-0000-0000BF3A0000}"/>
    <cellStyle name="20% - Accent6 5 6 6" xfId="18586" xr:uid="{00000000-0005-0000-0000-0000C03A0000}"/>
    <cellStyle name="20% - Accent6 5 7" xfId="18587" xr:uid="{00000000-0005-0000-0000-0000C13A0000}"/>
    <cellStyle name="20% - Accent6 5 7 2" xfId="18588" xr:uid="{00000000-0005-0000-0000-0000C23A0000}"/>
    <cellStyle name="20% - Accent6 5 7 2 2" xfId="18589" xr:uid="{00000000-0005-0000-0000-0000C33A0000}"/>
    <cellStyle name="20% - Accent6 5 7 3" xfId="18590" xr:uid="{00000000-0005-0000-0000-0000C43A0000}"/>
    <cellStyle name="20% - Accent6 5 8" xfId="18591" xr:uid="{00000000-0005-0000-0000-0000C53A0000}"/>
    <cellStyle name="20% - Accent6 5 8 2" xfId="18592" xr:uid="{00000000-0005-0000-0000-0000C63A0000}"/>
    <cellStyle name="20% - Accent6 5 8 2 2" xfId="18593" xr:uid="{00000000-0005-0000-0000-0000C73A0000}"/>
    <cellStyle name="20% - Accent6 5 8 3" xfId="18594" xr:uid="{00000000-0005-0000-0000-0000C83A0000}"/>
    <cellStyle name="20% - Accent6 5 9" xfId="18595" xr:uid="{00000000-0005-0000-0000-0000C93A0000}"/>
    <cellStyle name="20% - Accent6 5 9 2" xfId="18596" xr:uid="{00000000-0005-0000-0000-0000CA3A0000}"/>
    <cellStyle name="20% - Accent6 6" xfId="190" xr:uid="{00000000-0005-0000-0000-0000CB3A0000}"/>
    <cellStyle name="20% - Accent6 6 10" xfId="18597" xr:uid="{00000000-0005-0000-0000-0000CC3A0000}"/>
    <cellStyle name="20% - Accent6 6 11" xfId="18598" xr:uid="{00000000-0005-0000-0000-0000CD3A0000}"/>
    <cellStyle name="20% - Accent6 6 12" xfId="18599" xr:uid="{00000000-0005-0000-0000-0000CE3A0000}"/>
    <cellStyle name="20% - Accent6 6 2" xfId="18600" xr:uid="{00000000-0005-0000-0000-0000CF3A0000}"/>
    <cellStyle name="20% - Accent6 6 2 10" xfId="18601" xr:uid="{00000000-0005-0000-0000-0000D03A0000}"/>
    <cellStyle name="20% - Accent6 6 2 2" xfId="18602" xr:uid="{00000000-0005-0000-0000-0000D13A0000}"/>
    <cellStyle name="20% - Accent6 6 2 2 2" xfId="18603" xr:uid="{00000000-0005-0000-0000-0000D23A0000}"/>
    <cellStyle name="20% - Accent6 6 2 2 2 2" xfId="18604" xr:uid="{00000000-0005-0000-0000-0000D33A0000}"/>
    <cellStyle name="20% - Accent6 6 2 2 2 2 2" xfId="18605" xr:uid="{00000000-0005-0000-0000-0000D43A0000}"/>
    <cellStyle name="20% - Accent6 6 2 2 2 2 2 2" xfId="18606" xr:uid="{00000000-0005-0000-0000-0000D53A0000}"/>
    <cellStyle name="20% - Accent6 6 2 2 2 2 3" xfId="18607" xr:uid="{00000000-0005-0000-0000-0000D63A0000}"/>
    <cellStyle name="20% - Accent6 6 2 2 2 3" xfId="18608" xr:uid="{00000000-0005-0000-0000-0000D73A0000}"/>
    <cellStyle name="20% - Accent6 6 2 2 2 3 2" xfId="18609" xr:uid="{00000000-0005-0000-0000-0000D83A0000}"/>
    <cellStyle name="20% - Accent6 6 2 2 2 4" xfId="18610" xr:uid="{00000000-0005-0000-0000-0000D93A0000}"/>
    <cellStyle name="20% - Accent6 6 2 2 2 5" xfId="18611" xr:uid="{00000000-0005-0000-0000-0000DA3A0000}"/>
    <cellStyle name="20% - Accent6 6 2 2 2 6" xfId="18612" xr:uid="{00000000-0005-0000-0000-0000DB3A0000}"/>
    <cellStyle name="20% - Accent6 6 2 2 3" xfId="18613" xr:uid="{00000000-0005-0000-0000-0000DC3A0000}"/>
    <cellStyle name="20% - Accent6 6 2 2 3 2" xfId="18614" xr:uid="{00000000-0005-0000-0000-0000DD3A0000}"/>
    <cellStyle name="20% - Accent6 6 2 2 3 2 2" xfId="18615" xr:uid="{00000000-0005-0000-0000-0000DE3A0000}"/>
    <cellStyle name="20% - Accent6 6 2 2 3 3" xfId="18616" xr:uid="{00000000-0005-0000-0000-0000DF3A0000}"/>
    <cellStyle name="20% - Accent6 6 2 2 4" xfId="18617" xr:uid="{00000000-0005-0000-0000-0000E03A0000}"/>
    <cellStyle name="20% - Accent6 6 2 2 4 2" xfId="18618" xr:uid="{00000000-0005-0000-0000-0000E13A0000}"/>
    <cellStyle name="20% - Accent6 6 2 2 5" xfId="18619" xr:uid="{00000000-0005-0000-0000-0000E23A0000}"/>
    <cellStyle name="20% - Accent6 6 2 2 6" xfId="18620" xr:uid="{00000000-0005-0000-0000-0000E33A0000}"/>
    <cellStyle name="20% - Accent6 6 2 2 7" xfId="18621" xr:uid="{00000000-0005-0000-0000-0000E43A0000}"/>
    <cellStyle name="20% - Accent6 6 2 3" xfId="18622" xr:uid="{00000000-0005-0000-0000-0000E53A0000}"/>
    <cellStyle name="20% - Accent6 6 2 3 2" xfId="18623" xr:uid="{00000000-0005-0000-0000-0000E63A0000}"/>
    <cellStyle name="20% - Accent6 6 2 3 2 2" xfId="18624" xr:uid="{00000000-0005-0000-0000-0000E73A0000}"/>
    <cellStyle name="20% - Accent6 6 2 3 2 2 2" xfId="18625" xr:uid="{00000000-0005-0000-0000-0000E83A0000}"/>
    <cellStyle name="20% - Accent6 6 2 3 2 3" xfId="18626" xr:uid="{00000000-0005-0000-0000-0000E93A0000}"/>
    <cellStyle name="20% - Accent6 6 2 3 3" xfId="18627" xr:uid="{00000000-0005-0000-0000-0000EA3A0000}"/>
    <cellStyle name="20% - Accent6 6 2 3 3 2" xfId="18628" xr:uid="{00000000-0005-0000-0000-0000EB3A0000}"/>
    <cellStyle name="20% - Accent6 6 2 3 4" xfId="18629" xr:uid="{00000000-0005-0000-0000-0000EC3A0000}"/>
    <cellStyle name="20% - Accent6 6 2 3 5" xfId="18630" xr:uid="{00000000-0005-0000-0000-0000ED3A0000}"/>
    <cellStyle name="20% - Accent6 6 2 3 6" xfId="18631" xr:uid="{00000000-0005-0000-0000-0000EE3A0000}"/>
    <cellStyle name="20% - Accent6 6 2 4" xfId="18632" xr:uid="{00000000-0005-0000-0000-0000EF3A0000}"/>
    <cellStyle name="20% - Accent6 6 2 4 2" xfId="18633" xr:uid="{00000000-0005-0000-0000-0000F03A0000}"/>
    <cellStyle name="20% - Accent6 6 2 4 2 2" xfId="18634" xr:uid="{00000000-0005-0000-0000-0000F13A0000}"/>
    <cellStyle name="20% - Accent6 6 2 4 3" xfId="18635" xr:uid="{00000000-0005-0000-0000-0000F23A0000}"/>
    <cellStyle name="20% - Accent6 6 2 5" xfId="18636" xr:uid="{00000000-0005-0000-0000-0000F33A0000}"/>
    <cellStyle name="20% - Accent6 6 2 5 2" xfId="18637" xr:uid="{00000000-0005-0000-0000-0000F43A0000}"/>
    <cellStyle name="20% - Accent6 6 2 5 2 2" xfId="18638" xr:uid="{00000000-0005-0000-0000-0000F53A0000}"/>
    <cellStyle name="20% - Accent6 6 2 5 3" xfId="18639" xr:uid="{00000000-0005-0000-0000-0000F63A0000}"/>
    <cellStyle name="20% - Accent6 6 2 6" xfId="18640" xr:uid="{00000000-0005-0000-0000-0000F73A0000}"/>
    <cellStyle name="20% - Accent6 6 2 6 2" xfId="18641" xr:uid="{00000000-0005-0000-0000-0000F83A0000}"/>
    <cellStyle name="20% - Accent6 6 2 7" xfId="18642" xr:uid="{00000000-0005-0000-0000-0000F93A0000}"/>
    <cellStyle name="20% - Accent6 6 2 7 2" xfId="18643" xr:uid="{00000000-0005-0000-0000-0000FA3A0000}"/>
    <cellStyle name="20% - Accent6 6 2 8" xfId="18644" xr:uid="{00000000-0005-0000-0000-0000FB3A0000}"/>
    <cellStyle name="20% - Accent6 6 2 9" xfId="18645" xr:uid="{00000000-0005-0000-0000-0000FC3A0000}"/>
    <cellStyle name="20% - Accent6 6 3" xfId="18646" xr:uid="{00000000-0005-0000-0000-0000FD3A0000}"/>
    <cellStyle name="20% - Accent6 6 3 2" xfId="18647" xr:uid="{00000000-0005-0000-0000-0000FE3A0000}"/>
    <cellStyle name="20% - Accent6 6 3 2 2" xfId="18648" xr:uid="{00000000-0005-0000-0000-0000FF3A0000}"/>
    <cellStyle name="20% - Accent6 6 3 2 2 2" xfId="18649" xr:uid="{00000000-0005-0000-0000-0000003B0000}"/>
    <cellStyle name="20% - Accent6 6 3 2 2 2 2" xfId="18650" xr:uid="{00000000-0005-0000-0000-0000013B0000}"/>
    <cellStyle name="20% - Accent6 6 3 2 2 3" xfId="18651" xr:uid="{00000000-0005-0000-0000-0000023B0000}"/>
    <cellStyle name="20% - Accent6 6 3 2 3" xfId="18652" xr:uid="{00000000-0005-0000-0000-0000033B0000}"/>
    <cellStyle name="20% - Accent6 6 3 2 3 2" xfId="18653" xr:uid="{00000000-0005-0000-0000-0000043B0000}"/>
    <cellStyle name="20% - Accent6 6 3 2 4" xfId="18654" xr:uid="{00000000-0005-0000-0000-0000053B0000}"/>
    <cellStyle name="20% - Accent6 6 3 2 5" xfId="18655" xr:uid="{00000000-0005-0000-0000-0000063B0000}"/>
    <cellStyle name="20% - Accent6 6 3 2 6" xfId="18656" xr:uid="{00000000-0005-0000-0000-0000073B0000}"/>
    <cellStyle name="20% - Accent6 6 3 3" xfId="18657" xr:uid="{00000000-0005-0000-0000-0000083B0000}"/>
    <cellStyle name="20% - Accent6 6 3 3 2" xfId="18658" xr:uid="{00000000-0005-0000-0000-0000093B0000}"/>
    <cellStyle name="20% - Accent6 6 3 3 2 2" xfId="18659" xr:uid="{00000000-0005-0000-0000-00000A3B0000}"/>
    <cellStyle name="20% - Accent6 6 3 3 3" xfId="18660" xr:uid="{00000000-0005-0000-0000-00000B3B0000}"/>
    <cellStyle name="20% - Accent6 6 3 4" xfId="18661" xr:uid="{00000000-0005-0000-0000-00000C3B0000}"/>
    <cellStyle name="20% - Accent6 6 3 4 2" xfId="18662" xr:uid="{00000000-0005-0000-0000-00000D3B0000}"/>
    <cellStyle name="20% - Accent6 6 3 5" xfId="18663" xr:uid="{00000000-0005-0000-0000-00000E3B0000}"/>
    <cellStyle name="20% - Accent6 6 3 6" xfId="18664" xr:uid="{00000000-0005-0000-0000-00000F3B0000}"/>
    <cellStyle name="20% - Accent6 6 3 7" xfId="18665" xr:uid="{00000000-0005-0000-0000-0000103B0000}"/>
    <cellStyle name="20% - Accent6 6 4" xfId="18666" xr:uid="{00000000-0005-0000-0000-0000113B0000}"/>
    <cellStyle name="20% - Accent6 6 4 2" xfId="18667" xr:uid="{00000000-0005-0000-0000-0000123B0000}"/>
    <cellStyle name="20% - Accent6 6 4 2 2" xfId="18668" xr:uid="{00000000-0005-0000-0000-0000133B0000}"/>
    <cellStyle name="20% - Accent6 6 4 2 2 2" xfId="18669" xr:uid="{00000000-0005-0000-0000-0000143B0000}"/>
    <cellStyle name="20% - Accent6 6 4 2 2 2 2" xfId="18670" xr:uid="{00000000-0005-0000-0000-0000153B0000}"/>
    <cellStyle name="20% - Accent6 6 4 2 2 3" xfId="18671" xr:uid="{00000000-0005-0000-0000-0000163B0000}"/>
    <cellStyle name="20% - Accent6 6 4 2 3" xfId="18672" xr:uid="{00000000-0005-0000-0000-0000173B0000}"/>
    <cellStyle name="20% - Accent6 6 4 2 3 2" xfId="18673" xr:uid="{00000000-0005-0000-0000-0000183B0000}"/>
    <cellStyle name="20% - Accent6 6 4 2 4" xfId="18674" xr:uid="{00000000-0005-0000-0000-0000193B0000}"/>
    <cellStyle name="20% - Accent6 6 4 2 5" xfId="18675" xr:uid="{00000000-0005-0000-0000-00001A3B0000}"/>
    <cellStyle name="20% - Accent6 6 4 2 6" xfId="18676" xr:uid="{00000000-0005-0000-0000-00001B3B0000}"/>
    <cellStyle name="20% - Accent6 6 4 3" xfId="18677" xr:uid="{00000000-0005-0000-0000-00001C3B0000}"/>
    <cellStyle name="20% - Accent6 6 4 3 2" xfId="18678" xr:uid="{00000000-0005-0000-0000-00001D3B0000}"/>
    <cellStyle name="20% - Accent6 6 4 3 2 2" xfId="18679" xr:uid="{00000000-0005-0000-0000-00001E3B0000}"/>
    <cellStyle name="20% - Accent6 6 4 3 3" xfId="18680" xr:uid="{00000000-0005-0000-0000-00001F3B0000}"/>
    <cellStyle name="20% - Accent6 6 4 4" xfId="18681" xr:uid="{00000000-0005-0000-0000-0000203B0000}"/>
    <cellStyle name="20% - Accent6 6 4 4 2" xfId="18682" xr:uid="{00000000-0005-0000-0000-0000213B0000}"/>
    <cellStyle name="20% - Accent6 6 4 5" xfId="18683" xr:uid="{00000000-0005-0000-0000-0000223B0000}"/>
    <cellStyle name="20% - Accent6 6 4 6" xfId="18684" xr:uid="{00000000-0005-0000-0000-0000233B0000}"/>
    <cellStyle name="20% - Accent6 6 4 7" xfId="18685" xr:uid="{00000000-0005-0000-0000-0000243B0000}"/>
    <cellStyle name="20% - Accent6 6 5" xfId="18686" xr:uid="{00000000-0005-0000-0000-0000253B0000}"/>
    <cellStyle name="20% - Accent6 6 5 2" xfId="18687" xr:uid="{00000000-0005-0000-0000-0000263B0000}"/>
    <cellStyle name="20% - Accent6 6 5 2 2" xfId="18688" xr:uid="{00000000-0005-0000-0000-0000273B0000}"/>
    <cellStyle name="20% - Accent6 6 5 2 2 2" xfId="18689" xr:uid="{00000000-0005-0000-0000-0000283B0000}"/>
    <cellStyle name="20% - Accent6 6 5 2 3" xfId="18690" xr:uid="{00000000-0005-0000-0000-0000293B0000}"/>
    <cellStyle name="20% - Accent6 6 5 3" xfId="18691" xr:uid="{00000000-0005-0000-0000-00002A3B0000}"/>
    <cellStyle name="20% - Accent6 6 5 3 2" xfId="18692" xr:uid="{00000000-0005-0000-0000-00002B3B0000}"/>
    <cellStyle name="20% - Accent6 6 5 4" xfId="18693" xr:uid="{00000000-0005-0000-0000-00002C3B0000}"/>
    <cellStyle name="20% - Accent6 6 5 5" xfId="18694" xr:uid="{00000000-0005-0000-0000-00002D3B0000}"/>
    <cellStyle name="20% - Accent6 6 5 6" xfId="18695" xr:uid="{00000000-0005-0000-0000-00002E3B0000}"/>
    <cellStyle name="20% - Accent6 6 6" xfId="18696" xr:uid="{00000000-0005-0000-0000-00002F3B0000}"/>
    <cellStyle name="20% - Accent6 6 6 2" xfId="18697" xr:uid="{00000000-0005-0000-0000-0000303B0000}"/>
    <cellStyle name="20% - Accent6 6 6 2 2" xfId="18698" xr:uid="{00000000-0005-0000-0000-0000313B0000}"/>
    <cellStyle name="20% - Accent6 6 6 3" xfId="18699" xr:uid="{00000000-0005-0000-0000-0000323B0000}"/>
    <cellStyle name="20% - Accent6 6 7" xfId="18700" xr:uid="{00000000-0005-0000-0000-0000333B0000}"/>
    <cellStyle name="20% - Accent6 6 7 2" xfId="18701" xr:uid="{00000000-0005-0000-0000-0000343B0000}"/>
    <cellStyle name="20% - Accent6 6 7 2 2" xfId="18702" xr:uid="{00000000-0005-0000-0000-0000353B0000}"/>
    <cellStyle name="20% - Accent6 6 7 3" xfId="18703" xr:uid="{00000000-0005-0000-0000-0000363B0000}"/>
    <cellStyle name="20% - Accent6 6 8" xfId="18704" xr:uid="{00000000-0005-0000-0000-0000373B0000}"/>
    <cellStyle name="20% - Accent6 6 8 2" xfId="18705" xr:uid="{00000000-0005-0000-0000-0000383B0000}"/>
    <cellStyle name="20% - Accent6 6 9" xfId="18706" xr:uid="{00000000-0005-0000-0000-0000393B0000}"/>
    <cellStyle name="20% - Accent6 6 9 2" xfId="18707" xr:uid="{00000000-0005-0000-0000-00003A3B0000}"/>
    <cellStyle name="20% - Accent6 7" xfId="18708" xr:uid="{00000000-0005-0000-0000-00003B3B0000}"/>
    <cellStyle name="20% - Accent6 7 10" xfId="18709" xr:uid="{00000000-0005-0000-0000-00003C3B0000}"/>
    <cellStyle name="20% - Accent6 7 11" xfId="18710" xr:uid="{00000000-0005-0000-0000-00003D3B0000}"/>
    <cellStyle name="20% - Accent6 7 12" xfId="18711" xr:uid="{00000000-0005-0000-0000-00003E3B0000}"/>
    <cellStyle name="20% - Accent6 7 2" xfId="18712" xr:uid="{00000000-0005-0000-0000-00003F3B0000}"/>
    <cellStyle name="20% - Accent6 7 2 10" xfId="18713" xr:uid="{00000000-0005-0000-0000-0000403B0000}"/>
    <cellStyle name="20% - Accent6 7 2 2" xfId="18714" xr:uid="{00000000-0005-0000-0000-0000413B0000}"/>
    <cellStyle name="20% - Accent6 7 2 2 2" xfId="18715" xr:uid="{00000000-0005-0000-0000-0000423B0000}"/>
    <cellStyle name="20% - Accent6 7 2 2 2 2" xfId="18716" xr:uid="{00000000-0005-0000-0000-0000433B0000}"/>
    <cellStyle name="20% - Accent6 7 2 2 2 2 2" xfId="18717" xr:uid="{00000000-0005-0000-0000-0000443B0000}"/>
    <cellStyle name="20% - Accent6 7 2 2 2 2 2 2" xfId="18718" xr:uid="{00000000-0005-0000-0000-0000453B0000}"/>
    <cellStyle name="20% - Accent6 7 2 2 2 2 3" xfId="18719" xr:uid="{00000000-0005-0000-0000-0000463B0000}"/>
    <cellStyle name="20% - Accent6 7 2 2 2 3" xfId="18720" xr:uid="{00000000-0005-0000-0000-0000473B0000}"/>
    <cellStyle name="20% - Accent6 7 2 2 2 3 2" xfId="18721" xr:uid="{00000000-0005-0000-0000-0000483B0000}"/>
    <cellStyle name="20% - Accent6 7 2 2 2 4" xfId="18722" xr:uid="{00000000-0005-0000-0000-0000493B0000}"/>
    <cellStyle name="20% - Accent6 7 2 2 2 5" xfId="18723" xr:uid="{00000000-0005-0000-0000-00004A3B0000}"/>
    <cellStyle name="20% - Accent6 7 2 2 2 6" xfId="18724" xr:uid="{00000000-0005-0000-0000-00004B3B0000}"/>
    <cellStyle name="20% - Accent6 7 2 2 3" xfId="18725" xr:uid="{00000000-0005-0000-0000-00004C3B0000}"/>
    <cellStyle name="20% - Accent6 7 2 2 3 2" xfId="18726" xr:uid="{00000000-0005-0000-0000-00004D3B0000}"/>
    <cellStyle name="20% - Accent6 7 2 2 3 2 2" xfId="18727" xr:uid="{00000000-0005-0000-0000-00004E3B0000}"/>
    <cellStyle name="20% - Accent6 7 2 2 3 3" xfId="18728" xr:uid="{00000000-0005-0000-0000-00004F3B0000}"/>
    <cellStyle name="20% - Accent6 7 2 2 4" xfId="18729" xr:uid="{00000000-0005-0000-0000-0000503B0000}"/>
    <cellStyle name="20% - Accent6 7 2 2 4 2" xfId="18730" xr:uid="{00000000-0005-0000-0000-0000513B0000}"/>
    <cellStyle name="20% - Accent6 7 2 2 5" xfId="18731" xr:uid="{00000000-0005-0000-0000-0000523B0000}"/>
    <cellStyle name="20% - Accent6 7 2 2 6" xfId="18732" xr:uid="{00000000-0005-0000-0000-0000533B0000}"/>
    <cellStyle name="20% - Accent6 7 2 2 7" xfId="18733" xr:uid="{00000000-0005-0000-0000-0000543B0000}"/>
    <cellStyle name="20% - Accent6 7 2 3" xfId="18734" xr:uid="{00000000-0005-0000-0000-0000553B0000}"/>
    <cellStyle name="20% - Accent6 7 2 3 2" xfId="18735" xr:uid="{00000000-0005-0000-0000-0000563B0000}"/>
    <cellStyle name="20% - Accent6 7 2 3 2 2" xfId="18736" xr:uid="{00000000-0005-0000-0000-0000573B0000}"/>
    <cellStyle name="20% - Accent6 7 2 3 2 2 2" xfId="18737" xr:uid="{00000000-0005-0000-0000-0000583B0000}"/>
    <cellStyle name="20% - Accent6 7 2 3 2 3" xfId="18738" xr:uid="{00000000-0005-0000-0000-0000593B0000}"/>
    <cellStyle name="20% - Accent6 7 2 3 3" xfId="18739" xr:uid="{00000000-0005-0000-0000-00005A3B0000}"/>
    <cellStyle name="20% - Accent6 7 2 3 3 2" xfId="18740" xr:uid="{00000000-0005-0000-0000-00005B3B0000}"/>
    <cellStyle name="20% - Accent6 7 2 3 4" xfId="18741" xr:uid="{00000000-0005-0000-0000-00005C3B0000}"/>
    <cellStyle name="20% - Accent6 7 2 3 5" xfId="18742" xr:uid="{00000000-0005-0000-0000-00005D3B0000}"/>
    <cellStyle name="20% - Accent6 7 2 3 6" xfId="18743" xr:uid="{00000000-0005-0000-0000-00005E3B0000}"/>
    <cellStyle name="20% - Accent6 7 2 4" xfId="18744" xr:uid="{00000000-0005-0000-0000-00005F3B0000}"/>
    <cellStyle name="20% - Accent6 7 2 4 2" xfId="18745" xr:uid="{00000000-0005-0000-0000-0000603B0000}"/>
    <cellStyle name="20% - Accent6 7 2 4 2 2" xfId="18746" xr:uid="{00000000-0005-0000-0000-0000613B0000}"/>
    <cellStyle name="20% - Accent6 7 2 4 3" xfId="18747" xr:uid="{00000000-0005-0000-0000-0000623B0000}"/>
    <cellStyle name="20% - Accent6 7 2 5" xfId="18748" xr:uid="{00000000-0005-0000-0000-0000633B0000}"/>
    <cellStyle name="20% - Accent6 7 2 5 2" xfId="18749" xr:uid="{00000000-0005-0000-0000-0000643B0000}"/>
    <cellStyle name="20% - Accent6 7 2 5 2 2" xfId="18750" xr:uid="{00000000-0005-0000-0000-0000653B0000}"/>
    <cellStyle name="20% - Accent6 7 2 5 3" xfId="18751" xr:uid="{00000000-0005-0000-0000-0000663B0000}"/>
    <cellStyle name="20% - Accent6 7 2 6" xfId="18752" xr:uid="{00000000-0005-0000-0000-0000673B0000}"/>
    <cellStyle name="20% - Accent6 7 2 6 2" xfId="18753" xr:uid="{00000000-0005-0000-0000-0000683B0000}"/>
    <cellStyle name="20% - Accent6 7 2 7" xfId="18754" xr:uid="{00000000-0005-0000-0000-0000693B0000}"/>
    <cellStyle name="20% - Accent6 7 2 7 2" xfId="18755" xr:uid="{00000000-0005-0000-0000-00006A3B0000}"/>
    <cellStyle name="20% - Accent6 7 2 8" xfId="18756" xr:uid="{00000000-0005-0000-0000-00006B3B0000}"/>
    <cellStyle name="20% - Accent6 7 2 9" xfId="18757" xr:uid="{00000000-0005-0000-0000-00006C3B0000}"/>
    <cellStyle name="20% - Accent6 7 3" xfId="18758" xr:uid="{00000000-0005-0000-0000-00006D3B0000}"/>
    <cellStyle name="20% - Accent6 7 3 2" xfId="18759" xr:uid="{00000000-0005-0000-0000-00006E3B0000}"/>
    <cellStyle name="20% - Accent6 7 3 2 2" xfId="18760" xr:uid="{00000000-0005-0000-0000-00006F3B0000}"/>
    <cellStyle name="20% - Accent6 7 3 2 2 2" xfId="18761" xr:uid="{00000000-0005-0000-0000-0000703B0000}"/>
    <cellStyle name="20% - Accent6 7 3 2 2 2 2" xfId="18762" xr:uid="{00000000-0005-0000-0000-0000713B0000}"/>
    <cellStyle name="20% - Accent6 7 3 2 2 3" xfId="18763" xr:uid="{00000000-0005-0000-0000-0000723B0000}"/>
    <cellStyle name="20% - Accent6 7 3 2 3" xfId="18764" xr:uid="{00000000-0005-0000-0000-0000733B0000}"/>
    <cellStyle name="20% - Accent6 7 3 2 3 2" xfId="18765" xr:uid="{00000000-0005-0000-0000-0000743B0000}"/>
    <cellStyle name="20% - Accent6 7 3 2 4" xfId="18766" xr:uid="{00000000-0005-0000-0000-0000753B0000}"/>
    <cellStyle name="20% - Accent6 7 3 2 5" xfId="18767" xr:uid="{00000000-0005-0000-0000-0000763B0000}"/>
    <cellStyle name="20% - Accent6 7 3 2 6" xfId="18768" xr:uid="{00000000-0005-0000-0000-0000773B0000}"/>
    <cellStyle name="20% - Accent6 7 3 3" xfId="18769" xr:uid="{00000000-0005-0000-0000-0000783B0000}"/>
    <cellStyle name="20% - Accent6 7 3 3 2" xfId="18770" xr:uid="{00000000-0005-0000-0000-0000793B0000}"/>
    <cellStyle name="20% - Accent6 7 3 3 2 2" xfId="18771" xr:uid="{00000000-0005-0000-0000-00007A3B0000}"/>
    <cellStyle name="20% - Accent6 7 3 3 3" xfId="18772" xr:uid="{00000000-0005-0000-0000-00007B3B0000}"/>
    <cellStyle name="20% - Accent6 7 3 4" xfId="18773" xr:uid="{00000000-0005-0000-0000-00007C3B0000}"/>
    <cellStyle name="20% - Accent6 7 3 4 2" xfId="18774" xr:uid="{00000000-0005-0000-0000-00007D3B0000}"/>
    <cellStyle name="20% - Accent6 7 3 5" xfId="18775" xr:uid="{00000000-0005-0000-0000-00007E3B0000}"/>
    <cellStyle name="20% - Accent6 7 3 6" xfId="18776" xr:uid="{00000000-0005-0000-0000-00007F3B0000}"/>
    <cellStyle name="20% - Accent6 7 3 7" xfId="18777" xr:uid="{00000000-0005-0000-0000-0000803B0000}"/>
    <cellStyle name="20% - Accent6 7 4" xfId="18778" xr:uid="{00000000-0005-0000-0000-0000813B0000}"/>
    <cellStyle name="20% - Accent6 7 4 2" xfId="18779" xr:uid="{00000000-0005-0000-0000-0000823B0000}"/>
    <cellStyle name="20% - Accent6 7 4 2 2" xfId="18780" xr:uid="{00000000-0005-0000-0000-0000833B0000}"/>
    <cellStyle name="20% - Accent6 7 4 2 2 2" xfId="18781" xr:uid="{00000000-0005-0000-0000-0000843B0000}"/>
    <cellStyle name="20% - Accent6 7 4 2 2 2 2" xfId="18782" xr:uid="{00000000-0005-0000-0000-0000853B0000}"/>
    <cellStyle name="20% - Accent6 7 4 2 2 3" xfId="18783" xr:uid="{00000000-0005-0000-0000-0000863B0000}"/>
    <cellStyle name="20% - Accent6 7 4 2 3" xfId="18784" xr:uid="{00000000-0005-0000-0000-0000873B0000}"/>
    <cellStyle name="20% - Accent6 7 4 2 3 2" xfId="18785" xr:uid="{00000000-0005-0000-0000-0000883B0000}"/>
    <cellStyle name="20% - Accent6 7 4 2 4" xfId="18786" xr:uid="{00000000-0005-0000-0000-0000893B0000}"/>
    <cellStyle name="20% - Accent6 7 4 2 5" xfId="18787" xr:uid="{00000000-0005-0000-0000-00008A3B0000}"/>
    <cellStyle name="20% - Accent6 7 4 2 6" xfId="18788" xr:uid="{00000000-0005-0000-0000-00008B3B0000}"/>
    <cellStyle name="20% - Accent6 7 4 3" xfId="18789" xr:uid="{00000000-0005-0000-0000-00008C3B0000}"/>
    <cellStyle name="20% - Accent6 7 4 3 2" xfId="18790" xr:uid="{00000000-0005-0000-0000-00008D3B0000}"/>
    <cellStyle name="20% - Accent6 7 4 3 2 2" xfId="18791" xr:uid="{00000000-0005-0000-0000-00008E3B0000}"/>
    <cellStyle name="20% - Accent6 7 4 3 3" xfId="18792" xr:uid="{00000000-0005-0000-0000-00008F3B0000}"/>
    <cellStyle name="20% - Accent6 7 4 4" xfId="18793" xr:uid="{00000000-0005-0000-0000-0000903B0000}"/>
    <cellStyle name="20% - Accent6 7 4 4 2" xfId="18794" xr:uid="{00000000-0005-0000-0000-0000913B0000}"/>
    <cellStyle name="20% - Accent6 7 4 5" xfId="18795" xr:uid="{00000000-0005-0000-0000-0000923B0000}"/>
    <cellStyle name="20% - Accent6 7 4 6" xfId="18796" xr:uid="{00000000-0005-0000-0000-0000933B0000}"/>
    <cellStyle name="20% - Accent6 7 4 7" xfId="18797" xr:uid="{00000000-0005-0000-0000-0000943B0000}"/>
    <cellStyle name="20% - Accent6 7 5" xfId="18798" xr:uid="{00000000-0005-0000-0000-0000953B0000}"/>
    <cellStyle name="20% - Accent6 7 5 2" xfId="18799" xr:uid="{00000000-0005-0000-0000-0000963B0000}"/>
    <cellStyle name="20% - Accent6 7 5 2 2" xfId="18800" xr:uid="{00000000-0005-0000-0000-0000973B0000}"/>
    <cellStyle name="20% - Accent6 7 5 2 2 2" xfId="18801" xr:uid="{00000000-0005-0000-0000-0000983B0000}"/>
    <cellStyle name="20% - Accent6 7 5 2 3" xfId="18802" xr:uid="{00000000-0005-0000-0000-0000993B0000}"/>
    <cellStyle name="20% - Accent6 7 5 3" xfId="18803" xr:uid="{00000000-0005-0000-0000-00009A3B0000}"/>
    <cellStyle name="20% - Accent6 7 5 3 2" xfId="18804" xr:uid="{00000000-0005-0000-0000-00009B3B0000}"/>
    <cellStyle name="20% - Accent6 7 5 4" xfId="18805" xr:uid="{00000000-0005-0000-0000-00009C3B0000}"/>
    <cellStyle name="20% - Accent6 7 5 5" xfId="18806" xr:uid="{00000000-0005-0000-0000-00009D3B0000}"/>
    <cellStyle name="20% - Accent6 7 5 6" xfId="18807" xr:uid="{00000000-0005-0000-0000-00009E3B0000}"/>
    <cellStyle name="20% - Accent6 7 6" xfId="18808" xr:uid="{00000000-0005-0000-0000-00009F3B0000}"/>
    <cellStyle name="20% - Accent6 7 6 2" xfId="18809" xr:uid="{00000000-0005-0000-0000-0000A03B0000}"/>
    <cellStyle name="20% - Accent6 7 6 2 2" xfId="18810" xr:uid="{00000000-0005-0000-0000-0000A13B0000}"/>
    <cellStyle name="20% - Accent6 7 6 3" xfId="18811" xr:uid="{00000000-0005-0000-0000-0000A23B0000}"/>
    <cellStyle name="20% - Accent6 7 7" xfId="18812" xr:uid="{00000000-0005-0000-0000-0000A33B0000}"/>
    <cellStyle name="20% - Accent6 7 7 2" xfId="18813" xr:uid="{00000000-0005-0000-0000-0000A43B0000}"/>
    <cellStyle name="20% - Accent6 7 7 2 2" xfId="18814" xr:uid="{00000000-0005-0000-0000-0000A53B0000}"/>
    <cellStyle name="20% - Accent6 7 7 3" xfId="18815" xr:uid="{00000000-0005-0000-0000-0000A63B0000}"/>
    <cellStyle name="20% - Accent6 7 8" xfId="18816" xr:uid="{00000000-0005-0000-0000-0000A73B0000}"/>
    <cellStyle name="20% - Accent6 7 8 2" xfId="18817" xr:uid="{00000000-0005-0000-0000-0000A83B0000}"/>
    <cellStyle name="20% - Accent6 7 9" xfId="18818" xr:uid="{00000000-0005-0000-0000-0000A93B0000}"/>
    <cellStyle name="20% - Accent6 7 9 2" xfId="18819" xr:uid="{00000000-0005-0000-0000-0000AA3B0000}"/>
    <cellStyle name="20% - Accent6 8" xfId="18820" xr:uid="{00000000-0005-0000-0000-0000AB3B0000}"/>
    <cellStyle name="20% - Accent6 8 10" xfId="18821" xr:uid="{00000000-0005-0000-0000-0000AC3B0000}"/>
    <cellStyle name="20% - Accent6 8 11" xfId="18822" xr:uid="{00000000-0005-0000-0000-0000AD3B0000}"/>
    <cellStyle name="20% - Accent6 8 12" xfId="18823" xr:uid="{00000000-0005-0000-0000-0000AE3B0000}"/>
    <cellStyle name="20% - Accent6 8 2" xfId="18824" xr:uid="{00000000-0005-0000-0000-0000AF3B0000}"/>
    <cellStyle name="20% - Accent6 8 2 10" xfId="18825" xr:uid="{00000000-0005-0000-0000-0000B03B0000}"/>
    <cellStyle name="20% - Accent6 8 2 2" xfId="18826" xr:uid="{00000000-0005-0000-0000-0000B13B0000}"/>
    <cellStyle name="20% - Accent6 8 2 2 2" xfId="18827" xr:uid="{00000000-0005-0000-0000-0000B23B0000}"/>
    <cellStyle name="20% - Accent6 8 2 2 2 2" xfId="18828" xr:uid="{00000000-0005-0000-0000-0000B33B0000}"/>
    <cellStyle name="20% - Accent6 8 2 2 2 2 2" xfId="18829" xr:uid="{00000000-0005-0000-0000-0000B43B0000}"/>
    <cellStyle name="20% - Accent6 8 2 2 2 2 2 2" xfId="18830" xr:uid="{00000000-0005-0000-0000-0000B53B0000}"/>
    <cellStyle name="20% - Accent6 8 2 2 2 2 3" xfId="18831" xr:uid="{00000000-0005-0000-0000-0000B63B0000}"/>
    <cellStyle name="20% - Accent6 8 2 2 2 3" xfId="18832" xr:uid="{00000000-0005-0000-0000-0000B73B0000}"/>
    <cellStyle name="20% - Accent6 8 2 2 2 3 2" xfId="18833" xr:uid="{00000000-0005-0000-0000-0000B83B0000}"/>
    <cellStyle name="20% - Accent6 8 2 2 2 4" xfId="18834" xr:uid="{00000000-0005-0000-0000-0000B93B0000}"/>
    <cellStyle name="20% - Accent6 8 2 2 2 5" xfId="18835" xr:uid="{00000000-0005-0000-0000-0000BA3B0000}"/>
    <cellStyle name="20% - Accent6 8 2 2 2 6" xfId="18836" xr:uid="{00000000-0005-0000-0000-0000BB3B0000}"/>
    <cellStyle name="20% - Accent6 8 2 2 3" xfId="18837" xr:uid="{00000000-0005-0000-0000-0000BC3B0000}"/>
    <cellStyle name="20% - Accent6 8 2 2 3 2" xfId="18838" xr:uid="{00000000-0005-0000-0000-0000BD3B0000}"/>
    <cellStyle name="20% - Accent6 8 2 2 3 2 2" xfId="18839" xr:uid="{00000000-0005-0000-0000-0000BE3B0000}"/>
    <cellStyle name="20% - Accent6 8 2 2 3 3" xfId="18840" xr:uid="{00000000-0005-0000-0000-0000BF3B0000}"/>
    <cellStyle name="20% - Accent6 8 2 2 4" xfId="18841" xr:uid="{00000000-0005-0000-0000-0000C03B0000}"/>
    <cellStyle name="20% - Accent6 8 2 2 4 2" xfId="18842" xr:uid="{00000000-0005-0000-0000-0000C13B0000}"/>
    <cellStyle name="20% - Accent6 8 2 2 5" xfId="18843" xr:uid="{00000000-0005-0000-0000-0000C23B0000}"/>
    <cellStyle name="20% - Accent6 8 2 2 6" xfId="18844" xr:uid="{00000000-0005-0000-0000-0000C33B0000}"/>
    <cellStyle name="20% - Accent6 8 2 2 7" xfId="18845" xr:uid="{00000000-0005-0000-0000-0000C43B0000}"/>
    <cellStyle name="20% - Accent6 8 2 3" xfId="18846" xr:uid="{00000000-0005-0000-0000-0000C53B0000}"/>
    <cellStyle name="20% - Accent6 8 2 3 2" xfId="18847" xr:uid="{00000000-0005-0000-0000-0000C63B0000}"/>
    <cellStyle name="20% - Accent6 8 2 3 2 2" xfId="18848" xr:uid="{00000000-0005-0000-0000-0000C73B0000}"/>
    <cellStyle name="20% - Accent6 8 2 3 2 2 2" xfId="18849" xr:uid="{00000000-0005-0000-0000-0000C83B0000}"/>
    <cellStyle name="20% - Accent6 8 2 3 2 3" xfId="18850" xr:uid="{00000000-0005-0000-0000-0000C93B0000}"/>
    <cellStyle name="20% - Accent6 8 2 3 3" xfId="18851" xr:uid="{00000000-0005-0000-0000-0000CA3B0000}"/>
    <cellStyle name="20% - Accent6 8 2 3 3 2" xfId="18852" xr:uid="{00000000-0005-0000-0000-0000CB3B0000}"/>
    <cellStyle name="20% - Accent6 8 2 3 4" xfId="18853" xr:uid="{00000000-0005-0000-0000-0000CC3B0000}"/>
    <cellStyle name="20% - Accent6 8 2 3 5" xfId="18854" xr:uid="{00000000-0005-0000-0000-0000CD3B0000}"/>
    <cellStyle name="20% - Accent6 8 2 3 6" xfId="18855" xr:uid="{00000000-0005-0000-0000-0000CE3B0000}"/>
    <cellStyle name="20% - Accent6 8 2 4" xfId="18856" xr:uid="{00000000-0005-0000-0000-0000CF3B0000}"/>
    <cellStyle name="20% - Accent6 8 2 4 2" xfId="18857" xr:uid="{00000000-0005-0000-0000-0000D03B0000}"/>
    <cellStyle name="20% - Accent6 8 2 4 2 2" xfId="18858" xr:uid="{00000000-0005-0000-0000-0000D13B0000}"/>
    <cellStyle name="20% - Accent6 8 2 4 3" xfId="18859" xr:uid="{00000000-0005-0000-0000-0000D23B0000}"/>
    <cellStyle name="20% - Accent6 8 2 5" xfId="18860" xr:uid="{00000000-0005-0000-0000-0000D33B0000}"/>
    <cellStyle name="20% - Accent6 8 2 5 2" xfId="18861" xr:uid="{00000000-0005-0000-0000-0000D43B0000}"/>
    <cellStyle name="20% - Accent6 8 2 5 2 2" xfId="18862" xr:uid="{00000000-0005-0000-0000-0000D53B0000}"/>
    <cellStyle name="20% - Accent6 8 2 5 3" xfId="18863" xr:uid="{00000000-0005-0000-0000-0000D63B0000}"/>
    <cellStyle name="20% - Accent6 8 2 6" xfId="18864" xr:uid="{00000000-0005-0000-0000-0000D73B0000}"/>
    <cellStyle name="20% - Accent6 8 2 6 2" xfId="18865" xr:uid="{00000000-0005-0000-0000-0000D83B0000}"/>
    <cellStyle name="20% - Accent6 8 2 7" xfId="18866" xr:uid="{00000000-0005-0000-0000-0000D93B0000}"/>
    <cellStyle name="20% - Accent6 8 2 7 2" xfId="18867" xr:uid="{00000000-0005-0000-0000-0000DA3B0000}"/>
    <cellStyle name="20% - Accent6 8 2 8" xfId="18868" xr:uid="{00000000-0005-0000-0000-0000DB3B0000}"/>
    <cellStyle name="20% - Accent6 8 2 9" xfId="18869" xr:uid="{00000000-0005-0000-0000-0000DC3B0000}"/>
    <cellStyle name="20% - Accent6 8 3" xfId="18870" xr:uid="{00000000-0005-0000-0000-0000DD3B0000}"/>
    <cellStyle name="20% - Accent6 8 3 2" xfId="18871" xr:uid="{00000000-0005-0000-0000-0000DE3B0000}"/>
    <cellStyle name="20% - Accent6 8 3 2 2" xfId="18872" xr:uid="{00000000-0005-0000-0000-0000DF3B0000}"/>
    <cellStyle name="20% - Accent6 8 3 2 2 2" xfId="18873" xr:uid="{00000000-0005-0000-0000-0000E03B0000}"/>
    <cellStyle name="20% - Accent6 8 3 2 2 2 2" xfId="18874" xr:uid="{00000000-0005-0000-0000-0000E13B0000}"/>
    <cellStyle name="20% - Accent6 8 3 2 2 3" xfId="18875" xr:uid="{00000000-0005-0000-0000-0000E23B0000}"/>
    <cellStyle name="20% - Accent6 8 3 2 3" xfId="18876" xr:uid="{00000000-0005-0000-0000-0000E33B0000}"/>
    <cellStyle name="20% - Accent6 8 3 2 3 2" xfId="18877" xr:uid="{00000000-0005-0000-0000-0000E43B0000}"/>
    <cellStyle name="20% - Accent6 8 3 2 4" xfId="18878" xr:uid="{00000000-0005-0000-0000-0000E53B0000}"/>
    <cellStyle name="20% - Accent6 8 3 2 5" xfId="18879" xr:uid="{00000000-0005-0000-0000-0000E63B0000}"/>
    <cellStyle name="20% - Accent6 8 3 2 6" xfId="18880" xr:uid="{00000000-0005-0000-0000-0000E73B0000}"/>
    <cellStyle name="20% - Accent6 8 3 3" xfId="18881" xr:uid="{00000000-0005-0000-0000-0000E83B0000}"/>
    <cellStyle name="20% - Accent6 8 3 3 2" xfId="18882" xr:uid="{00000000-0005-0000-0000-0000E93B0000}"/>
    <cellStyle name="20% - Accent6 8 3 3 2 2" xfId="18883" xr:uid="{00000000-0005-0000-0000-0000EA3B0000}"/>
    <cellStyle name="20% - Accent6 8 3 3 3" xfId="18884" xr:uid="{00000000-0005-0000-0000-0000EB3B0000}"/>
    <cellStyle name="20% - Accent6 8 3 4" xfId="18885" xr:uid="{00000000-0005-0000-0000-0000EC3B0000}"/>
    <cellStyle name="20% - Accent6 8 3 4 2" xfId="18886" xr:uid="{00000000-0005-0000-0000-0000ED3B0000}"/>
    <cellStyle name="20% - Accent6 8 3 5" xfId="18887" xr:uid="{00000000-0005-0000-0000-0000EE3B0000}"/>
    <cellStyle name="20% - Accent6 8 3 6" xfId="18888" xr:uid="{00000000-0005-0000-0000-0000EF3B0000}"/>
    <cellStyle name="20% - Accent6 8 3 7" xfId="18889" xr:uid="{00000000-0005-0000-0000-0000F03B0000}"/>
    <cellStyle name="20% - Accent6 8 4" xfId="18890" xr:uid="{00000000-0005-0000-0000-0000F13B0000}"/>
    <cellStyle name="20% - Accent6 8 4 2" xfId="18891" xr:uid="{00000000-0005-0000-0000-0000F23B0000}"/>
    <cellStyle name="20% - Accent6 8 4 2 2" xfId="18892" xr:uid="{00000000-0005-0000-0000-0000F33B0000}"/>
    <cellStyle name="20% - Accent6 8 4 2 2 2" xfId="18893" xr:uid="{00000000-0005-0000-0000-0000F43B0000}"/>
    <cellStyle name="20% - Accent6 8 4 2 2 2 2" xfId="18894" xr:uid="{00000000-0005-0000-0000-0000F53B0000}"/>
    <cellStyle name="20% - Accent6 8 4 2 2 3" xfId="18895" xr:uid="{00000000-0005-0000-0000-0000F63B0000}"/>
    <cellStyle name="20% - Accent6 8 4 2 3" xfId="18896" xr:uid="{00000000-0005-0000-0000-0000F73B0000}"/>
    <cellStyle name="20% - Accent6 8 4 2 3 2" xfId="18897" xr:uid="{00000000-0005-0000-0000-0000F83B0000}"/>
    <cellStyle name="20% - Accent6 8 4 2 4" xfId="18898" xr:uid="{00000000-0005-0000-0000-0000F93B0000}"/>
    <cellStyle name="20% - Accent6 8 4 2 5" xfId="18899" xr:uid="{00000000-0005-0000-0000-0000FA3B0000}"/>
    <cellStyle name="20% - Accent6 8 4 2 6" xfId="18900" xr:uid="{00000000-0005-0000-0000-0000FB3B0000}"/>
    <cellStyle name="20% - Accent6 8 4 3" xfId="18901" xr:uid="{00000000-0005-0000-0000-0000FC3B0000}"/>
    <cellStyle name="20% - Accent6 8 4 3 2" xfId="18902" xr:uid="{00000000-0005-0000-0000-0000FD3B0000}"/>
    <cellStyle name="20% - Accent6 8 4 3 2 2" xfId="18903" xr:uid="{00000000-0005-0000-0000-0000FE3B0000}"/>
    <cellStyle name="20% - Accent6 8 4 3 3" xfId="18904" xr:uid="{00000000-0005-0000-0000-0000FF3B0000}"/>
    <cellStyle name="20% - Accent6 8 4 4" xfId="18905" xr:uid="{00000000-0005-0000-0000-0000003C0000}"/>
    <cellStyle name="20% - Accent6 8 4 4 2" xfId="18906" xr:uid="{00000000-0005-0000-0000-0000013C0000}"/>
    <cellStyle name="20% - Accent6 8 4 5" xfId="18907" xr:uid="{00000000-0005-0000-0000-0000023C0000}"/>
    <cellStyle name="20% - Accent6 8 4 6" xfId="18908" xr:uid="{00000000-0005-0000-0000-0000033C0000}"/>
    <cellStyle name="20% - Accent6 8 4 7" xfId="18909" xr:uid="{00000000-0005-0000-0000-0000043C0000}"/>
    <cellStyle name="20% - Accent6 8 5" xfId="18910" xr:uid="{00000000-0005-0000-0000-0000053C0000}"/>
    <cellStyle name="20% - Accent6 8 5 2" xfId="18911" xr:uid="{00000000-0005-0000-0000-0000063C0000}"/>
    <cellStyle name="20% - Accent6 8 5 2 2" xfId="18912" xr:uid="{00000000-0005-0000-0000-0000073C0000}"/>
    <cellStyle name="20% - Accent6 8 5 2 2 2" xfId="18913" xr:uid="{00000000-0005-0000-0000-0000083C0000}"/>
    <cellStyle name="20% - Accent6 8 5 2 3" xfId="18914" xr:uid="{00000000-0005-0000-0000-0000093C0000}"/>
    <cellStyle name="20% - Accent6 8 5 3" xfId="18915" xr:uid="{00000000-0005-0000-0000-00000A3C0000}"/>
    <cellStyle name="20% - Accent6 8 5 3 2" xfId="18916" xr:uid="{00000000-0005-0000-0000-00000B3C0000}"/>
    <cellStyle name="20% - Accent6 8 5 4" xfId="18917" xr:uid="{00000000-0005-0000-0000-00000C3C0000}"/>
    <cellStyle name="20% - Accent6 8 5 5" xfId="18918" xr:uid="{00000000-0005-0000-0000-00000D3C0000}"/>
    <cellStyle name="20% - Accent6 8 5 6" xfId="18919" xr:uid="{00000000-0005-0000-0000-00000E3C0000}"/>
    <cellStyle name="20% - Accent6 8 6" xfId="18920" xr:uid="{00000000-0005-0000-0000-00000F3C0000}"/>
    <cellStyle name="20% - Accent6 8 6 2" xfId="18921" xr:uid="{00000000-0005-0000-0000-0000103C0000}"/>
    <cellStyle name="20% - Accent6 8 6 2 2" xfId="18922" xr:uid="{00000000-0005-0000-0000-0000113C0000}"/>
    <cellStyle name="20% - Accent6 8 6 3" xfId="18923" xr:uid="{00000000-0005-0000-0000-0000123C0000}"/>
    <cellStyle name="20% - Accent6 8 7" xfId="18924" xr:uid="{00000000-0005-0000-0000-0000133C0000}"/>
    <cellStyle name="20% - Accent6 8 7 2" xfId="18925" xr:uid="{00000000-0005-0000-0000-0000143C0000}"/>
    <cellStyle name="20% - Accent6 8 7 2 2" xfId="18926" xr:uid="{00000000-0005-0000-0000-0000153C0000}"/>
    <cellStyle name="20% - Accent6 8 7 3" xfId="18927" xr:uid="{00000000-0005-0000-0000-0000163C0000}"/>
    <cellStyle name="20% - Accent6 8 8" xfId="18928" xr:uid="{00000000-0005-0000-0000-0000173C0000}"/>
    <cellStyle name="20% - Accent6 8 8 2" xfId="18929" xr:uid="{00000000-0005-0000-0000-0000183C0000}"/>
    <cellStyle name="20% - Accent6 8 9" xfId="18930" xr:uid="{00000000-0005-0000-0000-0000193C0000}"/>
    <cellStyle name="20% - Accent6 8 9 2" xfId="18931" xr:uid="{00000000-0005-0000-0000-00001A3C0000}"/>
    <cellStyle name="20% - Accent6 9" xfId="18932" xr:uid="{00000000-0005-0000-0000-00001B3C0000}"/>
    <cellStyle name="20% - Accent6 9 2" xfId="18933" xr:uid="{00000000-0005-0000-0000-00001C3C0000}"/>
    <cellStyle name="20% - Accent6 9 2 2" xfId="18934" xr:uid="{00000000-0005-0000-0000-00001D3C0000}"/>
    <cellStyle name="20% - Accent6 9 2 2 2" xfId="18935" xr:uid="{00000000-0005-0000-0000-00001E3C0000}"/>
    <cellStyle name="20% - Accent6 9 2 2 2 2" xfId="18936" xr:uid="{00000000-0005-0000-0000-00001F3C0000}"/>
    <cellStyle name="20% - Accent6 9 2 2 2 2 2" xfId="18937" xr:uid="{00000000-0005-0000-0000-0000203C0000}"/>
    <cellStyle name="20% - Accent6 9 2 2 2 3" xfId="18938" xr:uid="{00000000-0005-0000-0000-0000213C0000}"/>
    <cellStyle name="20% - Accent6 9 2 2 3" xfId="18939" xr:uid="{00000000-0005-0000-0000-0000223C0000}"/>
    <cellStyle name="20% - Accent6 9 2 2 3 2" xfId="18940" xr:uid="{00000000-0005-0000-0000-0000233C0000}"/>
    <cellStyle name="20% - Accent6 9 2 2 4" xfId="18941" xr:uid="{00000000-0005-0000-0000-0000243C0000}"/>
    <cellStyle name="20% - Accent6 9 2 2 5" xfId="18942" xr:uid="{00000000-0005-0000-0000-0000253C0000}"/>
    <cellStyle name="20% - Accent6 9 2 2 6" xfId="18943" xr:uid="{00000000-0005-0000-0000-0000263C0000}"/>
    <cellStyle name="20% - Accent6 9 2 3" xfId="18944" xr:uid="{00000000-0005-0000-0000-0000273C0000}"/>
    <cellStyle name="20% - Accent6 9 2 3 2" xfId="18945" xr:uid="{00000000-0005-0000-0000-0000283C0000}"/>
    <cellStyle name="20% - Accent6 9 2 3 2 2" xfId="18946" xr:uid="{00000000-0005-0000-0000-0000293C0000}"/>
    <cellStyle name="20% - Accent6 9 2 3 3" xfId="18947" xr:uid="{00000000-0005-0000-0000-00002A3C0000}"/>
    <cellStyle name="20% - Accent6 9 2 4" xfId="18948" xr:uid="{00000000-0005-0000-0000-00002B3C0000}"/>
    <cellStyle name="20% - Accent6 9 2 4 2" xfId="18949" xr:uid="{00000000-0005-0000-0000-00002C3C0000}"/>
    <cellStyle name="20% - Accent6 9 2 5" xfId="18950" xr:uid="{00000000-0005-0000-0000-00002D3C0000}"/>
    <cellStyle name="20% - Accent6 9 2 6" xfId="18951" xr:uid="{00000000-0005-0000-0000-00002E3C0000}"/>
    <cellStyle name="20% - Accent6 9 2 7" xfId="18952" xr:uid="{00000000-0005-0000-0000-00002F3C0000}"/>
    <cellStyle name="20% - Accent6 9 3" xfId="18953" xr:uid="{00000000-0005-0000-0000-0000303C0000}"/>
    <cellStyle name="20% - Accent6 9 3 2" xfId="18954" xr:uid="{00000000-0005-0000-0000-0000313C0000}"/>
    <cellStyle name="20% - Accent6 9 3 2 2" xfId="18955" xr:uid="{00000000-0005-0000-0000-0000323C0000}"/>
    <cellStyle name="20% - Accent6 9 3 2 2 2" xfId="18956" xr:uid="{00000000-0005-0000-0000-0000333C0000}"/>
    <cellStyle name="20% - Accent6 9 3 2 2 2 2" xfId="18957" xr:uid="{00000000-0005-0000-0000-0000343C0000}"/>
    <cellStyle name="20% - Accent6 9 3 2 2 3" xfId="18958" xr:uid="{00000000-0005-0000-0000-0000353C0000}"/>
    <cellStyle name="20% - Accent6 9 3 2 3" xfId="18959" xr:uid="{00000000-0005-0000-0000-0000363C0000}"/>
    <cellStyle name="20% - Accent6 9 3 2 3 2" xfId="18960" xr:uid="{00000000-0005-0000-0000-0000373C0000}"/>
    <cellStyle name="20% - Accent6 9 3 2 4" xfId="18961" xr:uid="{00000000-0005-0000-0000-0000383C0000}"/>
    <cellStyle name="20% - Accent6 9 3 2 5" xfId="18962" xr:uid="{00000000-0005-0000-0000-0000393C0000}"/>
    <cellStyle name="20% - Accent6 9 3 2 6" xfId="18963" xr:uid="{00000000-0005-0000-0000-00003A3C0000}"/>
    <cellStyle name="20% - Accent6 9 3 3" xfId="18964" xr:uid="{00000000-0005-0000-0000-00003B3C0000}"/>
    <cellStyle name="20% - Accent6 9 3 3 2" xfId="18965" xr:uid="{00000000-0005-0000-0000-00003C3C0000}"/>
    <cellStyle name="20% - Accent6 9 3 3 2 2" xfId="18966" xr:uid="{00000000-0005-0000-0000-00003D3C0000}"/>
    <cellStyle name="20% - Accent6 9 3 3 3" xfId="18967" xr:uid="{00000000-0005-0000-0000-00003E3C0000}"/>
    <cellStyle name="20% - Accent6 9 3 4" xfId="18968" xr:uid="{00000000-0005-0000-0000-00003F3C0000}"/>
    <cellStyle name="20% - Accent6 9 3 4 2" xfId="18969" xr:uid="{00000000-0005-0000-0000-0000403C0000}"/>
    <cellStyle name="20% - Accent6 9 3 5" xfId="18970" xr:uid="{00000000-0005-0000-0000-0000413C0000}"/>
    <cellStyle name="20% - Accent6 9 3 6" xfId="18971" xr:uid="{00000000-0005-0000-0000-0000423C0000}"/>
    <cellStyle name="20% - Accent6 9 3 7" xfId="18972" xr:uid="{00000000-0005-0000-0000-0000433C0000}"/>
    <cellStyle name="20% - Accent6 9 4" xfId="18973" xr:uid="{00000000-0005-0000-0000-0000443C0000}"/>
    <cellStyle name="20% - Accent6 9 5" xfId="18974" xr:uid="{00000000-0005-0000-0000-0000453C0000}"/>
    <cellStyle name="20% - Accent6 9 6" xfId="18975" xr:uid="{00000000-0005-0000-0000-0000463C0000}"/>
    <cellStyle name="20% - Accent6 9 6 2" xfId="18976" xr:uid="{00000000-0005-0000-0000-0000473C0000}"/>
    <cellStyle name="20% - Accent6 9 7" xfId="18977" xr:uid="{00000000-0005-0000-0000-0000483C0000}"/>
    <cellStyle name="20% - Accent6 9 8" xfId="18978" xr:uid="{00000000-0005-0000-0000-0000493C0000}"/>
    <cellStyle name="40% - Accent1" xfId="120" builtinId="31" customBuiltin="1"/>
    <cellStyle name="40% - Accent1 10" xfId="18979" xr:uid="{00000000-0005-0000-0000-00004A3C0000}"/>
    <cellStyle name="40% - Accent1 10 10" xfId="18980" xr:uid="{00000000-0005-0000-0000-00004B3C0000}"/>
    <cellStyle name="40% - Accent1 10 11" xfId="18981" xr:uid="{00000000-0005-0000-0000-00004C3C0000}"/>
    <cellStyle name="40% - Accent1 10 2" xfId="18982" xr:uid="{00000000-0005-0000-0000-00004D3C0000}"/>
    <cellStyle name="40% - Accent1 10 2 2" xfId="18983" xr:uid="{00000000-0005-0000-0000-00004E3C0000}"/>
    <cellStyle name="40% - Accent1 10 2 2 2" xfId="18984" xr:uid="{00000000-0005-0000-0000-00004F3C0000}"/>
    <cellStyle name="40% - Accent1 10 2 2 2 2" xfId="18985" xr:uid="{00000000-0005-0000-0000-0000503C0000}"/>
    <cellStyle name="40% - Accent1 10 2 2 2 2 2" xfId="18986" xr:uid="{00000000-0005-0000-0000-0000513C0000}"/>
    <cellStyle name="40% - Accent1 10 2 2 2 3" xfId="18987" xr:uid="{00000000-0005-0000-0000-0000523C0000}"/>
    <cellStyle name="40% - Accent1 10 2 2 3" xfId="18988" xr:uid="{00000000-0005-0000-0000-0000533C0000}"/>
    <cellStyle name="40% - Accent1 10 2 2 3 2" xfId="18989" xr:uid="{00000000-0005-0000-0000-0000543C0000}"/>
    <cellStyle name="40% - Accent1 10 2 2 4" xfId="18990" xr:uid="{00000000-0005-0000-0000-0000553C0000}"/>
    <cellStyle name="40% - Accent1 10 2 2 5" xfId="18991" xr:uid="{00000000-0005-0000-0000-0000563C0000}"/>
    <cellStyle name="40% - Accent1 10 2 2 6" xfId="18992" xr:uid="{00000000-0005-0000-0000-0000573C0000}"/>
    <cellStyle name="40% - Accent1 10 2 3" xfId="18993" xr:uid="{00000000-0005-0000-0000-0000583C0000}"/>
    <cellStyle name="40% - Accent1 10 2 3 2" xfId="18994" xr:uid="{00000000-0005-0000-0000-0000593C0000}"/>
    <cellStyle name="40% - Accent1 10 2 3 2 2" xfId="18995" xr:uid="{00000000-0005-0000-0000-00005A3C0000}"/>
    <cellStyle name="40% - Accent1 10 2 3 3" xfId="18996" xr:uid="{00000000-0005-0000-0000-00005B3C0000}"/>
    <cellStyle name="40% - Accent1 10 2 4" xfId="18997" xr:uid="{00000000-0005-0000-0000-00005C3C0000}"/>
    <cellStyle name="40% - Accent1 10 2 4 2" xfId="18998" xr:uid="{00000000-0005-0000-0000-00005D3C0000}"/>
    <cellStyle name="40% - Accent1 10 2 5" xfId="18999" xr:uid="{00000000-0005-0000-0000-00005E3C0000}"/>
    <cellStyle name="40% - Accent1 10 2 5 2" xfId="19000" xr:uid="{00000000-0005-0000-0000-00005F3C0000}"/>
    <cellStyle name="40% - Accent1 10 2 6" xfId="19001" xr:uid="{00000000-0005-0000-0000-0000603C0000}"/>
    <cellStyle name="40% - Accent1 10 2 7" xfId="19002" xr:uid="{00000000-0005-0000-0000-0000613C0000}"/>
    <cellStyle name="40% - Accent1 10 2 8" xfId="19003" xr:uid="{00000000-0005-0000-0000-0000623C0000}"/>
    <cellStyle name="40% - Accent1 10 3" xfId="19004" xr:uid="{00000000-0005-0000-0000-0000633C0000}"/>
    <cellStyle name="40% - Accent1 10 3 2" xfId="19005" xr:uid="{00000000-0005-0000-0000-0000643C0000}"/>
    <cellStyle name="40% - Accent1 10 3 2 2" xfId="19006" xr:uid="{00000000-0005-0000-0000-0000653C0000}"/>
    <cellStyle name="40% - Accent1 10 3 2 2 2" xfId="19007" xr:uid="{00000000-0005-0000-0000-0000663C0000}"/>
    <cellStyle name="40% - Accent1 10 3 2 2 2 2" xfId="19008" xr:uid="{00000000-0005-0000-0000-0000673C0000}"/>
    <cellStyle name="40% - Accent1 10 3 2 2 3" xfId="19009" xr:uid="{00000000-0005-0000-0000-0000683C0000}"/>
    <cellStyle name="40% - Accent1 10 3 2 3" xfId="19010" xr:uid="{00000000-0005-0000-0000-0000693C0000}"/>
    <cellStyle name="40% - Accent1 10 3 2 3 2" xfId="19011" xr:uid="{00000000-0005-0000-0000-00006A3C0000}"/>
    <cellStyle name="40% - Accent1 10 3 2 4" xfId="19012" xr:uid="{00000000-0005-0000-0000-00006B3C0000}"/>
    <cellStyle name="40% - Accent1 10 3 2 5" xfId="19013" xr:uid="{00000000-0005-0000-0000-00006C3C0000}"/>
    <cellStyle name="40% - Accent1 10 3 2 6" xfId="19014" xr:uid="{00000000-0005-0000-0000-00006D3C0000}"/>
    <cellStyle name="40% - Accent1 10 3 3" xfId="19015" xr:uid="{00000000-0005-0000-0000-00006E3C0000}"/>
    <cellStyle name="40% - Accent1 10 3 3 2" xfId="19016" xr:uid="{00000000-0005-0000-0000-00006F3C0000}"/>
    <cellStyle name="40% - Accent1 10 3 3 2 2" xfId="19017" xr:uid="{00000000-0005-0000-0000-0000703C0000}"/>
    <cellStyle name="40% - Accent1 10 3 3 3" xfId="19018" xr:uid="{00000000-0005-0000-0000-0000713C0000}"/>
    <cellStyle name="40% - Accent1 10 3 4" xfId="19019" xr:uid="{00000000-0005-0000-0000-0000723C0000}"/>
    <cellStyle name="40% - Accent1 10 3 4 2" xfId="19020" xr:uid="{00000000-0005-0000-0000-0000733C0000}"/>
    <cellStyle name="40% - Accent1 10 3 5" xfId="19021" xr:uid="{00000000-0005-0000-0000-0000743C0000}"/>
    <cellStyle name="40% - Accent1 10 3 6" xfId="19022" xr:uid="{00000000-0005-0000-0000-0000753C0000}"/>
    <cellStyle name="40% - Accent1 10 3 7" xfId="19023" xr:uid="{00000000-0005-0000-0000-0000763C0000}"/>
    <cellStyle name="40% - Accent1 10 4" xfId="19024" xr:uid="{00000000-0005-0000-0000-0000773C0000}"/>
    <cellStyle name="40% - Accent1 10 4 2" xfId="19025" xr:uid="{00000000-0005-0000-0000-0000783C0000}"/>
    <cellStyle name="40% - Accent1 10 4 2 2" xfId="19026" xr:uid="{00000000-0005-0000-0000-0000793C0000}"/>
    <cellStyle name="40% - Accent1 10 4 2 2 2" xfId="19027" xr:uid="{00000000-0005-0000-0000-00007A3C0000}"/>
    <cellStyle name="40% - Accent1 10 4 2 3" xfId="19028" xr:uid="{00000000-0005-0000-0000-00007B3C0000}"/>
    <cellStyle name="40% - Accent1 10 4 3" xfId="19029" xr:uid="{00000000-0005-0000-0000-00007C3C0000}"/>
    <cellStyle name="40% - Accent1 10 4 3 2" xfId="19030" xr:uid="{00000000-0005-0000-0000-00007D3C0000}"/>
    <cellStyle name="40% - Accent1 10 4 4" xfId="19031" xr:uid="{00000000-0005-0000-0000-00007E3C0000}"/>
    <cellStyle name="40% - Accent1 10 4 5" xfId="19032" xr:uid="{00000000-0005-0000-0000-00007F3C0000}"/>
    <cellStyle name="40% - Accent1 10 4 6" xfId="19033" xr:uid="{00000000-0005-0000-0000-0000803C0000}"/>
    <cellStyle name="40% - Accent1 10 5" xfId="19034" xr:uid="{00000000-0005-0000-0000-0000813C0000}"/>
    <cellStyle name="40% - Accent1 10 5 2" xfId="19035" xr:uid="{00000000-0005-0000-0000-0000823C0000}"/>
    <cellStyle name="40% - Accent1 10 5 2 2" xfId="19036" xr:uid="{00000000-0005-0000-0000-0000833C0000}"/>
    <cellStyle name="40% - Accent1 10 5 3" xfId="19037" xr:uid="{00000000-0005-0000-0000-0000843C0000}"/>
    <cellStyle name="40% - Accent1 10 6" xfId="19038" xr:uid="{00000000-0005-0000-0000-0000853C0000}"/>
    <cellStyle name="40% - Accent1 10 6 2" xfId="19039" xr:uid="{00000000-0005-0000-0000-0000863C0000}"/>
    <cellStyle name="40% - Accent1 10 6 2 2" xfId="19040" xr:uid="{00000000-0005-0000-0000-0000873C0000}"/>
    <cellStyle name="40% - Accent1 10 6 3" xfId="19041" xr:uid="{00000000-0005-0000-0000-0000883C0000}"/>
    <cellStyle name="40% - Accent1 10 7" xfId="19042" xr:uid="{00000000-0005-0000-0000-0000893C0000}"/>
    <cellStyle name="40% - Accent1 10 7 2" xfId="19043" xr:uid="{00000000-0005-0000-0000-00008A3C0000}"/>
    <cellStyle name="40% - Accent1 10 8" xfId="19044" xr:uid="{00000000-0005-0000-0000-00008B3C0000}"/>
    <cellStyle name="40% - Accent1 10 8 2" xfId="19045" xr:uid="{00000000-0005-0000-0000-00008C3C0000}"/>
    <cellStyle name="40% - Accent1 10 9" xfId="19046" xr:uid="{00000000-0005-0000-0000-00008D3C0000}"/>
    <cellStyle name="40% - Accent1 11" xfId="19047" xr:uid="{00000000-0005-0000-0000-00008E3C0000}"/>
    <cellStyle name="40% - Accent1 11 10" xfId="19048" xr:uid="{00000000-0005-0000-0000-00008F3C0000}"/>
    <cellStyle name="40% - Accent1 11 11" xfId="19049" xr:uid="{00000000-0005-0000-0000-0000903C0000}"/>
    <cellStyle name="40% - Accent1 11 2" xfId="19050" xr:uid="{00000000-0005-0000-0000-0000913C0000}"/>
    <cellStyle name="40% - Accent1 11 2 2" xfId="19051" xr:uid="{00000000-0005-0000-0000-0000923C0000}"/>
    <cellStyle name="40% - Accent1 11 2 2 2" xfId="19052" xr:uid="{00000000-0005-0000-0000-0000933C0000}"/>
    <cellStyle name="40% - Accent1 11 2 2 2 2" xfId="19053" xr:uid="{00000000-0005-0000-0000-0000943C0000}"/>
    <cellStyle name="40% - Accent1 11 2 2 2 2 2" xfId="19054" xr:uid="{00000000-0005-0000-0000-0000953C0000}"/>
    <cellStyle name="40% - Accent1 11 2 2 2 3" xfId="19055" xr:uid="{00000000-0005-0000-0000-0000963C0000}"/>
    <cellStyle name="40% - Accent1 11 2 2 3" xfId="19056" xr:uid="{00000000-0005-0000-0000-0000973C0000}"/>
    <cellStyle name="40% - Accent1 11 2 2 3 2" xfId="19057" xr:uid="{00000000-0005-0000-0000-0000983C0000}"/>
    <cellStyle name="40% - Accent1 11 2 2 4" xfId="19058" xr:uid="{00000000-0005-0000-0000-0000993C0000}"/>
    <cellStyle name="40% - Accent1 11 2 2 5" xfId="19059" xr:uid="{00000000-0005-0000-0000-00009A3C0000}"/>
    <cellStyle name="40% - Accent1 11 2 2 6" xfId="19060" xr:uid="{00000000-0005-0000-0000-00009B3C0000}"/>
    <cellStyle name="40% - Accent1 11 2 3" xfId="19061" xr:uid="{00000000-0005-0000-0000-00009C3C0000}"/>
    <cellStyle name="40% - Accent1 11 2 3 2" xfId="19062" xr:uid="{00000000-0005-0000-0000-00009D3C0000}"/>
    <cellStyle name="40% - Accent1 11 2 3 2 2" xfId="19063" xr:uid="{00000000-0005-0000-0000-00009E3C0000}"/>
    <cellStyle name="40% - Accent1 11 2 3 3" xfId="19064" xr:uid="{00000000-0005-0000-0000-00009F3C0000}"/>
    <cellStyle name="40% - Accent1 11 2 4" xfId="19065" xr:uid="{00000000-0005-0000-0000-0000A03C0000}"/>
    <cellStyle name="40% - Accent1 11 2 4 2" xfId="19066" xr:uid="{00000000-0005-0000-0000-0000A13C0000}"/>
    <cellStyle name="40% - Accent1 11 2 5" xfId="19067" xr:uid="{00000000-0005-0000-0000-0000A23C0000}"/>
    <cellStyle name="40% - Accent1 11 2 5 2" xfId="19068" xr:uid="{00000000-0005-0000-0000-0000A33C0000}"/>
    <cellStyle name="40% - Accent1 11 2 6" xfId="19069" xr:uid="{00000000-0005-0000-0000-0000A43C0000}"/>
    <cellStyle name="40% - Accent1 11 2 7" xfId="19070" xr:uid="{00000000-0005-0000-0000-0000A53C0000}"/>
    <cellStyle name="40% - Accent1 11 2 8" xfId="19071" xr:uid="{00000000-0005-0000-0000-0000A63C0000}"/>
    <cellStyle name="40% - Accent1 11 3" xfId="19072" xr:uid="{00000000-0005-0000-0000-0000A73C0000}"/>
    <cellStyle name="40% - Accent1 11 3 2" xfId="19073" xr:uid="{00000000-0005-0000-0000-0000A83C0000}"/>
    <cellStyle name="40% - Accent1 11 3 2 2" xfId="19074" xr:uid="{00000000-0005-0000-0000-0000A93C0000}"/>
    <cellStyle name="40% - Accent1 11 3 2 2 2" xfId="19075" xr:uid="{00000000-0005-0000-0000-0000AA3C0000}"/>
    <cellStyle name="40% - Accent1 11 3 2 2 2 2" xfId="19076" xr:uid="{00000000-0005-0000-0000-0000AB3C0000}"/>
    <cellStyle name="40% - Accent1 11 3 2 2 3" xfId="19077" xr:uid="{00000000-0005-0000-0000-0000AC3C0000}"/>
    <cellStyle name="40% - Accent1 11 3 2 3" xfId="19078" xr:uid="{00000000-0005-0000-0000-0000AD3C0000}"/>
    <cellStyle name="40% - Accent1 11 3 2 3 2" xfId="19079" xr:uid="{00000000-0005-0000-0000-0000AE3C0000}"/>
    <cellStyle name="40% - Accent1 11 3 2 4" xfId="19080" xr:uid="{00000000-0005-0000-0000-0000AF3C0000}"/>
    <cellStyle name="40% - Accent1 11 3 2 5" xfId="19081" xr:uid="{00000000-0005-0000-0000-0000B03C0000}"/>
    <cellStyle name="40% - Accent1 11 3 2 6" xfId="19082" xr:uid="{00000000-0005-0000-0000-0000B13C0000}"/>
    <cellStyle name="40% - Accent1 11 3 3" xfId="19083" xr:uid="{00000000-0005-0000-0000-0000B23C0000}"/>
    <cellStyle name="40% - Accent1 11 3 3 2" xfId="19084" xr:uid="{00000000-0005-0000-0000-0000B33C0000}"/>
    <cellStyle name="40% - Accent1 11 3 3 2 2" xfId="19085" xr:uid="{00000000-0005-0000-0000-0000B43C0000}"/>
    <cellStyle name="40% - Accent1 11 3 3 3" xfId="19086" xr:uid="{00000000-0005-0000-0000-0000B53C0000}"/>
    <cellStyle name="40% - Accent1 11 3 4" xfId="19087" xr:uid="{00000000-0005-0000-0000-0000B63C0000}"/>
    <cellStyle name="40% - Accent1 11 3 4 2" xfId="19088" xr:uid="{00000000-0005-0000-0000-0000B73C0000}"/>
    <cellStyle name="40% - Accent1 11 3 5" xfId="19089" xr:uid="{00000000-0005-0000-0000-0000B83C0000}"/>
    <cellStyle name="40% - Accent1 11 3 6" xfId="19090" xr:uid="{00000000-0005-0000-0000-0000B93C0000}"/>
    <cellStyle name="40% - Accent1 11 3 7" xfId="19091" xr:uid="{00000000-0005-0000-0000-0000BA3C0000}"/>
    <cellStyle name="40% - Accent1 11 4" xfId="19092" xr:uid="{00000000-0005-0000-0000-0000BB3C0000}"/>
    <cellStyle name="40% - Accent1 11 4 2" xfId="19093" xr:uid="{00000000-0005-0000-0000-0000BC3C0000}"/>
    <cellStyle name="40% - Accent1 11 4 2 2" xfId="19094" xr:uid="{00000000-0005-0000-0000-0000BD3C0000}"/>
    <cellStyle name="40% - Accent1 11 4 2 2 2" xfId="19095" xr:uid="{00000000-0005-0000-0000-0000BE3C0000}"/>
    <cellStyle name="40% - Accent1 11 4 2 3" xfId="19096" xr:uid="{00000000-0005-0000-0000-0000BF3C0000}"/>
    <cellStyle name="40% - Accent1 11 4 3" xfId="19097" xr:uid="{00000000-0005-0000-0000-0000C03C0000}"/>
    <cellStyle name="40% - Accent1 11 4 3 2" xfId="19098" xr:uid="{00000000-0005-0000-0000-0000C13C0000}"/>
    <cellStyle name="40% - Accent1 11 4 4" xfId="19099" xr:uid="{00000000-0005-0000-0000-0000C23C0000}"/>
    <cellStyle name="40% - Accent1 11 4 5" xfId="19100" xr:uid="{00000000-0005-0000-0000-0000C33C0000}"/>
    <cellStyle name="40% - Accent1 11 4 6" xfId="19101" xr:uid="{00000000-0005-0000-0000-0000C43C0000}"/>
    <cellStyle name="40% - Accent1 11 5" xfId="19102" xr:uid="{00000000-0005-0000-0000-0000C53C0000}"/>
    <cellStyle name="40% - Accent1 11 5 2" xfId="19103" xr:uid="{00000000-0005-0000-0000-0000C63C0000}"/>
    <cellStyle name="40% - Accent1 11 5 2 2" xfId="19104" xr:uid="{00000000-0005-0000-0000-0000C73C0000}"/>
    <cellStyle name="40% - Accent1 11 5 3" xfId="19105" xr:uid="{00000000-0005-0000-0000-0000C83C0000}"/>
    <cellStyle name="40% - Accent1 11 6" xfId="19106" xr:uid="{00000000-0005-0000-0000-0000C93C0000}"/>
    <cellStyle name="40% - Accent1 11 6 2" xfId="19107" xr:uid="{00000000-0005-0000-0000-0000CA3C0000}"/>
    <cellStyle name="40% - Accent1 11 6 2 2" xfId="19108" xr:uid="{00000000-0005-0000-0000-0000CB3C0000}"/>
    <cellStyle name="40% - Accent1 11 6 3" xfId="19109" xr:uid="{00000000-0005-0000-0000-0000CC3C0000}"/>
    <cellStyle name="40% - Accent1 11 7" xfId="19110" xr:uid="{00000000-0005-0000-0000-0000CD3C0000}"/>
    <cellStyle name="40% - Accent1 11 7 2" xfId="19111" xr:uid="{00000000-0005-0000-0000-0000CE3C0000}"/>
    <cellStyle name="40% - Accent1 11 8" xfId="19112" xr:uid="{00000000-0005-0000-0000-0000CF3C0000}"/>
    <cellStyle name="40% - Accent1 11 8 2" xfId="19113" xr:uid="{00000000-0005-0000-0000-0000D03C0000}"/>
    <cellStyle name="40% - Accent1 11 9" xfId="19114" xr:uid="{00000000-0005-0000-0000-0000D13C0000}"/>
    <cellStyle name="40% - Accent1 12" xfId="19115" xr:uid="{00000000-0005-0000-0000-0000D23C0000}"/>
    <cellStyle name="40% - Accent1 12 2" xfId="19116" xr:uid="{00000000-0005-0000-0000-0000D33C0000}"/>
    <cellStyle name="40% - Accent1 12 2 2" xfId="19117" xr:uid="{00000000-0005-0000-0000-0000D43C0000}"/>
    <cellStyle name="40% - Accent1 12 2 2 2" xfId="19118" xr:uid="{00000000-0005-0000-0000-0000D53C0000}"/>
    <cellStyle name="40% - Accent1 12 2 2 2 2" xfId="19119" xr:uid="{00000000-0005-0000-0000-0000D63C0000}"/>
    <cellStyle name="40% - Accent1 12 2 2 2 2 2" xfId="19120" xr:uid="{00000000-0005-0000-0000-0000D73C0000}"/>
    <cellStyle name="40% - Accent1 12 2 2 2 3" xfId="19121" xr:uid="{00000000-0005-0000-0000-0000D83C0000}"/>
    <cellStyle name="40% - Accent1 12 2 2 3" xfId="19122" xr:uid="{00000000-0005-0000-0000-0000D93C0000}"/>
    <cellStyle name="40% - Accent1 12 2 2 3 2" xfId="19123" xr:uid="{00000000-0005-0000-0000-0000DA3C0000}"/>
    <cellStyle name="40% - Accent1 12 2 2 4" xfId="19124" xr:uid="{00000000-0005-0000-0000-0000DB3C0000}"/>
    <cellStyle name="40% - Accent1 12 2 2 5" xfId="19125" xr:uid="{00000000-0005-0000-0000-0000DC3C0000}"/>
    <cellStyle name="40% - Accent1 12 2 2 6" xfId="19126" xr:uid="{00000000-0005-0000-0000-0000DD3C0000}"/>
    <cellStyle name="40% - Accent1 12 2 3" xfId="19127" xr:uid="{00000000-0005-0000-0000-0000DE3C0000}"/>
    <cellStyle name="40% - Accent1 12 2 3 2" xfId="19128" xr:uid="{00000000-0005-0000-0000-0000DF3C0000}"/>
    <cellStyle name="40% - Accent1 12 2 3 2 2" xfId="19129" xr:uid="{00000000-0005-0000-0000-0000E03C0000}"/>
    <cellStyle name="40% - Accent1 12 2 3 3" xfId="19130" xr:uid="{00000000-0005-0000-0000-0000E13C0000}"/>
    <cellStyle name="40% - Accent1 12 2 4" xfId="19131" xr:uid="{00000000-0005-0000-0000-0000E23C0000}"/>
    <cellStyle name="40% - Accent1 12 2 4 2" xfId="19132" xr:uid="{00000000-0005-0000-0000-0000E33C0000}"/>
    <cellStyle name="40% - Accent1 12 2 5" xfId="19133" xr:uid="{00000000-0005-0000-0000-0000E43C0000}"/>
    <cellStyle name="40% - Accent1 12 2 6" xfId="19134" xr:uid="{00000000-0005-0000-0000-0000E53C0000}"/>
    <cellStyle name="40% - Accent1 12 2 7" xfId="19135" xr:uid="{00000000-0005-0000-0000-0000E63C0000}"/>
    <cellStyle name="40% - Accent1 12 3" xfId="19136" xr:uid="{00000000-0005-0000-0000-0000E73C0000}"/>
    <cellStyle name="40% - Accent1 12 3 2" xfId="19137" xr:uid="{00000000-0005-0000-0000-0000E83C0000}"/>
    <cellStyle name="40% - Accent1 12 3 2 2" xfId="19138" xr:uid="{00000000-0005-0000-0000-0000E93C0000}"/>
    <cellStyle name="40% - Accent1 12 3 2 2 2" xfId="19139" xr:uid="{00000000-0005-0000-0000-0000EA3C0000}"/>
    <cellStyle name="40% - Accent1 12 3 2 2 2 2" xfId="19140" xr:uid="{00000000-0005-0000-0000-0000EB3C0000}"/>
    <cellStyle name="40% - Accent1 12 3 2 2 3" xfId="19141" xr:uid="{00000000-0005-0000-0000-0000EC3C0000}"/>
    <cellStyle name="40% - Accent1 12 3 2 3" xfId="19142" xr:uid="{00000000-0005-0000-0000-0000ED3C0000}"/>
    <cellStyle name="40% - Accent1 12 3 2 3 2" xfId="19143" xr:uid="{00000000-0005-0000-0000-0000EE3C0000}"/>
    <cellStyle name="40% - Accent1 12 3 2 4" xfId="19144" xr:uid="{00000000-0005-0000-0000-0000EF3C0000}"/>
    <cellStyle name="40% - Accent1 12 3 2 5" xfId="19145" xr:uid="{00000000-0005-0000-0000-0000F03C0000}"/>
    <cellStyle name="40% - Accent1 12 3 2 6" xfId="19146" xr:uid="{00000000-0005-0000-0000-0000F13C0000}"/>
    <cellStyle name="40% - Accent1 12 3 3" xfId="19147" xr:uid="{00000000-0005-0000-0000-0000F23C0000}"/>
    <cellStyle name="40% - Accent1 12 3 3 2" xfId="19148" xr:uid="{00000000-0005-0000-0000-0000F33C0000}"/>
    <cellStyle name="40% - Accent1 12 3 3 2 2" xfId="19149" xr:uid="{00000000-0005-0000-0000-0000F43C0000}"/>
    <cellStyle name="40% - Accent1 12 3 3 3" xfId="19150" xr:uid="{00000000-0005-0000-0000-0000F53C0000}"/>
    <cellStyle name="40% - Accent1 12 3 4" xfId="19151" xr:uid="{00000000-0005-0000-0000-0000F63C0000}"/>
    <cellStyle name="40% - Accent1 12 3 4 2" xfId="19152" xr:uid="{00000000-0005-0000-0000-0000F73C0000}"/>
    <cellStyle name="40% - Accent1 12 3 5" xfId="19153" xr:uid="{00000000-0005-0000-0000-0000F83C0000}"/>
    <cellStyle name="40% - Accent1 12 3 6" xfId="19154" xr:uid="{00000000-0005-0000-0000-0000F93C0000}"/>
    <cellStyle name="40% - Accent1 12 3 7" xfId="19155" xr:uid="{00000000-0005-0000-0000-0000FA3C0000}"/>
    <cellStyle name="40% - Accent1 12 4" xfId="19156" xr:uid="{00000000-0005-0000-0000-0000FB3C0000}"/>
    <cellStyle name="40% - Accent1 12 5" xfId="19157" xr:uid="{00000000-0005-0000-0000-0000FC3C0000}"/>
    <cellStyle name="40% - Accent1 12 6" xfId="19158" xr:uid="{00000000-0005-0000-0000-0000FD3C0000}"/>
    <cellStyle name="40% - Accent1 12 6 2" xfId="19159" xr:uid="{00000000-0005-0000-0000-0000FE3C0000}"/>
    <cellStyle name="40% - Accent1 12 7" xfId="19160" xr:uid="{00000000-0005-0000-0000-0000FF3C0000}"/>
    <cellStyle name="40% - Accent1 12 8" xfId="19161" xr:uid="{00000000-0005-0000-0000-0000003D0000}"/>
    <cellStyle name="40% - Accent1 13" xfId="19162" xr:uid="{00000000-0005-0000-0000-0000013D0000}"/>
    <cellStyle name="40% - Accent1 13 2" xfId="19163" xr:uid="{00000000-0005-0000-0000-0000023D0000}"/>
    <cellStyle name="40% - Accent1 13 2 2" xfId="19164" xr:uid="{00000000-0005-0000-0000-0000033D0000}"/>
    <cellStyle name="40% - Accent1 13 2 2 2" xfId="19165" xr:uid="{00000000-0005-0000-0000-0000043D0000}"/>
    <cellStyle name="40% - Accent1 13 2 3" xfId="19166" xr:uid="{00000000-0005-0000-0000-0000053D0000}"/>
    <cellStyle name="40% - Accent1 13 3" xfId="19167" xr:uid="{00000000-0005-0000-0000-0000063D0000}"/>
    <cellStyle name="40% - Accent1 13 3 2" xfId="19168" xr:uid="{00000000-0005-0000-0000-0000073D0000}"/>
    <cellStyle name="40% - Accent1 13 4" xfId="19169" xr:uid="{00000000-0005-0000-0000-0000083D0000}"/>
    <cellStyle name="40% - Accent1 13 5" xfId="19170" xr:uid="{00000000-0005-0000-0000-0000093D0000}"/>
    <cellStyle name="40% - Accent1 13 6" xfId="19171" xr:uid="{00000000-0005-0000-0000-00000A3D0000}"/>
    <cellStyle name="40% - Accent1 14" xfId="19172" xr:uid="{00000000-0005-0000-0000-00000B3D0000}"/>
    <cellStyle name="40% - Accent1 14 2" xfId="19173" xr:uid="{00000000-0005-0000-0000-00000C3D0000}"/>
    <cellStyle name="40% - Accent1 14 2 2" xfId="19174" xr:uid="{00000000-0005-0000-0000-00000D3D0000}"/>
    <cellStyle name="40% - Accent1 14 2 2 2" xfId="19175" xr:uid="{00000000-0005-0000-0000-00000E3D0000}"/>
    <cellStyle name="40% - Accent1 14 2 3" xfId="19176" xr:uid="{00000000-0005-0000-0000-00000F3D0000}"/>
    <cellStyle name="40% - Accent1 14 3" xfId="19177" xr:uid="{00000000-0005-0000-0000-0000103D0000}"/>
    <cellStyle name="40% - Accent1 14 3 2" xfId="19178" xr:uid="{00000000-0005-0000-0000-0000113D0000}"/>
    <cellStyle name="40% - Accent1 14 4" xfId="19179" xr:uid="{00000000-0005-0000-0000-0000123D0000}"/>
    <cellStyle name="40% - Accent1 15" xfId="19180" xr:uid="{00000000-0005-0000-0000-0000133D0000}"/>
    <cellStyle name="40% - Accent1 15 2" xfId="19181" xr:uid="{00000000-0005-0000-0000-0000143D0000}"/>
    <cellStyle name="40% - Accent1 15 2 2" xfId="19182" xr:uid="{00000000-0005-0000-0000-0000153D0000}"/>
    <cellStyle name="40% - Accent1 15 2 2 2" xfId="19183" xr:uid="{00000000-0005-0000-0000-0000163D0000}"/>
    <cellStyle name="40% - Accent1 15 2 3" xfId="19184" xr:uid="{00000000-0005-0000-0000-0000173D0000}"/>
    <cellStyle name="40% - Accent1 15 3" xfId="19185" xr:uid="{00000000-0005-0000-0000-0000183D0000}"/>
    <cellStyle name="40% - Accent1 15 3 2" xfId="19186" xr:uid="{00000000-0005-0000-0000-0000193D0000}"/>
    <cellStyle name="40% - Accent1 15 4" xfId="19187" xr:uid="{00000000-0005-0000-0000-00001A3D0000}"/>
    <cellStyle name="40% - Accent1 16" xfId="19188" xr:uid="{00000000-0005-0000-0000-00001B3D0000}"/>
    <cellStyle name="40% - Accent1 16 2" xfId="19189" xr:uid="{00000000-0005-0000-0000-00001C3D0000}"/>
    <cellStyle name="40% - Accent1 16 2 2" xfId="19190" xr:uid="{00000000-0005-0000-0000-00001D3D0000}"/>
    <cellStyle name="40% - Accent1 16 3" xfId="19191" xr:uid="{00000000-0005-0000-0000-00001E3D0000}"/>
    <cellStyle name="40% - Accent1 17" xfId="19192" xr:uid="{00000000-0005-0000-0000-00001F3D0000}"/>
    <cellStyle name="40% - Accent1 18" xfId="19193" xr:uid="{00000000-0005-0000-0000-0000203D0000}"/>
    <cellStyle name="40% - Accent1 19" xfId="19194" xr:uid="{00000000-0005-0000-0000-0000213D0000}"/>
    <cellStyle name="40% - Accent1 2" xfId="191" xr:uid="{00000000-0005-0000-0000-0000223D0000}"/>
    <cellStyle name="40% - Accent1 2 2" xfId="19195" xr:uid="{00000000-0005-0000-0000-0000233D0000}"/>
    <cellStyle name="40% - Accent1 2 2 10" xfId="19196" xr:uid="{00000000-0005-0000-0000-0000243D0000}"/>
    <cellStyle name="40% - Accent1 2 2 10 2" xfId="19197" xr:uid="{00000000-0005-0000-0000-0000253D0000}"/>
    <cellStyle name="40% - Accent1 2 2 10 2 2" xfId="19198" xr:uid="{00000000-0005-0000-0000-0000263D0000}"/>
    <cellStyle name="40% - Accent1 2 2 10 3" xfId="19199" xr:uid="{00000000-0005-0000-0000-0000273D0000}"/>
    <cellStyle name="40% - Accent1 2 2 11" xfId="19200" xr:uid="{00000000-0005-0000-0000-0000283D0000}"/>
    <cellStyle name="40% - Accent1 2 2 11 2" xfId="19201" xr:uid="{00000000-0005-0000-0000-0000293D0000}"/>
    <cellStyle name="40% - Accent1 2 2 11 2 2" xfId="19202" xr:uid="{00000000-0005-0000-0000-00002A3D0000}"/>
    <cellStyle name="40% - Accent1 2 2 11 3" xfId="19203" xr:uid="{00000000-0005-0000-0000-00002B3D0000}"/>
    <cellStyle name="40% - Accent1 2 2 12" xfId="19204" xr:uid="{00000000-0005-0000-0000-00002C3D0000}"/>
    <cellStyle name="40% - Accent1 2 2 12 2" xfId="19205" xr:uid="{00000000-0005-0000-0000-00002D3D0000}"/>
    <cellStyle name="40% - Accent1 2 2 12 2 2" xfId="19206" xr:uid="{00000000-0005-0000-0000-00002E3D0000}"/>
    <cellStyle name="40% - Accent1 2 2 12 3" xfId="19207" xr:uid="{00000000-0005-0000-0000-00002F3D0000}"/>
    <cellStyle name="40% - Accent1 2 2 13" xfId="19208" xr:uid="{00000000-0005-0000-0000-0000303D0000}"/>
    <cellStyle name="40% - Accent1 2 2 13 2" xfId="19209" xr:uid="{00000000-0005-0000-0000-0000313D0000}"/>
    <cellStyle name="40% - Accent1 2 2 14" xfId="19210" xr:uid="{00000000-0005-0000-0000-0000323D0000}"/>
    <cellStyle name="40% - Accent1 2 2 15" xfId="19211" xr:uid="{00000000-0005-0000-0000-0000333D0000}"/>
    <cellStyle name="40% - Accent1 2 2 16" xfId="19212" xr:uid="{00000000-0005-0000-0000-0000343D0000}"/>
    <cellStyle name="40% - Accent1 2 2 2" xfId="19213" xr:uid="{00000000-0005-0000-0000-0000353D0000}"/>
    <cellStyle name="40% - Accent1 2 2 2 10" xfId="19214" xr:uid="{00000000-0005-0000-0000-0000363D0000}"/>
    <cellStyle name="40% - Accent1 2 2 2 11" xfId="19215" xr:uid="{00000000-0005-0000-0000-0000373D0000}"/>
    <cellStyle name="40% - Accent1 2 2 2 2" xfId="19216" xr:uid="{00000000-0005-0000-0000-0000383D0000}"/>
    <cellStyle name="40% - Accent1 2 2 2 2 2" xfId="19217" xr:uid="{00000000-0005-0000-0000-0000393D0000}"/>
    <cellStyle name="40% - Accent1 2 2 2 2 2 2" xfId="19218" xr:uid="{00000000-0005-0000-0000-00003A3D0000}"/>
    <cellStyle name="40% - Accent1 2 2 2 2 2 2 2" xfId="19219" xr:uid="{00000000-0005-0000-0000-00003B3D0000}"/>
    <cellStyle name="40% - Accent1 2 2 2 2 2 2 2 2" xfId="19220" xr:uid="{00000000-0005-0000-0000-00003C3D0000}"/>
    <cellStyle name="40% - Accent1 2 2 2 2 2 2 3" xfId="19221" xr:uid="{00000000-0005-0000-0000-00003D3D0000}"/>
    <cellStyle name="40% - Accent1 2 2 2 2 2 3" xfId="19222" xr:uid="{00000000-0005-0000-0000-00003E3D0000}"/>
    <cellStyle name="40% - Accent1 2 2 2 2 2 3 2" xfId="19223" xr:uid="{00000000-0005-0000-0000-00003F3D0000}"/>
    <cellStyle name="40% - Accent1 2 2 2 2 2 4" xfId="19224" xr:uid="{00000000-0005-0000-0000-0000403D0000}"/>
    <cellStyle name="40% - Accent1 2 2 2 2 2 5" xfId="19225" xr:uid="{00000000-0005-0000-0000-0000413D0000}"/>
    <cellStyle name="40% - Accent1 2 2 2 2 2 6" xfId="19226" xr:uid="{00000000-0005-0000-0000-0000423D0000}"/>
    <cellStyle name="40% - Accent1 2 2 2 2 3" xfId="19227" xr:uid="{00000000-0005-0000-0000-0000433D0000}"/>
    <cellStyle name="40% - Accent1 2 2 2 2 3 2" xfId="19228" xr:uid="{00000000-0005-0000-0000-0000443D0000}"/>
    <cellStyle name="40% - Accent1 2 2 2 2 3 2 2" xfId="19229" xr:uid="{00000000-0005-0000-0000-0000453D0000}"/>
    <cellStyle name="40% - Accent1 2 2 2 2 3 3" xfId="19230" xr:uid="{00000000-0005-0000-0000-0000463D0000}"/>
    <cellStyle name="40% - Accent1 2 2 2 2 4" xfId="19231" xr:uid="{00000000-0005-0000-0000-0000473D0000}"/>
    <cellStyle name="40% - Accent1 2 2 2 2 4 2" xfId="19232" xr:uid="{00000000-0005-0000-0000-0000483D0000}"/>
    <cellStyle name="40% - Accent1 2 2 2 2 5" xfId="19233" xr:uid="{00000000-0005-0000-0000-0000493D0000}"/>
    <cellStyle name="40% - Accent1 2 2 2 2 5 2" xfId="19234" xr:uid="{00000000-0005-0000-0000-00004A3D0000}"/>
    <cellStyle name="40% - Accent1 2 2 2 2 6" xfId="19235" xr:uid="{00000000-0005-0000-0000-00004B3D0000}"/>
    <cellStyle name="40% - Accent1 2 2 2 2 7" xfId="19236" xr:uid="{00000000-0005-0000-0000-00004C3D0000}"/>
    <cellStyle name="40% - Accent1 2 2 2 2 8" xfId="19237" xr:uid="{00000000-0005-0000-0000-00004D3D0000}"/>
    <cellStyle name="40% - Accent1 2 2 2 3" xfId="19238" xr:uid="{00000000-0005-0000-0000-00004E3D0000}"/>
    <cellStyle name="40% - Accent1 2 2 2 3 2" xfId="19239" xr:uid="{00000000-0005-0000-0000-00004F3D0000}"/>
    <cellStyle name="40% - Accent1 2 2 2 3 2 2" xfId="19240" xr:uid="{00000000-0005-0000-0000-0000503D0000}"/>
    <cellStyle name="40% - Accent1 2 2 2 3 2 2 2" xfId="19241" xr:uid="{00000000-0005-0000-0000-0000513D0000}"/>
    <cellStyle name="40% - Accent1 2 2 2 3 2 2 2 2" xfId="19242" xr:uid="{00000000-0005-0000-0000-0000523D0000}"/>
    <cellStyle name="40% - Accent1 2 2 2 3 2 2 3" xfId="19243" xr:uid="{00000000-0005-0000-0000-0000533D0000}"/>
    <cellStyle name="40% - Accent1 2 2 2 3 2 3" xfId="19244" xr:uid="{00000000-0005-0000-0000-0000543D0000}"/>
    <cellStyle name="40% - Accent1 2 2 2 3 2 3 2" xfId="19245" xr:uid="{00000000-0005-0000-0000-0000553D0000}"/>
    <cellStyle name="40% - Accent1 2 2 2 3 2 4" xfId="19246" xr:uid="{00000000-0005-0000-0000-0000563D0000}"/>
    <cellStyle name="40% - Accent1 2 2 2 3 2 5" xfId="19247" xr:uid="{00000000-0005-0000-0000-0000573D0000}"/>
    <cellStyle name="40% - Accent1 2 2 2 3 2 6" xfId="19248" xr:uid="{00000000-0005-0000-0000-0000583D0000}"/>
    <cellStyle name="40% - Accent1 2 2 2 3 3" xfId="19249" xr:uid="{00000000-0005-0000-0000-0000593D0000}"/>
    <cellStyle name="40% - Accent1 2 2 2 3 3 2" xfId="19250" xr:uid="{00000000-0005-0000-0000-00005A3D0000}"/>
    <cellStyle name="40% - Accent1 2 2 2 3 3 2 2" xfId="19251" xr:uid="{00000000-0005-0000-0000-00005B3D0000}"/>
    <cellStyle name="40% - Accent1 2 2 2 3 3 3" xfId="19252" xr:uid="{00000000-0005-0000-0000-00005C3D0000}"/>
    <cellStyle name="40% - Accent1 2 2 2 3 4" xfId="19253" xr:uid="{00000000-0005-0000-0000-00005D3D0000}"/>
    <cellStyle name="40% - Accent1 2 2 2 3 4 2" xfId="19254" xr:uid="{00000000-0005-0000-0000-00005E3D0000}"/>
    <cellStyle name="40% - Accent1 2 2 2 3 5" xfId="19255" xr:uid="{00000000-0005-0000-0000-00005F3D0000}"/>
    <cellStyle name="40% - Accent1 2 2 2 3 6" xfId="19256" xr:uid="{00000000-0005-0000-0000-0000603D0000}"/>
    <cellStyle name="40% - Accent1 2 2 2 3 7" xfId="19257" xr:uid="{00000000-0005-0000-0000-0000613D0000}"/>
    <cellStyle name="40% - Accent1 2 2 2 4" xfId="19258" xr:uid="{00000000-0005-0000-0000-0000623D0000}"/>
    <cellStyle name="40% - Accent1 2 2 2 4 2" xfId="19259" xr:uid="{00000000-0005-0000-0000-0000633D0000}"/>
    <cellStyle name="40% - Accent1 2 2 2 4 2 2" xfId="19260" xr:uid="{00000000-0005-0000-0000-0000643D0000}"/>
    <cellStyle name="40% - Accent1 2 2 2 4 2 2 2" xfId="19261" xr:uid="{00000000-0005-0000-0000-0000653D0000}"/>
    <cellStyle name="40% - Accent1 2 2 2 4 2 3" xfId="19262" xr:uid="{00000000-0005-0000-0000-0000663D0000}"/>
    <cellStyle name="40% - Accent1 2 2 2 4 3" xfId="19263" xr:uid="{00000000-0005-0000-0000-0000673D0000}"/>
    <cellStyle name="40% - Accent1 2 2 2 4 3 2" xfId="19264" xr:uid="{00000000-0005-0000-0000-0000683D0000}"/>
    <cellStyle name="40% - Accent1 2 2 2 4 4" xfId="19265" xr:uid="{00000000-0005-0000-0000-0000693D0000}"/>
    <cellStyle name="40% - Accent1 2 2 2 4 5" xfId="19266" xr:uid="{00000000-0005-0000-0000-00006A3D0000}"/>
    <cellStyle name="40% - Accent1 2 2 2 4 6" xfId="19267" xr:uid="{00000000-0005-0000-0000-00006B3D0000}"/>
    <cellStyle name="40% - Accent1 2 2 2 5" xfId="19268" xr:uid="{00000000-0005-0000-0000-00006C3D0000}"/>
    <cellStyle name="40% - Accent1 2 2 2 5 2" xfId="19269" xr:uid="{00000000-0005-0000-0000-00006D3D0000}"/>
    <cellStyle name="40% - Accent1 2 2 2 5 2 2" xfId="19270" xr:uid="{00000000-0005-0000-0000-00006E3D0000}"/>
    <cellStyle name="40% - Accent1 2 2 2 5 3" xfId="19271" xr:uid="{00000000-0005-0000-0000-00006F3D0000}"/>
    <cellStyle name="40% - Accent1 2 2 2 6" xfId="19272" xr:uid="{00000000-0005-0000-0000-0000703D0000}"/>
    <cellStyle name="40% - Accent1 2 2 2 6 2" xfId="19273" xr:uid="{00000000-0005-0000-0000-0000713D0000}"/>
    <cellStyle name="40% - Accent1 2 2 2 6 2 2" xfId="19274" xr:uid="{00000000-0005-0000-0000-0000723D0000}"/>
    <cellStyle name="40% - Accent1 2 2 2 6 3" xfId="19275" xr:uid="{00000000-0005-0000-0000-0000733D0000}"/>
    <cellStyle name="40% - Accent1 2 2 2 7" xfId="19276" xr:uid="{00000000-0005-0000-0000-0000743D0000}"/>
    <cellStyle name="40% - Accent1 2 2 2 7 2" xfId="19277" xr:uid="{00000000-0005-0000-0000-0000753D0000}"/>
    <cellStyle name="40% - Accent1 2 2 2 8" xfId="19278" xr:uid="{00000000-0005-0000-0000-0000763D0000}"/>
    <cellStyle name="40% - Accent1 2 2 2 8 2" xfId="19279" xr:uid="{00000000-0005-0000-0000-0000773D0000}"/>
    <cellStyle name="40% - Accent1 2 2 2 9" xfId="19280" xr:uid="{00000000-0005-0000-0000-0000783D0000}"/>
    <cellStyle name="40% - Accent1 2 2 3" xfId="19281" xr:uid="{00000000-0005-0000-0000-0000793D0000}"/>
    <cellStyle name="40% - Accent1 2 2 3 10" xfId="19282" xr:uid="{00000000-0005-0000-0000-00007A3D0000}"/>
    <cellStyle name="40% - Accent1 2 2 3 11" xfId="19283" xr:uid="{00000000-0005-0000-0000-00007B3D0000}"/>
    <cellStyle name="40% - Accent1 2 2 3 2" xfId="19284" xr:uid="{00000000-0005-0000-0000-00007C3D0000}"/>
    <cellStyle name="40% - Accent1 2 2 3 2 2" xfId="19285" xr:uid="{00000000-0005-0000-0000-00007D3D0000}"/>
    <cellStyle name="40% - Accent1 2 2 3 2 2 2" xfId="19286" xr:uid="{00000000-0005-0000-0000-00007E3D0000}"/>
    <cellStyle name="40% - Accent1 2 2 3 2 2 2 2" xfId="19287" xr:uid="{00000000-0005-0000-0000-00007F3D0000}"/>
    <cellStyle name="40% - Accent1 2 2 3 2 2 2 2 2" xfId="19288" xr:uid="{00000000-0005-0000-0000-0000803D0000}"/>
    <cellStyle name="40% - Accent1 2 2 3 2 2 2 3" xfId="19289" xr:uid="{00000000-0005-0000-0000-0000813D0000}"/>
    <cellStyle name="40% - Accent1 2 2 3 2 2 3" xfId="19290" xr:uid="{00000000-0005-0000-0000-0000823D0000}"/>
    <cellStyle name="40% - Accent1 2 2 3 2 2 3 2" xfId="19291" xr:uid="{00000000-0005-0000-0000-0000833D0000}"/>
    <cellStyle name="40% - Accent1 2 2 3 2 2 4" xfId="19292" xr:uid="{00000000-0005-0000-0000-0000843D0000}"/>
    <cellStyle name="40% - Accent1 2 2 3 2 2 5" xfId="19293" xr:uid="{00000000-0005-0000-0000-0000853D0000}"/>
    <cellStyle name="40% - Accent1 2 2 3 2 2 6" xfId="19294" xr:uid="{00000000-0005-0000-0000-0000863D0000}"/>
    <cellStyle name="40% - Accent1 2 2 3 2 3" xfId="19295" xr:uid="{00000000-0005-0000-0000-0000873D0000}"/>
    <cellStyle name="40% - Accent1 2 2 3 2 3 2" xfId="19296" xr:uid="{00000000-0005-0000-0000-0000883D0000}"/>
    <cellStyle name="40% - Accent1 2 2 3 2 3 2 2" xfId="19297" xr:uid="{00000000-0005-0000-0000-0000893D0000}"/>
    <cellStyle name="40% - Accent1 2 2 3 2 3 3" xfId="19298" xr:uid="{00000000-0005-0000-0000-00008A3D0000}"/>
    <cellStyle name="40% - Accent1 2 2 3 2 4" xfId="19299" xr:uid="{00000000-0005-0000-0000-00008B3D0000}"/>
    <cellStyle name="40% - Accent1 2 2 3 2 4 2" xfId="19300" xr:uid="{00000000-0005-0000-0000-00008C3D0000}"/>
    <cellStyle name="40% - Accent1 2 2 3 2 5" xfId="19301" xr:uid="{00000000-0005-0000-0000-00008D3D0000}"/>
    <cellStyle name="40% - Accent1 2 2 3 2 5 2" xfId="19302" xr:uid="{00000000-0005-0000-0000-00008E3D0000}"/>
    <cellStyle name="40% - Accent1 2 2 3 2 6" xfId="19303" xr:uid="{00000000-0005-0000-0000-00008F3D0000}"/>
    <cellStyle name="40% - Accent1 2 2 3 2 7" xfId="19304" xr:uid="{00000000-0005-0000-0000-0000903D0000}"/>
    <cellStyle name="40% - Accent1 2 2 3 2 8" xfId="19305" xr:uid="{00000000-0005-0000-0000-0000913D0000}"/>
    <cellStyle name="40% - Accent1 2 2 3 3" xfId="19306" xr:uid="{00000000-0005-0000-0000-0000923D0000}"/>
    <cellStyle name="40% - Accent1 2 2 3 3 2" xfId="19307" xr:uid="{00000000-0005-0000-0000-0000933D0000}"/>
    <cellStyle name="40% - Accent1 2 2 3 3 2 2" xfId="19308" xr:uid="{00000000-0005-0000-0000-0000943D0000}"/>
    <cellStyle name="40% - Accent1 2 2 3 3 2 2 2" xfId="19309" xr:uid="{00000000-0005-0000-0000-0000953D0000}"/>
    <cellStyle name="40% - Accent1 2 2 3 3 2 2 2 2" xfId="19310" xr:uid="{00000000-0005-0000-0000-0000963D0000}"/>
    <cellStyle name="40% - Accent1 2 2 3 3 2 2 3" xfId="19311" xr:uid="{00000000-0005-0000-0000-0000973D0000}"/>
    <cellStyle name="40% - Accent1 2 2 3 3 2 3" xfId="19312" xr:uid="{00000000-0005-0000-0000-0000983D0000}"/>
    <cellStyle name="40% - Accent1 2 2 3 3 2 3 2" xfId="19313" xr:uid="{00000000-0005-0000-0000-0000993D0000}"/>
    <cellStyle name="40% - Accent1 2 2 3 3 2 4" xfId="19314" xr:uid="{00000000-0005-0000-0000-00009A3D0000}"/>
    <cellStyle name="40% - Accent1 2 2 3 3 2 5" xfId="19315" xr:uid="{00000000-0005-0000-0000-00009B3D0000}"/>
    <cellStyle name="40% - Accent1 2 2 3 3 2 6" xfId="19316" xr:uid="{00000000-0005-0000-0000-00009C3D0000}"/>
    <cellStyle name="40% - Accent1 2 2 3 3 3" xfId="19317" xr:uid="{00000000-0005-0000-0000-00009D3D0000}"/>
    <cellStyle name="40% - Accent1 2 2 3 3 3 2" xfId="19318" xr:uid="{00000000-0005-0000-0000-00009E3D0000}"/>
    <cellStyle name="40% - Accent1 2 2 3 3 3 2 2" xfId="19319" xr:uid="{00000000-0005-0000-0000-00009F3D0000}"/>
    <cellStyle name="40% - Accent1 2 2 3 3 3 3" xfId="19320" xr:uid="{00000000-0005-0000-0000-0000A03D0000}"/>
    <cellStyle name="40% - Accent1 2 2 3 3 4" xfId="19321" xr:uid="{00000000-0005-0000-0000-0000A13D0000}"/>
    <cellStyle name="40% - Accent1 2 2 3 3 4 2" xfId="19322" xr:uid="{00000000-0005-0000-0000-0000A23D0000}"/>
    <cellStyle name="40% - Accent1 2 2 3 3 5" xfId="19323" xr:uid="{00000000-0005-0000-0000-0000A33D0000}"/>
    <cellStyle name="40% - Accent1 2 2 3 3 6" xfId="19324" xr:uid="{00000000-0005-0000-0000-0000A43D0000}"/>
    <cellStyle name="40% - Accent1 2 2 3 3 7" xfId="19325" xr:uid="{00000000-0005-0000-0000-0000A53D0000}"/>
    <cellStyle name="40% - Accent1 2 2 3 4" xfId="19326" xr:uid="{00000000-0005-0000-0000-0000A63D0000}"/>
    <cellStyle name="40% - Accent1 2 2 3 4 2" xfId="19327" xr:uid="{00000000-0005-0000-0000-0000A73D0000}"/>
    <cellStyle name="40% - Accent1 2 2 3 4 2 2" xfId="19328" xr:uid="{00000000-0005-0000-0000-0000A83D0000}"/>
    <cellStyle name="40% - Accent1 2 2 3 4 2 2 2" xfId="19329" xr:uid="{00000000-0005-0000-0000-0000A93D0000}"/>
    <cellStyle name="40% - Accent1 2 2 3 4 2 3" xfId="19330" xr:uid="{00000000-0005-0000-0000-0000AA3D0000}"/>
    <cellStyle name="40% - Accent1 2 2 3 4 3" xfId="19331" xr:uid="{00000000-0005-0000-0000-0000AB3D0000}"/>
    <cellStyle name="40% - Accent1 2 2 3 4 3 2" xfId="19332" xr:uid="{00000000-0005-0000-0000-0000AC3D0000}"/>
    <cellStyle name="40% - Accent1 2 2 3 4 4" xfId="19333" xr:uid="{00000000-0005-0000-0000-0000AD3D0000}"/>
    <cellStyle name="40% - Accent1 2 2 3 4 5" xfId="19334" xr:uid="{00000000-0005-0000-0000-0000AE3D0000}"/>
    <cellStyle name="40% - Accent1 2 2 3 4 6" xfId="19335" xr:uid="{00000000-0005-0000-0000-0000AF3D0000}"/>
    <cellStyle name="40% - Accent1 2 2 3 5" xfId="19336" xr:uid="{00000000-0005-0000-0000-0000B03D0000}"/>
    <cellStyle name="40% - Accent1 2 2 3 5 2" xfId="19337" xr:uid="{00000000-0005-0000-0000-0000B13D0000}"/>
    <cellStyle name="40% - Accent1 2 2 3 5 2 2" xfId="19338" xr:uid="{00000000-0005-0000-0000-0000B23D0000}"/>
    <cellStyle name="40% - Accent1 2 2 3 5 3" xfId="19339" xr:uid="{00000000-0005-0000-0000-0000B33D0000}"/>
    <cellStyle name="40% - Accent1 2 2 3 6" xfId="19340" xr:uid="{00000000-0005-0000-0000-0000B43D0000}"/>
    <cellStyle name="40% - Accent1 2 2 3 6 2" xfId="19341" xr:uid="{00000000-0005-0000-0000-0000B53D0000}"/>
    <cellStyle name="40% - Accent1 2 2 3 6 2 2" xfId="19342" xr:uid="{00000000-0005-0000-0000-0000B63D0000}"/>
    <cellStyle name="40% - Accent1 2 2 3 6 3" xfId="19343" xr:uid="{00000000-0005-0000-0000-0000B73D0000}"/>
    <cellStyle name="40% - Accent1 2 2 3 7" xfId="19344" xr:uid="{00000000-0005-0000-0000-0000B83D0000}"/>
    <cellStyle name="40% - Accent1 2 2 3 7 2" xfId="19345" xr:uid="{00000000-0005-0000-0000-0000B93D0000}"/>
    <cellStyle name="40% - Accent1 2 2 3 8" xfId="19346" xr:uid="{00000000-0005-0000-0000-0000BA3D0000}"/>
    <cellStyle name="40% - Accent1 2 2 3 8 2" xfId="19347" xr:uid="{00000000-0005-0000-0000-0000BB3D0000}"/>
    <cellStyle name="40% - Accent1 2 2 3 9" xfId="19348" xr:uid="{00000000-0005-0000-0000-0000BC3D0000}"/>
    <cellStyle name="40% - Accent1 2 2 4" xfId="19349" xr:uid="{00000000-0005-0000-0000-0000BD3D0000}"/>
    <cellStyle name="40% - Accent1 2 2 4 10" xfId="19350" xr:uid="{00000000-0005-0000-0000-0000BE3D0000}"/>
    <cellStyle name="40% - Accent1 2 2 4 11" xfId="19351" xr:uid="{00000000-0005-0000-0000-0000BF3D0000}"/>
    <cellStyle name="40% - Accent1 2 2 4 2" xfId="19352" xr:uid="{00000000-0005-0000-0000-0000C03D0000}"/>
    <cellStyle name="40% - Accent1 2 2 4 2 2" xfId="19353" xr:uid="{00000000-0005-0000-0000-0000C13D0000}"/>
    <cellStyle name="40% - Accent1 2 2 4 2 2 2" xfId="19354" xr:uid="{00000000-0005-0000-0000-0000C23D0000}"/>
    <cellStyle name="40% - Accent1 2 2 4 2 2 2 2" xfId="19355" xr:uid="{00000000-0005-0000-0000-0000C33D0000}"/>
    <cellStyle name="40% - Accent1 2 2 4 2 2 2 2 2" xfId="19356" xr:uid="{00000000-0005-0000-0000-0000C43D0000}"/>
    <cellStyle name="40% - Accent1 2 2 4 2 2 2 3" xfId="19357" xr:uid="{00000000-0005-0000-0000-0000C53D0000}"/>
    <cellStyle name="40% - Accent1 2 2 4 2 2 3" xfId="19358" xr:uid="{00000000-0005-0000-0000-0000C63D0000}"/>
    <cellStyle name="40% - Accent1 2 2 4 2 2 3 2" xfId="19359" xr:uid="{00000000-0005-0000-0000-0000C73D0000}"/>
    <cellStyle name="40% - Accent1 2 2 4 2 2 4" xfId="19360" xr:uid="{00000000-0005-0000-0000-0000C83D0000}"/>
    <cellStyle name="40% - Accent1 2 2 4 2 2 5" xfId="19361" xr:uid="{00000000-0005-0000-0000-0000C93D0000}"/>
    <cellStyle name="40% - Accent1 2 2 4 2 2 6" xfId="19362" xr:uid="{00000000-0005-0000-0000-0000CA3D0000}"/>
    <cellStyle name="40% - Accent1 2 2 4 2 3" xfId="19363" xr:uid="{00000000-0005-0000-0000-0000CB3D0000}"/>
    <cellStyle name="40% - Accent1 2 2 4 2 3 2" xfId="19364" xr:uid="{00000000-0005-0000-0000-0000CC3D0000}"/>
    <cellStyle name="40% - Accent1 2 2 4 2 3 2 2" xfId="19365" xr:uid="{00000000-0005-0000-0000-0000CD3D0000}"/>
    <cellStyle name="40% - Accent1 2 2 4 2 3 3" xfId="19366" xr:uid="{00000000-0005-0000-0000-0000CE3D0000}"/>
    <cellStyle name="40% - Accent1 2 2 4 2 4" xfId="19367" xr:uid="{00000000-0005-0000-0000-0000CF3D0000}"/>
    <cellStyle name="40% - Accent1 2 2 4 2 4 2" xfId="19368" xr:uid="{00000000-0005-0000-0000-0000D03D0000}"/>
    <cellStyle name="40% - Accent1 2 2 4 2 5" xfId="19369" xr:uid="{00000000-0005-0000-0000-0000D13D0000}"/>
    <cellStyle name="40% - Accent1 2 2 4 2 5 2" xfId="19370" xr:uid="{00000000-0005-0000-0000-0000D23D0000}"/>
    <cellStyle name="40% - Accent1 2 2 4 2 6" xfId="19371" xr:uid="{00000000-0005-0000-0000-0000D33D0000}"/>
    <cellStyle name="40% - Accent1 2 2 4 2 7" xfId="19372" xr:uid="{00000000-0005-0000-0000-0000D43D0000}"/>
    <cellStyle name="40% - Accent1 2 2 4 2 8" xfId="19373" xr:uid="{00000000-0005-0000-0000-0000D53D0000}"/>
    <cellStyle name="40% - Accent1 2 2 4 3" xfId="19374" xr:uid="{00000000-0005-0000-0000-0000D63D0000}"/>
    <cellStyle name="40% - Accent1 2 2 4 3 2" xfId="19375" xr:uid="{00000000-0005-0000-0000-0000D73D0000}"/>
    <cellStyle name="40% - Accent1 2 2 4 3 2 2" xfId="19376" xr:uid="{00000000-0005-0000-0000-0000D83D0000}"/>
    <cellStyle name="40% - Accent1 2 2 4 3 2 2 2" xfId="19377" xr:uid="{00000000-0005-0000-0000-0000D93D0000}"/>
    <cellStyle name="40% - Accent1 2 2 4 3 2 2 2 2" xfId="19378" xr:uid="{00000000-0005-0000-0000-0000DA3D0000}"/>
    <cellStyle name="40% - Accent1 2 2 4 3 2 2 3" xfId="19379" xr:uid="{00000000-0005-0000-0000-0000DB3D0000}"/>
    <cellStyle name="40% - Accent1 2 2 4 3 2 3" xfId="19380" xr:uid="{00000000-0005-0000-0000-0000DC3D0000}"/>
    <cellStyle name="40% - Accent1 2 2 4 3 2 3 2" xfId="19381" xr:uid="{00000000-0005-0000-0000-0000DD3D0000}"/>
    <cellStyle name="40% - Accent1 2 2 4 3 2 4" xfId="19382" xr:uid="{00000000-0005-0000-0000-0000DE3D0000}"/>
    <cellStyle name="40% - Accent1 2 2 4 3 2 5" xfId="19383" xr:uid="{00000000-0005-0000-0000-0000DF3D0000}"/>
    <cellStyle name="40% - Accent1 2 2 4 3 2 6" xfId="19384" xr:uid="{00000000-0005-0000-0000-0000E03D0000}"/>
    <cellStyle name="40% - Accent1 2 2 4 3 3" xfId="19385" xr:uid="{00000000-0005-0000-0000-0000E13D0000}"/>
    <cellStyle name="40% - Accent1 2 2 4 3 3 2" xfId="19386" xr:uid="{00000000-0005-0000-0000-0000E23D0000}"/>
    <cellStyle name="40% - Accent1 2 2 4 3 3 2 2" xfId="19387" xr:uid="{00000000-0005-0000-0000-0000E33D0000}"/>
    <cellStyle name="40% - Accent1 2 2 4 3 3 3" xfId="19388" xr:uid="{00000000-0005-0000-0000-0000E43D0000}"/>
    <cellStyle name="40% - Accent1 2 2 4 3 4" xfId="19389" xr:uid="{00000000-0005-0000-0000-0000E53D0000}"/>
    <cellStyle name="40% - Accent1 2 2 4 3 4 2" xfId="19390" xr:uid="{00000000-0005-0000-0000-0000E63D0000}"/>
    <cellStyle name="40% - Accent1 2 2 4 3 5" xfId="19391" xr:uid="{00000000-0005-0000-0000-0000E73D0000}"/>
    <cellStyle name="40% - Accent1 2 2 4 3 6" xfId="19392" xr:uid="{00000000-0005-0000-0000-0000E83D0000}"/>
    <cellStyle name="40% - Accent1 2 2 4 3 7" xfId="19393" xr:uid="{00000000-0005-0000-0000-0000E93D0000}"/>
    <cellStyle name="40% - Accent1 2 2 4 4" xfId="19394" xr:uid="{00000000-0005-0000-0000-0000EA3D0000}"/>
    <cellStyle name="40% - Accent1 2 2 4 4 2" xfId="19395" xr:uid="{00000000-0005-0000-0000-0000EB3D0000}"/>
    <cellStyle name="40% - Accent1 2 2 4 4 2 2" xfId="19396" xr:uid="{00000000-0005-0000-0000-0000EC3D0000}"/>
    <cellStyle name="40% - Accent1 2 2 4 4 2 2 2" xfId="19397" xr:uid="{00000000-0005-0000-0000-0000ED3D0000}"/>
    <cellStyle name="40% - Accent1 2 2 4 4 2 3" xfId="19398" xr:uid="{00000000-0005-0000-0000-0000EE3D0000}"/>
    <cellStyle name="40% - Accent1 2 2 4 4 3" xfId="19399" xr:uid="{00000000-0005-0000-0000-0000EF3D0000}"/>
    <cellStyle name="40% - Accent1 2 2 4 4 3 2" xfId="19400" xr:uid="{00000000-0005-0000-0000-0000F03D0000}"/>
    <cellStyle name="40% - Accent1 2 2 4 4 4" xfId="19401" xr:uid="{00000000-0005-0000-0000-0000F13D0000}"/>
    <cellStyle name="40% - Accent1 2 2 4 4 5" xfId="19402" xr:uid="{00000000-0005-0000-0000-0000F23D0000}"/>
    <cellStyle name="40% - Accent1 2 2 4 4 6" xfId="19403" xr:uid="{00000000-0005-0000-0000-0000F33D0000}"/>
    <cellStyle name="40% - Accent1 2 2 4 5" xfId="19404" xr:uid="{00000000-0005-0000-0000-0000F43D0000}"/>
    <cellStyle name="40% - Accent1 2 2 4 5 2" xfId="19405" xr:uid="{00000000-0005-0000-0000-0000F53D0000}"/>
    <cellStyle name="40% - Accent1 2 2 4 5 2 2" xfId="19406" xr:uid="{00000000-0005-0000-0000-0000F63D0000}"/>
    <cellStyle name="40% - Accent1 2 2 4 5 3" xfId="19407" xr:uid="{00000000-0005-0000-0000-0000F73D0000}"/>
    <cellStyle name="40% - Accent1 2 2 4 6" xfId="19408" xr:uid="{00000000-0005-0000-0000-0000F83D0000}"/>
    <cellStyle name="40% - Accent1 2 2 4 6 2" xfId="19409" xr:uid="{00000000-0005-0000-0000-0000F93D0000}"/>
    <cellStyle name="40% - Accent1 2 2 4 6 2 2" xfId="19410" xr:uid="{00000000-0005-0000-0000-0000FA3D0000}"/>
    <cellStyle name="40% - Accent1 2 2 4 6 3" xfId="19411" xr:uid="{00000000-0005-0000-0000-0000FB3D0000}"/>
    <cellStyle name="40% - Accent1 2 2 4 7" xfId="19412" xr:uid="{00000000-0005-0000-0000-0000FC3D0000}"/>
    <cellStyle name="40% - Accent1 2 2 4 7 2" xfId="19413" xr:uid="{00000000-0005-0000-0000-0000FD3D0000}"/>
    <cellStyle name="40% - Accent1 2 2 4 8" xfId="19414" xr:uid="{00000000-0005-0000-0000-0000FE3D0000}"/>
    <cellStyle name="40% - Accent1 2 2 4 8 2" xfId="19415" xr:uid="{00000000-0005-0000-0000-0000FF3D0000}"/>
    <cellStyle name="40% - Accent1 2 2 4 9" xfId="19416" xr:uid="{00000000-0005-0000-0000-0000003E0000}"/>
    <cellStyle name="40% - Accent1 2 2 5" xfId="19417" xr:uid="{00000000-0005-0000-0000-0000013E0000}"/>
    <cellStyle name="40% - Accent1 2 2 5 10" xfId="19418" xr:uid="{00000000-0005-0000-0000-0000023E0000}"/>
    <cellStyle name="40% - Accent1 2 2 5 11" xfId="19419" xr:uid="{00000000-0005-0000-0000-0000033E0000}"/>
    <cellStyle name="40% - Accent1 2 2 5 2" xfId="19420" xr:uid="{00000000-0005-0000-0000-0000043E0000}"/>
    <cellStyle name="40% - Accent1 2 2 5 2 2" xfId="19421" xr:uid="{00000000-0005-0000-0000-0000053E0000}"/>
    <cellStyle name="40% - Accent1 2 2 5 2 2 2" xfId="19422" xr:uid="{00000000-0005-0000-0000-0000063E0000}"/>
    <cellStyle name="40% - Accent1 2 2 5 2 2 2 2" xfId="19423" xr:uid="{00000000-0005-0000-0000-0000073E0000}"/>
    <cellStyle name="40% - Accent1 2 2 5 2 2 2 2 2" xfId="19424" xr:uid="{00000000-0005-0000-0000-0000083E0000}"/>
    <cellStyle name="40% - Accent1 2 2 5 2 2 2 3" xfId="19425" xr:uid="{00000000-0005-0000-0000-0000093E0000}"/>
    <cellStyle name="40% - Accent1 2 2 5 2 2 3" xfId="19426" xr:uid="{00000000-0005-0000-0000-00000A3E0000}"/>
    <cellStyle name="40% - Accent1 2 2 5 2 2 3 2" xfId="19427" xr:uid="{00000000-0005-0000-0000-00000B3E0000}"/>
    <cellStyle name="40% - Accent1 2 2 5 2 2 4" xfId="19428" xr:uid="{00000000-0005-0000-0000-00000C3E0000}"/>
    <cellStyle name="40% - Accent1 2 2 5 2 2 5" xfId="19429" xr:uid="{00000000-0005-0000-0000-00000D3E0000}"/>
    <cellStyle name="40% - Accent1 2 2 5 2 2 6" xfId="19430" xr:uid="{00000000-0005-0000-0000-00000E3E0000}"/>
    <cellStyle name="40% - Accent1 2 2 5 2 3" xfId="19431" xr:uid="{00000000-0005-0000-0000-00000F3E0000}"/>
    <cellStyle name="40% - Accent1 2 2 5 2 3 2" xfId="19432" xr:uid="{00000000-0005-0000-0000-0000103E0000}"/>
    <cellStyle name="40% - Accent1 2 2 5 2 3 2 2" xfId="19433" xr:uid="{00000000-0005-0000-0000-0000113E0000}"/>
    <cellStyle name="40% - Accent1 2 2 5 2 3 3" xfId="19434" xr:uid="{00000000-0005-0000-0000-0000123E0000}"/>
    <cellStyle name="40% - Accent1 2 2 5 2 4" xfId="19435" xr:uid="{00000000-0005-0000-0000-0000133E0000}"/>
    <cellStyle name="40% - Accent1 2 2 5 2 4 2" xfId="19436" xr:uid="{00000000-0005-0000-0000-0000143E0000}"/>
    <cellStyle name="40% - Accent1 2 2 5 2 5" xfId="19437" xr:uid="{00000000-0005-0000-0000-0000153E0000}"/>
    <cellStyle name="40% - Accent1 2 2 5 2 5 2" xfId="19438" xr:uid="{00000000-0005-0000-0000-0000163E0000}"/>
    <cellStyle name="40% - Accent1 2 2 5 2 6" xfId="19439" xr:uid="{00000000-0005-0000-0000-0000173E0000}"/>
    <cellStyle name="40% - Accent1 2 2 5 2 7" xfId="19440" xr:uid="{00000000-0005-0000-0000-0000183E0000}"/>
    <cellStyle name="40% - Accent1 2 2 5 2 8" xfId="19441" xr:uid="{00000000-0005-0000-0000-0000193E0000}"/>
    <cellStyle name="40% - Accent1 2 2 5 3" xfId="19442" xr:uid="{00000000-0005-0000-0000-00001A3E0000}"/>
    <cellStyle name="40% - Accent1 2 2 5 3 2" xfId="19443" xr:uid="{00000000-0005-0000-0000-00001B3E0000}"/>
    <cellStyle name="40% - Accent1 2 2 5 3 2 2" xfId="19444" xr:uid="{00000000-0005-0000-0000-00001C3E0000}"/>
    <cellStyle name="40% - Accent1 2 2 5 3 2 2 2" xfId="19445" xr:uid="{00000000-0005-0000-0000-00001D3E0000}"/>
    <cellStyle name="40% - Accent1 2 2 5 3 2 2 2 2" xfId="19446" xr:uid="{00000000-0005-0000-0000-00001E3E0000}"/>
    <cellStyle name="40% - Accent1 2 2 5 3 2 2 3" xfId="19447" xr:uid="{00000000-0005-0000-0000-00001F3E0000}"/>
    <cellStyle name="40% - Accent1 2 2 5 3 2 3" xfId="19448" xr:uid="{00000000-0005-0000-0000-0000203E0000}"/>
    <cellStyle name="40% - Accent1 2 2 5 3 2 3 2" xfId="19449" xr:uid="{00000000-0005-0000-0000-0000213E0000}"/>
    <cellStyle name="40% - Accent1 2 2 5 3 2 4" xfId="19450" xr:uid="{00000000-0005-0000-0000-0000223E0000}"/>
    <cellStyle name="40% - Accent1 2 2 5 3 2 5" xfId="19451" xr:uid="{00000000-0005-0000-0000-0000233E0000}"/>
    <cellStyle name="40% - Accent1 2 2 5 3 2 6" xfId="19452" xr:uid="{00000000-0005-0000-0000-0000243E0000}"/>
    <cellStyle name="40% - Accent1 2 2 5 3 3" xfId="19453" xr:uid="{00000000-0005-0000-0000-0000253E0000}"/>
    <cellStyle name="40% - Accent1 2 2 5 3 3 2" xfId="19454" xr:uid="{00000000-0005-0000-0000-0000263E0000}"/>
    <cellStyle name="40% - Accent1 2 2 5 3 3 2 2" xfId="19455" xr:uid="{00000000-0005-0000-0000-0000273E0000}"/>
    <cellStyle name="40% - Accent1 2 2 5 3 3 3" xfId="19456" xr:uid="{00000000-0005-0000-0000-0000283E0000}"/>
    <cellStyle name="40% - Accent1 2 2 5 3 4" xfId="19457" xr:uid="{00000000-0005-0000-0000-0000293E0000}"/>
    <cellStyle name="40% - Accent1 2 2 5 3 4 2" xfId="19458" xr:uid="{00000000-0005-0000-0000-00002A3E0000}"/>
    <cellStyle name="40% - Accent1 2 2 5 3 5" xfId="19459" xr:uid="{00000000-0005-0000-0000-00002B3E0000}"/>
    <cellStyle name="40% - Accent1 2 2 5 3 6" xfId="19460" xr:uid="{00000000-0005-0000-0000-00002C3E0000}"/>
    <cellStyle name="40% - Accent1 2 2 5 3 7" xfId="19461" xr:uid="{00000000-0005-0000-0000-00002D3E0000}"/>
    <cellStyle name="40% - Accent1 2 2 5 4" xfId="19462" xr:uid="{00000000-0005-0000-0000-00002E3E0000}"/>
    <cellStyle name="40% - Accent1 2 2 5 4 2" xfId="19463" xr:uid="{00000000-0005-0000-0000-00002F3E0000}"/>
    <cellStyle name="40% - Accent1 2 2 5 4 2 2" xfId="19464" xr:uid="{00000000-0005-0000-0000-0000303E0000}"/>
    <cellStyle name="40% - Accent1 2 2 5 4 2 2 2" xfId="19465" xr:uid="{00000000-0005-0000-0000-0000313E0000}"/>
    <cellStyle name="40% - Accent1 2 2 5 4 2 3" xfId="19466" xr:uid="{00000000-0005-0000-0000-0000323E0000}"/>
    <cellStyle name="40% - Accent1 2 2 5 4 3" xfId="19467" xr:uid="{00000000-0005-0000-0000-0000333E0000}"/>
    <cellStyle name="40% - Accent1 2 2 5 4 3 2" xfId="19468" xr:uid="{00000000-0005-0000-0000-0000343E0000}"/>
    <cellStyle name="40% - Accent1 2 2 5 4 4" xfId="19469" xr:uid="{00000000-0005-0000-0000-0000353E0000}"/>
    <cellStyle name="40% - Accent1 2 2 5 4 5" xfId="19470" xr:uid="{00000000-0005-0000-0000-0000363E0000}"/>
    <cellStyle name="40% - Accent1 2 2 5 4 6" xfId="19471" xr:uid="{00000000-0005-0000-0000-0000373E0000}"/>
    <cellStyle name="40% - Accent1 2 2 5 5" xfId="19472" xr:uid="{00000000-0005-0000-0000-0000383E0000}"/>
    <cellStyle name="40% - Accent1 2 2 5 5 2" xfId="19473" xr:uid="{00000000-0005-0000-0000-0000393E0000}"/>
    <cellStyle name="40% - Accent1 2 2 5 5 2 2" xfId="19474" xr:uid="{00000000-0005-0000-0000-00003A3E0000}"/>
    <cellStyle name="40% - Accent1 2 2 5 5 3" xfId="19475" xr:uid="{00000000-0005-0000-0000-00003B3E0000}"/>
    <cellStyle name="40% - Accent1 2 2 5 6" xfId="19476" xr:uid="{00000000-0005-0000-0000-00003C3E0000}"/>
    <cellStyle name="40% - Accent1 2 2 5 6 2" xfId="19477" xr:uid="{00000000-0005-0000-0000-00003D3E0000}"/>
    <cellStyle name="40% - Accent1 2 2 5 6 2 2" xfId="19478" xr:uid="{00000000-0005-0000-0000-00003E3E0000}"/>
    <cellStyle name="40% - Accent1 2 2 5 6 3" xfId="19479" xr:uid="{00000000-0005-0000-0000-00003F3E0000}"/>
    <cellStyle name="40% - Accent1 2 2 5 7" xfId="19480" xr:uid="{00000000-0005-0000-0000-0000403E0000}"/>
    <cellStyle name="40% - Accent1 2 2 5 7 2" xfId="19481" xr:uid="{00000000-0005-0000-0000-0000413E0000}"/>
    <cellStyle name="40% - Accent1 2 2 5 8" xfId="19482" xr:uid="{00000000-0005-0000-0000-0000423E0000}"/>
    <cellStyle name="40% - Accent1 2 2 5 8 2" xfId="19483" xr:uid="{00000000-0005-0000-0000-0000433E0000}"/>
    <cellStyle name="40% - Accent1 2 2 5 9" xfId="19484" xr:uid="{00000000-0005-0000-0000-0000443E0000}"/>
    <cellStyle name="40% - Accent1 2 2 6" xfId="19485" xr:uid="{00000000-0005-0000-0000-0000453E0000}"/>
    <cellStyle name="40% - Accent1 2 2 6 10" xfId="19486" xr:uid="{00000000-0005-0000-0000-0000463E0000}"/>
    <cellStyle name="40% - Accent1 2 2 6 11" xfId="19487" xr:uid="{00000000-0005-0000-0000-0000473E0000}"/>
    <cellStyle name="40% - Accent1 2 2 6 2" xfId="19488" xr:uid="{00000000-0005-0000-0000-0000483E0000}"/>
    <cellStyle name="40% - Accent1 2 2 6 2 2" xfId="19489" xr:uid="{00000000-0005-0000-0000-0000493E0000}"/>
    <cellStyle name="40% - Accent1 2 2 6 2 2 2" xfId="19490" xr:uid="{00000000-0005-0000-0000-00004A3E0000}"/>
    <cellStyle name="40% - Accent1 2 2 6 2 2 2 2" xfId="19491" xr:uid="{00000000-0005-0000-0000-00004B3E0000}"/>
    <cellStyle name="40% - Accent1 2 2 6 2 2 2 2 2" xfId="19492" xr:uid="{00000000-0005-0000-0000-00004C3E0000}"/>
    <cellStyle name="40% - Accent1 2 2 6 2 2 2 3" xfId="19493" xr:uid="{00000000-0005-0000-0000-00004D3E0000}"/>
    <cellStyle name="40% - Accent1 2 2 6 2 2 3" xfId="19494" xr:uid="{00000000-0005-0000-0000-00004E3E0000}"/>
    <cellStyle name="40% - Accent1 2 2 6 2 2 3 2" xfId="19495" xr:uid="{00000000-0005-0000-0000-00004F3E0000}"/>
    <cellStyle name="40% - Accent1 2 2 6 2 2 4" xfId="19496" xr:uid="{00000000-0005-0000-0000-0000503E0000}"/>
    <cellStyle name="40% - Accent1 2 2 6 2 2 5" xfId="19497" xr:uid="{00000000-0005-0000-0000-0000513E0000}"/>
    <cellStyle name="40% - Accent1 2 2 6 2 2 6" xfId="19498" xr:uid="{00000000-0005-0000-0000-0000523E0000}"/>
    <cellStyle name="40% - Accent1 2 2 6 2 3" xfId="19499" xr:uid="{00000000-0005-0000-0000-0000533E0000}"/>
    <cellStyle name="40% - Accent1 2 2 6 2 3 2" xfId="19500" xr:uid="{00000000-0005-0000-0000-0000543E0000}"/>
    <cellStyle name="40% - Accent1 2 2 6 2 3 2 2" xfId="19501" xr:uid="{00000000-0005-0000-0000-0000553E0000}"/>
    <cellStyle name="40% - Accent1 2 2 6 2 3 3" xfId="19502" xr:uid="{00000000-0005-0000-0000-0000563E0000}"/>
    <cellStyle name="40% - Accent1 2 2 6 2 4" xfId="19503" xr:uid="{00000000-0005-0000-0000-0000573E0000}"/>
    <cellStyle name="40% - Accent1 2 2 6 2 4 2" xfId="19504" xr:uid="{00000000-0005-0000-0000-0000583E0000}"/>
    <cellStyle name="40% - Accent1 2 2 6 2 5" xfId="19505" xr:uid="{00000000-0005-0000-0000-0000593E0000}"/>
    <cellStyle name="40% - Accent1 2 2 6 2 5 2" xfId="19506" xr:uid="{00000000-0005-0000-0000-00005A3E0000}"/>
    <cellStyle name="40% - Accent1 2 2 6 2 6" xfId="19507" xr:uid="{00000000-0005-0000-0000-00005B3E0000}"/>
    <cellStyle name="40% - Accent1 2 2 6 2 7" xfId="19508" xr:uid="{00000000-0005-0000-0000-00005C3E0000}"/>
    <cellStyle name="40% - Accent1 2 2 6 2 8" xfId="19509" xr:uid="{00000000-0005-0000-0000-00005D3E0000}"/>
    <cellStyle name="40% - Accent1 2 2 6 3" xfId="19510" xr:uid="{00000000-0005-0000-0000-00005E3E0000}"/>
    <cellStyle name="40% - Accent1 2 2 6 3 2" xfId="19511" xr:uid="{00000000-0005-0000-0000-00005F3E0000}"/>
    <cellStyle name="40% - Accent1 2 2 6 3 2 2" xfId="19512" xr:uid="{00000000-0005-0000-0000-0000603E0000}"/>
    <cellStyle name="40% - Accent1 2 2 6 3 2 2 2" xfId="19513" xr:uid="{00000000-0005-0000-0000-0000613E0000}"/>
    <cellStyle name="40% - Accent1 2 2 6 3 2 2 2 2" xfId="19514" xr:uid="{00000000-0005-0000-0000-0000623E0000}"/>
    <cellStyle name="40% - Accent1 2 2 6 3 2 2 3" xfId="19515" xr:uid="{00000000-0005-0000-0000-0000633E0000}"/>
    <cellStyle name="40% - Accent1 2 2 6 3 2 3" xfId="19516" xr:uid="{00000000-0005-0000-0000-0000643E0000}"/>
    <cellStyle name="40% - Accent1 2 2 6 3 2 3 2" xfId="19517" xr:uid="{00000000-0005-0000-0000-0000653E0000}"/>
    <cellStyle name="40% - Accent1 2 2 6 3 2 4" xfId="19518" xr:uid="{00000000-0005-0000-0000-0000663E0000}"/>
    <cellStyle name="40% - Accent1 2 2 6 3 2 5" xfId="19519" xr:uid="{00000000-0005-0000-0000-0000673E0000}"/>
    <cellStyle name="40% - Accent1 2 2 6 3 2 6" xfId="19520" xr:uid="{00000000-0005-0000-0000-0000683E0000}"/>
    <cellStyle name="40% - Accent1 2 2 6 3 3" xfId="19521" xr:uid="{00000000-0005-0000-0000-0000693E0000}"/>
    <cellStyle name="40% - Accent1 2 2 6 3 3 2" xfId="19522" xr:uid="{00000000-0005-0000-0000-00006A3E0000}"/>
    <cellStyle name="40% - Accent1 2 2 6 3 3 2 2" xfId="19523" xr:uid="{00000000-0005-0000-0000-00006B3E0000}"/>
    <cellStyle name="40% - Accent1 2 2 6 3 3 3" xfId="19524" xr:uid="{00000000-0005-0000-0000-00006C3E0000}"/>
    <cellStyle name="40% - Accent1 2 2 6 3 4" xfId="19525" xr:uid="{00000000-0005-0000-0000-00006D3E0000}"/>
    <cellStyle name="40% - Accent1 2 2 6 3 4 2" xfId="19526" xr:uid="{00000000-0005-0000-0000-00006E3E0000}"/>
    <cellStyle name="40% - Accent1 2 2 6 3 5" xfId="19527" xr:uid="{00000000-0005-0000-0000-00006F3E0000}"/>
    <cellStyle name="40% - Accent1 2 2 6 3 6" xfId="19528" xr:uid="{00000000-0005-0000-0000-0000703E0000}"/>
    <cellStyle name="40% - Accent1 2 2 6 3 7" xfId="19529" xr:uid="{00000000-0005-0000-0000-0000713E0000}"/>
    <cellStyle name="40% - Accent1 2 2 6 4" xfId="19530" xr:uid="{00000000-0005-0000-0000-0000723E0000}"/>
    <cellStyle name="40% - Accent1 2 2 6 4 2" xfId="19531" xr:uid="{00000000-0005-0000-0000-0000733E0000}"/>
    <cellStyle name="40% - Accent1 2 2 6 4 2 2" xfId="19532" xr:uid="{00000000-0005-0000-0000-0000743E0000}"/>
    <cellStyle name="40% - Accent1 2 2 6 4 2 2 2" xfId="19533" xr:uid="{00000000-0005-0000-0000-0000753E0000}"/>
    <cellStyle name="40% - Accent1 2 2 6 4 2 3" xfId="19534" xr:uid="{00000000-0005-0000-0000-0000763E0000}"/>
    <cellStyle name="40% - Accent1 2 2 6 4 3" xfId="19535" xr:uid="{00000000-0005-0000-0000-0000773E0000}"/>
    <cellStyle name="40% - Accent1 2 2 6 4 3 2" xfId="19536" xr:uid="{00000000-0005-0000-0000-0000783E0000}"/>
    <cellStyle name="40% - Accent1 2 2 6 4 4" xfId="19537" xr:uid="{00000000-0005-0000-0000-0000793E0000}"/>
    <cellStyle name="40% - Accent1 2 2 6 4 5" xfId="19538" xr:uid="{00000000-0005-0000-0000-00007A3E0000}"/>
    <cellStyle name="40% - Accent1 2 2 6 4 6" xfId="19539" xr:uid="{00000000-0005-0000-0000-00007B3E0000}"/>
    <cellStyle name="40% - Accent1 2 2 6 5" xfId="19540" xr:uid="{00000000-0005-0000-0000-00007C3E0000}"/>
    <cellStyle name="40% - Accent1 2 2 6 5 2" xfId="19541" xr:uid="{00000000-0005-0000-0000-00007D3E0000}"/>
    <cellStyle name="40% - Accent1 2 2 6 5 2 2" xfId="19542" xr:uid="{00000000-0005-0000-0000-00007E3E0000}"/>
    <cellStyle name="40% - Accent1 2 2 6 5 3" xfId="19543" xr:uid="{00000000-0005-0000-0000-00007F3E0000}"/>
    <cellStyle name="40% - Accent1 2 2 6 6" xfId="19544" xr:uid="{00000000-0005-0000-0000-0000803E0000}"/>
    <cellStyle name="40% - Accent1 2 2 6 6 2" xfId="19545" xr:uid="{00000000-0005-0000-0000-0000813E0000}"/>
    <cellStyle name="40% - Accent1 2 2 6 6 2 2" xfId="19546" xr:uid="{00000000-0005-0000-0000-0000823E0000}"/>
    <cellStyle name="40% - Accent1 2 2 6 6 3" xfId="19547" xr:uid="{00000000-0005-0000-0000-0000833E0000}"/>
    <cellStyle name="40% - Accent1 2 2 6 7" xfId="19548" xr:uid="{00000000-0005-0000-0000-0000843E0000}"/>
    <cellStyle name="40% - Accent1 2 2 6 7 2" xfId="19549" xr:uid="{00000000-0005-0000-0000-0000853E0000}"/>
    <cellStyle name="40% - Accent1 2 2 6 8" xfId="19550" xr:uid="{00000000-0005-0000-0000-0000863E0000}"/>
    <cellStyle name="40% - Accent1 2 2 6 8 2" xfId="19551" xr:uid="{00000000-0005-0000-0000-0000873E0000}"/>
    <cellStyle name="40% - Accent1 2 2 6 9" xfId="19552" xr:uid="{00000000-0005-0000-0000-0000883E0000}"/>
    <cellStyle name="40% - Accent1 2 2 7" xfId="19553" xr:uid="{00000000-0005-0000-0000-0000893E0000}"/>
    <cellStyle name="40% - Accent1 2 2 7 2" xfId="19554" xr:uid="{00000000-0005-0000-0000-00008A3E0000}"/>
    <cellStyle name="40% - Accent1 2 2 7 2 2" xfId="19555" xr:uid="{00000000-0005-0000-0000-00008B3E0000}"/>
    <cellStyle name="40% - Accent1 2 2 7 2 2 2" xfId="19556" xr:uid="{00000000-0005-0000-0000-00008C3E0000}"/>
    <cellStyle name="40% - Accent1 2 2 7 2 2 2 2" xfId="19557" xr:uid="{00000000-0005-0000-0000-00008D3E0000}"/>
    <cellStyle name="40% - Accent1 2 2 7 2 2 3" xfId="19558" xr:uid="{00000000-0005-0000-0000-00008E3E0000}"/>
    <cellStyle name="40% - Accent1 2 2 7 2 3" xfId="19559" xr:uid="{00000000-0005-0000-0000-00008F3E0000}"/>
    <cellStyle name="40% - Accent1 2 2 7 2 3 2" xfId="19560" xr:uid="{00000000-0005-0000-0000-0000903E0000}"/>
    <cellStyle name="40% - Accent1 2 2 7 2 4" xfId="19561" xr:uid="{00000000-0005-0000-0000-0000913E0000}"/>
    <cellStyle name="40% - Accent1 2 2 7 2 5" xfId="19562" xr:uid="{00000000-0005-0000-0000-0000923E0000}"/>
    <cellStyle name="40% - Accent1 2 2 7 2 6" xfId="19563" xr:uid="{00000000-0005-0000-0000-0000933E0000}"/>
    <cellStyle name="40% - Accent1 2 2 7 3" xfId="19564" xr:uid="{00000000-0005-0000-0000-0000943E0000}"/>
    <cellStyle name="40% - Accent1 2 2 7 3 2" xfId="19565" xr:uid="{00000000-0005-0000-0000-0000953E0000}"/>
    <cellStyle name="40% - Accent1 2 2 7 3 2 2" xfId="19566" xr:uid="{00000000-0005-0000-0000-0000963E0000}"/>
    <cellStyle name="40% - Accent1 2 2 7 3 3" xfId="19567" xr:uid="{00000000-0005-0000-0000-0000973E0000}"/>
    <cellStyle name="40% - Accent1 2 2 7 4" xfId="19568" xr:uid="{00000000-0005-0000-0000-0000983E0000}"/>
    <cellStyle name="40% - Accent1 2 2 7 4 2" xfId="19569" xr:uid="{00000000-0005-0000-0000-0000993E0000}"/>
    <cellStyle name="40% - Accent1 2 2 7 5" xfId="19570" xr:uid="{00000000-0005-0000-0000-00009A3E0000}"/>
    <cellStyle name="40% - Accent1 2 2 7 5 2" xfId="19571" xr:uid="{00000000-0005-0000-0000-00009B3E0000}"/>
    <cellStyle name="40% - Accent1 2 2 7 6" xfId="19572" xr:uid="{00000000-0005-0000-0000-00009C3E0000}"/>
    <cellStyle name="40% - Accent1 2 2 7 7" xfId="19573" xr:uid="{00000000-0005-0000-0000-00009D3E0000}"/>
    <cellStyle name="40% - Accent1 2 2 7 8" xfId="19574" xr:uid="{00000000-0005-0000-0000-00009E3E0000}"/>
    <cellStyle name="40% - Accent1 2 2 8" xfId="19575" xr:uid="{00000000-0005-0000-0000-00009F3E0000}"/>
    <cellStyle name="40% - Accent1 2 2 8 2" xfId="19576" xr:uid="{00000000-0005-0000-0000-0000A03E0000}"/>
    <cellStyle name="40% - Accent1 2 2 8 2 2" xfId="19577" xr:uid="{00000000-0005-0000-0000-0000A13E0000}"/>
    <cellStyle name="40% - Accent1 2 2 8 2 2 2" xfId="19578" xr:uid="{00000000-0005-0000-0000-0000A23E0000}"/>
    <cellStyle name="40% - Accent1 2 2 8 2 2 2 2" xfId="19579" xr:uid="{00000000-0005-0000-0000-0000A33E0000}"/>
    <cellStyle name="40% - Accent1 2 2 8 2 2 3" xfId="19580" xr:uid="{00000000-0005-0000-0000-0000A43E0000}"/>
    <cellStyle name="40% - Accent1 2 2 8 2 3" xfId="19581" xr:uid="{00000000-0005-0000-0000-0000A53E0000}"/>
    <cellStyle name="40% - Accent1 2 2 8 2 3 2" xfId="19582" xr:uid="{00000000-0005-0000-0000-0000A63E0000}"/>
    <cellStyle name="40% - Accent1 2 2 8 2 4" xfId="19583" xr:uid="{00000000-0005-0000-0000-0000A73E0000}"/>
    <cellStyle name="40% - Accent1 2 2 8 2 5" xfId="19584" xr:uid="{00000000-0005-0000-0000-0000A83E0000}"/>
    <cellStyle name="40% - Accent1 2 2 8 2 6" xfId="19585" xr:uid="{00000000-0005-0000-0000-0000A93E0000}"/>
    <cellStyle name="40% - Accent1 2 2 8 3" xfId="19586" xr:uid="{00000000-0005-0000-0000-0000AA3E0000}"/>
    <cellStyle name="40% - Accent1 2 2 8 3 2" xfId="19587" xr:uid="{00000000-0005-0000-0000-0000AB3E0000}"/>
    <cellStyle name="40% - Accent1 2 2 8 3 2 2" xfId="19588" xr:uid="{00000000-0005-0000-0000-0000AC3E0000}"/>
    <cellStyle name="40% - Accent1 2 2 8 3 3" xfId="19589" xr:uid="{00000000-0005-0000-0000-0000AD3E0000}"/>
    <cellStyle name="40% - Accent1 2 2 8 4" xfId="19590" xr:uid="{00000000-0005-0000-0000-0000AE3E0000}"/>
    <cellStyle name="40% - Accent1 2 2 8 4 2" xfId="19591" xr:uid="{00000000-0005-0000-0000-0000AF3E0000}"/>
    <cellStyle name="40% - Accent1 2 2 8 5" xfId="19592" xr:uid="{00000000-0005-0000-0000-0000B03E0000}"/>
    <cellStyle name="40% - Accent1 2 2 8 6" xfId="19593" xr:uid="{00000000-0005-0000-0000-0000B13E0000}"/>
    <cellStyle name="40% - Accent1 2 2 8 7" xfId="19594" xr:uid="{00000000-0005-0000-0000-0000B23E0000}"/>
    <cellStyle name="40% - Accent1 2 2 9" xfId="19595" xr:uid="{00000000-0005-0000-0000-0000B33E0000}"/>
    <cellStyle name="40% - Accent1 2 2 9 2" xfId="19596" xr:uid="{00000000-0005-0000-0000-0000B43E0000}"/>
    <cellStyle name="40% - Accent1 2 2 9 2 2" xfId="19597" xr:uid="{00000000-0005-0000-0000-0000B53E0000}"/>
    <cellStyle name="40% - Accent1 2 2 9 2 2 2" xfId="19598" xr:uid="{00000000-0005-0000-0000-0000B63E0000}"/>
    <cellStyle name="40% - Accent1 2 2 9 2 3" xfId="19599" xr:uid="{00000000-0005-0000-0000-0000B73E0000}"/>
    <cellStyle name="40% - Accent1 2 2 9 3" xfId="19600" xr:uid="{00000000-0005-0000-0000-0000B83E0000}"/>
    <cellStyle name="40% - Accent1 2 2 9 3 2" xfId="19601" xr:uid="{00000000-0005-0000-0000-0000B93E0000}"/>
    <cellStyle name="40% - Accent1 2 2 9 4" xfId="19602" xr:uid="{00000000-0005-0000-0000-0000BA3E0000}"/>
    <cellStyle name="40% - Accent1 2 2 9 5" xfId="19603" xr:uid="{00000000-0005-0000-0000-0000BB3E0000}"/>
    <cellStyle name="40% - Accent1 2 2 9 6" xfId="19604" xr:uid="{00000000-0005-0000-0000-0000BC3E0000}"/>
    <cellStyle name="40% - Accent1 2 3" xfId="19605" xr:uid="{00000000-0005-0000-0000-0000BD3E0000}"/>
    <cellStyle name="40% - Accent1 2 3 2" xfId="19606" xr:uid="{00000000-0005-0000-0000-0000BE3E0000}"/>
    <cellStyle name="40% - Accent1 2 3 2 2" xfId="19607" xr:uid="{00000000-0005-0000-0000-0000BF3E0000}"/>
    <cellStyle name="40% - Accent1 2 3 2 2 2" xfId="19608" xr:uid="{00000000-0005-0000-0000-0000C03E0000}"/>
    <cellStyle name="40% - Accent1 2 3 2 2 2 2" xfId="19609" xr:uid="{00000000-0005-0000-0000-0000C13E0000}"/>
    <cellStyle name="40% - Accent1 2 3 2 2 3" xfId="19610" xr:uid="{00000000-0005-0000-0000-0000C23E0000}"/>
    <cellStyle name="40% - Accent1 2 3 2 3" xfId="19611" xr:uid="{00000000-0005-0000-0000-0000C33E0000}"/>
    <cellStyle name="40% - Accent1 2 3 2 3 2" xfId="19612" xr:uid="{00000000-0005-0000-0000-0000C43E0000}"/>
    <cellStyle name="40% - Accent1 2 3 2 4" xfId="19613" xr:uid="{00000000-0005-0000-0000-0000C53E0000}"/>
    <cellStyle name="40% - Accent1 2 3 3" xfId="19614" xr:uid="{00000000-0005-0000-0000-0000C63E0000}"/>
    <cellStyle name="40% - Accent1 2 3 3 2" xfId="19615" xr:uid="{00000000-0005-0000-0000-0000C73E0000}"/>
    <cellStyle name="40% - Accent1 2 3 3 2 2" xfId="19616" xr:uid="{00000000-0005-0000-0000-0000C83E0000}"/>
    <cellStyle name="40% - Accent1 2 3 3 2 2 2" xfId="19617" xr:uid="{00000000-0005-0000-0000-0000C93E0000}"/>
    <cellStyle name="40% - Accent1 2 3 3 2 3" xfId="19618" xr:uid="{00000000-0005-0000-0000-0000CA3E0000}"/>
    <cellStyle name="40% - Accent1 2 3 3 3" xfId="19619" xr:uid="{00000000-0005-0000-0000-0000CB3E0000}"/>
    <cellStyle name="40% - Accent1 2 3 3 3 2" xfId="19620" xr:uid="{00000000-0005-0000-0000-0000CC3E0000}"/>
    <cellStyle name="40% - Accent1 2 3 3 4" xfId="19621" xr:uid="{00000000-0005-0000-0000-0000CD3E0000}"/>
    <cellStyle name="40% - Accent1 2 3 4" xfId="19622" xr:uid="{00000000-0005-0000-0000-0000CE3E0000}"/>
    <cellStyle name="40% - Accent1 2 3 4 2" xfId="19623" xr:uid="{00000000-0005-0000-0000-0000CF3E0000}"/>
    <cellStyle name="40% - Accent1 2 3 4 2 2" xfId="19624" xr:uid="{00000000-0005-0000-0000-0000D03E0000}"/>
    <cellStyle name="40% - Accent1 2 3 4 2 2 2" xfId="19625" xr:uid="{00000000-0005-0000-0000-0000D13E0000}"/>
    <cellStyle name="40% - Accent1 2 3 4 2 3" xfId="19626" xr:uid="{00000000-0005-0000-0000-0000D23E0000}"/>
    <cellStyle name="40% - Accent1 2 3 4 3" xfId="19627" xr:uid="{00000000-0005-0000-0000-0000D33E0000}"/>
    <cellStyle name="40% - Accent1 2 3 4 3 2" xfId="19628" xr:uid="{00000000-0005-0000-0000-0000D43E0000}"/>
    <cellStyle name="40% - Accent1 2 3 4 4" xfId="19629" xr:uid="{00000000-0005-0000-0000-0000D53E0000}"/>
    <cellStyle name="40% - Accent1 2 4" xfId="19630" xr:uid="{00000000-0005-0000-0000-0000D63E0000}"/>
    <cellStyle name="40% - Accent1 2 4 2" xfId="19631" xr:uid="{00000000-0005-0000-0000-0000D73E0000}"/>
    <cellStyle name="40% - Accent1 2 5" xfId="19632" xr:uid="{00000000-0005-0000-0000-0000D83E0000}"/>
    <cellStyle name="40% - Accent1 2 5 2" xfId="19633" xr:uid="{00000000-0005-0000-0000-0000D93E0000}"/>
    <cellStyle name="40% - Accent1 2 6" xfId="19634" xr:uid="{00000000-0005-0000-0000-0000DA3E0000}"/>
    <cellStyle name="40% - Accent1 2 6 2" xfId="19635" xr:uid="{00000000-0005-0000-0000-0000DB3E0000}"/>
    <cellStyle name="40% - Accent1 2 7" xfId="19636" xr:uid="{00000000-0005-0000-0000-0000DC3E0000}"/>
    <cellStyle name="40% - Accent1 2 7 2" xfId="19637" xr:uid="{00000000-0005-0000-0000-0000DD3E0000}"/>
    <cellStyle name="40% - Accent1 2 7 2 2" xfId="19638" xr:uid="{00000000-0005-0000-0000-0000DE3E0000}"/>
    <cellStyle name="40% - Accent1 2 7 3" xfId="19639" xr:uid="{00000000-0005-0000-0000-0000DF3E0000}"/>
    <cellStyle name="40% - Accent1 3" xfId="192" xr:uid="{00000000-0005-0000-0000-0000E03E0000}"/>
    <cellStyle name="40% - Accent1 3 10" xfId="19640" xr:uid="{00000000-0005-0000-0000-0000E13E0000}"/>
    <cellStyle name="40% - Accent1 3 10 2" xfId="19641" xr:uid="{00000000-0005-0000-0000-0000E23E0000}"/>
    <cellStyle name="40% - Accent1 3 10 2 2" xfId="19642" xr:uid="{00000000-0005-0000-0000-0000E33E0000}"/>
    <cellStyle name="40% - Accent1 3 10 2 2 2" xfId="19643" xr:uid="{00000000-0005-0000-0000-0000E43E0000}"/>
    <cellStyle name="40% - Accent1 3 10 2 2 2 2" xfId="19644" xr:uid="{00000000-0005-0000-0000-0000E53E0000}"/>
    <cellStyle name="40% - Accent1 3 10 2 2 3" xfId="19645" xr:uid="{00000000-0005-0000-0000-0000E63E0000}"/>
    <cellStyle name="40% - Accent1 3 10 2 3" xfId="19646" xr:uid="{00000000-0005-0000-0000-0000E73E0000}"/>
    <cellStyle name="40% - Accent1 3 10 2 3 2" xfId="19647" xr:uid="{00000000-0005-0000-0000-0000E83E0000}"/>
    <cellStyle name="40% - Accent1 3 10 2 4" xfId="19648" xr:uid="{00000000-0005-0000-0000-0000E93E0000}"/>
    <cellStyle name="40% - Accent1 3 10 2 5" xfId="19649" xr:uid="{00000000-0005-0000-0000-0000EA3E0000}"/>
    <cellStyle name="40% - Accent1 3 10 2 6" xfId="19650" xr:uid="{00000000-0005-0000-0000-0000EB3E0000}"/>
    <cellStyle name="40% - Accent1 3 10 3" xfId="19651" xr:uid="{00000000-0005-0000-0000-0000EC3E0000}"/>
    <cellStyle name="40% - Accent1 3 10 3 2" xfId="19652" xr:uid="{00000000-0005-0000-0000-0000ED3E0000}"/>
    <cellStyle name="40% - Accent1 3 10 3 2 2" xfId="19653" xr:uid="{00000000-0005-0000-0000-0000EE3E0000}"/>
    <cellStyle name="40% - Accent1 3 10 3 3" xfId="19654" xr:uid="{00000000-0005-0000-0000-0000EF3E0000}"/>
    <cellStyle name="40% - Accent1 3 10 4" xfId="19655" xr:uid="{00000000-0005-0000-0000-0000F03E0000}"/>
    <cellStyle name="40% - Accent1 3 10 4 2" xfId="19656" xr:uid="{00000000-0005-0000-0000-0000F13E0000}"/>
    <cellStyle name="40% - Accent1 3 10 4 2 2" xfId="19657" xr:uid="{00000000-0005-0000-0000-0000F23E0000}"/>
    <cellStyle name="40% - Accent1 3 10 4 3" xfId="19658" xr:uid="{00000000-0005-0000-0000-0000F33E0000}"/>
    <cellStyle name="40% - Accent1 3 10 5" xfId="19659" xr:uid="{00000000-0005-0000-0000-0000F43E0000}"/>
    <cellStyle name="40% - Accent1 3 10 6" xfId="19660" xr:uid="{00000000-0005-0000-0000-0000F53E0000}"/>
    <cellStyle name="40% - Accent1 3 11" xfId="19661" xr:uid="{00000000-0005-0000-0000-0000F63E0000}"/>
    <cellStyle name="40% - Accent1 3 11 2" xfId="19662" xr:uid="{00000000-0005-0000-0000-0000F73E0000}"/>
    <cellStyle name="40% - Accent1 3 11 2 2" xfId="19663" xr:uid="{00000000-0005-0000-0000-0000F83E0000}"/>
    <cellStyle name="40% - Accent1 3 11 2 2 2" xfId="19664" xr:uid="{00000000-0005-0000-0000-0000F93E0000}"/>
    <cellStyle name="40% - Accent1 3 11 2 2 2 2" xfId="19665" xr:uid="{00000000-0005-0000-0000-0000FA3E0000}"/>
    <cellStyle name="40% - Accent1 3 11 2 2 3" xfId="19666" xr:uid="{00000000-0005-0000-0000-0000FB3E0000}"/>
    <cellStyle name="40% - Accent1 3 11 2 3" xfId="19667" xr:uid="{00000000-0005-0000-0000-0000FC3E0000}"/>
    <cellStyle name="40% - Accent1 3 11 2 3 2" xfId="19668" xr:uid="{00000000-0005-0000-0000-0000FD3E0000}"/>
    <cellStyle name="40% - Accent1 3 11 2 4" xfId="19669" xr:uid="{00000000-0005-0000-0000-0000FE3E0000}"/>
    <cellStyle name="40% - Accent1 3 11 2 5" xfId="19670" xr:uid="{00000000-0005-0000-0000-0000FF3E0000}"/>
    <cellStyle name="40% - Accent1 3 11 2 6" xfId="19671" xr:uid="{00000000-0005-0000-0000-0000003F0000}"/>
    <cellStyle name="40% - Accent1 3 11 3" xfId="19672" xr:uid="{00000000-0005-0000-0000-0000013F0000}"/>
    <cellStyle name="40% - Accent1 3 11 3 2" xfId="19673" xr:uid="{00000000-0005-0000-0000-0000023F0000}"/>
    <cellStyle name="40% - Accent1 3 11 3 2 2" xfId="19674" xr:uid="{00000000-0005-0000-0000-0000033F0000}"/>
    <cellStyle name="40% - Accent1 3 11 3 3" xfId="19675" xr:uid="{00000000-0005-0000-0000-0000043F0000}"/>
    <cellStyle name="40% - Accent1 3 11 4" xfId="19676" xr:uid="{00000000-0005-0000-0000-0000053F0000}"/>
    <cellStyle name="40% - Accent1 3 11 4 2" xfId="19677" xr:uid="{00000000-0005-0000-0000-0000063F0000}"/>
    <cellStyle name="40% - Accent1 3 11 5" xfId="19678" xr:uid="{00000000-0005-0000-0000-0000073F0000}"/>
    <cellStyle name="40% - Accent1 3 11 6" xfId="19679" xr:uid="{00000000-0005-0000-0000-0000083F0000}"/>
    <cellStyle name="40% - Accent1 3 11 7" xfId="19680" xr:uid="{00000000-0005-0000-0000-0000093F0000}"/>
    <cellStyle name="40% - Accent1 3 12" xfId="19681" xr:uid="{00000000-0005-0000-0000-00000A3F0000}"/>
    <cellStyle name="40% - Accent1 3 13" xfId="19682" xr:uid="{00000000-0005-0000-0000-00000B3F0000}"/>
    <cellStyle name="40% - Accent1 3 13 2" xfId="19683" xr:uid="{00000000-0005-0000-0000-00000C3F0000}"/>
    <cellStyle name="40% - Accent1 3 13 2 2" xfId="19684" xr:uid="{00000000-0005-0000-0000-00000D3F0000}"/>
    <cellStyle name="40% - Accent1 3 13 2 2 2" xfId="19685" xr:uid="{00000000-0005-0000-0000-00000E3F0000}"/>
    <cellStyle name="40% - Accent1 3 13 2 3" xfId="19686" xr:uid="{00000000-0005-0000-0000-00000F3F0000}"/>
    <cellStyle name="40% - Accent1 3 13 3" xfId="19687" xr:uid="{00000000-0005-0000-0000-0000103F0000}"/>
    <cellStyle name="40% - Accent1 3 13 3 2" xfId="19688" xr:uid="{00000000-0005-0000-0000-0000113F0000}"/>
    <cellStyle name="40% - Accent1 3 13 4" xfId="19689" xr:uid="{00000000-0005-0000-0000-0000123F0000}"/>
    <cellStyle name="40% - Accent1 3 14" xfId="19690" xr:uid="{00000000-0005-0000-0000-0000133F0000}"/>
    <cellStyle name="40% - Accent1 3 14 2" xfId="19691" xr:uid="{00000000-0005-0000-0000-0000143F0000}"/>
    <cellStyle name="40% - Accent1 3 14 2 2" xfId="19692" xr:uid="{00000000-0005-0000-0000-0000153F0000}"/>
    <cellStyle name="40% - Accent1 3 14 2 2 2" xfId="19693" xr:uid="{00000000-0005-0000-0000-0000163F0000}"/>
    <cellStyle name="40% - Accent1 3 14 2 3" xfId="19694" xr:uid="{00000000-0005-0000-0000-0000173F0000}"/>
    <cellStyle name="40% - Accent1 3 14 3" xfId="19695" xr:uid="{00000000-0005-0000-0000-0000183F0000}"/>
    <cellStyle name="40% - Accent1 3 14 3 2" xfId="19696" xr:uid="{00000000-0005-0000-0000-0000193F0000}"/>
    <cellStyle name="40% - Accent1 3 14 4" xfId="19697" xr:uid="{00000000-0005-0000-0000-00001A3F0000}"/>
    <cellStyle name="40% - Accent1 3 15" xfId="19698" xr:uid="{00000000-0005-0000-0000-00001B3F0000}"/>
    <cellStyle name="40% - Accent1 3 15 2" xfId="19699" xr:uid="{00000000-0005-0000-0000-00001C3F0000}"/>
    <cellStyle name="40% - Accent1 3 15 2 2" xfId="19700" xr:uid="{00000000-0005-0000-0000-00001D3F0000}"/>
    <cellStyle name="40% - Accent1 3 15 2 2 2" xfId="19701" xr:uid="{00000000-0005-0000-0000-00001E3F0000}"/>
    <cellStyle name="40% - Accent1 3 15 2 3" xfId="19702" xr:uid="{00000000-0005-0000-0000-00001F3F0000}"/>
    <cellStyle name="40% - Accent1 3 15 3" xfId="19703" xr:uid="{00000000-0005-0000-0000-0000203F0000}"/>
    <cellStyle name="40% - Accent1 3 15 3 2" xfId="19704" xr:uid="{00000000-0005-0000-0000-0000213F0000}"/>
    <cellStyle name="40% - Accent1 3 15 4" xfId="19705" xr:uid="{00000000-0005-0000-0000-0000223F0000}"/>
    <cellStyle name="40% - Accent1 3 16" xfId="19706" xr:uid="{00000000-0005-0000-0000-0000233F0000}"/>
    <cellStyle name="40% - Accent1 3 16 2" xfId="19707" xr:uid="{00000000-0005-0000-0000-0000243F0000}"/>
    <cellStyle name="40% - Accent1 3 16 2 2" xfId="19708" xr:uid="{00000000-0005-0000-0000-0000253F0000}"/>
    <cellStyle name="40% - Accent1 3 16 3" xfId="19709" xr:uid="{00000000-0005-0000-0000-0000263F0000}"/>
    <cellStyle name="40% - Accent1 3 2" xfId="19710" xr:uid="{00000000-0005-0000-0000-0000273F0000}"/>
    <cellStyle name="40% - Accent1 3 2 10" xfId="19711" xr:uid="{00000000-0005-0000-0000-0000283F0000}"/>
    <cellStyle name="40% - Accent1 3 2 11" xfId="19712" xr:uid="{00000000-0005-0000-0000-0000293F0000}"/>
    <cellStyle name="40% - Accent1 3 2 2" xfId="19713" xr:uid="{00000000-0005-0000-0000-00002A3F0000}"/>
    <cellStyle name="40% - Accent1 3 2 2 2" xfId="19714" xr:uid="{00000000-0005-0000-0000-00002B3F0000}"/>
    <cellStyle name="40% - Accent1 3 2 2 2 2" xfId="19715" xr:uid="{00000000-0005-0000-0000-00002C3F0000}"/>
    <cellStyle name="40% - Accent1 3 2 2 2 2 2" xfId="19716" xr:uid="{00000000-0005-0000-0000-00002D3F0000}"/>
    <cellStyle name="40% - Accent1 3 2 2 2 2 2 2" xfId="19717" xr:uid="{00000000-0005-0000-0000-00002E3F0000}"/>
    <cellStyle name="40% - Accent1 3 2 2 2 2 3" xfId="19718" xr:uid="{00000000-0005-0000-0000-00002F3F0000}"/>
    <cellStyle name="40% - Accent1 3 2 2 2 3" xfId="19719" xr:uid="{00000000-0005-0000-0000-0000303F0000}"/>
    <cellStyle name="40% - Accent1 3 2 2 2 3 2" xfId="19720" xr:uid="{00000000-0005-0000-0000-0000313F0000}"/>
    <cellStyle name="40% - Accent1 3 2 2 2 4" xfId="19721" xr:uid="{00000000-0005-0000-0000-0000323F0000}"/>
    <cellStyle name="40% - Accent1 3 2 2 2 5" xfId="19722" xr:uid="{00000000-0005-0000-0000-0000333F0000}"/>
    <cellStyle name="40% - Accent1 3 2 2 2 6" xfId="19723" xr:uid="{00000000-0005-0000-0000-0000343F0000}"/>
    <cellStyle name="40% - Accent1 3 2 2 3" xfId="19724" xr:uid="{00000000-0005-0000-0000-0000353F0000}"/>
    <cellStyle name="40% - Accent1 3 2 2 3 2" xfId="19725" xr:uid="{00000000-0005-0000-0000-0000363F0000}"/>
    <cellStyle name="40% - Accent1 3 2 2 3 2 2" xfId="19726" xr:uid="{00000000-0005-0000-0000-0000373F0000}"/>
    <cellStyle name="40% - Accent1 3 2 2 3 3" xfId="19727" xr:uid="{00000000-0005-0000-0000-0000383F0000}"/>
    <cellStyle name="40% - Accent1 3 2 2 4" xfId="19728" xr:uid="{00000000-0005-0000-0000-0000393F0000}"/>
    <cellStyle name="40% - Accent1 3 2 2 4 2" xfId="19729" xr:uid="{00000000-0005-0000-0000-00003A3F0000}"/>
    <cellStyle name="40% - Accent1 3 2 2 5" xfId="19730" xr:uid="{00000000-0005-0000-0000-00003B3F0000}"/>
    <cellStyle name="40% - Accent1 3 2 2 5 2" xfId="19731" xr:uid="{00000000-0005-0000-0000-00003C3F0000}"/>
    <cellStyle name="40% - Accent1 3 2 2 6" xfId="19732" xr:uid="{00000000-0005-0000-0000-00003D3F0000}"/>
    <cellStyle name="40% - Accent1 3 2 2 7" xfId="19733" xr:uid="{00000000-0005-0000-0000-00003E3F0000}"/>
    <cellStyle name="40% - Accent1 3 2 2 8" xfId="19734" xr:uid="{00000000-0005-0000-0000-00003F3F0000}"/>
    <cellStyle name="40% - Accent1 3 2 3" xfId="19735" xr:uid="{00000000-0005-0000-0000-0000403F0000}"/>
    <cellStyle name="40% - Accent1 3 2 3 2" xfId="19736" xr:uid="{00000000-0005-0000-0000-0000413F0000}"/>
    <cellStyle name="40% - Accent1 3 2 3 2 2" xfId="19737" xr:uid="{00000000-0005-0000-0000-0000423F0000}"/>
    <cellStyle name="40% - Accent1 3 2 3 2 2 2" xfId="19738" xr:uid="{00000000-0005-0000-0000-0000433F0000}"/>
    <cellStyle name="40% - Accent1 3 2 3 2 2 2 2" xfId="19739" xr:uid="{00000000-0005-0000-0000-0000443F0000}"/>
    <cellStyle name="40% - Accent1 3 2 3 2 2 3" xfId="19740" xr:uid="{00000000-0005-0000-0000-0000453F0000}"/>
    <cellStyle name="40% - Accent1 3 2 3 2 3" xfId="19741" xr:uid="{00000000-0005-0000-0000-0000463F0000}"/>
    <cellStyle name="40% - Accent1 3 2 3 2 3 2" xfId="19742" xr:uid="{00000000-0005-0000-0000-0000473F0000}"/>
    <cellStyle name="40% - Accent1 3 2 3 2 4" xfId="19743" xr:uid="{00000000-0005-0000-0000-0000483F0000}"/>
    <cellStyle name="40% - Accent1 3 2 3 2 5" xfId="19744" xr:uid="{00000000-0005-0000-0000-0000493F0000}"/>
    <cellStyle name="40% - Accent1 3 2 3 2 6" xfId="19745" xr:uid="{00000000-0005-0000-0000-00004A3F0000}"/>
    <cellStyle name="40% - Accent1 3 2 3 3" xfId="19746" xr:uid="{00000000-0005-0000-0000-00004B3F0000}"/>
    <cellStyle name="40% - Accent1 3 2 3 3 2" xfId="19747" xr:uid="{00000000-0005-0000-0000-00004C3F0000}"/>
    <cellStyle name="40% - Accent1 3 2 3 3 2 2" xfId="19748" xr:uid="{00000000-0005-0000-0000-00004D3F0000}"/>
    <cellStyle name="40% - Accent1 3 2 3 3 3" xfId="19749" xr:uid="{00000000-0005-0000-0000-00004E3F0000}"/>
    <cellStyle name="40% - Accent1 3 2 3 4" xfId="19750" xr:uid="{00000000-0005-0000-0000-00004F3F0000}"/>
    <cellStyle name="40% - Accent1 3 2 3 4 2" xfId="19751" xr:uid="{00000000-0005-0000-0000-0000503F0000}"/>
    <cellStyle name="40% - Accent1 3 2 3 5" xfId="19752" xr:uid="{00000000-0005-0000-0000-0000513F0000}"/>
    <cellStyle name="40% - Accent1 3 2 3 6" xfId="19753" xr:uid="{00000000-0005-0000-0000-0000523F0000}"/>
    <cellStyle name="40% - Accent1 3 2 3 7" xfId="19754" xr:uid="{00000000-0005-0000-0000-0000533F0000}"/>
    <cellStyle name="40% - Accent1 3 2 4" xfId="19755" xr:uid="{00000000-0005-0000-0000-0000543F0000}"/>
    <cellStyle name="40% - Accent1 3 2 4 2" xfId="19756" xr:uid="{00000000-0005-0000-0000-0000553F0000}"/>
    <cellStyle name="40% - Accent1 3 2 4 2 2" xfId="19757" xr:uid="{00000000-0005-0000-0000-0000563F0000}"/>
    <cellStyle name="40% - Accent1 3 2 4 2 2 2" xfId="19758" xr:uid="{00000000-0005-0000-0000-0000573F0000}"/>
    <cellStyle name="40% - Accent1 3 2 4 2 3" xfId="19759" xr:uid="{00000000-0005-0000-0000-0000583F0000}"/>
    <cellStyle name="40% - Accent1 3 2 4 3" xfId="19760" xr:uid="{00000000-0005-0000-0000-0000593F0000}"/>
    <cellStyle name="40% - Accent1 3 2 4 3 2" xfId="19761" xr:uid="{00000000-0005-0000-0000-00005A3F0000}"/>
    <cellStyle name="40% - Accent1 3 2 4 4" xfId="19762" xr:uid="{00000000-0005-0000-0000-00005B3F0000}"/>
    <cellStyle name="40% - Accent1 3 2 4 5" xfId="19763" xr:uid="{00000000-0005-0000-0000-00005C3F0000}"/>
    <cellStyle name="40% - Accent1 3 2 4 6" xfId="19764" xr:uid="{00000000-0005-0000-0000-00005D3F0000}"/>
    <cellStyle name="40% - Accent1 3 2 5" xfId="19765" xr:uid="{00000000-0005-0000-0000-00005E3F0000}"/>
    <cellStyle name="40% - Accent1 3 2 5 2" xfId="19766" xr:uid="{00000000-0005-0000-0000-00005F3F0000}"/>
    <cellStyle name="40% - Accent1 3 2 5 2 2" xfId="19767" xr:uid="{00000000-0005-0000-0000-0000603F0000}"/>
    <cellStyle name="40% - Accent1 3 2 5 3" xfId="19768" xr:uid="{00000000-0005-0000-0000-0000613F0000}"/>
    <cellStyle name="40% - Accent1 3 2 6" xfId="19769" xr:uid="{00000000-0005-0000-0000-0000623F0000}"/>
    <cellStyle name="40% - Accent1 3 2 6 2" xfId="19770" xr:uid="{00000000-0005-0000-0000-0000633F0000}"/>
    <cellStyle name="40% - Accent1 3 2 6 2 2" xfId="19771" xr:uid="{00000000-0005-0000-0000-0000643F0000}"/>
    <cellStyle name="40% - Accent1 3 2 6 3" xfId="19772" xr:uid="{00000000-0005-0000-0000-0000653F0000}"/>
    <cellStyle name="40% - Accent1 3 2 7" xfId="19773" xr:uid="{00000000-0005-0000-0000-0000663F0000}"/>
    <cellStyle name="40% - Accent1 3 2 7 2" xfId="19774" xr:uid="{00000000-0005-0000-0000-0000673F0000}"/>
    <cellStyle name="40% - Accent1 3 2 8" xfId="19775" xr:uid="{00000000-0005-0000-0000-0000683F0000}"/>
    <cellStyle name="40% - Accent1 3 2 8 2" xfId="19776" xr:uid="{00000000-0005-0000-0000-0000693F0000}"/>
    <cellStyle name="40% - Accent1 3 2 9" xfId="19777" xr:uid="{00000000-0005-0000-0000-00006A3F0000}"/>
    <cellStyle name="40% - Accent1 3 3" xfId="19778" xr:uid="{00000000-0005-0000-0000-00006B3F0000}"/>
    <cellStyle name="40% - Accent1 3 3 10" xfId="19779" xr:uid="{00000000-0005-0000-0000-00006C3F0000}"/>
    <cellStyle name="40% - Accent1 3 3 11" xfId="19780" xr:uid="{00000000-0005-0000-0000-00006D3F0000}"/>
    <cellStyle name="40% - Accent1 3 3 2" xfId="19781" xr:uid="{00000000-0005-0000-0000-00006E3F0000}"/>
    <cellStyle name="40% - Accent1 3 3 2 2" xfId="19782" xr:uid="{00000000-0005-0000-0000-00006F3F0000}"/>
    <cellStyle name="40% - Accent1 3 3 2 2 2" xfId="19783" xr:uid="{00000000-0005-0000-0000-0000703F0000}"/>
    <cellStyle name="40% - Accent1 3 3 2 2 2 2" xfId="19784" xr:uid="{00000000-0005-0000-0000-0000713F0000}"/>
    <cellStyle name="40% - Accent1 3 3 2 2 2 2 2" xfId="19785" xr:uid="{00000000-0005-0000-0000-0000723F0000}"/>
    <cellStyle name="40% - Accent1 3 3 2 2 2 3" xfId="19786" xr:uid="{00000000-0005-0000-0000-0000733F0000}"/>
    <cellStyle name="40% - Accent1 3 3 2 2 3" xfId="19787" xr:uid="{00000000-0005-0000-0000-0000743F0000}"/>
    <cellStyle name="40% - Accent1 3 3 2 2 3 2" xfId="19788" xr:uid="{00000000-0005-0000-0000-0000753F0000}"/>
    <cellStyle name="40% - Accent1 3 3 2 2 4" xfId="19789" xr:uid="{00000000-0005-0000-0000-0000763F0000}"/>
    <cellStyle name="40% - Accent1 3 3 2 2 5" xfId="19790" xr:uid="{00000000-0005-0000-0000-0000773F0000}"/>
    <cellStyle name="40% - Accent1 3 3 2 2 6" xfId="19791" xr:uid="{00000000-0005-0000-0000-0000783F0000}"/>
    <cellStyle name="40% - Accent1 3 3 2 3" xfId="19792" xr:uid="{00000000-0005-0000-0000-0000793F0000}"/>
    <cellStyle name="40% - Accent1 3 3 2 3 2" xfId="19793" xr:uid="{00000000-0005-0000-0000-00007A3F0000}"/>
    <cellStyle name="40% - Accent1 3 3 2 3 2 2" xfId="19794" xr:uid="{00000000-0005-0000-0000-00007B3F0000}"/>
    <cellStyle name="40% - Accent1 3 3 2 3 3" xfId="19795" xr:uid="{00000000-0005-0000-0000-00007C3F0000}"/>
    <cellStyle name="40% - Accent1 3 3 2 4" xfId="19796" xr:uid="{00000000-0005-0000-0000-00007D3F0000}"/>
    <cellStyle name="40% - Accent1 3 3 2 4 2" xfId="19797" xr:uid="{00000000-0005-0000-0000-00007E3F0000}"/>
    <cellStyle name="40% - Accent1 3 3 2 5" xfId="19798" xr:uid="{00000000-0005-0000-0000-00007F3F0000}"/>
    <cellStyle name="40% - Accent1 3 3 2 5 2" xfId="19799" xr:uid="{00000000-0005-0000-0000-0000803F0000}"/>
    <cellStyle name="40% - Accent1 3 3 2 6" xfId="19800" xr:uid="{00000000-0005-0000-0000-0000813F0000}"/>
    <cellStyle name="40% - Accent1 3 3 2 7" xfId="19801" xr:uid="{00000000-0005-0000-0000-0000823F0000}"/>
    <cellStyle name="40% - Accent1 3 3 2 8" xfId="19802" xr:uid="{00000000-0005-0000-0000-0000833F0000}"/>
    <cellStyle name="40% - Accent1 3 3 3" xfId="19803" xr:uid="{00000000-0005-0000-0000-0000843F0000}"/>
    <cellStyle name="40% - Accent1 3 3 3 2" xfId="19804" xr:uid="{00000000-0005-0000-0000-0000853F0000}"/>
    <cellStyle name="40% - Accent1 3 3 3 2 2" xfId="19805" xr:uid="{00000000-0005-0000-0000-0000863F0000}"/>
    <cellStyle name="40% - Accent1 3 3 3 2 2 2" xfId="19806" xr:uid="{00000000-0005-0000-0000-0000873F0000}"/>
    <cellStyle name="40% - Accent1 3 3 3 2 2 2 2" xfId="19807" xr:uid="{00000000-0005-0000-0000-0000883F0000}"/>
    <cellStyle name="40% - Accent1 3 3 3 2 2 3" xfId="19808" xr:uid="{00000000-0005-0000-0000-0000893F0000}"/>
    <cellStyle name="40% - Accent1 3 3 3 2 3" xfId="19809" xr:uid="{00000000-0005-0000-0000-00008A3F0000}"/>
    <cellStyle name="40% - Accent1 3 3 3 2 3 2" xfId="19810" xr:uid="{00000000-0005-0000-0000-00008B3F0000}"/>
    <cellStyle name="40% - Accent1 3 3 3 2 4" xfId="19811" xr:uid="{00000000-0005-0000-0000-00008C3F0000}"/>
    <cellStyle name="40% - Accent1 3 3 3 2 5" xfId="19812" xr:uid="{00000000-0005-0000-0000-00008D3F0000}"/>
    <cellStyle name="40% - Accent1 3 3 3 2 6" xfId="19813" xr:uid="{00000000-0005-0000-0000-00008E3F0000}"/>
    <cellStyle name="40% - Accent1 3 3 3 3" xfId="19814" xr:uid="{00000000-0005-0000-0000-00008F3F0000}"/>
    <cellStyle name="40% - Accent1 3 3 3 3 2" xfId="19815" xr:uid="{00000000-0005-0000-0000-0000903F0000}"/>
    <cellStyle name="40% - Accent1 3 3 3 3 2 2" xfId="19816" xr:uid="{00000000-0005-0000-0000-0000913F0000}"/>
    <cellStyle name="40% - Accent1 3 3 3 3 3" xfId="19817" xr:uid="{00000000-0005-0000-0000-0000923F0000}"/>
    <cellStyle name="40% - Accent1 3 3 3 4" xfId="19818" xr:uid="{00000000-0005-0000-0000-0000933F0000}"/>
    <cellStyle name="40% - Accent1 3 3 3 4 2" xfId="19819" xr:uid="{00000000-0005-0000-0000-0000943F0000}"/>
    <cellStyle name="40% - Accent1 3 3 3 5" xfId="19820" xr:uid="{00000000-0005-0000-0000-0000953F0000}"/>
    <cellStyle name="40% - Accent1 3 3 3 6" xfId="19821" xr:uid="{00000000-0005-0000-0000-0000963F0000}"/>
    <cellStyle name="40% - Accent1 3 3 3 7" xfId="19822" xr:uid="{00000000-0005-0000-0000-0000973F0000}"/>
    <cellStyle name="40% - Accent1 3 3 4" xfId="19823" xr:uid="{00000000-0005-0000-0000-0000983F0000}"/>
    <cellStyle name="40% - Accent1 3 3 4 2" xfId="19824" xr:uid="{00000000-0005-0000-0000-0000993F0000}"/>
    <cellStyle name="40% - Accent1 3 3 4 2 2" xfId="19825" xr:uid="{00000000-0005-0000-0000-00009A3F0000}"/>
    <cellStyle name="40% - Accent1 3 3 4 2 2 2" xfId="19826" xr:uid="{00000000-0005-0000-0000-00009B3F0000}"/>
    <cellStyle name="40% - Accent1 3 3 4 2 3" xfId="19827" xr:uid="{00000000-0005-0000-0000-00009C3F0000}"/>
    <cellStyle name="40% - Accent1 3 3 4 3" xfId="19828" xr:uid="{00000000-0005-0000-0000-00009D3F0000}"/>
    <cellStyle name="40% - Accent1 3 3 4 3 2" xfId="19829" xr:uid="{00000000-0005-0000-0000-00009E3F0000}"/>
    <cellStyle name="40% - Accent1 3 3 4 4" xfId="19830" xr:uid="{00000000-0005-0000-0000-00009F3F0000}"/>
    <cellStyle name="40% - Accent1 3 3 4 5" xfId="19831" xr:uid="{00000000-0005-0000-0000-0000A03F0000}"/>
    <cellStyle name="40% - Accent1 3 3 4 6" xfId="19832" xr:uid="{00000000-0005-0000-0000-0000A13F0000}"/>
    <cellStyle name="40% - Accent1 3 3 5" xfId="19833" xr:uid="{00000000-0005-0000-0000-0000A23F0000}"/>
    <cellStyle name="40% - Accent1 3 3 5 2" xfId="19834" xr:uid="{00000000-0005-0000-0000-0000A33F0000}"/>
    <cellStyle name="40% - Accent1 3 3 5 2 2" xfId="19835" xr:uid="{00000000-0005-0000-0000-0000A43F0000}"/>
    <cellStyle name="40% - Accent1 3 3 5 3" xfId="19836" xr:uid="{00000000-0005-0000-0000-0000A53F0000}"/>
    <cellStyle name="40% - Accent1 3 3 6" xfId="19837" xr:uid="{00000000-0005-0000-0000-0000A63F0000}"/>
    <cellStyle name="40% - Accent1 3 3 6 2" xfId="19838" xr:uid="{00000000-0005-0000-0000-0000A73F0000}"/>
    <cellStyle name="40% - Accent1 3 3 6 2 2" xfId="19839" xr:uid="{00000000-0005-0000-0000-0000A83F0000}"/>
    <cellStyle name="40% - Accent1 3 3 6 3" xfId="19840" xr:uid="{00000000-0005-0000-0000-0000A93F0000}"/>
    <cellStyle name="40% - Accent1 3 3 7" xfId="19841" xr:uid="{00000000-0005-0000-0000-0000AA3F0000}"/>
    <cellStyle name="40% - Accent1 3 3 7 2" xfId="19842" xr:uid="{00000000-0005-0000-0000-0000AB3F0000}"/>
    <cellStyle name="40% - Accent1 3 3 8" xfId="19843" xr:uid="{00000000-0005-0000-0000-0000AC3F0000}"/>
    <cellStyle name="40% - Accent1 3 3 8 2" xfId="19844" xr:uid="{00000000-0005-0000-0000-0000AD3F0000}"/>
    <cellStyle name="40% - Accent1 3 3 9" xfId="19845" xr:uid="{00000000-0005-0000-0000-0000AE3F0000}"/>
    <cellStyle name="40% - Accent1 3 4" xfId="19846" xr:uid="{00000000-0005-0000-0000-0000AF3F0000}"/>
    <cellStyle name="40% - Accent1 3 4 10" xfId="19847" xr:uid="{00000000-0005-0000-0000-0000B03F0000}"/>
    <cellStyle name="40% - Accent1 3 4 11" xfId="19848" xr:uid="{00000000-0005-0000-0000-0000B13F0000}"/>
    <cellStyle name="40% - Accent1 3 4 2" xfId="19849" xr:uid="{00000000-0005-0000-0000-0000B23F0000}"/>
    <cellStyle name="40% - Accent1 3 4 2 2" xfId="19850" xr:uid="{00000000-0005-0000-0000-0000B33F0000}"/>
    <cellStyle name="40% - Accent1 3 4 2 2 2" xfId="19851" xr:uid="{00000000-0005-0000-0000-0000B43F0000}"/>
    <cellStyle name="40% - Accent1 3 4 2 2 2 2" xfId="19852" xr:uid="{00000000-0005-0000-0000-0000B53F0000}"/>
    <cellStyle name="40% - Accent1 3 4 2 2 2 2 2" xfId="19853" xr:uid="{00000000-0005-0000-0000-0000B63F0000}"/>
    <cellStyle name="40% - Accent1 3 4 2 2 2 3" xfId="19854" xr:uid="{00000000-0005-0000-0000-0000B73F0000}"/>
    <cellStyle name="40% - Accent1 3 4 2 2 3" xfId="19855" xr:uid="{00000000-0005-0000-0000-0000B83F0000}"/>
    <cellStyle name="40% - Accent1 3 4 2 2 3 2" xfId="19856" xr:uid="{00000000-0005-0000-0000-0000B93F0000}"/>
    <cellStyle name="40% - Accent1 3 4 2 2 4" xfId="19857" xr:uid="{00000000-0005-0000-0000-0000BA3F0000}"/>
    <cellStyle name="40% - Accent1 3 4 2 2 5" xfId="19858" xr:uid="{00000000-0005-0000-0000-0000BB3F0000}"/>
    <cellStyle name="40% - Accent1 3 4 2 2 6" xfId="19859" xr:uid="{00000000-0005-0000-0000-0000BC3F0000}"/>
    <cellStyle name="40% - Accent1 3 4 2 3" xfId="19860" xr:uid="{00000000-0005-0000-0000-0000BD3F0000}"/>
    <cellStyle name="40% - Accent1 3 4 2 3 2" xfId="19861" xr:uid="{00000000-0005-0000-0000-0000BE3F0000}"/>
    <cellStyle name="40% - Accent1 3 4 2 3 2 2" xfId="19862" xr:uid="{00000000-0005-0000-0000-0000BF3F0000}"/>
    <cellStyle name="40% - Accent1 3 4 2 3 3" xfId="19863" xr:uid="{00000000-0005-0000-0000-0000C03F0000}"/>
    <cellStyle name="40% - Accent1 3 4 2 4" xfId="19864" xr:uid="{00000000-0005-0000-0000-0000C13F0000}"/>
    <cellStyle name="40% - Accent1 3 4 2 4 2" xfId="19865" xr:uid="{00000000-0005-0000-0000-0000C23F0000}"/>
    <cellStyle name="40% - Accent1 3 4 2 5" xfId="19866" xr:uid="{00000000-0005-0000-0000-0000C33F0000}"/>
    <cellStyle name="40% - Accent1 3 4 2 5 2" xfId="19867" xr:uid="{00000000-0005-0000-0000-0000C43F0000}"/>
    <cellStyle name="40% - Accent1 3 4 2 6" xfId="19868" xr:uid="{00000000-0005-0000-0000-0000C53F0000}"/>
    <cellStyle name="40% - Accent1 3 4 2 7" xfId="19869" xr:uid="{00000000-0005-0000-0000-0000C63F0000}"/>
    <cellStyle name="40% - Accent1 3 4 2 8" xfId="19870" xr:uid="{00000000-0005-0000-0000-0000C73F0000}"/>
    <cellStyle name="40% - Accent1 3 4 3" xfId="19871" xr:uid="{00000000-0005-0000-0000-0000C83F0000}"/>
    <cellStyle name="40% - Accent1 3 4 3 2" xfId="19872" xr:uid="{00000000-0005-0000-0000-0000C93F0000}"/>
    <cellStyle name="40% - Accent1 3 4 3 2 2" xfId="19873" xr:uid="{00000000-0005-0000-0000-0000CA3F0000}"/>
    <cellStyle name="40% - Accent1 3 4 3 2 2 2" xfId="19874" xr:uid="{00000000-0005-0000-0000-0000CB3F0000}"/>
    <cellStyle name="40% - Accent1 3 4 3 2 2 2 2" xfId="19875" xr:uid="{00000000-0005-0000-0000-0000CC3F0000}"/>
    <cellStyle name="40% - Accent1 3 4 3 2 2 3" xfId="19876" xr:uid="{00000000-0005-0000-0000-0000CD3F0000}"/>
    <cellStyle name="40% - Accent1 3 4 3 2 3" xfId="19877" xr:uid="{00000000-0005-0000-0000-0000CE3F0000}"/>
    <cellStyle name="40% - Accent1 3 4 3 2 3 2" xfId="19878" xr:uid="{00000000-0005-0000-0000-0000CF3F0000}"/>
    <cellStyle name="40% - Accent1 3 4 3 2 4" xfId="19879" xr:uid="{00000000-0005-0000-0000-0000D03F0000}"/>
    <cellStyle name="40% - Accent1 3 4 3 2 5" xfId="19880" xr:uid="{00000000-0005-0000-0000-0000D13F0000}"/>
    <cellStyle name="40% - Accent1 3 4 3 2 6" xfId="19881" xr:uid="{00000000-0005-0000-0000-0000D23F0000}"/>
    <cellStyle name="40% - Accent1 3 4 3 3" xfId="19882" xr:uid="{00000000-0005-0000-0000-0000D33F0000}"/>
    <cellStyle name="40% - Accent1 3 4 3 3 2" xfId="19883" xr:uid="{00000000-0005-0000-0000-0000D43F0000}"/>
    <cellStyle name="40% - Accent1 3 4 3 3 2 2" xfId="19884" xr:uid="{00000000-0005-0000-0000-0000D53F0000}"/>
    <cellStyle name="40% - Accent1 3 4 3 3 3" xfId="19885" xr:uid="{00000000-0005-0000-0000-0000D63F0000}"/>
    <cellStyle name="40% - Accent1 3 4 3 4" xfId="19886" xr:uid="{00000000-0005-0000-0000-0000D73F0000}"/>
    <cellStyle name="40% - Accent1 3 4 3 4 2" xfId="19887" xr:uid="{00000000-0005-0000-0000-0000D83F0000}"/>
    <cellStyle name="40% - Accent1 3 4 3 5" xfId="19888" xr:uid="{00000000-0005-0000-0000-0000D93F0000}"/>
    <cellStyle name="40% - Accent1 3 4 3 6" xfId="19889" xr:uid="{00000000-0005-0000-0000-0000DA3F0000}"/>
    <cellStyle name="40% - Accent1 3 4 3 7" xfId="19890" xr:uid="{00000000-0005-0000-0000-0000DB3F0000}"/>
    <cellStyle name="40% - Accent1 3 4 4" xfId="19891" xr:uid="{00000000-0005-0000-0000-0000DC3F0000}"/>
    <cellStyle name="40% - Accent1 3 4 4 2" xfId="19892" xr:uid="{00000000-0005-0000-0000-0000DD3F0000}"/>
    <cellStyle name="40% - Accent1 3 4 4 2 2" xfId="19893" xr:uid="{00000000-0005-0000-0000-0000DE3F0000}"/>
    <cellStyle name="40% - Accent1 3 4 4 2 2 2" xfId="19894" xr:uid="{00000000-0005-0000-0000-0000DF3F0000}"/>
    <cellStyle name="40% - Accent1 3 4 4 2 3" xfId="19895" xr:uid="{00000000-0005-0000-0000-0000E03F0000}"/>
    <cellStyle name="40% - Accent1 3 4 4 3" xfId="19896" xr:uid="{00000000-0005-0000-0000-0000E13F0000}"/>
    <cellStyle name="40% - Accent1 3 4 4 3 2" xfId="19897" xr:uid="{00000000-0005-0000-0000-0000E23F0000}"/>
    <cellStyle name="40% - Accent1 3 4 4 4" xfId="19898" xr:uid="{00000000-0005-0000-0000-0000E33F0000}"/>
    <cellStyle name="40% - Accent1 3 4 4 5" xfId="19899" xr:uid="{00000000-0005-0000-0000-0000E43F0000}"/>
    <cellStyle name="40% - Accent1 3 4 4 6" xfId="19900" xr:uid="{00000000-0005-0000-0000-0000E53F0000}"/>
    <cellStyle name="40% - Accent1 3 4 5" xfId="19901" xr:uid="{00000000-0005-0000-0000-0000E63F0000}"/>
    <cellStyle name="40% - Accent1 3 4 5 2" xfId="19902" xr:uid="{00000000-0005-0000-0000-0000E73F0000}"/>
    <cellStyle name="40% - Accent1 3 4 5 2 2" xfId="19903" xr:uid="{00000000-0005-0000-0000-0000E83F0000}"/>
    <cellStyle name="40% - Accent1 3 4 5 3" xfId="19904" xr:uid="{00000000-0005-0000-0000-0000E93F0000}"/>
    <cellStyle name="40% - Accent1 3 4 6" xfId="19905" xr:uid="{00000000-0005-0000-0000-0000EA3F0000}"/>
    <cellStyle name="40% - Accent1 3 4 6 2" xfId="19906" xr:uid="{00000000-0005-0000-0000-0000EB3F0000}"/>
    <cellStyle name="40% - Accent1 3 4 6 2 2" xfId="19907" xr:uid="{00000000-0005-0000-0000-0000EC3F0000}"/>
    <cellStyle name="40% - Accent1 3 4 6 3" xfId="19908" xr:uid="{00000000-0005-0000-0000-0000ED3F0000}"/>
    <cellStyle name="40% - Accent1 3 4 7" xfId="19909" xr:uid="{00000000-0005-0000-0000-0000EE3F0000}"/>
    <cellStyle name="40% - Accent1 3 4 7 2" xfId="19910" xr:uid="{00000000-0005-0000-0000-0000EF3F0000}"/>
    <cellStyle name="40% - Accent1 3 4 8" xfId="19911" xr:uid="{00000000-0005-0000-0000-0000F03F0000}"/>
    <cellStyle name="40% - Accent1 3 4 8 2" xfId="19912" xr:uid="{00000000-0005-0000-0000-0000F13F0000}"/>
    <cellStyle name="40% - Accent1 3 4 9" xfId="19913" xr:uid="{00000000-0005-0000-0000-0000F23F0000}"/>
    <cellStyle name="40% - Accent1 3 5" xfId="19914" xr:uid="{00000000-0005-0000-0000-0000F33F0000}"/>
    <cellStyle name="40% - Accent1 3 5 10" xfId="19915" xr:uid="{00000000-0005-0000-0000-0000F43F0000}"/>
    <cellStyle name="40% - Accent1 3 5 11" xfId="19916" xr:uid="{00000000-0005-0000-0000-0000F53F0000}"/>
    <cellStyle name="40% - Accent1 3 5 2" xfId="19917" xr:uid="{00000000-0005-0000-0000-0000F63F0000}"/>
    <cellStyle name="40% - Accent1 3 5 2 2" xfId="19918" xr:uid="{00000000-0005-0000-0000-0000F73F0000}"/>
    <cellStyle name="40% - Accent1 3 5 2 2 2" xfId="19919" xr:uid="{00000000-0005-0000-0000-0000F83F0000}"/>
    <cellStyle name="40% - Accent1 3 5 2 2 2 2" xfId="19920" xr:uid="{00000000-0005-0000-0000-0000F93F0000}"/>
    <cellStyle name="40% - Accent1 3 5 2 2 2 2 2" xfId="19921" xr:uid="{00000000-0005-0000-0000-0000FA3F0000}"/>
    <cellStyle name="40% - Accent1 3 5 2 2 2 3" xfId="19922" xr:uid="{00000000-0005-0000-0000-0000FB3F0000}"/>
    <cellStyle name="40% - Accent1 3 5 2 2 3" xfId="19923" xr:uid="{00000000-0005-0000-0000-0000FC3F0000}"/>
    <cellStyle name="40% - Accent1 3 5 2 2 3 2" xfId="19924" xr:uid="{00000000-0005-0000-0000-0000FD3F0000}"/>
    <cellStyle name="40% - Accent1 3 5 2 2 4" xfId="19925" xr:uid="{00000000-0005-0000-0000-0000FE3F0000}"/>
    <cellStyle name="40% - Accent1 3 5 2 2 5" xfId="19926" xr:uid="{00000000-0005-0000-0000-0000FF3F0000}"/>
    <cellStyle name="40% - Accent1 3 5 2 2 6" xfId="19927" xr:uid="{00000000-0005-0000-0000-000000400000}"/>
    <cellStyle name="40% - Accent1 3 5 2 3" xfId="19928" xr:uid="{00000000-0005-0000-0000-000001400000}"/>
    <cellStyle name="40% - Accent1 3 5 2 3 2" xfId="19929" xr:uid="{00000000-0005-0000-0000-000002400000}"/>
    <cellStyle name="40% - Accent1 3 5 2 3 2 2" xfId="19930" xr:uid="{00000000-0005-0000-0000-000003400000}"/>
    <cellStyle name="40% - Accent1 3 5 2 3 3" xfId="19931" xr:uid="{00000000-0005-0000-0000-000004400000}"/>
    <cellStyle name="40% - Accent1 3 5 2 4" xfId="19932" xr:uid="{00000000-0005-0000-0000-000005400000}"/>
    <cellStyle name="40% - Accent1 3 5 2 4 2" xfId="19933" xr:uid="{00000000-0005-0000-0000-000006400000}"/>
    <cellStyle name="40% - Accent1 3 5 2 5" xfId="19934" xr:uid="{00000000-0005-0000-0000-000007400000}"/>
    <cellStyle name="40% - Accent1 3 5 2 5 2" xfId="19935" xr:uid="{00000000-0005-0000-0000-000008400000}"/>
    <cellStyle name="40% - Accent1 3 5 2 6" xfId="19936" xr:uid="{00000000-0005-0000-0000-000009400000}"/>
    <cellStyle name="40% - Accent1 3 5 2 7" xfId="19937" xr:uid="{00000000-0005-0000-0000-00000A400000}"/>
    <cellStyle name="40% - Accent1 3 5 2 8" xfId="19938" xr:uid="{00000000-0005-0000-0000-00000B400000}"/>
    <cellStyle name="40% - Accent1 3 5 3" xfId="19939" xr:uid="{00000000-0005-0000-0000-00000C400000}"/>
    <cellStyle name="40% - Accent1 3 5 3 2" xfId="19940" xr:uid="{00000000-0005-0000-0000-00000D400000}"/>
    <cellStyle name="40% - Accent1 3 5 3 2 2" xfId="19941" xr:uid="{00000000-0005-0000-0000-00000E400000}"/>
    <cellStyle name="40% - Accent1 3 5 3 2 2 2" xfId="19942" xr:uid="{00000000-0005-0000-0000-00000F400000}"/>
    <cellStyle name="40% - Accent1 3 5 3 2 2 2 2" xfId="19943" xr:uid="{00000000-0005-0000-0000-000010400000}"/>
    <cellStyle name="40% - Accent1 3 5 3 2 2 3" xfId="19944" xr:uid="{00000000-0005-0000-0000-000011400000}"/>
    <cellStyle name="40% - Accent1 3 5 3 2 3" xfId="19945" xr:uid="{00000000-0005-0000-0000-000012400000}"/>
    <cellStyle name="40% - Accent1 3 5 3 2 3 2" xfId="19946" xr:uid="{00000000-0005-0000-0000-000013400000}"/>
    <cellStyle name="40% - Accent1 3 5 3 2 4" xfId="19947" xr:uid="{00000000-0005-0000-0000-000014400000}"/>
    <cellStyle name="40% - Accent1 3 5 3 2 5" xfId="19948" xr:uid="{00000000-0005-0000-0000-000015400000}"/>
    <cellStyle name="40% - Accent1 3 5 3 2 6" xfId="19949" xr:uid="{00000000-0005-0000-0000-000016400000}"/>
    <cellStyle name="40% - Accent1 3 5 3 3" xfId="19950" xr:uid="{00000000-0005-0000-0000-000017400000}"/>
    <cellStyle name="40% - Accent1 3 5 3 3 2" xfId="19951" xr:uid="{00000000-0005-0000-0000-000018400000}"/>
    <cellStyle name="40% - Accent1 3 5 3 3 2 2" xfId="19952" xr:uid="{00000000-0005-0000-0000-000019400000}"/>
    <cellStyle name="40% - Accent1 3 5 3 3 3" xfId="19953" xr:uid="{00000000-0005-0000-0000-00001A400000}"/>
    <cellStyle name="40% - Accent1 3 5 3 4" xfId="19954" xr:uid="{00000000-0005-0000-0000-00001B400000}"/>
    <cellStyle name="40% - Accent1 3 5 3 4 2" xfId="19955" xr:uid="{00000000-0005-0000-0000-00001C400000}"/>
    <cellStyle name="40% - Accent1 3 5 3 5" xfId="19956" xr:uid="{00000000-0005-0000-0000-00001D400000}"/>
    <cellStyle name="40% - Accent1 3 5 3 6" xfId="19957" xr:uid="{00000000-0005-0000-0000-00001E400000}"/>
    <cellStyle name="40% - Accent1 3 5 3 7" xfId="19958" xr:uid="{00000000-0005-0000-0000-00001F400000}"/>
    <cellStyle name="40% - Accent1 3 5 4" xfId="19959" xr:uid="{00000000-0005-0000-0000-000020400000}"/>
    <cellStyle name="40% - Accent1 3 5 4 2" xfId="19960" xr:uid="{00000000-0005-0000-0000-000021400000}"/>
    <cellStyle name="40% - Accent1 3 5 4 2 2" xfId="19961" xr:uid="{00000000-0005-0000-0000-000022400000}"/>
    <cellStyle name="40% - Accent1 3 5 4 2 2 2" xfId="19962" xr:uid="{00000000-0005-0000-0000-000023400000}"/>
    <cellStyle name="40% - Accent1 3 5 4 2 3" xfId="19963" xr:uid="{00000000-0005-0000-0000-000024400000}"/>
    <cellStyle name="40% - Accent1 3 5 4 3" xfId="19964" xr:uid="{00000000-0005-0000-0000-000025400000}"/>
    <cellStyle name="40% - Accent1 3 5 4 3 2" xfId="19965" xr:uid="{00000000-0005-0000-0000-000026400000}"/>
    <cellStyle name="40% - Accent1 3 5 4 4" xfId="19966" xr:uid="{00000000-0005-0000-0000-000027400000}"/>
    <cellStyle name="40% - Accent1 3 5 4 5" xfId="19967" xr:uid="{00000000-0005-0000-0000-000028400000}"/>
    <cellStyle name="40% - Accent1 3 5 4 6" xfId="19968" xr:uid="{00000000-0005-0000-0000-000029400000}"/>
    <cellStyle name="40% - Accent1 3 5 5" xfId="19969" xr:uid="{00000000-0005-0000-0000-00002A400000}"/>
    <cellStyle name="40% - Accent1 3 5 5 2" xfId="19970" xr:uid="{00000000-0005-0000-0000-00002B400000}"/>
    <cellStyle name="40% - Accent1 3 5 5 2 2" xfId="19971" xr:uid="{00000000-0005-0000-0000-00002C400000}"/>
    <cellStyle name="40% - Accent1 3 5 5 3" xfId="19972" xr:uid="{00000000-0005-0000-0000-00002D400000}"/>
    <cellStyle name="40% - Accent1 3 5 6" xfId="19973" xr:uid="{00000000-0005-0000-0000-00002E400000}"/>
    <cellStyle name="40% - Accent1 3 5 6 2" xfId="19974" xr:uid="{00000000-0005-0000-0000-00002F400000}"/>
    <cellStyle name="40% - Accent1 3 5 6 2 2" xfId="19975" xr:uid="{00000000-0005-0000-0000-000030400000}"/>
    <cellStyle name="40% - Accent1 3 5 6 3" xfId="19976" xr:uid="{00000000-0005-0000-0000-000031400000}"/>
    <cellStyle name="40% - Accent1 3 5 7" xfId="19977" xr:uid="{00000000-0005-0000-0000-000032400000}"/>
    <cellStyle name="40% - Accent1 3 5 7 2" xfId="19978" xr:uid="{00000000-0005-0000-0000-000033400000}"/>
    <cellStyle name="40% - Accent1 3 5 8" xfId="19979" xr:uid="{00000000-0005-0000-0000-000034400000}"/>
    <cellStyle name="40% - Accent1 3 5 8 2" xfId="19980" xr:uid="{00000000-0005-0000-0000-000035400000}"/>
    <cellStyle name="40% - Accent1 3 5 9" xfId="19981" xr:uid="{00000000-0005-0000-0000-000036400000}"/>
    <cellStyle name="40% - Accent1 3 6" xfId="19982" xr:uid="{00000000-0005-0000-0000-000037400000}"/>
    <cellStyle name="40% - Accent1 3 6 10" xfId="19983" xr:uid="{00000000-0005-0000-0000-000038400000}"/>
    <cellStyle name="40% - Accent1 3 6 11" xfId="19984" xr:uid="{00000000-0005-0000-0000-000039400000}"/>
    <cellStyle name="40% - Accent1 3 6 2" xfId="19985" xr:uid="{00000000-0005-0000-0000-00003A400000}"/>
    <cellStyle name="40% - Accent1 3 6 2 2" xfId="19986" xr:uid="{00000000-0005-0000-0000-00003B400000}"/>
    <cellStyle name="40% - Accent1 3 6 2 2 2" xfId="19987" xr:uid="{00000000-0005-0000-0000-00003C400000}"/>
    <cellStyle name="40% - Accent1 3 6 2 2 2 2" xfId="19988" xr:uid="{00000000-0005-0000-0000-00003D400000}"/>
    <cellStyle name="40% - Accent1 3 6 2 2 2 2 2" xfId="19989" xr:uid="{00000000-0005-0000-0000-00003E400000}"/>
    <cellStyle name="40% - Accent1 3 6 2 2 2 3" xfId="19990" xr:uid="{00000000-0005-0000-0000-00003F400000}"/>
    <cellStyle name="40% - Accent1 3 6 2 2 3" xfId="19991" xr:uid="{00000000-0005-0000-0000-000040400000}"/>
    <cellStyle name="40% - Accent1 3 6 2 2 3 2" xfId="19992" xr:uid="{00000000-0005-0000-0000-000041400000}"/>
    <cellStyle name="40% - Accent1 3 6 2 2 4" xfId="19993" xr:uid="{00000000-0005-0000-0000-000042400000}"/>
    <cellStyle name="40% - Accent1 3 6 2 2 5" xfId="19994" xr:uid="{00000000-0005-0000-0000-000043400000}"/>
    <cellStyle name="40% - Accent1 3 6 2 2 6" xfId="19995" xr:uid="{00000000-0005-0000-0000-000044400000}"/>
    <cellStyle name="40% - Accent1 3 6 2 3" xfId="19996" xr:uid="{00000000-0005-0000-0000-000045400000}"/>
    <cellStyle name="40% - Accent1 3 6 2 3 2" xfId="19997" xr:uid="{00000000-0005-0000-0000-000046400000}"/>
    <cellStyle name="40% - Accent1 3 6 2 3 2 2" xfId="19998" xr:uid="{00000000-0005-0000-0000-000047400000}"/>
    <cellStyle name="40% - Accent1 3 6 2 3 3" xfId="19999" xr:uid="{00000000-0005-0000-0000-000048400000}"/>
    <cellStyle name="40% - Accent1 3 6 2 4" xfId="20000" xr:uid="{00000000-0005-0000-0000-000049400000}"/>
    <cellStyle name="40% - Accent1 3 6 2 4 2" xfId="20001" xr:uid="{00000000-0005-0000-0000-00004A400000}"/>
    <cellStyle name="40% - Accent1 3 6 2 5" xfId="20002" xr:uid="{00000000-0005-0000-0000-00004B400000}"/>
    <cellStyle name="40% - Accent1 3 6 2 5 2" xfId="20003" xr:uid="{00000000-0005-0000-0000-00004C400000}"/>
    <cellStyle name="40% - Accent1 3 6 2 6" xfId="20004" xr:uid="{00000000-0005-0000-0000-00004D400000}"/>
    <cellStyle name="40% - Accent1 3 6 2 7" xfId="20005" xr:uid="{00000000-0005-0000-0000-00004E400000}"/>
    <cellStyle name="40% - Accent1 3 6 2 8" xfId="20006" xr:uid="{00000000-0005-0000-0000-00004F400000}"/>
    <cellStyle name="40% - Accent1 3 6 3" xfId="20007" xr:uid="{00000000-0005-0000-0000-000050400000}"/>
    <cellStyle name="40% - Accent1 3 6 3 2" xfId="20008" xr:uid="{00000000-0005-0000-0000-000051400000}"/>
    <cellStyle name="40% - Accent1 3 6 3 2 2" xfId="20009" xr:uid="{00000000-0005-0000-0000-000052400000}"/>
    <cellStyle name="40% - Accent1 3 6 3 2 2 2" xfId="20010" xr:uid="{00000000-0005-0000-0000-000053400000}"/>
    <cellStyle name="40% - Accent1 3 6 3 2 2 2 2" xfId="20011" xr:uid="{00000000-0005-0000-0000-000054400000}"/>
    <cellStyle name="40% - Accent1 3 6 3 2 2 3" xfId="20012" xr:uid="{00000000-0005-0000-0000-000055400000}"/>
    <cellStyle name="40% - Accent1 3 6 3 2 3" xfId="20013" xr:uid="{00000000-0005-0000-0000-000056400000}"/>
    <cellStyle name="40% - Accent1 3 6 3 2 3 2" xfId="20014" xr:uid="{00000000-0005-0000-0000-000057400000}"/>
    <cellStyle name="40% - Accent1 3 6 3 2 4" xfId="20015" xr:uid="{00000000-0005-0000-0000-000058400000}"/>
    <cellStyle name="40% - Accent1 3 6 3 2 5" xfId="20016" xr:uid="{00000000-0005-0000-0000-000059400000}"/>
    <cellStyle name="40% - Accent1 3 6 3 2 6" xfId="20017" xr:uid="{00000000-0005-0000-0000-00005A400000}"/>
    <cellStyle name="40% - Accent1 3 6 3 3" xfId="20018" xr:uid="{00000000-0005-0000-0000-00005B400000}"/>
    <cellStyle name="40% - Accent1 3 6 3 3 2" xfId="20019" xr:uid="{00000000-0005-0000-0000-00005C400000}"/>
    <cellStyle name="40% - Accent1 3 6 3 3 2 2" xfId="20020" xr:uid="{00000000-0005-0000-0000-00005D400000}"/>
    <cellStyle name="40% - Accent1 3 6 3 3 3" xfId="20021" xr:uid="{00000000-0005-0000-0000-00005E400000}"/>
    <cellStyle name="40% - Accent1 3 6 3 4" xfId="20022" xr:uid="{00000000-0005-0000-0000-00005F400000}"/>
    <cellStyle name="40% - Accent1 3 6 3 4 2" xfId="20023" xr:uid="{00000000-0005-0000-0000-000060400000}"/>
    <cellStyle name="40% - Accent1 3 6 3 5" xfId="20024" xr:uid="{00000000-0005-0000-0000-000061400000}"/>
    <cellStyle name="40% - Accent1 3 6 3 6" xfId="20025" xr:uid="{00000000-0005-0000-0000-000062400000}"/>
    <cellStyle name="40% - Accent1 3 6 3 7" xfId="20026" xr:uid="{00000000-0005-0000-0000-000063400000}"/>
    <cellStyle name="40% - Accent1 3 6 4" xfId="20027" xr:uid="{00000000-0005-0000-0000-000064400000}"/>
    <cellStyle name="40% - Accent1 3 6 4 2" xfId="20028" xr:uid="{00000000-0005-0000-0000-000065400000}"/>
    <cellStyle name="40% - Accent1 3 6 4 2 2" xfId="20029" xr:uid="{00000000-0005-0000-0000-000066400000}"/>
    <cellStyle name="40% - Accent1 3 6 4 2 2 2" xfId="20030" xr:uid="{00000000-0005-0000-0000-000067400000}"/>
    <cellStyle name="40% - Accent1 3 6 4 2 3" xfId="20031" xr:uid="{00000000-0005-0000-0000-000068400000}"/>
    <cellStyle name="40% - Accent1 3 6 4 3" xfId="20032" xr:uid="{00000000-0005-0000-0000-000069400000}"/>
    <cellStyle name="40% - Accent1 3 6 4 3 2" xfId="20033" xr:uid="{00000000-0005-0000-0000-00006A400000}"/>
    <cellStyle name="40% - Accent1 3 6 4 4" xfId="20034" xr:uid="{00000000-0005-0000-0000-00006B400000}"/>
    <cellStyle name="40% - Accent1 3 6 4 5" xfId="20035" xr:uid="{00000000-0005-0000-0000-00006C400000}"/>
    <cellStyle name="40% - Accent1 3 6 4 6" xfId="20036" xr:uid="{00000000-0005-0000-0000-00006D400000}"/>
    <cellStyle name="40% - Accent1 3 6 5" xfId="20037" xr:uid="{00000000-0005-0000-0000-00006E400000}"/>
    <cellStyle name="40% - Accent1 3 6 5 2" xfId="20038" xr:uid="{00000000-0005-0000-0000-00006F400000}"/>
    <cellStyle name="40% - Accent1 3 6 5 2 2" xfId="20039" xr:uid="{00000000-0005-0000-0000-000070400000}"/>
    <cellStyle name="40% - Accent1 3 6 5 3" xfId="20040" xr:uid="{00000000-0005-0000-0000-000071400000}"/>
    <cellStyle name="40% - Accent1 3 6 6" xfId="20041" xr:uid="{00000000-0005-0000-0000-000072400000}"/>
    <cellStyle name="40% - Accent1 3 6 6 2" xfId="20042" xr:uid="{00000000-0005-0000-0000-000073400000}"/>
    <cellStyle name="40% - Accent1 3 6 6 2 2" xfId="20043" xr:uid="{00000000-0005-0000-0000-000074400000}"/>
    <cellStyle name="40% - Accent1 3 6 6 3" xfId="20044" xr:uid="{00000000-0005-0000-0000-000075400000}"/>
    <cellStyle name="40% - Accent1 3 6 7" xfId="20045" xr:uid="{00000000-0005-0000-0000-000076400000}"/>
    <cellStyle name="40% - Accent1 3 6 7 2" xfId="20046" xr:uid="{00000000-0005-0000-0000-000077400000}"/>
    <cellStyle name="40% - Accent1 3 6 8" xfId="20047" xr:uid="{00000000-0005-0000-0000-000078400000}"/>
    <cellStyle name="40% - Accent1 3 6 8 2" xfId="20048" xr:uid="{00000000-0005-0000-0000-000079400000}"/>
    <cellStyle name="40% - Accent1 3 6 9" xfId="20049" xr:uid="{00000000-0005-0000-0000-00007A400000}"/>
    <cellStyle name="40% - Accent1 3 7" xfId="20050" xr:uid="{00000000-0005-0000-0000-00007B400000}"/>
    <cellStyle name="40% - Accent1 3 7 10" xfId="20051" xr:uid="{00000000-0005-0000-0000-00007C400000}"/>
    <cellStyle name="40% - Accent1 3 7 11" xfId="20052" xr:uid="{00000000-0005-0000-0000-00007D400000}"/>
    <cellStyle name="40% - Accent1 3 7 2" xfId="20053" xr:uid="{00000000-0005-0000-0000-00007E400000}"/>
    <cellStyle name="40% - Accent1 3 7 2 2" xfId="20054" xr:uid="{00000000-0005-0000-0000-00007F400000}"/>
    <cellStyle name="40% - Accent1 3 7 2 2 2" xfId="20055" xr:uid="{00000000-0005-0000-0000-000080400000}"/>
    <cellStyle name="40% - Accent1 3 7 2 2 2 2" xfId="20056" xr:uid="{00000000-0005-0000-0000-000081400000}"/>
    <cellStyle name="40% - Accent1 3 7 2 2 2 2 2" xfId="20057" xr:uid="{00000000-0005-0000-0000-000082400000}"/>
    <cellStyle name="40% - Accent1 3 7 2 2 2 3" xfId="20058" xr:uid="{00000000-0005-0000-0000-000083400000}"/>
    <cellStyle name="40% - Accent1 3 7 2 2 3" xfId="20059" xr:uid="{00000000-0005-0000-0000-000084400000}"/>
    <cellStyle name="40% - Accent1 3 7 2 2 3 2" xfId="20060" xr:uid="{00000000-0005-0000-0000-000085400000}"/>
    <cellStyle name="40% - Accent1 3 7 2 2 4" xfId="20061" xr:uid="{00000000-0005-0000-0000-000086400000}"/>
    <cellStyle name="40% - Accent1 3 7 2 2 5" xfId="20062" xr:uid="{00000000-0005-0000-0000-000087400000}"/>
    <cellStyle name="40% - Accent1 3 7 2 2 6" xfId="20063" xr:uid="{00000000-0005-0000-0000-000088400000}"/>
    <cellStyle name="40% - Accent1 3 7 2 3" xfId="20064" xr:uid="{00000000-0005-0000-0000-000089400000}"/>
    <cellStyle name="40% - Accent1 3 7 2 3 2" xfId="20065" xr:uid="{00000000-0005-0000-0000-00008A400000}"/>
    <cellStyle name="40% - Accent1 3 7 2 3 2 2" xfId="20066" xr:uid="{00000000-0005-0000-0000-00008B400000}"/>
    <cellStyle name="40% - Accent1 3 7 2 3 3" xfId="20067" xr:uid="{00000000-0005-0000-0000-00008C400000}"/>
    <cellStyle name="40% - Accent1 3 7 2 4" xfId="20068" xr:uid="{00000000-0005-0000-0000-00008D400000}"/>
    <cellStyle name="40% - Accent1 3 7 2 4 2" xfId="20069" xr:uid="{00000000-0005-0000-0000-00008E400000}"/>
    <cellStyle name="40% - Accent1 3 7 2 5" xfId="20070" xr:uid="{00000000-0005-0000-0000-00008F400000}"/>
    <cellStyle name="40% - Accent1 3 7 2 5 2" xfId="20071" xr:uid="{00000000-0005-0000-0000-000090400000}"/>
    <cellStyle name="40% - Accent1 3 7 2 6" xfId="20072" xr:uid="{00000000-0005-0000-0000-000091400000}"/>
    <cellStyle name="40% - Accent1 3 7 2 7" xfId="20073" xr:uid="{00000000-0005-0000-0000-000092400000}"/>
    <cellStyle name="40% - Accent1 3 7 2 8" xfId="20074" xr:uid="{00000000-0005-0000-0000-000093400000}"/>
    <cellStyle name="40% - Accent1 3 7 3" xfId="20075" xr:uid="{00000000-0005-0000-0000-000094400000}"/>
    <cellStyle name="40% - Accent1 3 7 3 2" xfId="20076" xr:uid="{00000000-0005-0000-0000-000095400000}"/>
    <cellStyle name="40% - Accent1 3 7 3 2 2" xfId="20077" xr:uid="{00000000-0005-0000-0000-000096400000}"/>
    <cellStyle name="40% - Accent1 3 7 3 2 2 2" xfId="20078" xr:uid="{00000000-0005-0000-0000-000097400000}"/>
    <cellStyle name="40% - Accent1 3 7 3 2 2 2 2" xfId="20079" xr:uid="{00000000-0005-0000-0000-000098400000}"/>
    <cellStyle name="40% - Accent1 3 7 3 2 2 3" xfId="20080" xr:uid="{00000000-0005-0000-0000-000099400000}"/>
    <cellStyle name="40% - Accent1 3 7 3 2 3" xfId="20081" xr:uid="{00000000-0005-0000-0000-00009A400000}"/>
    <cellStyle name="40% - Accent1 3 7 3 2 3 2" xfId="20082" xr:uid="{00000000-0005-0000-0000-00009B400000}"/>
    <cellStyle name="40% - Accent1 3 7 3 2 4" xfId="20083" xr:uid="{00000000-0005-0000-0000-00009C400000}"/>
    <cellStyle name="40% - Accent1 3 7 3 2 5" xfId="20084" xr:uid="{00000000-0005-0000-0000-00009D400000}"/>
    <cellStyle name="40% - Accent1 3 7 3 2 6" xfId="20085" xr:uid="{00000000-0005-0000-0000-00009E400000}"/>
    <cellStyle name="40% - Accent1 3 7 3 3" xfId="20086" xr:uid="{00000000-0005-0000-0000-00009F400000}"/>
    <cellStyle name="40% - Accent1 3 7 3 3 2" xfId="20087" xr:uid="{00000000-0005-0000-0000-0000A0400000}"/>
    <cellStyle name="40% - Accent1 3 7 3 3 2 2" xfId="20088" xr:uid="{00000000-0005-0000-0000-0000A1400000}"/>
    <cellStyle name="40% - Accent1 3 7 3 3 3" xfId="20089" xr:uid="{00000000-0005-0000-0000-0000A2400000}"/>
    <cellStyle name="40% - Accent1 3 7 3 4" xfId="20090" xr:uid="{00000000-0005-0000-0000-0000A3400000}"/>
    <cellStyle name="40% - Accent1 3 7 3 4 2" xfId="20091" xr:uid="{00000000-0005-0000-0000-0000A4400000}"/>
    <cellStyle name="40% - Accent1 3 7 3 5" xfId="20092" xr:uid="{00000000-0005-0000-0000-0000A5400000}"/>
    <cellStyle name="40% - Accent1 3 7 3 6" xfId="20093" xr:uid="{00000000-0005-0000-0000-0000A6400000}"/>
    <cellStyle name="40% - Accent1 3 7 3 7" xfId="20094" xr:uid="{00000000-0005-0000-0000-0000A7400000}"/>
    <cellStyle name="40% - Accent1 3 7 4" xfId="20095" xr:uid="{00000000-0005-0000-0000-0000A8400000}"/>
    <cellStyle name="40% - Accent1 3 7 4 2" xfId="20096" xr:uid="{00000000-0005-0000-0000-0000A9400000}"/>
    <cellStyle name="40% - Accent1 3 7 4 2 2" xfId="20097" xr:uid="{00000000-0005-0000-0000-0000AA400000}"/>
    <cellStyle name="40% - Accent1 3 7 4 2 2 2" xfId="20098" xr:uid="{00000000-0005-0000-0000-0000AB400000}"/>
    <cellStyle name="40% - Accent1 3 7 4 2 3" xfId="20099" xr:uid="{00000000-0005-0000-0000-0000AC400000}"/>
    <cellStyle name="40% - Accent1 3 7 4 3" xfId="20100" xr:uid="{00000000-0005-0000-0000-0000AD400000}"/>
    <cellStyle name="40% - Accent1 3 7 4 3 2" xfId="20101" xr:uid="{00000000-0005-0000-0000-0000AE400000}"/>
    <cellStyle name="40% - Accent1 3 7 4 4" xfId="20102" xr:uid="{00000000-0005-0000-0000-0000AF400000}"/>
    <cellStyle name="40% - Accent1 3 7 4 5" xfId="20103" xr:uid="{00000000-0005-0000-0000-0000B0400000}"/>
    <cellStyle name="40% - Accent1 3 7 4 6" xfId="20104" xr:uid="{00000000-0005-0000-0000-0000B1400000}"/>
    <cellStyle name="40% - Accent1 3 7 5" xfId="20105" xr:uid="{00000000-0005-0000-0000-0000B2400000}"/>
    <cellStyle name="40% - Accent1 3 7 5 2" xfId="20106" xr:uid="{00000000-0005-0000-0000-0000B3400000}"/>
    <cellStyle name="40% - Accent1 3 7 5 2 2" xfId="20107" xr:uid="{00000000-0005-0000-0000-0000B4400000}"/>
    <cellStyle name="40% - Accent1 3 7 5 3" xfId="20108" xr:uid="{00000000-0005-0000-0000-0000B5400000}"/>
    <cellStyle name="40% - Accent1 3 7 6" xfId="20109" xr:uid="{00000000-0005-0000-0000-0000B6400000}"/>
    <cellStyle name="40% - Accent1 3 7 6 2" xfId="20110" xr:uid="{00000000-0005-0000-0000-0000B7400000}"/>
    <cellStyle name="40% - Accent1 3 7 6 2 2" xfId="20111" xr:uid="{00000000-0005-0000-0000-0000B8400000}"/>
    <cellStyle name="40% - Accent1 3 7 6 3" xfId="20112" xr:uid="{00000000-0005-0000-0000-0000B9400000}"/>
    <cellStyle name="40% - Accent1 3 7 7" xfId="20113" xr:uid="{00000000-0005-0000-0000-0000BA400000}"/>
    <cellStyle name="40% - Accent1 3 7 7 2" xfId="20114" xr:uid="{00000000-0005-0000-0000-0000BB400000}"/>
    <cellStyle name="40% - Accent1 3 7 8" xfId="20115" xr:uid="{00000000-0005-0000-0000-0000BC400000}"/>
    <cellStyle name="40% - Accent1 3 7 8 2" xfId="20116" xr:uid="{00000000-0005-0000-0000-0000BD400000}"/>
    <cellStyle name="40% - Accent1 3 7 9" xfId="20117" xr:uid="{00000000-0005-0000-0000-0000BE400000}"/>
    <cellStyle name="40% - Accent1 3 8" xfId="20118" xr:uid="{00000000-0005-0000-0000-0000BF400000}"/>
    <cellStyle name="40% - Accent1 3 8 10" xfId="20119" xr:uid="{00000000-0005-0000-0000-0000C0400000}"/>
    <cellStyle name="40% - Accent1 3 8 11" xfId="20120" xr:uid="{00000000-0005-0000-0000-0000C1400000}"/>
    <cellStyle name="40% - Accent1 3 8 2" xfId="20121" xr:uid="{00000000-0005-0000-0000-0000C2400000}"/>
    <cellStyle name="40% - Accent1 3 8 2 2" xfId="20122" xr:uid="{00000000-0005-0000-0000-0000C3400000}"/>
    <cellStyle name="40% - Accent1 3 8 2 2 2" xfId="20123" xr:uid="{00000000-0005-0000-0000-0000C4400000}"/>
    <cellStyle name="40% - Accent1 3 8 2 2 2 2" xfId="20124" xr:uid="{00000000-0005-0000-0000-0000C5400000}"/>
    <cellStyle name="40% - Accent1 3 8 2 2 2 2 2" xfId="20125" xr:uid="{00000000-0005-0000-0000-0000C6400000}"/>
    <cellStyle name="40% - Accent1 3 8 2 2 2 3" xfId="20126" xr:uid="{00000000-0005-0000-0000-0000C7400000}"/>
    <cellStyle name="40% - Accent1 3 8 2 2 3" xfId="20127" xr:uid="{00000000-0005-0000-0000-0000C8400000}"/>
    <cellStyle name="40% - Accent1 3 8 2 2 3 2" xfId="20128" xr:uid="{00000000-0005-0000-0000-0000C9400000}"/>
    <cellStyle name="40% - Accent1 3 8 2 2 4" xfId="20129" xr:uid="{00000000-0005-0000-0000-0000CA400000}"/>
    <cellStyle name="40% - Accent1 3 8 2 2 5" xfId="20130" xr:uid="{00000000-0005-0000-0000-0000CB400000}"/>
    <cellStyle name="40% - Accent1 3 8 2 2 6" xfId="20131" xr:uid="{00000000-0005-0000-0000-0000CC400000}"/>
    <cellStyle name="40% - Accent1 3 8 2 3" xfId="20132" xr:uid="{00000000-0005-0000-0000-0000CD400000}"/>
    <cellStyle name="40% - Accent1 3 8 2 3 2" xfId="20133" xr:uid="{00000000-0005-0000-0000-0000CE400000}"/>
    <cellStyle name="40% - Accent1 3 8 2 3 2 2" xfId="20134" xr:uid="{00000000-0005-0000-0000-0000CF400000}"/>
    <cellStyle name="40% - Accent1 3 8 2 3 3" xfId="20135" xr:uid="{00000000-0005-0000-0000-0000D0400000}"/>
    <cellStyle name="40% - Accent1 3 8 2 4" xfId="20136" xr:uid="{00000000-0005-0000-0000-0000D1400000}"/>
    <cellStyle name="40% - Accent1 3 8 2 4 2" xfId="20137" xr:uid="{00000000-0005-0000-0000-0000D2400000}"/>
    <cellStyle name="40% - Accent1 3 8 2 5" xfId="20138" xr:uid="{00000000-0005-0000-0000-0000D3400000}"/>
    <cellStyle name="40% - Accent1 3 8 2 5 2" xfId="20139" xr:uid="{00000000-0005-0000-0000-0000D4400000}"/>
    <cellStyle name="40% - Accent1 3 8 2 6" xfId="20140" xr:uid="{00000000-0005-0000-0000-0000D5400000}"/>
    <cellStyle name="40% - Accent1 3 8 2 7" xfId="20141" xr:uid="{00000000-0005-0000-0000-0000D6400000}"/>
    <cellStyle name="40% - Accent1 3 8 2 8" xfId="20142" xr:uid="{00000000-0005-0000-0000-0000D7400000}"/>
    <cellStyle name="40% - Accent1 3 8 3" xfId="20143" xr:uid="{00000000-0005-0000-0000-0000D8400000}"/>
    <cellStyle name="40% - Accent1 3 8 3 2" xfId="20144" xr:uid="{00000000-0005-0000-0000-0000D9400000}"/>
    <cellStyle name="40% - Accent1 3 8 3 2 2" xfId="20145" xr:uid="{00000000-0005-0000-0000-0000DA400000}"/>
    <cellStyle name="40% - Accent1 3 8 3 2 2 2" xfId="20146" xr:uid="{00000000-0005-0000-0000-0000DB400000}"/>
    <cellStyle name="40% - Accent1 3 8 3 2 2 2 2" xfId="20147" xr:uid="{00000000-0005-0000-0000-0000DC400000}"/>
    <cellStyle name="40% - Accent1 3 8 3 2 2 3" xfId="20148" xr:uid="{00000000-0005-0000-0000-0000DD400000}"/>
    <cellStyle name="40% - Accent1 3 8 3 2 3" xfId="20149" xr:uid="{00000000-0005-0000-0000-0000DE400000}"/>
    <cellStyle name="40% - Accent1 3 8 3 2 3 2" xfId="20150" xr:uid="{00000000-0005-0000-0000-0000DF400000}"/>
    <cellStyle name="40% - Accent1 3 8 3 2 4" xfId="20151" xr:uid="{00000000-0005-0000-0000-0000E0400000}"/>
    <cellStyle name="40% - Accent1 3 8 3 2 5" xfId="20152" xr:uid="{00000000-0005-0000-0000-0000E1400000}"/>
    <cellStyle name="40% - Accent1 3 8 3 2 6" xfId="20153" xr:uid="{00000000-0005-0000-0000-0000E2400000}"/>
    <cellStyle name="40% - Accent1 3 8 3 3" xfId="20154" xr:uid="{00000000-0005-0000-0000-0000E3400000}"/>
    <cellStyle name="40% - Accent1 3 8 3 3 2" xfId="20155" xr:uid="{00000000-0005-0000-0000-0000E4400000}"/>
    <cellStyle name="40% - Accent1 3 8 3 3 2 2" xfId="20156" xr:uid="{00000000-0005-0000-0000-0000E5400000}"/>
    <cellStyle name="40% - Accent1 3 8 3 3 3" xfId="20157" xr:uid="{00000000-0005-0000-0000-0000E6400000}"/>
    <cellStyle name="40% - Accent1 3 8 3 4" xfId="20158" xr:uid="{00000000-0005-0000-0000-0000E7400000}"/>
    <cellStyle name="40% - Accent1 3 8 3 4 2" xfId="20159" xr:uid="{00000000-0005-0000-0000-0000E8400000}"/>
    <cellStyle name="40% - Accent1 3 8 3 5" xfId="20160" xr:uid="{00000000-0005-0000-0000-0000E9400000}"/>
    <cellStyle name="40% - Accent1 3 8 3 6" xfId="20161" xr:uid="{00000000-0005-0000-0000-0000EA400000}"/>
    <cellStyle name="40% - Accent1 3 8 3 7" xfId="20162" xr:uid="{00000000-0005-0000-0000-0000EB400000}"/>
    <cellStyle name="40% - Accent1 3 8 4" xfId="20163" xr:uid="{00000000-0005-0000-0000-0000EC400000}"/>
    <cellStyle name="40% - Accent1 3 8 4 2" xfId="20164" xr:uid="{00000000-0005-0000-0000-0000ED400000}"/>
    <cellStyle name="40% - Accent1 3 8 4 2 2" xfId="20165" xr:uid="{00000000-0005-0000-0000-0000EE400000}"/>
    <cellStyle name="40% - Accent1 3 8 4 2 2 2" xfId="20166" xr:uid="{00000000-0005-0000-0000-0000EF400000}"/>
    <cellStyle name="40% - Accent1 3 8 4 2 3" xfId="20167" xr:uid="{00000000-0005-0000-0000-0000F0400000}"/>
    <cellStyle name="40% - Accent1 3 8 4 3" xfId="20168" xr:uid="{00000000-0005-0000-0000-0000F1400000}"/>
    <cellStyle name="40% - Accent1 3 8 4 3 2" xfId="20169" xr:uid="{00000000-0005-0000-0000-0000F2400000}"/>
    <cellStyle name="40% - Accent1 3 8 4 4" xfId="20170" xr:uid="{00000000-0005-0000-0000-0000F3400000}"/>
    <cellStyle name="40% - Accent1 3 8 4 5" xfId="20171" xr:uid="{00000000-0005-0000-0000-0000F4400000}"/>
    <cellStyle name="40% - Accent1 3 8 4 6" xfId="20172" xr:uid="{00000000-0005-0000-0000-0000F5400000}"/>
    <cellStyle name="40% - Accent1 3 8 5" xfId="20173" xr:uid="{00000000-0005-0000-0000-0000F6400000}"/>
    <cellStyle name="40% - Accent1 3 8 5 2" xfId="20174" xr:uid="{00000000-0005-0000-0000-0000F7400000}"/>
    <cellStyle name="40% - Accent1 3 8 5 2 2" xfId="20175" xr:uid="{00000000-0005-0000-0000-0000F8400000}"/>
    <cellStyle name="40% - Accent1 3 8 5 3" xfId="20176" xr:uid="{00000000-0005-0000-0000-0000F9400000}"/>
    <cellStyle name="40% - Accent1 3 8 6" xfId="20177" xr:uid="{00000000-0005-0000-0000-0000FA400000}"/>
    <cellStyle name="40% - Accent1 3 8 6 2" xfId="20178" xr:uid="{00000000-0005-0000-0000-0000FB400000}"/>
    <cellStyle name="40% - Accent1 3 8 6 2 2" xfId="20179" xr:uid="{00000000-0005-0000-0000-0000FC400000}"/>
    <cellStyle name="40% - Accent1 3 8 6 3" xfId="20180" xr:uid="{00000000-0005-0000-0000-0000FD400000}"/>
    <cellStyle name="40% - Accent1 3 8 7" xfId="20181" xr:uid="{00000000-0005-0000-0000-0000FE400000}"/>
    <cellStyle name="40% - Accent1 3 8 7 2" xfId="20182" xr:uid="{00000000-0005-0000-0000-0000FF400000}"/>
    <cellStyle name="40% - Accent1 3 8 8" xfId="20183" xr:uid="{00000000-0005-0000-0000-000000410000}"/>
    <cellStyle name="40% - Accent1 3 8 8 2" xfId="20184" xr:uid="{00000000-0005-0000-0000-000001410000}"/>
    <cellStyle name="40% - Accent1 3 8 9" xfId="20185" xr:uid="{00000000-0005-0000-0000-000002410000}"/>
    <cellStyle name="40% - Accent1 3 9" xfId="20186" xr:uid="{00000000-0005-0000-0000-000003410000}"/>
    <cellStyle name="40% - Accent1 3 9 2" xfId="20187" xr:uid="{00000000-0005-0000-0000-000004410000}"/>
    <cellStyle name="40% - Accent1 3 9 2 2" xfId="20188" xr:uid="{00000000-0005-0000-0000-000005410000}"/>
    <cellStyle name="40% - Accent1 4" xfId="193" xr:uid="{00000000-0005-0000-0000-000006410000}"/>
    <cellStyle name="40% - Accent1 4 10" xfId="20189" xr:uid="{00000000-0005-0000-0000-000007410000}"/>
    <cellStyle name="40% - Accent1 4 10 2" xfId="20190" xr:uid="{00000000-0005-0000-0000-000008410000}"/>
    <cellStyle name="40% - Accent1 4 10 2 2" xfId="20191" xr:uid="{00000000-0005-0000-0000-000009410000}"/>
    <cellStyle name="40% - Accent1 4 10 2 2 2" xfId="20192" xr:uid="{00000000-0005-0000-0000-00000A410000}"/>
    <cellStyle name="40% - Accent1 4 10 2 2 2 2" xfId="20193" xr:uid="{00000000-0005-0000-0000-00000B410000}"/>
    <cellStyle name="40% - Accent1 4 10 2 2 3" xfId="20194" xr:uid="{00000000-0005-0000-0000-00000C410000}"/>
    <cellStyle name="40% - Accent1 4 10 2 3" xfId="20195" xr:uid="{00000000-0005-0000-0000-00000D410000}"/>
    <cellStyle name="40% - Accent1 4 10 2 3 2" xfId="20196" xr:uid="{00000000-0005-0000-0000-00000E410000}"/>
    <cellStyle name="40% - Accent1 4 10 2 4" xfId="20197" xr:uid="{00000000-0005-0000-0000-00000F410000}"/>
    <cellStyle name="40% - Accent1 4 10 2 5" xfId="20198" xr:uid="{00000000-0005-0000-0000-000010410000}"/>
    <cellStyle name="40% - Accent1 4 10 2 6" xfId="20199" xr:uid="{00000000-0005-0000-0000-000011410000}"/>
    <cellStyle name="40% - Accent1 4 10 3" xfId="20200" xr:uid="{00000000-0005-0000-0000-000012410000}"/>
    <cellStyle name="40% - Accent1 4 10 3 2" xfId="20201" xr:uid="{00000000-0005-0000-0000-000013410000}"/>
    <cellStyle name="40% - Accent1 4 10 3 2 2" xfId="20202" xr:uid="{00000000-0005-0000-0000-000014410000}"/>
    <cellStyle name="40% - Accent1 4 10 3 3" xfId="20203" xr:uid="{00000000-0005-0000-0000-000015410000}"/>
    <cellStyle name="40% - Accent1 4 10 4" xfId="20204" xr:uid="{00000000-0005-0000-0000-000016410000}"/>
    <cellStyle name="40% - Accent1 4 10 4 2" xfId="20205" xr:uid="{00000000-0005-0000-0000-000017410000}"/>
    <cellStyle name="40% - Accent1 4 10 4 2 2" xfId="20206" xr:uid="{00000000-0005-0000-0000-000018410000}"/>
    <cellStyle name="40% - Accent1 4 10 4 3" xfId="20207" xr:uid="{00000000-0005-0000-0000-000019410000}"/>
    <cellStyle name="40% - Accent1 4 10 5" xfId="20208" xr:uid="{00000000-0005-0000-0000-00001A410000}"/>
    <cellStyle name="40% - Accent1 4 10 6" xfId="20209" xr:uid="{00000000-0005-0000-0000-00001B410000}"/>
    <cellStyle name="40% - Accent1 4 11" xfId="20210" xr:uid="{00000000-0005-0000-0000-00001C410000}"/>
    <cellStyle name="40% - Accent1 4 11 2" xfId="20211" xr:uid="{00000000-0005-0000-0000-00001D410000}"/>
    <cellStyle name="40% - Accent1 4 11 2 2" xfId="20212" xr:uid="{00000000-0005-0000-0000-00001E410000}"/>
    <cellStyle name="40% - Accent1 4 11 2 2 2" xfId="20213" xr:uid="{00000000-0005-0000-0000-00001F410000}"/>
    <cellStyle name="40% - Accent1 4 11 2 2 2 2" xfId="20214" xr:uid="{00000000-0005-0000-0000-000020410000}"/>
    <cellStyle name="40% - Accent1 4 11 2 2 3" xfId="20215" xr:uid="{00000000-0005-0000-0000-000021410000}"/>
    <cellStyle name="40% - Accent1 4 11 2 3" xfId="20216" xr:uid="{00000000-0005-0000-0000-000022410000}"/>
    <cellStyle name="40% - Accent1 4 11 2 3 2" xfId="20217" xr:uid="{00000000-0005-0000-0000-000023410000}"/>
    <cellStyle name="40% - Accent1 4 11 2 4" xfId="20218" xr:uid="{00000000-0005-0000-0000-000024410000}"/>
    <cellStyle name="40% - Accent1 4 11 2 5" xfId="20219" xr:uid="{00000000-0005-0000-0000-000025410000}"/>
    <cellStyle name="40% - Accent1 4 11 2 6" xfId="20220" xr:uid="{00000000-0005-0000-0000-000026410000}"/>
    <cellStyle name="40% - Accent1 4 11 3" xfId="20221" xr:uid="{00000000-0005-0000-0000-000027410000}"/>
    <cellStyle name="40% - Accent1 4 11 3 2" xfId="20222" xr:uid="{00000000-0005-0000-0000-000028410000}"/>
    <cellStyle name="40% - Accent1 4 11 3 2 2" xfId="20223" xr:uid="{00000000-0005-0000-0000-000029410000}"/>
    <cellStyle name="40% - Accent1 4 11 3 3" xfId="20224" xr:uid="{00000000-0005-0000-0000-00002A410000}"/>
    <cellStyle name="40% - Accent1 4 11 4" xfId="20225" xr:uid="{00000000-0005-0000-0000-00002B410000}"/>
    <cellStyle name="40% - Accent1 4 11 4 2" xfId="20226" xr:uid="{00000000-0005-0000-0000-00002C410000}"/>
    <cellStyle name="40% - Accent1 4 11 5" xfId="20227" xr:uid="{00000000-0005-0000-0000-00002D410000}"/>
    <cellStyle name="40% - Accent1 4 11 6" xfId="20228" xr:uid="{00000000-0005-0000-0000-00002E410000}"/>
    <cellStyle name="40% - Accent1 4 11 7" xfId="20229" xr:uid="{00000000-0005-0000-0000-00002F410000}"/>
    <cellStyle name="40% - Accent1 4 12" xfId="20230" xr:uid="{00000000-0005-0000-0000-000030410000}"/>
    <cellStyle name="40% - Accent1 4 13" xfId="20231" xr:uid="{00000000-0005-0000-0000-000031410000}"/>
    <cellStyle name="40% - Accent1 4 13 2" xfId="20232" xr:uid="{00000000-0005-0000-0000-000032410000}"/>
    <cellStyle name="40% - Accent1 4 13 2 2" xfId="20233" xr:uid="{00000000-0005-0000-0000-000033410000}"/>
    <cellStyle name="40% - Accent1 4 13 3" xfId="20234" xr:uid="{00000000-0005-0000-0000-000034410000}"/>
    <cellStyle name="40% - Accent1 4 14" xfId="20235" xr:uid="{00000000-0005-0000-0000-000035410000}"/>
    <cellStyle name="40% - Accent1 4 14 2" xfId="20236" xr:uid="{00000000-0005-0000-0000-000036410000}"/>
    <cellStyle name="40% - Accent1 4 15" xfId="20237" xr:uid="{00000000-0005-0000-0000-000037410000}"/>
    <cellStyle name="40% - Accent1 4 16" xfId="20238" xr:uid="{00000000-0005-0000-0000-000038410000}"/>
    <cellStyle name="40% - Accent1 4 2" xfId="20239" xr:uid="{00000000-0005-0000-0000-000039410000}"/>
    <cellStyle name="40% - Accent1 4 2 10" xfId="20240" xr:uid="{00000000-0005-0000-0000-00003A410000}"/>
    <cellStyle name="40% - Accent1 4 2 11" xfId="20241" xr:uid="{00000000-0005-0000-0000-00003B410000}"/>
    <cellStyle name="40% - Accent1 4 2 2" xfId="20242" xr:uid="{00000000-0005-0000-0000-00003C410000}"/>
    <cellStyle name="40% - Accent1 4 2 2 2" xfId="20243" xr:uid="{00000000-0005-0000-0000-00003D410000}"/>
    <cellStyle name="40% - Accent1 4 2 2 2 2" xfId="20244" xr:uid="{00000000-0005-0000-0000-00003E410000}"/>
    <cellStyle name="40% - Accent1 4 2 2 2 2 2" xfId="20245" xr:uid="{00000000-0005-0000-0000-00003F410000}"/>
    <cellStyle name="40% - Accent1 4 2 2 2 2 2 2" xfId="20246" xr:uid="{00000000-0005-0000-0000-000040410000}"/>
    <cellStyle name="40% - Accent1 4 2 2 2 2 3" xfId="20247" xr:uid="{00000000-0005-0000-0000-000041410000}"/>
    <cellStyle name="40% - Accent1 4 2 2 2 3" xfId="20248" xr:uid="{00000000-0005-0000-0000-000042410000}"/>
    <cellStyle name="40% - Accent1 4 2 2 2 3 2" xfId="20249" xr:uid="{00000000-0005-0000-0000-000043410000}"/>
    <cellStyle name="40% - Accent1 4 2 2 2 4" xfId="20250" xr:uid="{00000000-0005-0000-0000-000044410000}"/>
    <cellStyle name="40% - Accent1 4 2 2 2 5" xfId="20251" xr:uid="{00000000-0005-0000-0000-000045410000}"/>
    <cellStyle name="40% - Accent1 4 2 2 2 6" xfId="20252" xr:uid="{00000000-0005-0000-0000-000046410000}"/>
    <cellStyle name="40% - Accent1 4 2 2 3" xfId="20253" xr:uid="{00000000-0005-0000-0000-000047410000}"/>
    <cellStyle name="40% - Accent1 4 2 2 3 2" xfId="20254" xr:uid="{00000000-0005-0000-0000-000048410000}"/>
    <cellStyle name="40% - Accent1 4 2 2 3 2 2" xfId="20255" xr:uid="{00000000-0005-0000-0000-000049410000}"/>
    <cellStyle name="40% - Accent1 4 2 2 3 3" xfId="20256" xr:uid="{00000000-0005-0000-0000-00004A410000}"/>
    <cellStyle name="40% - Accent1 4 2 2 4" xfId="20257" xr:uid="{00000000-0005-0000-0000-00004B410000}"/>
    <cellStyle name="40% - Accent1 4 2 2 4 2" xfId="20258" xr:uid="{00000000-0005-0000-0000-00004C410000}"/>
    <cellStyle name="40% - Accent1 4 2 2 5" xfId="20259" xr:uid="{00000000-0005-0000-0000-00004D410000}"/>
    <cellStyle name="40% - Accent1 4 2 2 5 2" xfId="20260" xr:uid="{00000000-0005-0000-0000-00004E410000}"/>
    <cellStyle name="40% - Accent1 4 2 2 6" xfId="20261" xr:uid="{00000000-0005-0000-0000-00004F410000}"/>
    <cellStyle name="40% - Accent1 4 2 2 7" xfId="20262" xr:uid="{00000000-0005-0000-0000-000050410000}"/>
    <cellStyle name="40% - Accent1 4 2 2 8" xfId="20263" xr:uid="{00000000-0005-0000-0000-000051410000}"/>
    <cellStyle name="40% - Accent1 4 2 3" xfId="20264" xr:uid="{00000000-0005-0000-0000-000052410000}"/>
    <cellStyle name="40% - Accent1 4 2 3 2" xfId="20265" xr:uid="{00000000-0005-0000-0000-000053410000}"/>
    <cellStyle name="40% - Accent1 4 2 3 2 2" xfId="20266" xr:uid="{00000000-0005-0000-0000-000054410000}"/>
    <cellStyle name="40% - Accent1 4 2 3 2 2 2" xfId="20267" xr:uid="{00000000-0005-0000-0000-000055410000}"/>
    <cellStyle name="40% - Accent1 4 2 3 2 2 2 2" xfId="20268" xr:uid="{00000000-0005-0000-0000-000056410000}"/>
    <cellStyle name="40% - Accent1 4 2 3 2 2 3" xfId="20269" xr:uid="{00000000-0005-0000-0000-000057410000}"/>
    <cellStyle name="40% - Accent1 4 2 3 2 3" xfId="20270" xr:uid="{00000000-0005-0000-0000-000058410000}"/>
    <cellStyle name="40% - Accent1 4 2 3 2 3 2" xfId="20271" xr:uid="{00000000-0005-0000-0000-000059410000}"/>
    <cellStyle name="40% - Accent1 4 2 3 2 4" xfId="20272" xr:uid="{00000000-0005-0000-0000-00005A410000}"/>
    <cellStyle name="40% - Accent1 4 2 3 2 5" xfId="20273" xr:uid="{00000000-0005-0000-0000-00005B410000}"/>
    <cellStyle name="40% - Accent1 4 2 3 2 6" xfId="20274" xr:uid="{00000000-0005-0000-0000-00005C410000}"/>
    <cellStyle name="40% - Accent1 4 2 3 3" xfId="20275" xr:uid="{00000000-0005-0000-0000-00005D410000}"/>
    <cellStyle name="40% - Accent1 4 2 3 3 2" xfId="20276" xr:uid="{00000000-0005-0000-0000-00005E410000}"/>
    <cellStyle name="40% - Accent1 4 2 3 3 2 2" xfId="20277" xr:uid="{00000000-0005-0000-0000-00005F410000}"/>
    <cellStyle name="40% - Accent1 4 2 3 3 3" xfId="20278" xr:uid="{00000000-0005-0000-0000-000060410000}"/>
    <cellStyle name="40% - Accent1 4 2 3 4" xfId="20279" xr:uid="{00000000-0005-0000-0000-000061410000}"/>
    <cellStyle name="40% - Accent1 4 2 3 4 2" xfId="20280" xr:uid="{00000000-0005-0000-0000-000062410000}"/>
    <cellStyle name="40% - Accent1 4 2 3 5" xfId="20281" xr:uid="{00000000-0005-0000-0000-000063410000}"/>
    <cellStyle name="40% - Accent1 4 2 3 6" xfId="20282" xr:uid="{00000000-0005-0000-0000-000064410000}"/>
    <cellStyle name="40% - Accent1 4 2 3 7" xfId="20283" xr:uid="{00000000-0005-0000-0000-000065410000}"/>
    <cellStyle name="40% - Accent1 4 2 4" xfId="20284" xr:uid="{00000000-0005-0000-0000-000066410000}"/>
    <cellStyle name="40% - Accent1 4 2 4 2" xfId="20285" xr:uid="{00000000-0005-0000-0000-000067410000}"/>
    <cellStyle name="40% - Accent1 4 2 4 2 2" xfId="20286" xr:uid="{00000000-0005-0000-0000-000068410000}"/>
    <cellStyle name="40% - Accent1 4 2 4 2 2 2" xfId="20287" xr:uid="{00000000-0005-0000-0000-000069410000}"/>
    <cellStyle name="40% - Accent1 4 2 4 2 3" xfId="20288" xr:uid="{00000000-0005-0000-0000-00006A410000}"/>
    <cellStyle name="40% - Accent1 4 2 4 3" xfId="20289" xr:uid="{00000000-0005-0000-0000-00006B410000}"/>
    <cellStyle name="40% - Accent1 4 2 4 3 2" xfId="20290" xr:uid="{00000000-0005-0000-0000-00006C410000}"/>
    <cellStyle name="40% - Accent1 4 2 4 4" xfId="20291" xr:uid="{00000000-0005-0000-0000-00006D410000}"/>
    <cellStyle name="40% - Accent1 4 2 4 5" xfId="20292" xr:uid="{00000000-0005-0000-0000-00006E410000}"/>
    <cellStyle name="40% - Accent1 4 2 4 6" xfId="20293" xr:uid="{00000000-0005-0000-0000-00006F410000}"/>
    <cellStyle name="40% - Accent1 4 2 5" xfId="20294" xr:uid="{00000000-0005-0000-0000-000070410000}"/>
    <cellStyle name="40% - Accent1 4 2 5 2" xfId="20295" xr:uid="{00000000-0005-0000-0000-000071410000}"/>
    <cellStyle name="40% - Accent1 4 2 5 2 2" xfId="20296" xr:uid="{00000000-0005-0000-0000-000072410000}"/>
    <cellStyle name="40% - Accent1 4 2 5 3" xfId="20297" xr:uid="{00000000-0005-0000-0000-000073410000}"/>
    <cellStyle name="40% - Accent1 4 2 6" xfId="20298" xr:uid="{00000000-0005-0000-0000-000074410000}"/>
    <cellStyle name="40% - Accent1 4 2 6 2" xfId="20299" xr:uid="{00000000-0005-0000-0000-000075410000}"/>
    <cellStyle name="40% - Accent1 4 2 6 2 2" xfId="20300" xr:uid="{00000000-0005-0000-0000-000076410000}"/>
    <cellStyle name="40% - Accent1 4 2 6 3" xfId="20301" xr:uid="{00000000-0005-0000-0000-000077410000}"/>
    <cellStyle name="40% - Accent1 4 2 7" xfId="20302" xr:uid="{00000000-0005-0000-0000-000078410000}"/>
    <cellStyle name="40% - Accent1 4 2 7 2" xfId="20303" xr:uid="{00000000-0005-0000-0000-000079410000}"/>
    <cellStyle name="40% - Accent1 4 2 8" xfId="20304" xr:uid="{00000000-0005-0000-0000-00007A410000}"/>
    <cellStyle name="40% - Accent1 4 2 8 2" xfId="20305" xr:uid="{00000000-0005-0000-0000-00007B410000}"/>
    <cellStyle name="40% - Accent1 4 2 9" xfId="20306" xr:uid="{00000000-0005-0000-0000-00007C410000}"/>
    <cellStyle name="40% - Accent1 4 3" xfId="20307" xr:uid="{00000000-0005-0000-0000-00007D410000}"/>
    <cellStyle name="40% - Accent1 4 3 10" xfId="20308" xr:uid="{00000000-0005-0000-0000-00007E410000}"/>
    <cellStyle name="40% - Accent1 4 3 11" xfId="20309" xr:uid="{00000000-0005-0000-0000-00007F410000}"/>
    <cellStyle name="40% - Accent1 4 3 2" xfId="20310" xr:uid="{00000000-0005-0000-0000-000080410000}"/>
    <cellStyle name="40% - Accent1 4 3 2 2" xfId="20311" xr:uid="{00000000-0005-0000-0000-000081410000}"/>
    <cellStyle name="40% - Accent1 4 3 2 2 2" xfId="20312" xr:uid="{00000000-0005-0000-0000-000082410000}"/>
    <cellStyle name="40% - Accent1 4 3 2 2 2 2" xfId="20313" xr:uid="{00000000-0005-0000-0000-000083410000}"/>
    <cellStyle name="40% - Accent1 4 3 2 2 2 2 2" xfId="20314" xr:uid="{00000000-0005-0000-0000-000084410000}"/>
    <cellStyle name="40% - Accent1 4 3 2 2 2 3" xfId="20315" xr:uid="{00000000-0005-0000-0000-000085410000}"/>
    <cellStyle name="40% - Accent1 4 3 2 2 3" xfId="20316" xr:uid="{00000000-0005-0000-0000-000086410000}"/>
    <cellStyle name="40% - Accent1 4 3 2 2 3 2" xfId="20317" xr:uid="{00000000-0005-0000-0000-000087410000}"/>
    <cellStyle name="40% - Accent1 4 3 2 2 4" xfId="20318" xr:uid="{00000000-0005-0000-0000-000088410000}"/>
    <cellStyle name="40% - Accent1 4 3 2 2 5" xfId="20319" xr:uid="{00000000-0005-0000-0000-000089410000}"/>
    <cellStyle name="40% - Accent1 4 3 2 2 6" xfId="20320" xr:uid="{00000000-0005-0000-0000-00008A410000}"/>
    <cellStyle name="40% - Accent1 4 3 2 3" xfId="20321" xr:uid="{00000000-0005-0000-0000-00008B410000}"/>
    <cellStyle name="40% - Accent1 4 3 2 3 2" xfId="20322" xr:uid="{00000000-0005-0000-0000-00008C410000}"/>
    <cellStyle name="40% - Accent1 4 3 2 3 2 2" xfId="20323" xr:uid="{00000000-0005-0000-0000-00008D410000}"/>
    <cellStyle name="40% - Accent1 4 3 2 3 3" xfId="20324" xr:uid="{00000000-0005-0000-0000-00008E410000}"/>
    <cellStyle name="40% - Accent1 4 3 2 4" xfId="20325" xr:uid="{00000000-0005-0000-0000-00008F410000}"/>
    <cellStyle name="40% - Accent1 4 3 2 4 2" xfId="20326" xr:uid="{00000000-0005-0000-0000-000090410000}"/>
    <cellStyle name="40% - Accent1 4 3 2 5" xfId="20327" xr:uid="{00000000-0005-0000-0000-000091410000}"/>
    <cellStyle name="40% - Accent1 4 3 2 5 2" xfId="20328" xr:uid="{00000000-0005-0000-0000-000092410000}"/>
    <cellStyle name="40% - Accent1 4 3 2 6" xfId="20329" xr:uid="{00000000-0005-0000-0000-000093410000}"/>
    <cellStyle name="40% - Accent1 4 3 2 7" xfId="20330" xr:uid="{00000000-0005-0000-0000-000094410000}"/>
    <cellStyle name="40% - Accent1 4 3 2 8" xfId="20331" xr:uid="{00000000-0005-0000-0000-000095410000}"/>
    <cellStyle name="40% - Accent1 4 3 3" xfId="20332" xr:uid="{00000000-0005-0000-0000-000096410000}"/>
    <cellStyle name="40% - Accent1 4 3 3 2" xfId="20333" xr:uid="{00000000-0005-0000-0000-000097410000}"/>
    <cellStyle name="40% - Accent1 4 3 3 2 2" xfId="20334" xr:uid="{00000000-0005-0000-0000-000098410000}"/>
    <cellStyle name="40% - Accent1 4 3 3 2 2 2" xfId="20335" xr:uid="{00000000-0005-0000-0000-000099410000}"/>
    <cellStyle name="40% - Accent1 4 3 3 2 2 2 2" xfId="20336" xr:uid="{00000000-0005-0000-0000-00009A410000}"/>
    <cellStyle name="40% - Accent1 4 3 3 2 2 3" xfId="20337" xr:uid="{00000000-0005-0000-0000-00009B410000}"/>
    <cellStyle name="40% - Accent1 4 3 3 2 3" xfId="20338" xr:uid="{00000000-0005-0000-0000-00009C410000}"/>
    <cellStyle name="40% - Accent1 4 3 3 2 3 2" xfId="20339" xr:uid="{00000000-0005-0000-0000-00009D410000}"/>
    <cellStyle name="40% - Accent1 4 3 3 2 4" xfId="20340" xr:uid="{00000000-0005-0000-0000-00009E410000}"/>
    <cellStyle name="40% - Accent1 4 3 3 2 5" xfId="20341" xr:uid="{00000000-0005-0000-0000-00009F410000}"/>
    <cellStyle name="40% - Accent1 4 3 3 2 6" xfId="20342" xr:uid="{00000000-0005-0000-0000-0000A0410000}"/>
    <cellStyle name="40% - Accent1 4 3 3 3" xfId="20343" xr:uid="{00000000-0005-0000-0000-0000A1410000}"/>
    <cellStyle name="40% - Accent1 4 3 3 3 2" xfId="20344" xr:uid="{00000000-0005-0000-0000-0000A2410000}"/>
    <cellStyle name="40% - Accent1 4 3 3 3 2 2" xfId="20345" xr:uid="{00000000-0005-0000-0000-0000A3410000}"/>
    <cellStyle name="40% - Accent1 4 3 3 3 3" xfId="20346" xr:uid="{00000000-0005-0000-0000-0000A4410000}"/>
    <cellStyle name="40% - Accent1 4 3 3 4" xfId="20347" xr:uid="{00000000-0005-0000-0000-0000A5410000}"/>
    <cellStyle name="40% - Accent1 4 3 3 4 2" xfId="20348" xr:uid="{00000000-0005-0000-0000-0000A6410000}"/>
    <cellStyle name="40% - Accent1 4 3 3 5" xfId="20349" xr:uid="{00000000-0005-0000-0000-0000A7410000}"/>
    <cellStyle name="40% - Accent1 4 3 3 6" xfId="20350" xr:uid="{00000000-0005-0000-0000-0000A8410000}"/>
    <cellStyle name="40% - Accent1 4 3 3 7" xfId="20351" xr:uid="{00000000-0005-0000-0000-0000A9410000}"/>
    <cellStyle name="40% - Accent1 4 3 4" xfId="20352" xr:uid="{00000000-0005-0000-0000-0000AA410000}"/>
    <cellStyle name="40% - Accent1 4 3 4 2" xfId="20353" xr:uid="{00000000-0005-0000-0000-0000AB410000}"/>
    <cellStyle name="40% - Accent1 4 3 4 2 2" xfId="20354" xr:uid="{00000000-0005-0000-0000-0000AC410000}"/>
    <cellStyle name="40% - Accent1 4 3 4 2 2 2" xfId="20355" xr:uid="{00000000-0005-0000-0000-0000AD410000}"/>
    <cellStyle name="40% - Accent1 4 3 4 2 3" xfId="20356" xr:uid="{00000000-0005-0000-0000-0000AE410000}"/>
    <cellStyle name="40% - Accent1 4 3 4 3" xfId="20357" xr:uid="{00000000-0005-0000-0000-0000AF410000}"/>
    <cellStyle name="40% - Accent1 4 3 4 3 2" xfId="20358" xr:uid="{00000000-0005-0000-0000-0000B0410000}"/>
    <cellStyle name="40% - Accent1 4 3 4 4" xfId="20359" xr:uid="{00000000-0005-0000-0000-0000B1410000}"/>
    <cellStyle name="40% - Accent1 4 3 4 5" xfId="20360" xr:uid="{00000000-0005-0000-0000-0000B2410000}"/>
    <cellStyle name="40% - Accent1 4 3 4 6" xfId="20361" xr:uid="{00000000-0005-0000-0000-0000B3410000}"/>
    <cellStyle name="40% - Accent1 4 3 5" xfId="20362" xr:uid="{00000000-0005-0000-0000-0000B4410000}"/>
    <cellStyle name="40% - Accent1 4 3 5 2" xfId="20363" xr:uid="{00000000-0005-0000-0000-0000B5410000}"/>
    <cellStyle name="40% - Accent1 4 3 5 2 2" xfId="20364" xr:uid="{00000000-0005-0000-0000-0000B6410000}"/>
    <cellStyle name="40% - Accent1 4 3 5 3" xfId="20365" xr:uid="{00000000-0005-0000-0000-0000B7410000}"/>
    <cellStyle name="40% - Accent1 4 3 6" xfId="20366" xr:uid="{00000000-0005-0000-0000-0000B8410000}"/>
    <cellStyle name="40% - Accent1 4 3 6 2" xfId="20367" xr:uid="{00000000-0005-0000-0000-0000B9410000}"/>
    <cellStyle name="40% - Accent1 4 3 6 2 2" xfId="20368" xr:uid="{00000000-0005-0000-0000-0000BA410000}"/>
    <cellStyle name="40% - Accent1 4 3 6 3" xfId="20369" xr:uid="{00000000-0005-0000-0000-0000BB410000}"/>
    <cellStyle name="40% - Accent1 4 3 7" xfId="20370" xr:uid="{00000000-0005-0000-0000-0000BC410000}"/>
    <cellStyle name="40% - Accent1 4 3 7 2" xfId="20371" xr:uid="{00000000-0005-0000-0000-0000BD410000}"/>
    <cellStyle name="40% - Accent1 4 3 8" xfId="20372" xr:uid="{00000000-0005-0000-0000-0000BE410000}"/>
    <cellStyle name="40% - Accent1 4 3 8 2" xfId="20373" xr:uid="{00000000-0005-0000-0000-0000BF410000}"/>
    <cellStyle name="40% - Accent1 4 3 9" xfId="20374" xr:uid="{00000000-0005-0000-0000-0000C0410000}"/>
    <cellStyle name="40% - Accent1 4 4" xfId="20375" xr:uid="{00000000-0005-0000-0000-0000C1410000}"/>
    <cellStyle name="40% - Accent1 4 4 10" xfId="20376" xr:uid="{00000000-0005-0000-0000-0000C2410000}"/>
    <cellStyle name="40% - Accent1 4 4 11" xfId="20377" xr:uid="{00000000-0005-0000-0000-0000C3410000}"/>
    <cellStyle name="40% - Accent1 4 4 2" xfId="20378" xr:uid="{00000000-0005-0000-0000-0000C4410000}"/>
    <cellStyle name="40% - Accent1 4 4 2 2" xfId="20379" xr:uid="{00000000-0005-0000-0000-0000C5410000}"/>
    <cellStyle name="40% - Accent1 4 4 2 2 2" xfId="20380" xr:uid="{00000000-0005-0000-0000-0000C6410000}"/>
    <cellStyle name="40% - Accent1 4 4 2 2 2 2" xfId="20381" xr:uid="{00000000-0005-0000-0000-0000C7410000}"/>
    <cellStyle name="40% - Accent1 4 4 2 2 2 2 2" xfId="20382" xr:uid="{00000000-0005-0000-0000-0000C8410000}"/>
    <cellStyle name="40% - Accent1 4 4 2 2 2 3" xfId="20383" xr:uid="{00000000-0005-0000-0000-0000C9410000}"/>
    <cellStyle name="40% - Accent1 4 4 2 2 3" xfId="20384" xr:uid="{00000000-0005-0000-0000-0000CA410000}"/>
    <cellStyle name="40% - Accent1 4 4 2 2 3 2" xfId="20385" xr:uid="{00000000-0005-0000-0000-0000CB410000}"/>
    <cellStyle name="40% - Accent1 4 4 2 2 4" xfId="20386" xr:uid="{00000000-0005-0000-0000-0000CC410000}"/>
    <cellStyle name="40% - Accent1 4 4 2 2 5" xfId="20387" xr:uid="{00000000-0005-0000-0000-0000CD410000}"/>
    <cellStyle name="40% - Accent1 4 4 2 2 6" xfId="20388" xr:uid="{00000000-0005-0000-0000-0000CE410000}"/>
    <cellStyle name="40% - Accent1 4 4 2 3" xfId="20389" xr:uid="{00000000-0005-0000-0000-0000CF410000}"/>
    <cellStyle name="40% - Accent1 4 4 2 3 2" xfId="20390" xr:uid="{00000000-0005-0000-0000-0000D0410000}"/>
    <cellStyle name="40% - Accent1 4 4 2 3 2 2" xfId="20391" xr:uid="{00000000-0005-0000-0000-0000D1410000}"/>
    <cellStyle name="40% - Accent1 4 4 2 3 3" xfId="20392" xr:uid="{00000000-0005-0000-0000-0000D2410000}"/>
    <cellStyle name="40% - Accent1 4 4 2 4" xfId="20393" xr:uid="{00000000-0005-0000-0000-0000D3410000}"/>
    <cellStyle name="40% - Accent1 4 4 2 4 2" xfId="20394" xr:uid="{00000000-0005-0000-0000-0000D4410000}"/>
    <cellStyle name="40% - Accent1 4 4 2 5" xfId="20395" xr:uid="{00000000-0005-0000-0000-0000D5410000}"/>
    <cellStyle name="40% - Accent1 4 4 2 5 2" xfId="20396" xr:uid="{00000000-0005-0000-0000-0000D6410000}"/>
    <cellStyle name="40% - Accent1 4 4 2 6" xfId="20397" xr:uid="{00000000-0005-0000-0000-0000D7410000}"/>
    <cellStyle name="40% - Accent1 4 4 2 7" xfId="20398" xr:uid="{00000000-0005-0000-0000-0000D8410000}"/>
    <cellStyle name="40% - Accent1 4 4 2 8" xfId="20399" xr:uid="{00000000-0005-0000-0000-0000D9410000}"/>
    <cellStyle name="40% - Accent1 4 4 3" xfId="20400" xr:uid="{00000000-0005-0000-0000-0000DA410000}"/>
    <cellStyle name="40% - Accent1 4 4 3 2" xfId="20401" xr:uid="{00000000-0005-0000-0000-0000DB410000}"/>
    <cellStyle name="40% - Accent1 4 4 3 2 2" xfId="20402" xr:uid="{00000000-0005-0000-0000-0000DC410000}"/>
    <cellStyle name="40% - Accent1 4 4 3 2 2 2" xfId="20403" xr:uid="{00000000-0005-0000-0000-0000DD410000}"/>
    <cellStyle name="40% - Accent1 4 4 3 2 2 2 2" xfId="20404" xr:uid="{00000000-0005-0000-0000-0000DE410000}"/>
    <cellStyle name="40% - Accent1 4 4 3 2 2 3" xfId="20405" xr:uid="{00000000-0005-0000-0000-0000DF410000}"/>
    <cellStyle name="40% - Accent1 4 4 3 2 3" xfId="20406" xr:uid="{00000000-0005-0000-0000-0000E0410000}"/>
    <cellStyle name="40% - Accent1 4 4 3 2 3 2" xfId="20407" xr:uid="{00000000-0005-0000-0000-0000E1410000}"/>
    <cellStyle name="40% - Accent1 4 4 3 2 4" xfId="20408" xr:uid="{00000000-0005-0000-0000-0000E2410000}"/>
    <cellStyle name="40% - Accent1 4 4 3 2 5" xfId="20409" xr:uid="{00000000-0005-0000-0000-0000E3410000}"/>
    <cellStyle name="40% - Accent1 4 4 3 2 6" xfId="20410" xr:uid="{00000000-0005-0000-0000-0000E4410000}"/>
    <cellStyle name="40% - Accent1 4 4 3 3" xfId="20411" xr:uid="{00000000-0005-0000-0000-0000E5410000}"/>
    <cellStyle name="40% - Accent1 4 4 3 3 2" xfId="20412" xr:uid="{00000000-0005-0000-0000-0000E6410000}"/>
    <cellStyle name="40% - Accent1 4 4 3 3 2 2" xfId="20413" xr:uid="{00000000-0005-0000-0000-0000E7410000}"/>
    <cellStyle name="40% - Accent1 4 4 3 3 3" xfId="20414" xr:uid="{00000000-0005-0000-0000-0000E8410000}"/>
    <cellStyle name="40% - Accent1 4 4 3 4" xfId="20415" xr:uid="{00000000-0005-0000-0000-0000E9410000}"/>
    <cellStyle name="40% - Accent1 4 4 3 4 2" xfId="20416" xr:uid="{00000000-0005-0000-0000-0000EA410000}"/>
    <cellStyle name="40% - Accent1 4 4 3 5" xfId="20417" xr:uid="{00000000-0005-0000-0000-0000EB410000}"/>
    <cellStyle name="40% - Accent1 4 4 3 6" xfId="20418" xr:uid="{00000000-0005-0000-0000-0000EC410000}"/>
    <cellStyle name="40% - Accent1 4 4 3 7" xfId="20419" xr:uid="{00000000-0005-0000-0000-0000ED410000}"/>
    <cellStyle name="40% - Accent1 4 4 4" xfId="20420" xr:uid="{00000000-0005-0000-0000-0000EE410000}"/>
    <cellStyle name="40% - Accent1 4 4 4 2" xfId="20421" xr:uid="{00000000-0005-0000-0000-0000EF410000}"/>
    <cellStyle name="40% - Accent1 4 4 4 2 2" xfId="20422" xr:uid="{00000000-0005-0000-0000-0000F0410000}"/>
    <cellStyle name="40% - Accent1 4 4 4 2 2 2" xfId="20423" xr:uid="{00000000-0005-0000-0000-0000F1410000}"/>
    <cellStyle name="40% - Accent1 4 4 4 2 3" xfId="20424" xr:uid="{00000000-0005-0000-0000-0000F2410000}"/>
    <cellStyle name="40% - Accent1 4 4 4 3" xfId="20425" xr:uid="{00000000-0005-0000-0000-0000F3410000}"/>
    <cellStyle name="40% - Accent1 4 4 4 3 2" xfId="20426" xr:uid="{00000000-0005-0000-0000-0000F4410000}"/>
    <cellStyle name="40% - Accent1 4 4 4 4" xfId="20427" xr:uid="{00000000-0005-0000-0000-0000F5410000}"/>
    <cellStyle name="40% - Accent1 4 4 4 5" xfId="20428" xr:uid="{00000000-0005-0000-0000-0000F6410000}"/>
    <cellStyle name="40% - Accent1 4 4 4 6" xfId="20429" xr:uid="{00000000-0005-0000-0000-0000F7410000}"/>
    <cellStyle name="40% - Accent1 4 4 5" xfId="20430" xr:uid="{00000000-0005-0000-0000-0000F8410000}"/>
    <cellStyle name="40% - Accent1 4 4 5 2" xfId="20431" xr:uid="{00000000-0005-0000-0000-0000F9410000}"/>
    <cellStyle name="40% - Accent1 4 4 5 2 2" xfId="20432" xr:uid="{00000000-0005-0000-0000-0000FA410000}"/>
    <cellStyle name="40% - Accent1 4 4 5 3" xfId="20433" xr:uid="{00000000-0005-0000-0000-0000FB410000}"/>
    <cellStyle name="40% - Accent1 4 4 6" xfId="20434" xr:uid="{00000000-0005-0000-0000-0000FC410000}"/>
    <cellStyle name="40% - Accent1 4 4 6 2" xfId="20435" xr:uid="{00000000-0005-0000-0000-0000FD410000}"/>
    <cellStyle name="40% - Accent1 4 4 6 2 2" xfId="20436" xr:uid="{00000000-0005-0000-0000-0000FE410000}"/>
    <cellStyle name="40% - Accent1 4 4 6 3" xfId="20437" xr:uid="{00000000-0005-0000-0000-0000FF410000}"/>
    <cellStyle name="40% - Accent1 4 4 7" xfId="20438" xr:uid="{00000000-0005-0000-0000-000000420000}"/>
    <cellStyle name="40% - Accent1 4 4 7 2" xfId="20439" xr:uid="{00000000-0005-0000-0000-000001420000}"/>
    <cellStyle name="40% - Accent1 4 4 8" xfId="20440" xr:uid="{00000000-0005-0000-0000-000002420000}"/>
    <cellStyle name="40% - Accent1 4 4 8 2" xfId="20441" xr:uid="{00000000-0005-0000-0000-000003420000}"/>
    <cellStyle name="40% - Accent1 4 4 9" xfId="20442" xr:uid="{00000000-0005-0000-0000-000004420000}"/>
    <cellStyle name="40% - Accent1 4 5" xfId="20443" xr:uid="{00000000-0005-0000-0000-000005420000}"/>
    <cellStyle name="40% - Accent1 4 5 10" xfId="20444" xr:uid="{00000000-0005-0000-0000-000006420000}"/>
    <cellStyle name="40% - Accent1 4 5 11" xfId="20445" xr:uid="{00000000-0005-0000-0000-000007420000}"/>
    <cellStyle name="40% - Accent1 4 5 2" xfId="20446" xr:uid="{00000000-0005-0000-0000-000008420000}"/>
    <cellStyle name="40% - Accent1 4 5 2 2" xfId="20447" xr:uid="{00000000-0005-0000-0000-000009420000}"/>
    <cellStyle name="40% - Accent1 4 5 2 2 2" xfId="20448" xr:uid="{00000000-0005-0000-0000-00000A420000}"/>
    <cellStyle name="40% - Accent1 4 5 2 2 2 2" xfId="20449" xr:uid="{00000000-0005-0000-0000-00000B420000}"/>
    <cellStyle name="40% - Accent1 4 5 2 2 2 2 2" xfId="20450" xr:uid="{00000000-0005-0000-0000-00000C420000}"/>
    <cellStyle name="40% - Accent1 4 5 2 2 2 3" xfId="20451" xr:uid="{00000000-0005-0000-0000-00000D420000}"/>
    <cellStyle name="40% - Accent1 4 5 2 2 3" xfId="20452" xr:uid="{00000000-0005-0000-0000-00000E420000}"/>
    <cellStyle name="40% - Accent1 4 5 2 2 3 2" xfId="20453" xr:uid="{00000000-0005-0000-0000-00000F420000}"/>
    <cellStyle name="40% - Accent1 4 5 2 2 4" xfId="20454" xr:uid="{00000000-0005-0000-0000-000010420000}"/>
    <cellStyle name="40% - Accent1 4 5 2 2 5" xfId="20455" xr:uid="{00000000-0005-0000-0000-000011420000}"/>
    <cellStyle name="40% - Accent1 4 5 2 2 6" xfId="20456" xr:uid="{00000000-0005-0000-0000-000012420000}"/>
    <cellStyle name="40% - Accent1 4 5 2 3" xfId="20457" xr:uid="{00000000-0005-0000-0000-000013420000}"/>
    <cellStyle name="40% - Accent1 4 5 2 3 2" xfId="20458" xr:uid="{00000000-0005-0000-0000-000014420000}"/>
    <cellStyle name="40% - Accent1 4 5 2 3 2 2" xfId="20459" xr:uid="{00000000-0005-0000-0000-000015420000}"/>
    <cellStyle name="40% - Accent1 4 5 2 3 3" xfId="20460" xr:uid="{00000000-0005-0000-0000-000016420000}"/>
    <cellStyle name="40% - Accent1 4 5 2 4" xfId="20461" xr:uid="{00000000-0005-0000-0000-000017420000}"/>
    <cellStyle name="40% - Accent1 4 5 2 4 2" xfId="20462" xr:uid="{00000000-0005-0000-0000-000018420000}"/>
    <cellStyle name="40% - Accent1 4 5 2 5" xfId="20463" xr:uid="{00000000-0005-0000-0000-000019420000}"/>
    <cellStyle name="40% - Accent1 4 5 2 5 2" xfId="20464" xr:uid="{00000000-0005-0000-0000-00001A420000}"/>
    <cellStyle name="40% - Accent1 4 5 2 6" xfId="20465" xr:uid="{00000000-0005-0000-0000-00001B420000}"/>
    <cellStyle name="40% - Accent1 4 5 2 7" xfId="20466" xr:uid="{00000000-0005-0000-0000-00001C420000}"/>
    <cellStyle name="40% - Accent1 4 5 2 8" xfId="20467" xr:uid="{00000000-0005-0000-0000-00001D420000}"/>
    <cellStyle name="40% - Accent1 4 5 3" xfId="20468" xr:uid="{00000000-0005-0000-0000-00001E420000}"/>
    <cellStyle name="40% - Accent1 4 5 3 2" xfId="20469" xr:uid="{00000000-0005-0000-0000-00001F420000}"/>
    <cellStyle name="40% - Accent1 4 5 3 2 2" xfId="20470" xr:uid="{00000000-0005-0000-0000-000020420000}"/>
    <cellStyle name="40% - Accent1 4 5 3 2 2 2" xfId="20471" xr:uid="{00000000-0005-0000-0000-000021420000}"/>
    <cellStyle name="40% - Accent1 4 5 3 2 2 2 2" xfId="20472" xr:uid="{00000000-0005-0000-0000-000022420000}"/>
    <cellStyle name="40% - Accent1 4 5 3 2 2 3" xfId="20473" xr:uid="{00000000-0005-0000-0000-000023420000}"/>
    <cellStyle name="40% - Accent1 4 5 3 2 3" xfId="20474" xr:uid="{00000000-0005-0000-0000-000024420000}"/>
    <cellStyle name="40% - Accent1 4 5 3 2 3 2" xfId="20475" xr:uid="{00000000-0005-0000-0000-000025420000}"/>
    <cellStyle name="40% - Accent1 4 5 3 2 4" xfId="20476" xr:uid="{00000000-0005-0000-0000-000026420000}"/>
    <cellStyle name="40% - Accent1 4 5 3 2 5" xfId="20477" xr:uid="{00000000-0005-0000-0000-000027420000}"/>
    <cellStyle name="40% - Accent1 4 5 3 2 6" xfId="20478" xr:uid="{00000000-0005-0000-0000-000028420000}"/>
    <cellStyle name="40% - Accent1 4 5 3 3" xfId="20479" xr:uid="{00000000-0005-0000-0000-000029420000}"/>
    <cellStyle name="40% - Accent1 4 5 3 3 2" xfId="20480" xr:uid="{00000000-0005-0000-0000-00002A420000}"/>
    <cellStyle name="40% - Accent1 4 5 3 3 2 2" xfId="20481" xr:uid="{00000000-0005-0000-0000-00002B420000}"/>
    <cellStyle name="40% - Accent1 4 5 3 3 3" xfId="20482" xr:uid="{00000000-0005-0000-0000-00002C420000}"/>
    <cellStyle name="40% - Accent1 4 5 3 4" xfId="20483" xr:uid="{00000000-0005-0000-0000-00002D420000}"/>
    <cellStyle name="40% - Accent1 4 5 3 4 2" xfId="20484" xr:uid="{00000000-0005-0000-0000-00002E420000}"/>
    <cellStyle name="40% - Accent1 4 5 3 5" xfId="20485" xr:uid="{00000000-0005-0000-0000-00002F420000}"/>
    <cellStyle name="40% - Accent1 4 5 3 6" xfId="20486" xr:uid="{00000000-0005-0000-0000-000030420000}"/>
    <cellStyle name="40% - Accent1 4 5 3 7" xfId="20487" xr:uid="{00000000-0005-0000-0000-000031420000}"/>
    <cellStyle name="40% - Accent1 4 5 4" xfId="20488" xr:uid="{00000000-0005-0000-0000-000032420000}"/>
    <cellStyle name="40% - Accent1 4 5 4 2" xfId="20489" xr:uid="{00000000-0005-0000-0000-000033420000}"/>
    <cellStyle name="40% - Accent1 4 5 4 2 2" xfId="20490" xr:uid="{00000000-0005-0000-0000-000034420000}"/>
    <cellStyle name="40% - Accent1 4 5 4 2 2 2" xfId="20491" xr:uid="{00000000-0005-0000-0000-000035420000}"/>
    <cellStyle name="40% - Accent1 4 5 4 2 3" xfId="20492" xr:uid="{00000000-0005-0000-0000-000036420000}"/>
    <cellStyle name="40% - Accent1 4 5 4 3" xfId="20493" xr:uid="{00000000-0005-0000-0000-000037420000}"/>
    <cellStyle name="40% - Accent1 4 5 4 3 2" xfId="20494" xr:uid="{00000000-0005-0000-0000-000038420000}"/>
    <cellStyle name="40% - Accent1 4 5 4 4" xfId="20495" xr:uid="{00000000-0005-0000-0000-000039420000}"/>
    <cellStyle name="40% - Accent1 4 5 4 5" xfId="20496" xr:uid="{00000000-0005-0000-0000-00003A420000}"/>
    <cellStyle name="40% - Accent1 4 5 4 6" xfId="20497" xr:uid="{00000000-0005-0000-0000-00003B420000}"/>
    <cellStyle name="40% - Accent1 4 5 5" xfId="20498" xr:uid="{00000000-0005-0000-0000-00003C420000}"/>
    <cellStyle name="40% - Accent1 4 5 5 2" xfId="20499" xr:uid="{00000000-0005-0000-0000-00003D420000}"/>
    <cellStyle name="40% - Accent1 4 5 5 2 2" xfId="20500" xr:uid="{00000000-0005-0000-0000-00003E420000}"/>
    <cellStyle name="40% - Accent1 4 5 5 3" xfId="20501" xr:uid="{00000000-0005-0000-0000-00003F420000}"/>
    <cellStyle name="40% - Accent1 4 5 6" xfId="20502" xr:uid="{00000000-0005-0000-0000-000040420000}"/>
    <cellStyle name="40% - Accent1 4 5 6 2" xfId="20503" xr:uid="{00000000-0005-0000-0000-000041420000}"/>
    <cellStyle name="40% - Accent1 4 5 6 2 2" xfId="20504" xr:uid="{00000000-0005-0000-0000-000042420000}"/>
    <cellStyle name="40% - Accent1 4 5 6 3" xfId="20505" xr:uid="{00000000-0005-0000-0000-000043420000}"/>
    <cellStyle name="40% - Accent1 4 5 7" xfId="20506" xr:uid="{00000000-0005-0000-0000-000044420000}"/>
    <cellStyle name="40% - Accent1 4 5 7 2" xfId="20507" xr:uid="{00000000-0005-0000-0000-000045420000}"/>
    <cellStyle name="40% - Accent1 4 5 8" xfId="20508" xr:uid="{00000000-0005-0000-0000-000046420000}"/>
    <cellStyle name="40% - Accent1 4 5 8 2" xfId="20509" xr:uid="{00000000-0005-0000-0000-000047420000}"/>
    <cellStyle name="40% - Accent1 4 5 9" xfId="20510" xr:uid="{00000000-0005-0000-0000-000048420000}"/>
    <cellStyle name="40% - Accent1 4 6" xfId="20511" xr:uid="{00000000-0005-0000-0000-000049420000}"/>
    <cellStyle name="40% - Accent1 4 6 10" xfId="20512" xr:uid="{00000000-0005-0000-0000-00004A420000}"/>
    <cellStyle name="40% - Accent1 4 6 11" xfId="20513" xr:uid="{00000000-0005-0000-0000-00004B420000}"/>
    <cellStyle name="40% - Accent1 4 6 2" xfId="20514" xr:uid="{00000000-0005-0000-0000-00004C420000}"/>
    <cellStyle name="40% - Accent1 4 6 2 2" xfId="20515" xr:uid="{00000000-0005-0000-0000-00004D420000}"/>
    <cellStyle name="40% - Accent1 4 6 2 2 2" xfId="20516" xr:uid="{00000000-0005-0000-0000-00004E420000}"/>
    <cellStyle name="40% - Accent1 4 6 2 2 2 2" xfId="20517" xr:uid="{00000000-0005-0000-0000-00004F420000}"/>
    <cellStyle name="40% - Accent1 4 6 2 2 2 2 2" xfId="20518" xr:uid="{00000000-0005-0000-0000-000050420000}"/>
    <cellStyle name="40% - Accent1 4 6 2 2 2 3" xfId="20519" xr:uid="{00000000-0005-0000-0000-000051420000}"/>
    <cellStyle name="40% - Accent1 4 6 2 2 3" xfId="20520" xr:uid="{00000000-0005-0000-0000-000052420000}"/>
    <cellStyle name="40% - Accent1 4 6 2 2 3 2" xfId="20521" xr:uid="{00000000-0005-0000-0000-000053420000}"/>
    <cellStyle name="40% - Accent1 4 6 2 2 4" xfId="20522" xr:uid="{00000000-0005-0000-0000-000054420000}"/>
    <cellStyle name="40% - Accent1 4 6 2 2 5" xfId="20523" xr:uid="{00000000-0005-0000-0000-000055420000}"/>
    <cellStyle name="40% - Accent1 4 6 2 2 6" xfId="20524" xr:uid="{00000000-0005-0000-0000-000056420000}"/>
    <cellStyle name="40% - Accent1 4 6 2 3" xfId="20525" xr:uid="{00000000-0005-0000-0000-000057420000}"/>
    <cellStyle name="40% - Accent1 4 6 2 3 2" xfId="20526" xr:uid="{00000000-0005-0000-0000-000058420000}"/>
    <cellStyle name="40% - Accent1 4 6 2 3 2 2" xfId="20527" xr:uid="{00000000-0005-0000-0000-000059420000}"/>
    <cellStyle name="40% - Accent1 4 6 2 3 3" xfId="20528" xr:uid="{00000000-0005-0000-0000-00005A420000}"/>
    <cellStyle name="40% - Accent1 4 6 2 4" xfId="20529" xr:uid="{00000000-0005-0000-0000-00005B420000}"/>
    <cellStyle name="40% - Accent1 4 6 2 4 2" xfId="20530" xr:uid="{00000000-0005-0000-0000-00005C420000}"/>
    <cellStyle name="40% - Accent1 4 6 2 5" xfId="20531" xr:uid="{00000000-0005-0000-0000-00005D420000}"/>
    <cellStyle name="40% - Accent1 4 6 2 5 2" xfId="20532" xr:uid="{00000000-0005-0000-0000-00005E420000}"/>
    <cellStyle name="40% - Accent1 4 6 2 6" xfId="20533" xr:uid="{00000000-0005-0000-0000-00005F420000}"/>
    <cellStyle name="40% - Accent1 4 6 2 7" xfId="20534" xr:uid="{00000000-0005-0000-0000-000060420000}"/>
    <cellStyle name="40% - Accent1 4 6 2 8" xfId="20535" xr:uid="{00000000-0005-0000-0000-000061420000}"/>
    <cellStyle name="40% - Accent1 4 6 3" xfId="20536" xr:uid="{00000000-0005-0000-0000-000062420000}"/>
    <cellStyle name="40% - Accent1 4 6 3 2" xfId="20537" xr:uid="{00000000-0005-0000-0000-000063420000}"/>
    <cellStyle name="40% - Accent1 4 6 3 2 2" xfId="20538" xr:uid="{00000000-0005-0000-0000-000064420000}"/>
    <cellStyle name="40% - Accent1 4 6 3 2 2 2" xfId="20539" xr:uid="{00000000-0005-0000-0000-000065420000}"/>
    <cellStyle name="40% - Accent1 4 6 3 2 2 2 2" xfId="20540" xr:uid="{00000000-0005-0000-0000-000066420000}"/>
    <cellStyle name="40% - Accent1 4 6 3 2 2 3" xfId="20541" xr:uid="{00000000-0005-0000-0000-000067420000}"/>
    <cellStyle name="40% - Accent1 4 6 3 2 3" xfId="20542" xr:uid="{00000000-0005-0000-0000-000068420000}"/>
    <cellStyle name="40% - Accent1 4 6 3 2 3 2" xfId="20543" xr:uid="{00000000-0005-0000-0000-000069420000}"/>
    <cellStyle name="40% - Accent1 4 6 3 2 4" xfId="20544" xr:uid="{00000000-0005-0000-0000-00006A420000}"/>
    <cellStyle name="40% - Accent1 4 6 3 2 5" xfId="20545" xr:uid="{00000000-0005-0000-0000-00006B420000}"/>
    <cellStyle name="40% - Accent1 4 6 3 2 6" xfId="20546" xr:uid="{00000000-0005-0000-0000-00006C420000}"/>
    <cellStyle name="40% - Accent1 4 6 3 3" xfId="20547" xr:uid="{00000000-0005-0000-0000-00006D420000}"/>
    <cellStyle name="40% - Accent1 4 6 3 3 2" xfId="20548" xr:uid="{00000000-0005-0000-0000-00006E420000}"/>
    <cellStyle name="40% - Accent1 4 6 3 3 2 2" xfId="20549" xr:uid="{00000000-0005-0000-0000-00006F420000}"/>
    <cellStyle name="40% - Accent1 4 6 3 3 3" xfId="20550" xr:uid="{00000000-0005-0000-0000-000070420000}"/>
    <cellStyle name="40% - Accent1 4 6 3 4" xfId="20551" xr:uid="{00000000-0005-0000-0000-000071420000}"/>
    <cellStyle name="40% - Accent1 4 6 3 4 2" xfId="20552" xr:uid="{00000000-0005-0000-0000-000072420000}"/>
    <cellStyle name="40% - Accent1 4 6 3 5" xfId="20553" xr:uid="{00000000-0005-0000-0000-000073420000}"/>
    <cellStyle name="40% - Accent1 4 6 3 6" xfId="20554" xr:uid="{00000000-0005-0000-0000-000074420000}"/>
    <cellStyle name="40% - Accent1 4 6 3 7" xfId="20555" xr:uid="{00000000-0005-0000-0000-000075420000}"/>
    <cellStyle name="40% - Accent1 4 6 4" xfId="20556" xr:uid="{00000000-0005-0000-0000-000076420000}"/>
    <cellStyle name="40% - Accent1 4 6 4 2" xfId="20557" xr:uid="{00000000-0005-0000-0000-000077420000}"/>
    <cellStyle name="40% - Accent1 4 6 4 2 2" xfId="20558" xr:uid="{00000000-0005-0000-0000-000078420000}"/>
    <cellStyle name="40% - Accent1 4 6 4 2 2 2" xfId="20559" xr:uid="{00000000-0005-0000-0000-000079420000}"/>
    <cellStyle name="40% - Accent1 4 6 4 2 3" xfId="20560" xr:uid="{00000000-0005-0000-0000-00007A420000}"/>
    <cellStyle name="40% - Accent1 4 6 4 3" xfId="20561" xr:uid="{00000000-0005-0000-0000-00007B420000}"/>
    <cellStyle name="40% - Accent1 4 6 4 3 2" xfId="20562" xr:uid="{00000000-0005-0000-0000-00007C420000}"/>
    <cellStyle name="40% - Accent1 4 6 4 4" xfId="20563" xr:uid="{00000000-0005-0000-0000-00007D420000}"/>
    <cellStyle name="40% - Accent1 4 6 4 5" xfId="20564" xr:uid="{00000000-0005-0000-0000-00007E420000}"/>
    <cellStyle name="40% - Accent1 4 6 4 6" xfId="20565" xr:uid="{00000000-0005-0000-0000-00007F420000}"/>
    <cellStyle name="40% - Accent1 4 6 5" xfId="20566" xr:uid="{00000000-0005-0000-0000-000080420000}"/>
    <cellStyle name="40% - Accent1 4 6 5 2" xfId="20567" xr:uid="{00000000-0005-0000-0000-000081420000}"/>
    <cellStyle name="40% - Accent1 4 6 5 2 2" xfId="20568" xr:uid="{00000000-0005-0000-0000-000082420000}"/>
    <cellStyle name="40% - Accent1 4 6 5 3" xfId="20569" xr:uid="{00000000-0005-0000-0000-000083420000}"/>
    <cellStyle name="40% - Accent1 4 6 6" xfId="20570" xr:uid="{00000000-0005-0000-0000-000084420000}"/>
    <cellStyle name="40% - Accent1 4 6 6 2" xfId="20571" xr:uid="{00000000-0005-0000-0000-000085420000}"/>
    <cellStyle name="40% - Accent1 4 6 6 2 2" xfId="20572" xr:uid="{00000000-0005-0000-0000-000086420000}"/>
    <cellStyle name="40% - Accent1 4 6 6 3" xfId="20573" xr:uid="{00000000-0005-0000-0000-000087420000}"/>
    <cellStyle name="40% - Accent1 4 6 7" xfId="20574" xr:uid="{00000000-0005-0000-0000-000088420000}"/>
    <cellStyle name="40% - Accent1 4 6 7 2" xfId="20575" xr:uid="{00000000-0005-0000-0000-000089420000}"/>
    <cellStyle name="40% - Accent1 4 6 8" xfId="20576" xr:uid="{00000000-0005-0000-0000-00008A420000}"/>
    <cellStyle name="40% - Accent1 4 6 8 2" xfId="20577" xr:uid="{00000000-0005-0000-0000-00008B420000}"/>
    <cellStyle name="40% - Accent1 4 6 9" xfId="20578" xr:uid="{00000000-0005-0000-0000-00008C420000}"/>
    <cellStyle name="40% - Accent1 4 7" xfId="20579" xr:uid="{00000000-0005-0000-0000-00008D420000}"/>
    <cellStyle name="40% - Accent1 4 7 10" xfId="20580" xr:uid="{00000000-0005-0000-0000-00008E420000}"/>
    <cellStyle name="40% - Accent1 4 7 11" xfId="20581" xr:uid="{00000000-0005-0000-0000-00008F420000}"/>
    <cellStyle name="40% - Accent1 4 7 2" xfId="20582" xr:uid="{00000000-0005-0000-0000-000090420000}"/>
    <cellStyle name="40% - Accent1 4 7 2 2" xfId="20583" xr:uid="{00000000-0005-0000-0000-000091420000}"/>
    <cellStyle name="40% - Accent1 4 7 2 2 2" xfId="20584" xr:uid="{00000000-0005-0000-0000-000092420000}"/>
    <cellStyle name="40% - Accent1 4 7 2 2 2 2" xfId="20585" xr:uid="{00000000-0005-0000-0000-000093420000}"/>
    <cellStyle name="40% - Accent1 4 7 2 2 2 2 2" xfId="20586" xr:uid="{00000000-0005-0000-0000-000094420000}"/>
    <cellStyle name="40% - Accent1 4 7 2 2 2 3" xfId="20587" xr:uid="{00000000-0005-0000-0000-000095420000}"/>
    <cellStyle name="40% - Accent1 4 7 2 2 3" xfId="20588" xr:uid="{00000000-0005-0000-0000-000096420000}"/>
    <cellStyle name="40% - Accent1 4 7 2 2 3 2" xfId="20589" xr:uid="{00000000-0005-0000-0000-000097420000}"/>
    <cellStyle name="40% - Accent1 4 7 2 2 4" xfId="20590" xr:uid="{00000000-0005-0000-0000-000098420000}"/>
    <cellStyle name="40% - Accent1 4 7 2 2 5" xfId="20591" xr:uid="{00000000-0005-0000-0000-000099420000}"/>
    <cellStyle name="40% - Accent1 4 7 2 2 6" xfId="20592" xr:uid="{00000000-0005-0000-0000-00009A420000}"/>
    <cellStyle name="40% - Accent1 4 7 2 3" xfId="20593" xr:uid="{00000000-0005-0000-0000-00009B420000}"/>
    <cellStyle name="40% - Accent1 4 7 2 3 2" xfId="20594" xr:uid="{00000000-0005-0000-0000-00009C420000}"/>
    <cellStyle name="40% - Accent1 4 7 2 3 2 2" xfId="20595" xr:uid="{00000000-0005-0000-0000-00009D420000}"/>
    <cellStyle name="40% - Accent1 4 7 2 3 3" xfId="20596" xr:uid="{00000000-0005-0000-0000-00009E420000}"/>
    <cellStyle name="40% - Accent1 4 7 2 4" xfId="20597" xr:uid="{00000000-0005-0000-0000-00009F420000}"/>
    <cellStyle name="40% - Accent1 4 7 2 4 2" xfId="20598" xr:uid="{00000000-0005-0000-0000-0000A0420000}"/>
    <cellStyle name="40% - Accent1 4 7 2 5" xfId="20599" xr:uid="{00000000-0005-0000-0000-0000A1420000}"/>
    <cellStyle name="40% - Accent1 4 7 2 5 2" xfId="20600" xr:uid="{00000000-0005-0000-0000-0000A2420000}"/>
    <cellStyle name="40% - Accent1 4 7 2 6" xfId="20601" xr:uid="{00000000-0005-0000-0000-0000A3420000}"/>
    <cellStyle name="40% - Accent1 4 7 2 7" xfId="20602" xr:uid="{00000000-0005-0000-0000-0000A4420000}"/>
    <cellStyle name="40% - Accent1 4 7 2 8" xfId="20603" xr:uid="{00000000-0005-0000-0000-0000A5420000}"/>
    <cellStyle name="40% - Accent1 4 7 3" xfId="20604" xr:uid="{00000000-0005-0000-0000-0000A6420000}"/>
    <cellStyle name="40% - Accent1 4 7 3 2" xfId="20605" xr:uid="{00000000-0005-0000-0000-0000A7420000}"/>
    <cellStyle name="40% - Accent1 4 7 3 2 2" xfId="20606" xr:uid="{00000000-0005-0000-0000-0000A8420000}"/>
    <cellStyle name="40% - Accent1 4 7 3 2 2 2" xfId="20607" xr:uid="{00000000-0005-0000-0000-0000A9420000}"/>
    <cellStyle name="40% - Accent1 4 7 3 2 2 2 2" xfId="20608" xr:uid="{00000000-0005-0000-0000-0000AA420000}"/>
    <cellStyle name="40% - Accent1 4 7 3 2 2 3" xfId="20609" xr:uid="{00000000-0005-0000-0000-0000AB420000}"/>
    <cellStyle name="40% - Accent1 4 7 3 2 3" xfId="20610" xr:uid="{00000000-0005-0000-0000-0000AC420000}"/>
    <cellStyle name="40% - Accent1 4 7 3 2 3 2" xfId="20611" xr:uid="{00000000-0005-0000-0000-0000AD420000}"/>
    <cellStyle name="40% - Accent1 4 7 3 2 4" xfId="20612" xr:uid="{00000000-0005-0000-0000-0000AE420000}"/>
    <cellStyle name="40% - Accent1 4 7 3 2 5" xfId="20613" xr:uid="{00000000-0005-0000-0000-0000AF420000}"/>
    <cellStyle name="40% - Accent1 4 7 3 2 6" xfId="20614" xr:uid="{00000000-0005-0000-0000-0000B0420000}"/>
    <cellStyle name="40% - Accent1 4 7 3 3" xfId="20615" xr:uid="{00000000-0005-0000-0000-0000B1420000}"/>
    <cellStyle name="40% - Accent1 4 7 3 3 2" xfId="20616" xr:uid="{00000000-0005-0000-0000-0000B2420000}"/>
    <cellStyle name="40% - Accent1 4 7 3 3 2 2" xfId="20617" xr:uid="{00000000-0005-0000-0000-0000B3420000}"/>
    <cellStyle name="40% - Accent1 4 7 3 3 3" xfId="20618" xr:uid="{00000000-0005-0000-0000-0000B4420000}"/>
    <cellStyle name="40% - Accent1 4 7 3 4" xfId="20619" xr:uid="{00000000-0005-0000-0000-0000B5420000}"/>
    <cellStyle name="40% - Accent1 4 7 3 4 2" xfId="20620" xr:uid="{00000000-0005-0000-0000-0000B6420000}"/>
    <cellStyle name="40% - Accent1 4 7 3 5" xfId="20621" xr:uid="{00000000-0005-0000-0000-0000B7420000}"/>
    <cellStyle name="40% - Accent1 4 7 3 6" xfId="20622" xr:uid="{00000000-0005-0000-0000-0000B8420000}"/>
    <cellStyle name="40% - Accent1 4 7 3 7" xfId="20623" xr:uid="{00000000-0005-0000-0000-0000B9420000}"/>
    <cellStyle name="40% - Accent1 4 7 4" xfId="20624" xr:uid="{00000000-0005-0000-0000-0000BA420000}"/>
    <cellStyle name="40% - Accent1 4 7 4 2" xfId="20625" xr:uid="{00000000-0005-0000-0000-0000BB420000}"/>
    <cellStyle name="40% - Accent1 4 7 4 2 2" xfId="20626" xr:uid="{00000000-0005-0000-0000-0000BC420000}"/>
    <cellStyle name="40% - Accent1 4 7 4 2 2 2" xfId="20627" xr:uid="{00000000-0005-0000-0000-0000BD420000}"/>
    <cellStyle name="40% - Accent1 4 7 4 2 3" xfId="20628" xr:uid="{00000000-0005-0000-0000-0000BE420000}"/>
    <cellStyle name="40% - Accent1 4 7 4 3" xfId="20629" xr:uid="{00000000-0005-0000-0000-0000BF420000}"/>
    <cellStyle name="40% - Accent1 4 7 4 3 2" xfId="20630" xr:uid="{00000000-0005-0000-0000-0000C0420000}"/>
    <cellStyle name="40% - Accent1 4 7 4 4" xfId="20631" xr:uid="{00000000-0005-0000-0000-0000C1420000}"/>
    <cellStyle name="40% - Accent1 4 7 4 5" xfId="20632" xr:uid="{00000000-0005-0000-0000-0000C2420000}"/>
    <cellStyle name="40% - Accent1 4 7 4 6" xfId="20633" xr:uid="{00000000-0005-0000-0000-0000C3420000}"/>
    <cellStyle name="40% - Accent1 4 7 5" xfId="20634" xr:uid="{00000000-0005-0000-0000-0000C4420000}"/>
    <cellStyle name="40% - Accent1 4 7 5 2" xfId="20635" xr:uid="{00000000-0005-0000-0000-0000C5420000}"/>
    <cellStyle name="40% - Accent1 4 7 5 2 2" xfId="20636" xr:uid="{00000000-0005-0000-0000-0000C6420000}"/>
    <cellStyle name="40% - Accent1 4 7 5 3" xfId="20637" xr:uid="{00000000-0005-0000-0000-0000C7420000}"/>
    <cellStyle name="40% - Accent1 4 7 6" xfId="20638" xr:uid="{00000000-0005-0000-0000-0000C8420000}"/>
    <cellStyle name="40% - Accent1 4 7 6 2" xfId="20639" xr:uid="{00000000-0005-0000-0000-0000C9420000}"/>
    <cellStyle name="40% - Accent1 4 7 6 2 2" xfId="20640" xr:uid="{00000000-0005-0000-0000-0000CA420000}"/>
    <cellStyle name="40% - Accent1 4 7 6 3" xfId="20641" xr:uid="{00000000-0005-0000-0000-0000CB420000}"/>
    <cellStyle name="40% - Accent1 4 7 7" xfId="20642" xr:uid="{00000000-0005-0000-0000-0000CC420000}"/>
    <cellStyle name="40% - Accent1 4 7 7 2" xfId="20643" xr:uid="{00000000-0005-0000-0000-0000CD420000}"/>
    <cellStyle name="40% - Accent1 4 7 8" xfId="20644" xr:uid="{00000000-0005-0000-0000-0000CE420000}"/>
    <cellStyle name="40% - Accent1 4 7 8 2" xfId="20645" xr:uid="{00000000-0005-0000-0000-0000CF420000}"/>
    <cellStyle name="40% - Accent1 4 7 9" xfId="20646" xr:uid="{00000000-0005-0000-0000-0000D0420000}"/>
    <cellStyle name="40% - Accent1 4 8" xfId="20647" xr:uid="{00000000-0005-0000-0000-0000D1420000}"/>
    <cellStyle name="40% - Accent1 4 8 10" xfId="20648" xr:uid="{00000000-0005-0000-0000-0000D2420000}"/>
    <cellStyle name="40% - Accent1 4 8 11" xfId="20649" xr:uid="{00000000-0005-0000-0000-0000D3420000}"/>
    <cellStyle name="40% - Accent1 4 8 2" xfId="20650" xr:uid="{00000000-0005-0000-0000-0000D4420000}"/>
    <cellStyle name="40% - Accent1 4 8 2 2" xfId="20651" xr:uid="{00000000-0005-0000-0000-0000D5420000}"/>
    <cellStyle name="40% - Accent1 4 8 2 2 2" xfId="20652" xr:uid="{00000000-0005-0000-0000-0000D6420000}"/>
    <cellStyle name="40% - Accent1 4 8 2 2 2 2" xfId="20653" xr:uid="{00000000-0005-0000-0000-0000D7420000}"/>
    <cellStyle name="40% - Accent1 4 8 2 2 2 2 2" xfId="20654" xr:uid="{00000000-0005-0000-0000-0000D8420000}"/>
    <cellStyle name="40% - Accent1 4 8 2 2 2 3" xfId="20655" xr:uid="{00000000-0005-0000-0000-0000D9420000}"/>
    <cellStyle name="40% - Accent1 4 8 2 2 3" xfId="20656" xr:uid="{00000000-0005-0000-0000-0000DA420000}"/>
    <cellStyle name="40% - Accent1 4 8 2 2 3 2" xfId="20657" xr:uid="{00000000-0005-0000-0000-0000DB420000}"/>
    <cellStyle name="40% - Accent1 4 8 2 2 4" xfId="20658" xr:uid="{00000000-0005-0000-0000-0000DC420000}"/>
    <cellStyle name="40% - Accent1 4 8 2 2 5" xfId="20659" xr:uid="{00000000-0005-0000-0000-0000DD420000}"/>
    <cellStyle name="40% - Accent1 4 8 2 2 6" xfId="20660" xr:uid="{00000000-0005-0000-0000-0000DE420000}"/>
    <cellStyle name="40% - Accent1 4 8 2 3" xfId="20661" xr:uid="{00000000-0005-0000-0000-0000DF420000}"/>
    <cellStyle name="40% - Accent1 4 8 2 3 2" xfId="20662" xr:uid="{00000000-0005-0000-0000-0000E0420000}"/>
    <cellStyle name="40% - Accent1 4 8 2 3 2 2" xfId="20663" xr:uid="{00000000-0005-0000-0000-0000E1420000}"/>
    <cellStyle name="40% - Accent1 4 8 2 3 3" xfId="20664" xr:uid="{00000000-0005-0000-0000-0000E2420000}"/>
    <cellStyle name="40% - Accent1 4 8 2 4" xfId="20665" xr:uid="{00000000-0005-0000-0000-0000E3420000}"/>
    <cellStyle name="40% - Accent1 4 8 2 4 2" xfId="20666" xr:uid="{00000000-0005-0000-0000-0000E4420000}"/>
    <cellStyle name="40% - Accent1 4 8 2 5" xfId="20667" xr:uid="{00000000-0005-0000-0000-0000E5420000}"/>
    <cellStyle name="40% - Accent1 4 8 2 5 2" xfId="20668" xr:uid="{00000000-0005-0000-0000-0000E6420000}"/>
    <cellStyle name="40% - Accent1 4 8 2 6" xfId="20669" xr:uid="{00000000-0005-0000-0000-0000E7420000}"/>
    <cellStyle name="40% - Accent1 4 8 2 7" xfId="20670" xr:uid="{00000000-0005-0000-0000-0000E8420000}"/>
    <cellStyle name="40% - Accent1 4 8 2 8" xfId="20671" xr:uid="{00000000-0005-0000-0000-0000E9420000}"/>
    <cellStyle name="40% - Accent1 4 8 3" xfId="20672" xr:uid="{00000000-0005-0000-0000-0000EA420000}"/>
    <cellStyle name="40% - Accent1 4 8 3 2" xfId="20673" xr:uid="{00000000-0005-0000-0000-0000EB420000}"/>
    <cellStyle name="40% - Accent1 4 8 3 2 2" xfId="20674" xr:uid="{00000000-0005-0000-0000-0000EC420000}"/>
    <cellStyle name="40% - Accent1 4 8 3 2 2 2" xfId="20675" xr:uid="{00000000-0005-0000-0000-0000ED420000}"/>
    <cellStyle name="40% - Accent1 4 8 3 2 2 2 2" xfId="20676" xr:uid="{00000000-0005-0000-0000-0000EE420000}"/>
    <cellStyle name="40% - Accent1 4 8 3 2 2 3" xfId="20677" xr:uid="{00000000-0005-0000-0000-0000EF420000}"/>
    <cellStyle name="40% - Accent1 4 8 3 2 3" xfId="20678" xr:uid="{00000000-0005-0000-0000-0000F0420000}"/>
    <cellStyle name="40% - Accent1 4 8 3 2 3 2" xfId="20679" xr:uid="{00000000-0005-0000-0000-0000F1420000}"/>
    <cellStyle name="40% - Accent1 4 8 3 2 4" xfId="20680" xr:uid="{00000000-0005-0000-0000-0000F2420000}"/>
    <cellStyle name="40% - Accent1 4 8 3 2 5" xfId="20681" xr:uid="{00000000-0005-0000-0000-0000F3420000}"/>
    <cellStyle name="40% - Accent1 4 8 3 2 6" xfId="20682" xr:uid="{00000000-0005-0000-0000-0000F4420000}"/>
    <cellStyle name="40% - Accent1 4 8 3 3" xfId="20683" xr:uid="{00000000-0005-0000-0000-0000F5420000}"/>
    <cellStyle name="40% - Accent1 4 8 3 3 2" xfId="20684" xr:uid="{00000000-0005-0000-0000-0000F6420000}"/>
    <cellStyle name="40% - Accent1 4 8 3 3 2 2" xfId="20685" xr:uid="{00000000-0005-0000-0000-0000F7420000}"/>
    <cellStyle name="40% - Accent1 4 8 3 3 3" xfId="20686" xr:uid="{00000000-0005-0000-0000-0000F8420000}"/>
    <cellStyle name="40% - Accent1 4 8 3 4" xfId="20687" xr:uid="{00000000-0005-0000-0000-0000F9420000}"/>
    <cellStyle name="40% - Accent1 4 8 3 4 2" xfId="20688" xr:uid="{00000000-0005-0000-0000-0000FA420000}"/>
    <cellStyle name="40% - Accent1 4 8 3 5" xfId="20689" xr:uid="{00000000-0005-0000-0000-0000FB420000}"/>
    <cellStyle name="40% - Accent1 4 8 3 6" xfId="20690" xr:uid="{00000000-0005-0000-0000-0000FC420000}"/>
    <cellStyle name="40% - Accent1 4 8 3 7" xfId="20691" xr:uid="{00000000-0005-0000-0000-0000FD420000}"/>
    <cellStyle name="40% - Accent1 4 8 4" xfId="20692" xr:uid="{00000000-0005-0000-0000-0000FE420000}"/>
    <cellStyle name="40% - Accent1 4 8 4 2" xfId="20693" xr:uid="{00000000-0005-0000-0000-0000FF420000}"/>
    <cellStyle name="40% - Accent1 4 8 4 2 2" xfId="20694" xr:uid="{00000000-0005-0000-0000-000000430000}"/>
    <cellStyle name="40% - Accent1 4 8 4 2 2 2" xfId="20695" xr:uid="{00000000-0005-0000-0000-000001430000}"/>
    <cellStyle name="40% - Accent1 4 8 4 2 3" xfId="20696" xr:uid="{00000000-0005-0000-0000-000002430000}"/>
    <cellStyle name="40% - Accent1 4 8 4 3" xfId="20697" xr:uid="{00000000-0005-0000-0000-000003430000}"/>
    <cellStyle name="40% - Accent1 4 8 4 3 2" xfId="20698" xr:uid="{00000000-0005-0000-0000-000004430000}"/>
    <cellStyle name="40% - Accent1 4 8 4 4" xfId="20699" xr:uid="{00000000-0005-0000-0000-000005430000}"/>
    <cellStyle name="40% - Accent1 4 8 4 5" xfId="20700" xr:uid="{00000000-0005-0000-0000-000006430000}"/>
    <cellStyle name="40% - Accent1 4 8 4 6" xfId="20701" xr:uid="{00000000-0005-0000-0000-000007430000}"/>
    <cellStyle name="40% - Accent1 4 8 5" xfId="20702" xr:uid="{00000000-0005-0000-0000-000008430000}"/>
    <cellStyle name="40% - Accent1 4 8 5 2" xfId="20703" xr:uid="{00000000-0005-0000-0000-000009430000}"/>
    <cellStyle name="40% - Accent1 4 8 5 2 2" xfId="20704" xr:uid="{00000000-0005-0000-0000-00000A430000}"/>
    <cellStyle name="40% - Accent1 4 8 5 3" xfId="20705" xr:uid="{00000000-0005-0000-0000-00000B430000}"/>
    <cellStyle name="40% - Accent1 4 8 6" xfId="20706" xr:uid="{00000000-0005-0000-0000-00000C430000}"/>
    <cellStyle name="40% - Accent1 4 8 6 2" xfId="20707" xr:uid="{00000000-0005-0000-0000-00000D430000}"/>
    <cellStyle name="40% - Accent1 4 8 6 2 2" xfId="20708" xr:uid="{00000000-0005-0000-0000-00000E430000}"/>
    <cellStyle name="40% - Accent1 4 8 6 3" xfId="20709" xr:uid="{00000000-0005-0000-0000-00000F430000}"/>
    <cellStyle name="40% - Accent1 4 8 7" xfId="20710" xr:uid="{00000000-0005-0000-0000-000010430000}"/>
    <cellStyle name="40% - Accent1 4 8 7 2" xfId="20711" xr:uid="{00000000-0005-0000-0000-000011430000}"/>
    <cellStyle name="40% - Accent1 4 8 8" xfId="20712" xr:uid="{00000000-0005-0000-0000-000012430000}"/>
    <cellStyle name="40% - Accent1 4 8 8 2" xfId="20713" xr:uid="{00000000-0005-0000-0000-000013430000}"/>
    <cellStyle name="40% - Accent1 4 8 9" xfId="20714" xr:uid="{00000000-0005-0000-0000-000014430000}"/>
    <cellStyle name="40% - Accent1 4 9" xfId="20715" xr:uid="{00000000-0005-0000-0000-000015430000}"/>
    <cellStyle name="40% - Accent1 4 9 10" xfId="20716" xr:uid="{00000000-0005-0000-0000-000016430000}"/>
    <cellStyle name="40% - Accent1 4 9 2" xfId="20717" xr:uid="{00000000-0005-0000-0000-000017430000}"/>
    <cellStyle name="40% - Accent1 4 9 2 2" xfId="20718" xr:uid="{00000000-0005-0000-0000-000018430000}"/>
    <cellStyle name="40% - Accent1 4 9 2 2 2" xfId="20719" xr:uid="{00000000-0005-0000-0000-000019430000}"/>
    <cellStyle name="40% - Accent1 4 9 2 2 2 2" xfId="20720" xr:uid="{00000000-0005-0000-0000-00001A430000}"/>
    <cellStyle name="40% - Accent1 4 9 2 2 2 2 2" xfId="20721" xr:uid="{00000000-0005-0000-0000-00001B430000}"/>
    <cellStyle name="40% - Accent1 4 9 2 2 2 3" xfId="20722" xr:uid="{00000000-0005-0000-0000-00001C430000}"/>
    <cellStyle name="40% - Accent1 4 9 2 2 3" xfId="20723" xr:uid="{00000000-0005-0000-0000-00001D430000}"/>
    <cellStyle name="40% - Accent1 4 9 2 2 3 2" xfId="20724" xr:uid="{00000000-0005-0000-0000-00001E430000}"/>
    <cellStyle name="40% - Accent1 4 9 2 2 4" xfId="20725" xr:uid="{00000000-0005-0000-0000-00001F430000}"/>
    <cellStyle name="40% - Accent1 4 9 2 2 5" xfId="20726" xr:uid="{00000000-0005-0000-0000-000020430000}"/>
    <cellStyle name="40% - Accent1 4 9 2 2 6" xfId="20727" xr:uid="{00000000-0005-0000-0000-000021430000}"/>
    <cellStyle name="40% - Accent1 4 9 2 3" xfId="20728" xr:uid="{00000000-0005-0000-0000-000022430000}"/>
    <cellStyle name="40% - Accent1 4 9 2 3 2" xfId="20729" xr:uid="{00000000-0005-0000-0000-000023430000}"/>
    <cellStyle name="40% - Accent1 4 9 2 3 2 2" xfId="20730" xr:uid="{00000000-0005-0000-0000-000024430000}"/>
    <cellStyle name="40% - Accent1 4 9 2 3 3" xfId="20731" xr:uid="{00000000-0005-0000-0000-000025430000}"/>
    <cellStyle name="40% - Accent1 4 9 2 4" xfId="20732" xr:uid="{00000000-0005-0000-0000-000026430000}"/>
    <cellStyle name="40% - Accent1 4 9 2 4 2" xfId="20733" xr:uid="{00000000-0005-0000-0000-000027430000}"/>
    <cellStyle name="40% - Accent1 4 9 2 5" xfId="20734" xr:uid="{00000000-0005-0000-0000-000028430000}"/>
    <cellStyle name="40% - Accent1 4 9 2 6" xfId="20735" xr:uid="{00000000-0005-0000-0000-000029430000}"/>
    <cellStyle name="40% - Accent1 4 9 2 7" xfId="20736" xr:uid="{00000000-0005-0000-0000-00002A430000}"/>
    <cellStyle name="40% - Accent1 4 9 3" xfId="20737" xr:uid="{00000000-0005-0000-0000-00002B430000}"/>
    <cellStyle name="40% - Accent1 4 9 3 2" xfId="20738" xr:uid="{00000000-0005-0000-0000-00002C430000}"/>
    <cellStyle name="40% - Accent1 4 9 3 2 2" xfId="20739" xr:uid="{00000000-0005-0000-0000-00002D430000}"/>
    <cellStyle name="40% - Accent1 4 9 3 2 2 2" xfId="20740" xr:uid="{00000000-0005-0000-0000-00002E430000}"/>
    <cellStyle name="40% - Accent1 4 9 3 2 3" xfId="20741" xr:uid="{00000000-0005-0000-0000-00002F430000}"/>
    <cellStyle name="40% - Accent1 4 9 3 3" xfId="20742" xr:uid="{00000000-0005-0000-0000-000030430000}"/>
    <cellStyle name="40% - Accent1 4 9 3 3 2" xfId="20743" xr:uid="{00000000-0005-0000-0000-000031430000}"/>
    <cellStyle name="40% - Accent1 4 9 3 4" xfId="20744" xr:uid="{00000000-0005-0000-0000-000032430000}"/>
    <cellStyle name="40% - Accent1 4 9 3 5" xfId="20745" xr:uid="{00000000-0005-0000-0000-000033430000}"/>
    <cellStyle name="40% - Accent1 4 9 3 6" xfId="20746" xr:uid="{00000000-0005-0000-0000-000034430000}"/>
    <cellStyle name="40% - Accent1 4 9 4" xfId="20747" xr:uid="{00000000-0005-0000-0000-000035430000}"/>
    <cellStyle name="40% - Accent1 4 9 4 2" xfId="20748" xr:uid="{00000000-0005-0000-0000-000036430000}"/>
    <cellStyle name="40% - Accent1 4 9 4 2 2" xfId="20749" xr:uid="{00000000-0005-0000-0000-000037430000}"/>
    <cellStyle name="40% - Accent1 4 9 4 3" xfId="20750" xr:uid="{00000000-0005-0000-0000-000038430000}"/>
    <cellStyle name="40% - Accent1 4 9 5" xfId="20751" xr:uid="{00000000-0005-0000-0000-000039430000}"/>
    <cellStyle name="40% - Accent1 4 9 5 2" xfId="20752" xr:uid="{00000000-0005-0000-0000-00003A430000}"/>
    <cellStyle name="40% - Accent1 4 9 5 2 2" xfId="20753" xr:uid="{00000000-0005-0000-0000-00003B430000}"/>
    <cellStyle name="40% - Accent1 4 9 5 3" xfId="20754" xr:uid="{00000000-0005-0000-0000-00003C430000}"/>
    <cellStyle name="40% - Accent1 4 9 6" xfId="20755" xr:uid="{00000000-0005-0000-0000-00003D430000}"/>
    <cellStyle name="40% - Accent1 4 9 6 2" xfId="20756" xr:uid="{00000000-0005-0000-0000-00003E430000}"/>
    <cellStyle name="40% - Accent1 4 9 7" xfId="20757" xr:uid="{00000000-0005-0000-0000-00003F430000}"/>
    <cellStyle name="40% - Accent1 4 9 7 2" xfId="20758" xr:uid="{00000000-0005-0000-0000-000040430000}"/>
    <cellStyle name="40% - Accent1 4 9 8" xfId="20759" xr:uid="{00000000-0005-0000-0000-000041430000}"/>
    <cellStyle name="40% - Accent1 4 9 9" xfId="20760" xr:uid="{00000000-0005-0000-0000-000042430000}"/>
    <cellStyle name="40% - Accent1 5" xfId="194" xr:uid="{00000000-0005-0000-0000-000043430000}"/>
    <cellStyle name="40% - Accent1 5 10" xfId="20761" xr:uid="{00000000-0005-0000-0000-000044430000}"/>
    <cellStyle name="40% - Accent1 5 10 2" xfId="20762" xr:uid="{00000000-0005-0000-0000-000045430000}"/>
    <cellStyle name="40% - Accent1 5 11" xfId="20763" xr:uid="{00000000-0005-0000-0000-000046430000}"/>
    <cellStyle name="40% - Accent1 5 11 2" xfId="20764" xr:uid="{00000000-0005-0000-0000-000047430000}"/>
    <cellStyle name="40% - Accent1 5 11 2 2" xfId="20765" xr:uid="{00000000-0005-0000-0000-000048430000}"/>
    <cellStyle name="40% - Accent1 5 11 2 2 2" xfId="20766" xr:uid="{00000000-0005-0000-0000-000049430000}"/>
    <cellStyle name="40% - Accent1 5 11 2 2 2 2" xfId="20767" xr:uid="{00000000-0005-0000-0000-00004A430000}"/>
    <cellStyle name="40% - Accent1 5 11 2 2 3" xfId="20768" xr:uid="{00000000-0005-0000-0000-00004B430000}"/>
    <cellStyle name="40% - Accent1 5 11 2 3" xfId="20769" xr:uid="{00000000-0005-0000-0000-00004C430000}"/>
    <cellStyle name="40% - Accent1 5 11 2 3 2" xfId="20770" xr:uid="{00000000-0005-0000-0000-00004D430000}"/>
    <cellStyle name="40% - Accent1 5 11 2 4" xfId="20771" xr:uid="{00000000-0005-0000-0000-00004E430000}"/>
    <cellStyle name="40% - Accent1 5 11 2 5" xfId="20772" xr:uid="{00000000-0005-0000-0000-00004F430000}"/>
    <cellStyle name="40% - Accent1 5 11 2 6" xfId="20773" xr:uid="{00000000-0005-0000-0000-000050430000}"/>
    <cellStyle name="40% - Accent1 5 11 3" xfId="20774" xr:uid="{00000000-0005-0000-0000-000051430000}"/>
    <cellStyle name="40% - Accent1 5 11 3 2" xfId="20775" xr:uid="{00000000-0005-0000-0000-000052430000}"/>
    <cellStyle name="40% - Accent1 5 11 3 2 2" xfId="20776" xr:uid="{00000000-0005-0000-0000-000053430000}"/>
    <cellStyle name="40% - Accent1 5 11 3 3" xfId="20777" xr:uid="{00000000-0005-0000-0000-000054430000}"/>
    <cellStyle name="40% - Accent1 5 11 4" xfId="20778" xr:uid="{00000000-0005-0000-0000-000055430000}"/>
    <cellStyle name="40% - Accent1 5 11 4 2" xfId="20779" xr:uid="{00000000-0005-0000-0000-000056430000}"/>
    <cellStyle name="40% - Accent1 5 11 5" xfId="20780" xr:uid="{00000000-0005-0000-0000-000057430000}"/>
    <cellStyle name="40% - Accent1 5 11 6" xfId="20781" xr:uid="{00000000-0005-0000-0000-000058430000}"/>
    <cellStyle name="40% - Accent1 5 11 7" xfId="20782" xr:uid="{00000000-0005-0000-0000-000059430000}"/>
    <cellStyle name="40% - Accent1 5 12" xfId="20783" xr:uid="{00000000-0005-0000-0000-00005A430000}"/>
    <cellStyle name="40% - Accent1 5 12 2" xfId="20784" xr:uid="{00000000-0005-0000-0000-00005B430000}"/>
    <cellStyle name="40% - Accent1 5 12 2 2" xfId="20785" xr:uid="{00000000-0005-0000-0000-00005C430000}"/>
    <cellStyle name="40% - Accent1 5 12 2 2 2" xfId="20786" xr:uid="{00000000-0005-0000-0000-00005D430000}"/>
    <cellStyle name="40% - Accent1 5 12 2 2 2 2" xfId="20787" xr:uid="{00000000-0005-0000-0000-00005E430000}"/>
    <cellStyle name="40% - Accent1 5 12 2 2 3" xfId="20788" xr:uid="{00000000-0005-0000-0000-00005F430000}"/>
    <cellStyle name="40% - Accent1 5 12 2 3" xfId="20789" xr:uid="{00000000-0005-0000-0000-000060430000}"/>
    <cellStyle name="40% - Accent1 5 12 2 3 2" xfId="20790" xr:uid="{00000000-0005-0000-0000-000061430000}"/>
    <cellStyle name="40% - Accent1 5 12 2 4" xfId="20791" xr:uid="{00000000-0005-0000-0000-000062430000}"/>
    <cellStyle name="40% - Accent1 5 12 2 5" xfId="20792" xr:uid="{00000000-0005-0000-0000-000063430000}"/>
    <cellStyle name="40% - Accent1 5 12 2 6" xfId="20793" xr:uid="{00000000-0005-0000-0000-000064430000}"/>
    <cellStyle name="40% - Accent1 5 12 3" xfId="20794" xr:uid="{00000000-0005-0000-0000-000065430000}"/>
    <cellStyle name="40% - Accent1 5 12 3 2" xfId="20795" xr:uid="{00000000-0005-0000-0000-000066430000}"/>
    <cellStyle name="40% - Accent1 5 12 3 2 2" xfId="20796" xr:uid="{00000000-0005-0000-0000-000067430000}"/>
    <cellStyle name="40% - Accent1 5 12 3 3" xfId="20797" xr:uid="{00000000-0005-0000-0000-000068430000}"/>
    <cellStyle name="40% - Accent1 5 12 4" xfId="20798" xr:uid="{00000000-0005-0000-0000-000069430000}"/>
    <cellStyle name="40% - Accent1 5 12 4 2" xfId="20799" xr:uid="{00000000-0005-0000-0000-00006A430000}"/>
    <cellStyle name="40% - Accent1 5 12 5" xfId="20800" xr:uid="{00000000-0005-0000-0000-00006B430000}"/>
    <cellStyle name="40% - Accent1 5 12 6" xfId="20801" xr:uid="{00000000-0005-0000-0000-00006C430000}"/>
    <cellStyle name="40% - Accent1 5 12 7" xfId="20802" xr:uid="{00000000-0005-0000-0000-00006D430000}"/>
    <cellStyle name="40% - Accent1 5 13" xfId="20803" xr:uid="{00000000-0005-0000-0000-00006E430000}"/>
    <cellStyle name="40% - Accent1 5 13 2" xfId="20804" xr:uid="{00000000-0005-0000-0000-00006F430000}"/>
    <cellStyle name="40% - Accent1 5 13 2 2" xfId="20805" xr:uid="{00000000-0005-0000-0000-000070430000}"/>
    <cellStyle name="40% - Accent1 5 13 2 2 2" xfId="20806" xr:uid="{00000000-0005-0000-0000-000071430000}"/>
    <cellStyle name="40% - Accent1 5 13 2 3" xfId="20807" xr:uid="{00000000-0005-0000-0000-000072430000}"/>
    <cellStyle name="40% - Accent1 5 13 3" xfId="20808" xr:uid="{00000000-0005-0000-0000-000073430000}"/>
    <cellStyle name="40% - Accent1 5 13 3 2" xfId="20809" xr:uid="{00000000-0005-0000-0000-000074430000}"/>
    <cellStyle name="40% - Accent1 5 13 4" xfId="20810" xr:uid="{00000000-0005-0000-0000-000075430000}"/>
    <cellStyle name="40% - Accent1 5 13 5" xfId="20811" xr:uid="{00000000-0005-0000-0000-000076430000}"/>
    <cellStyle name="40% - Accent1 5 13 6" xfId="20812" xr:uid="{00000000-0005-0000-0000-000077430000}"/>
    <cellStyle name="40% - Accent1 5 14" xfId="20813" xr:uid="{00000000-0005-0000-0000-000078430000}"/>
    <cellStyle name="40% - Accent1 5 14 2" xfId="20814" xr:uid="{00000000-0005-0000-0000-000079430000}"/>
    <cellStyle name="40% - Accent1 5 14 2 2" xfId="20815" xr:uid="{00000000-0005-0000-0000-00007A430000}"/>
    <cellStyle name="40% - Accent1 5 14 3" xfId="20816" xr:uid="{00000000-0005-0000-0000-00007B430000}"/>
    <cellStyle name="40% - Accent1 5 15" xfId="20817" xr:uid="{00000000-0005-0000-0000-00007C430000}"/>
    <cellStyle name="40% - Accent1 5 15 2" xfId="20818" xr:uid="{00000000-0005-0000-0000-00007D430000}"/>
    <cellStyle name="40% - Accent1 5 15 2 2" xfId="20819" xr:uid="{00000000-0005-0000-0000-00007E430000}"/>
    <cellStyle name="40% - Accent1 5 15 3" xfId="20820" xr:uid="{00000000-0005-0000-0000-00007F430000}"/>
    <cellStyle name="40% - Accent1 5 16" xfId="20821" xr:uid="{00000000-0005-0000-0000-000080430000}"/>
    <cellStyle name="40% - Accent1 5 16 2" xfId="20822" xr:uid="{00000000-0005-0000-0000-000081430000}"/>
    <cellStyle name="40% - Accent1 5 17" xfId="20823" xr:uid="{00000000-0005-0000-0000-000082430000}"/>
    <cellStyle name="40% - Accent1 5 17 2" xfId="20824" xr:uid="{00000000-0005-0000-0000-000083430000}"/>
    <cellStyle name="40% - Accent1 5 18" xfId="20825" xr:uid="{00000000-0005-0000-0000-000084430000}"/>
    <cellStyle name="40% - Accent1 5 19" xfId="20826" xr:uid="{00000000-0005-0000-0000-000085430000}"/>
    <cellStyle name="40% - Accent1 5 2" xfId="20827" xr:uid="{00000000-0005-0000-0000-000086430000}"/>
    <cellStyle name="40% - Accent1 5 2 10" xfId="20828" xr:uid="{00000000-0005-0000-0000-000087430000}"/>
    <cellStyle name="40% - Accent1 5 2 11" xfId="20829" xr:uid="{00000000-0005-0000-0000-000088430000}"/>
    <cellStyle name="40% - Accent1 5 2 2" xfId="20830" xr:uid="{00000000-0005-0000-0000-000089430000}"/>
    <cellStyle name="40% - Accent1 5 2 2 2" xfId="20831" xr:uid="{00000000-0005-0000-0000-00008A430000}"/>
    <cellStyle name="40% - Accent1 5 2 2 2 2" xfId="20832" xr:uid="{00000000-0005-0000-0000-00008B430000}"/>
    <cellStyle name="40% - Accent1 5 2 2 2 2 2" xfId="20833" xr:uid="{00000000-0005-0000-0000-00008C430000}"/>
    <cellStyle name="40% - Accent1 5 2 2 2 2 2 2" xfId="20834" xr:uid="{00000000-0005-0000-0000-00008D430000}"/>
    <cellStyle name="40% - Accent1 5 2 2 2 2 3" xfId="20835" xr:uid="{00000000-0005-0000-0000-00008E430000}"/>
    <cellStyle name="40% - Accent1 5 2 2 2 3" xfId="20836" xr:uid="{00000000-0005-0000-0000-00008F430000}"/>
    <cellStyle name="40% - Accent1 5 2 2 2 3 2" xfId="20837" xr:uid="{00000000-0005-0000-0000-000090430000}"/>
    <cellStyle name="40% - Accent1 5 2 2 2 4" xfId="20838" xr:uid="{00000000-0005-0000-0000-000091430000}"/>
    <cellStyle name="40% - Accent1 5 2 2 2 5" xfId="20839" xr:uid="{00000000-0005-0000-0000-000092430000}"/>
    <cellStyle name="40% - Accent1 5 2 2 2 6" xfId="20840" xr:uid="{00000000-0005-0000-0000-000093430000}"/>
    <cellStyle name="40% - Accent1 5 2 2 3" xfId="20841" xr:uid="{00000000-0005-0000-0000-000094430000}"/>
    <cellStyle name="40% - Accent1 5 2 2 3 2" xfId="20842" xr:uid="{00000000-0005-0000-0000-000095430000}"/>
    <cellStyle name="40% - Accent1 5 2 2 3 2 2" xfId="20843" xr:uid="{00000000-0005-0000-0000-000096430000}"/>
    <cellStyle name="40% - Accent1 5 2 2 3 3" xfId="20844" xr:uid="{00000000-0005-0000-0000-000097430000}"/>
    <cellStyle name="40% - Accent1 5 2 2 4" xfId="20845" xr:uid="{00000000-0005-0000-0000-000098430000}"/>
    <cellStyle name="40% - Accent1 5 2 2 4 2" xfId="20846" xr:uid="{00000000-0005-0000-0000-000099430000}"/>
    <cellStyle name="40% - Accent1 5 2 2 5" xfId="20847" xr:uid="{00000000-0005-0000-0000-00009A430000}"/>
    <cellStyle name="40% - Accent1 5 2 2 5 2" xfId="20848" xr:uid="{00000000-0005-0000-0000-00009B430000}"/>
    <cellStyle name="40% - Accent1 5 2 2 6" xfId="20849" xr:uid="{00000000-0005-0000-0000-00009C430000}"/>
    <cellStyle name="40% - Accent1 5 2 2 7" xfId="20850" xr:uid="{00000000-0005-0000-0000-00009D430000}"/>
    <cellStyle name="40% - Accent1 5 2 2 8" xfId="20851" xr:uid="{00000000-0005-0000-0000-00009E430000}"/>
    <cellStyle name="40% - Accent1 5 2 3" xfId="20852" xr:uid="{00000000-0005-0000-0000-00009F430000}"/>
    <cellStyle name="40% - Accent1 5 2 3 2" xfId="20853" xr:uid="{00000000-0005-0000-0000-0000A0430000}"/>
    <cellStyle name="40% - Accent1 5 2 3 2 2" xfId="20854" xr:uid="{00000000-0005-0000-0000-0000A1430000}"/>
    <cellStyle name="40% - Accent1 5 2 3 2 2 2" xfId="20855" xr:uid="{00000000-0005-0000-0000-0000A2430000}"/>
    <cellStyle name="40% - Accent1 5 2 3 2 2 2 2" xfId="20856" xr:uid="{00000000-0005-0000-0000-0000A3430000}"/>
    <cellStyle name="40% - Accent1 5 2 3 2 2 3" xfId="20857" xr:uid="{00000000-0005-0000-0000-0000A4430000}"/>
    <cellStyle name="40% - Accent1 5 2 3 2 3" xfId="20858" xr:uid="{00000000-0005-0000-0000-0000A5430000}"/>
    <cellStyle name="40% - Accent1 5 2 3 2 3 2" xfId="20859" xr:uid="{00000000-0005-0000-0000-0000A6430000}"/>
    <cellStyle name="40% - Accent1 5 2 3 2 4" xfId="20860" xr:uid="{00000000-0005-0000-0000-0000A7430000}"/>
    <cellStyle name="40% - Accent1 5 2 3 2 5" xfId="20861" xr:uid="{00000000-0005-0000-0000-0000A8430000}"/>
    <cellStyle name="40% - Accent1 5 2 3 2 6" xfId="20862" xr:uid="{00000000-0005-0000-0000-0000A9430000}"/>
    <cellStyle name="40% - Accent1 5 2 3 3" xfId="20863" xr:uid="{00000000-0005-0000-0000-0000AA430000}"/>
    <cellStyle name="40% - Accent1 5 2 3 3 2" xfId="20864" xr:uid="{00000000-0005-0000-0000-0000AB430000}"/>
    <cellStyle name="40% - Accent1 5 2 3 3 2 2" xfId="20865" xr:uid="{00000000-0005-0000-0000-0000AC430000}"/>
    <cellStyle name="40% - Accent1 5 2 3 3 3" xfId="20866" xr:uid="{00000000-0005-0000-0000-0000AD430000}"/>
    <cellStyle name="40% - Accent1 5 2 3 4" xfId="20867" xr:uid="{00000000-0005-0000-0000-0000AE430000}"/>
    <cellStyle name="40% - Accent1 5 2 3 4 2" xfId="20868" xr:uid="{00000000-0005-0000-0000-0000AF430000}"/>
    <cellStyle name="40% - Accent1 5 2 3 5" xfId="20869" xr:uid="{00000000-0005-0000-0000-0000B0430000}"/>
    <cellStyle name="40% - Accent1 5 2 3 6" xfId="20870" xr:uid="{00000000-0005-0000-0000-0000B1430000}"/>
    <cellStyle name="40% - Accent1 5 2 3 7" xfId="20871" xr:uid="{00000000-0005-0000-0000-0000B2430000}"/>
    <cellStyle name="40% - Accent1 5 2 4" xfId="20872" xr:uid="{00000000-0005-0000-0000-0000B3430000}"/>
    <cellStyle name="40% - Accent1 5 2 4 2" xfId="20873" xr:uid="{00000000-0005-0000-0000-0000B4430000}"/>
    <cellStyle name="40% - Accent1 5 2 4 2 2" xfId="20874" xr:uid="{00000000-0005-0000-0000-0000B5430000}"/>
    <cellStyle name="40% - Accent1 5 2 4 2 2 2" xfId="20875" xr:uid="{00000000-0005-0000-0000-0000B6430000}"/>
    <cellStyle name="40% - Accent1 5 2 4 2 3" xfId="20876" xr:uid="{00000000-0005-0000-0000-0000B7430000}"/>
    <cellStyle name="40% - Accent1 5 2 4 3" xfId="20877" xr:uid="{00000000-0005-0000-0000-0000B8430000}"/>
    <cellStyle name="40% - Accent1 5 2 4 3 2" xfId="20878" xr:uid="{00000000-0005-0000-0000-0000B9430000}"/>
    <cellStyle name="40% - Accent1 5 2 4 4" xfId="20879" xr:uid="{00000000-0005-0000-0000-0000BA430000}"/>
    <cellStyle name="40% - Accent1 5 2 4 5" xfId="20880" xr:uid="{00000000-0005-0000-0000-0000BB430000}"/>
    <cellStyle name="40% - Accent1 5 2 4 6" xfId="20881" xr:uid="{00000000-0005-0000-0000-0000BC430000}"/>
    <cellStyle name="40% - Accent1 5 2 5" xfId="20882" xr:uid="{00000000-0005-0000-0000-0000BD430000}"/>
    <cellStyle name="40% - Accent1 5 2 5 2" xfId="20883" xr:uid="{00000000-0005-0000-0000-0000BE430000}"/>
    <cellStyle name="40% - Accent1 5 2 5 2 2" xfId="20884" xr:uid="{00000000-0005-0000-0000-0000BF430000}"/>
    <cellStyle name="40% - Accent1 5 2 5 3" xfId="20885" xr:uid="{00000000-0005-0000-0000-0000C0430000}"/>
    <cellStyle name="40% - Accent1 5 2 6" xfId="20886" xr:uid="{00000000-0005-0000-0000-0000C1430000}"/>
    <cellStyle name="40% - Accent1 5 2 6 2" xfId="20887" xr:uid="{00000000-0005-0000-0000-0000C2430000}"/>
    <cellStyle name="40% - Accent1 5 2 6 2 2" xfId="20888" xr:uid="{00000000-0005-0000-0000-0000C3430000}"/>
    <cellStyle name="40% - Accent1 5 2 6 3" xfId="20889" xr:uid="{00000000-0005-0000-0000-0000C4430000}"/>
    <cellStyle name="40% - Accent1 5 2 7" xfId="20890" xr:uid="{00000000-0005-0000-0000-0000C5430000}"/>
    <cellStyle name="40% - Accent1 5 2 7 2" xfId="20891" xr:uid="{00000000-0005-0000-0000-0000C6430000}"/>
    <cellStyle name="40% - Accent1 5 2 8" xfId="20892" xr:uid="{00000000-0005-0000-0000-0000C7430000}"/>
    <cellStyle name="40% - Accent1 5 2 8 2" xfId="20893" xr:uid="{00000000-0005-0000-0000-0000C8430000}"/>
    <cellStyle name="40% - Accent1 5 2 9" xfId="20894" xr:uid="{00000000-0005-0000-0000-0000C9430000}"/>
    <cellStyle name="40% - Accent1 5 20" xfId="20895" xr:uid="{00000000-0005-0000-0000-0000CA430000}"/>
    <cellStyle name="40% - Accent1 5 3" xfId="20896" xr:uid="{00000000-0005-0000-0000-0000CB430000}"/>
    <cellStyle name="40% - Accent1 5 3 10" xfId="20897" xr:uid="{00000000-0005-0000-0000-0000CC430000}"/>
    <cellStyle name="40% - Accent1 5 3 11" xfId="20898" xr:uid="{00000000-0005-0000-0000-0000CD430000}"/>
    <cellStyle name="40% - Accent1 5 3 2" xfId="20899" xr:uid="{00000000-0005-0000-0000-0000CE430000}"/>
    <cellStyle name="40% - Accent1 5 3 2 2" xfId="20900" xr:uid="{00000000-0005-0000-0000-0000CF430000}"/>
    <cellStyle name="40% - Accent1 5 3 2 2 2" xfId="20901" xr:uid="{00000000-0005-0000-0000-0000D0430000}"/>
    <cellStyle name="40% - Accent1 5 3 2 2 2 2" xfId="20902" xr:uid="{00000000-0005-0000-0000-0000D1430000}"/>
    <cellStyle name="40% - Accent1 5 3 2 2 2 2 2" xfId="20903" xr:uid="{00000000-0005-0000-0000-0000D2430000}"/>
    <cellStyle name="40% - Accent1 5 3 2 2 2 3" xfId="20904" xr:uid="{00000000-0005-0000-0000-0000D3430000}"/>
    <cellStyle name="40% - Accent1 5 3 2 2 3" xfId="20905" xr:uid="{00000000-0005-0000-0000-0000D4430000}"/>
    <cellStyle name="40% - Accent1 5 3 2 2 3 2" xfId="20906" xr:uid="{00000000-0005-0000-0000-0000D5430000}"/>
    <cellStyle name="40% - Accent1 5 3 2 2 4" xfId="20907" xr:uid="{00000000-0005-0000-0000-0000D6430000}"/>
    <cellStyle name="40% - Accent1 5 3 2 2 5" xfId="20908" xr:uid="{00000000-0005-0000-0000-0000D7430000}"/>
    <cellStyle name="40% - Accent1 5 3 2 2 6" xfId="20909" xr:uid="{00000000-0005-0000-0000-0000D8430000}"/>
    <cellStyle name="40% - Accent1 5 3 2 3" xfId="20910" xr:uid="{00000000-0005-0000-0000-0000D9430000}"/>
    <cellStyle name="40% - Accent1 5 3 2 3 2" xfId="20911" xr:uid="{00000000-0005-0000-0000-0000DA430000}"/>
    <cellStyle name="40% - Accent1 5 3 2 3 2 2" xfId="20912" xr:uid="{00000000-0005-0000-0000-0000DB430000}"/>
    <cellStyle name="40% - Accent1 5 3 2 3 3" xfId="20913" xr:uid="{00000000-0005-0000-0000-0000DC430000}"/>
    <cellStyle name="40% - Accent1 5 3 2 4" xfId="20914" xr:uid="{00000000-0005-0000-0000-0000DD430000}"/>
    <cellStyle name="40% - Accent1 5 3 2 4 2" xfId="20915" xr:uid="{00000000-0005-0000-0000-0000DE430000}"/>
    <cellStyle name="40% - Accent1 5 3 2 5" xfId="20916" xr:uid="{00000000-0005-0000-0000-0000DF430000}"/>
    <cellStyle name="40% - Accent1 5 3 2 5 2" xfId="20917" xr:uid="{00000000-0005-0000-0000-0000E0430000}"/>
    <cellStyle name="40% - Accent1 5 3 2 6" xfId="20918" xr:uid="{00000000-0005-0000-0000-0000E1430000}"/>
    <cellStyle name="40% - Accent1 5 3 2 7" xfId="20919" xr:uid="{00000000-0005-0000-0000-0000E2430000}"/>
    <cellStyle name="40% - Accent1 5 3 2 8" xfId="20920" xr:uid="{00000000-0005-0000-0000-0000E3430000}"/>
    <cellStyle name="40% - Accent1 5 3 3" xfId="20921" xr:uid="{00000000-0005-0000-0000-0000E4430000}"/>
    <cellStyle name="40% - Accent1 5 3 3 2" xfId="20922" xr:uid="{00000000-0005-0000-0000-0000E5430000}"/>
    <cellStyle name="40% - Accent1 5 3 3 2 2" xfId="20923" xr:uid="{00000000-0005-0000-0000-0000E6430000}"/>
    <cellStyle name="40% - Accent1 5 3 3 2 2 2" xfId="20924" xr:uid="{00000000-0005-0000-0000-0000E7430000}"/>
    <cellStyle name="40% - Accent1 5 3 3 2 2 2 2" xfId="20925" xr:uid="{00000000-0005-0000-0000-0000E8430000}"/>
    <cellStyle name="40% - Accent1 5 3 3 2 2 3" xfId="20926" xr:uid="{00000000-0005-0000-0000-0000E9430000}"/>
    <cellStyle name="40% - Accent1 5 3 3 2 3" xfId="20927" xr:uid="{00000000-0005-0000-0000-0000EA430000}"/>
    <cellStyle name="40% - Accent1 5 3 3 2 3 2" xfId="20928" xr:uid="{00000000-0005-0000-0000-0000EB430000}"/>
    <cellStyle name="40% - Accent1 5 3 3 2 4" xfId="20929" xr:uid="{00000000-0005-0000-0000-0000EC430000}"/>
    <cellStyle name="40% - Accent1 5 3 3 2 5" xfId="20930" xr:uid="{00000000-0005-0000-0000-0000ED430000}"/>
    <cellStyle name="40% - Accent1 5 3 3 2 6" xfId="20931" xr:uid="{00000000-0005-0000-0000-0000EE430000}"/>
    <cellStyle name="40% - Accent1 5 3 3 3" xfId="20932" xr:uid="{00000000-0005-0000-0000-0000EF430000}"/>
    <cellStyle name="40% - Accent1 5 3 3 3 2" xfId="20933" xr:uid="{00000000-0005-0000-0000-0000F0430000}"/>
    <cellStyle name="40% - Accent1 5 3 3 3 2 2" xfId="20934" xr:uid="{00000000-0005-0000-0000-0000F1430000}"/>
    <cellStyle name="40% - Accent1 5 3 3 3 3" xfId="20935" xr:uid="{00000000-0005-0000-0000-0000F2430000}"/>
    <cellStyle name="40% - Accent1 5 3 3 4" xfId="20936" xr:uid="{00000000-0005-0000-0000-0000F3430000}"/>
    <cellStyle name="40% - Accent1 5 3 3 4 2" xfId="20937" xr:uid="{00000000-0005-0000-0000-0000F4430000}"/>
    <cellStyle name="40% - Accent1 5 3 3 5" xfId="20938" xr:uid="{00000000-0005-0000-0000-0000F5430000}"/>
    <cellStyle name="40% - Accent1 5 3 3 6" xfId="20939" xr:uid="{00000000-0005-0000-0000-0000F6430000}"/>
    <cellStyle name="40% - Accent1 5 3 3 7" xfId="20940" xr:uid="{00000000-0005-0000-0000-0000F7430000}"/>
    <cellStyle name="40% - Accent1 5 3 4" xfId="20941" xr:uid="{00000000-0005-0000-0000-0000F8430000}"/>
    <cellStyle name="40% - Accent1 5 3 4 2" xfId="20942" xr:uid="{00000000-0005-0000-0000-0000F9430000}"/>
    <cellStyle name="40% - Accent1 5 3 4 2 2" xfId="20943" xr:uid="{00000000-0005-0000-0000-0000FA430000}"/>
    <cellStyle name="40% - Accent1 5 3 4 2 2 2" xfId="20944" xr:uid="{00000000-0005-0000-0000-0000FB430000}"/>
    <cellStyle name="40% - Accent1 5 3 4 2 3" xfId="20945" xr:uid="{00000000-0005-0000-0000-0000FC430000}"/>
    <cellStyle name="40% - Accent1 5 3 4 3" xfId="20946" xr:uid="{00000000-0005-0000-0000-0000FD430000}"/>
    <cellStyle name="40% - Accent1 5 3 4 3 2" xfId="20947" xr:uid="{00000000-0005-0000-0000-0000FE430000}"/>
    <cellStyle name="40% - Accent1 5 3 4 4" xfId="20948" xr:uid="{00000000-0005-0000-0000-0000FF430000}"/>
    <cellStyle name="40% - Accent1 5 3 4 5" xfId="20949" xr:uid="{00000000-0005-0000-0000-000000440000}"/>
    <cellStyle name="40% - Accent1 5 3 4 6" xfId="20950" xr:uid="{00000000-0005-0000-0000-000001440000}"/>
    <cellStyle name="40% - Accent1 5 3 5" xfId="20951" xr:uid="{00000000-0005-0000-0000-000002440000}"/>
    <cellStyle name="40% - Accent1 5 3 5 2" xfId="20952" xr:uid="{00000000-0005-0000-0000-000003440000}"/>
    <cellStyle name="40% - Accent1 5 3 5 2 2" xfId="20953" xr:uid="{00000000-0005-0000-0000-000004440000}"/>
    <cellStyle name="40% - Accent1 5 3 5 3" xfId="20954" xr:uid="{00000000-0005-0000-0000-000005440000}"/>
    <cellStyle name="40% - Accent1 5 3 6" xfId="20955" xr:uid="{00000000-0005-0000-0000-000006440000}"/>
    <cellStyle name="40% - Accent1 5 3 6 2" xfId="20956" xr:uid="{00000000-0005-0000-0000-000007440000}"/>
    <cellStyle name="40% - Accent1 5 3 6 2 2" xfId="20957" xr:uid="{00000000-0005-0000-0000-000008440000}"/>
    <cellStyle name="40% - Accent1 5 3 6 3" xfId="20958" xr:uid="{00000000-0005-0000-0000-000009440000}"/>
    <cellStyle name="40% - Accent1 5 3 7" xfId="20959" xr:uid="{00000000-0005-0000-0000-00000A440000}"/>
    <cellStyle name="40% - Accent1 5 3 7 2" xfId="20960" xr:uid="{00000000-0005-0000-0000-00000B440000}"/>
    <cellStyle name="40% - Accent1 5 3 8" xfId="20961" xr:uid="{00000000-0005-0000-0000-00000C440000}"/>
    <cellStyle name="40% - Accent1 5 3 8 2" xfId="20962" xr:uid="{00000000-0005-0000-0000-00000D440000}"/>
    <cellStyle name="40% - Accent1 5 3 9" xfId="20963" xr:uid="{00000000-0005-0000-0000-00000E440000}"/>
    <cellStyle name="40% - Accent1 5 4" xfId="20964" xr:uid="{00000000-0005-0000-0000-00000F440000}"/>
    <cellStyle name="40% - Accent1 5 4 10" xfId="20965" xr:uid="{00000000-0005-0000-0000-000010440000}"/>
    <cellStyle name="40% - Accent1 5 4 11" xfId="20966" xr:uid="{00000000-0005-0000-0000-000011440000}"/>
    <cellStyle name="40% - Accent1 5 4 2" xfId="20967" xr:uid="{00000000-0005-0000-0000-000012440000}"/>
    <cellStyle name="40% - Accent1 5 4 2 2" xfId="20968" xr:uid="{00000000-0005-0000-0000-000013440000}"/>
    <cellStyle name="40% - Accent1 5 4 2 2 2" xfId="20969" xr:uid="{00000000-0005-0000-0000-000014440000}"/>
    <cellStyle name="40% - Accent1 5 4 2 2 2 2" xfId="20970" xr:uid="{00000000-0005-0000-0000-000015440000}"/>
    <cellStyle name="40% - Accent1 5 4 2 2 2 2 2" xfId="20971" xr:uid="{00000000-0005-0000-0000-000016440000}"/>
    <cellStyle name="40% - Accent1 5 4 2 2 2 3" xfId="20972" xr:uid="{00000000-0005-0000-0000-000017440000}"/>
    <cellStyle name="40% - Accent1 5 4 2 2 3" xfId="20973" xr:uid="{00000000-0005-0000-0000-000018440000}"/>
    <cellStyle name="40% - Accent1 5 4 2 2 3 2" xfId="20974" xr:uid="{00000000-0005-0000-0000-000019440000}"/>
    <cellStyle name="40% - Accent1 5 4 2 2 4" xfId="20975" xr:uid="{00000000-0005-0000-0000-00001A440000}"/>
    <cellStyle name="40% - Accent1 5 4 2 2 5" xfId="20976" xr:uid="{00000000-0005-0000-0000-00001B440000}"/>
    <cellStyle name="40% - Accent1 5 4 2 2 6" xfId="20977" xr:uid="{00000000-0005-0000-0000-00001C440000}"/>
    <cellStyle name="40% - Accent1 5 4 2 3" xfId="20978" xr:uid="{00000000-0005-0000-0000-00001D440000}"/>
    <cellStyle name="40% - Accent1 5 4 2 3 2" xfId="20979" xr:uid="{00000000-0005-0000-0000-00001E440000}"/>
    <cellStyle name="40% - Accent1 5 4 2 3 2 2" xfId="20980" xr:uid="{00000000-0005-0000-0000-00001F440000}"/>
    <cellStyle name="40% - Accent1 5 4 2 3 3" xfId="20981" xr:uid="{00000000-0005-0000-0000-000020440000}"/>
    <cellStyle name="40% - Accent1 5 4 2 4" xfId="20982" xr:uid="{00000000-0005-0000-0000-000021440000}"/>
    <cellStyle name="40% - Accent1 5 4 2 4 2" xfId="20983" xr:uid="{00000000-0005-0000-0000-000022440000}"/>
    <cellStyle name="40% - Accent1 5 4 2 5" xfId="20984" xr:uid="{00000000-0005-0000-0000-000023440000}"/>
    <cellStyle name="40% - Accent1 5 4 2 5 2" xfId="20985" xr:uid="{00000000-0005-0000-0000-000024440000}"/>
    <cellStyle name="40% - Accent1 5 4 2 6" xfId="20986" xr:uid="{00000000-0005-0000-0000-000025440000}"/>
    <cellStyle name="40% - Accent1 5 4 2 7" xfId="20987" xr:uid="{00000000-0005-0000-0000-000026440000}"/>
    <cellStyle name="40% - Accent1 5 4 2 8" xfId="20988" xr:uid="{00000000-0005-0000-0000-000027440000}"/>
    <cellStyle name="40% - Accent1 5 4 3" xfId="20989" xr:uid="{00000000-0005-0000-0000-000028440000}"/>
    <cellStyle name="40% - Accent1 5 4 3 2" xfId="20990" xr:uid="{00000000-0005-0000-0000-000029440000}"/>
    <cellStyle name="40% - Accent1 5 4 3 2 2" xfId="20991" xr:uid="{00000000-0005-0000-0000-00002A440000}"/>
    <cellStyle name="40% - Accent1 5 4 3 2 2 2" xfId="20992" xr:uid="{00000000-0005-0000-0000-00002B440000}"/>
    <cellStyle name="40% - Accent1 5 4 3 2 2 2 2" xfId="20993" xr:uid="{00000000-0005-0000-0000-00002C440000}"/>
    <cellStyle name="40% - Accent1 5 4 3 2 2 3" xfId="20994" xr:uid="{00000000-0005-0000-0000-00002D440000}"/>
    <cellStyle name="40% - Accent1 5 4 3 2 3" xfId="20995" xr:uid="{00000000-0005-0000-0000-00002E440000}"/>
    <cellStyle name="40% - Accent1 5 4 3 2 3 2" xfId="20996" xr:uid="{00000000-0005-0000-0000-00002F440000}"/>
    <cellStyle name="40% - Accent1 5 4 3 2 4" xfId="20997" xr:uid="{00000000-0005-0000-0000-000030440000}"/>
    <cellStyle name="40% - Accent1 5 4 3 2 5" xfId="20998" xr:uid="{00000000-0005-0000-0000-000031440000}"/>
    <cellStyle name="40% - Accent1 5 4 3 2 6" xfId="20999" xr:uid="{00000000-0005-0000-0000-000032440000}"/>
    <cellStyle name="40% - Accent1 5 4 3 3" xfId="21000" xr:uid="{00000000-0005-0000-0000-000033440000}"/>
    <cellStyle name="40% - Accent1 5 4 3 3 2" xfId="21001" xr:uid="{00000000-0005-0000-0000-000034440000}"/>
    <cellStyle name="40% - Accent1 5 4 3 3 2 2" xfId="21002" xr:uid="{00000000-0005-0000-0000-000035440000}"/>
    <cellStyle name="40% - Accent1 5 4 3 3 3" xfId="21003" xr:uid="{00000000-0005-0000-0000-000036440000}"/>
    <cellStyle name="40% - Accent1 5 4 3 4" xfId="21004" xr:uid="{00000000-0005-0000-0000-000037440000}"/>
    <cellStyle name="40% - Accent1 5 4 3 4 2" xfId="21005" xr:uid="{00000000-0005-0000-0000-000038440000}"/>
    <cellStyle name="40% - Accent1 5 4 3 5" xfId="21006" xr:uid="{00000000-0005-0000-0000-000039440000}"/>
    <cellStyle name="40% - Accent1 5 4 3 6" xfId="21007" xr:uid="{00000000-0005-0000-0000-00003A440000}"/>
    <cellStyle name="40% - Accent1 5 4 3 7" xfId="21008" xr:uid="{00000000-0005-0000-0000-00003B440000}"/>
    <cellStyle name="40% - Accent1 5 4 4" xfId="21009" xr:uid="{00000000-0005-0000-0000-00003C440000}"/>
    <cellStyle name="40% - Accent1 5 4 4 2" xfId="21010" xr:uid="{00000000-0005-0000-0000-00003D440000}"/>
    <cellStyle name="40% - Accent1 5 4 4 2 2" xfId="21011" xr:uid="{00000000-0005-0000-0000-00003E440000}"/>
    <cellStyle name="40% - Accent1 5 4 4 2 2 2" xfId="21012" xr:uid="{00000000-0005-0000-0000-00003F440000}"/>
    <cellStyle name="40% - Accent1 5 4 4 2 3" xfId="21013" xr:uid="{00000000-0005-0000-0000-000040440000}"/>
    <cellStyle name="40% - Accent1 5 4 4 3" xfId="21014" xr:uid="{00000000-0005-0000-0000-000041440000}"/>
    <cellStyle name="40% - Accent1 5 4 4 3 2" xfId="21015" xr:uid="{00000000-0005-0000-0000-000042440000}"/>
    <cellStyle name="40% - Accent1 5 4 4 4" xfId="21016" xr:uid="{00000000-0005-0000-0000-000043440000}"/>
    <cellStyle name="40% - Accent1 5 4 4 5" xfId="21017" xr:uid="{00000000-0005-0000-0000-000044440000}"/>
    <cellStyle name="40% - Accent1 5 4 4 6" xfId="21018" xr:uid="{00000000-0005-0000-0000-000045440000}"/>
    <cellStyle name="40% - Accent1 5 4 5" xfId="21019" xr:uid="{00000000-0005-0000-0000-000046440000}"/>
    <cellStyle name="40% - Accent1 5 4 5 2" xfId="21020" xr:uid="{00000000-0005-0000-0000-000047440000}"/>
    <cellStyle name="40% - Accent1 5 4 5 2 2" xfId="21021" xr:uid="{00000000-0005-0000-0000-000048440000}"/>
    <cellStyle name="40% - Accent1 5 4 5 3" xfId="21022" xr:uid="{00000000-0005-0000-0000-000049440000}"/>
    <cellStyle name="40% - Accent1 5 4 6" xfId="21023" xr:uid="{00000000-0005-0000-0000-00004A440000}"/>
    <cellStyle name="40% - Accent1 5 4 6 2" xfId="21024" xr:uid="{00000000-0005-0000-0000-00004B440000}"/>
    <cellStyle name="40% - Accent1 5 4 6 2 2" xfId="21025" xr:uid="{00000000-0005-0000-0000-00004C440000}"/>
    <cellStyle name="40% - Accent1 5 4 6 3" xfId="21026" xr:uid="{00000000-0005-0000-0000-00004D440000}"/>
    <cellStyle name="40% - Accent1 5 4 7" xfId="21027" xr:uid="{00000000-0005-0000-0000-00004E440000}"/>
    <cellStyle name="40% - Accent1 5 4 7 2" xfId="21028" xr:uid="{00000000-0005-0000-0000-00004F440000}"/>
    <cellStyle name="40% - Accent1 5 4 8" xfId="21029" xr:uid="{00000000-0005-0000-0000-000050440000}"/>
    <cellStyle name="40% - Accent1 5 4 8 2" xfId="21030" xr:uid="{00000000-0005-0000-0000-000051440000}"/>
    <cellStyle name="40% - Accent1 5 4 9" xfId="21031" xr:uid="{00000000-0005-0000-0000-000052440000}"/>
    <cellStyle name="40% - Accent1 5 5" xfId="21032" xr:uid="{00000000-0005-0000-0000-000053440000}"/>
    <cellStyle name="40% - Accent1 5 5 10" xfId="21033" xr:uid="{00000000-0005-0000-0000-000054440000}"/>
    <cellStyle name="40% - Accent1 5 5 11" xfId="21034" xr:uid="{00000000-0005-0000-0000-000055440000}"/>
    <cellStyle name="40% - Accent1 5 5 2" xfId="21035" xr:uid="{00000000-0005-0000-0000-000056440000}"/>
    <cellStyle name="40% - Accent1 5 5 2 2" xfId="21036" xr:uid="{00000000-0005-0000-0000-000057440000}"/>
    <cellStyle name="40% - Accent1 5 5 2 2 2" xfId="21037" xr:uid="{00000000-0005-0000-0000-000058440000}"/>
    <cellStyle name="40% - Accent1 5 5 2 2 2 2" xfId="21038" xr:uid="{00000000-0005-0000-0000-000059440000}"/>
    <cellStyle name="40% - Accent1 5 5 2 2 2 2 2" xfId="21039" xr:uid="{00000000-0005-0000-0000-00005A440000}"/>
    <cellStyle name="40% - Accent1 5 5 2 2 2 3" xfId="21040" xr:uid="{00000000-0005-0000-0000-00005B440000}"/>
    <cellStyle name="40% - Accent1 5 5 2 2 3" xfId="21041" xr:uid="{00000000-0005-0000-0000-00005C440000}"/>
    <cellStyle name="40% - Accent1 5 5 2 2 3 2" xfId="21042" xr:uid="{00000000-0005-0000-0000-00005D440000}"/>
    <cellStyle name="40% - Accent1 5 5 2 2 4" xfId="21043" xr:uid="{00000000-0005-0000-0000-00005E440000}"/>
    <cellStyle name="40% - Accent1 5 5 2 2 5" xfId="21044" xr:uid="{00000000-0005-0000-0000-00005F440000}"/>
    <cellStyle name="40% - Accent1 5 5 2 2 6" xfId="21045" xr:uid="{00000000-0005-0000-0000-000060440000}"/>
    <cellStyle name="40% - Accent1 5 5 2 3" xfId="21046" xr:uid="{00000000-0005-0000-0000-000061440000}"/>
    <cellStyle name="40% - Accent1 5 5 2 3 2" xfId="21047" xr:uid="{00000000-0005-0000-0000-000062440000}"/>
    <cellStyle name="40% - Accent1 5 5 2 3 2 2" xfId="21048" xr:uid="{00000000-0005-0000-0000-000063440000}"/>
    <cellStyle name="40% - Accent1 5 5 2 3 3" xfId="21049" xr:uid="{00000000-0005-0000-0000-000064440000}"/>
    <cellStyle name="40% - Accent1 5 5 2 4" xfId="21050" xr:uid="{00000000-0005-0000-0000-000065440000}"/>
    <cellStyle name="40% - Accent1 5 5 2 4 2" xfId="21051" xr:uid="{00000000-0005-0000-0000-000066440000}"/>
    <cellStyle name="40% - Accent1 5 5 2 5" xfId="21052" xr:uid="{00000000-0005-0000-0000-000067440000}"/>
    <cellStyle name="40% - Accent1 5 5 2 5 2" xfId="21053" xr:uid="{00000000-0005-0000-0000-000068440000}"/>
    <cellStyle name="40% - Accent1 5 5 2 6" xfId="21054" xr:uid="{00000000-0005-0000-0000-000069440000}"/>
    <cellStyle name="40% - Accent1 5 5 2 7" xfId="21055" xr:uid="{00000000-0005-0000-0000-00006A440000}"/>
    <cellStyle name="40% - Accent1 5 5 2 8" xfId="21056" xr:uid="{00000000-0005-0000-0000-00006B440000}"/>
    <cellStyle name="40% - Accent1 5 5 3" xfId="21057" xr:uid="{00000000-0005-0000-0000-00006C440000}"/>
    <cellStyle name="40% - Accent1 5 5 3 2" xfId="21058" xr:uid="{00000000-0005-0000-0000-00006D440000}"/>
    <cellStyle name="40% - Accent1 5 5 3 2 2" xfId="21059" xr:uid="{00000000-0005-0000-0000-00006E440000}"/>
    <cellStyle name="40% - Accent1 5 5 3 2 2 2" xfId="21060" xr:uid="{00000000-0005-0000-0000-00006F440000}"/>
    <cellStyle name="40% - Accent1 5 5 3 2 2 2 2" xfId="21061" xr:uid="{00000000-0005-0000-0000-000070440000}"/>
    <cellStyle name="40% - Accent1 5 5 3 2 2 3" xfId="21062" xr:uid="{00000000-0005-0000-0000-000071440000}"/>
    <cellStyle name="40% - Accent1 5 5 3 2 3" xfId="21063" xr:uid="{00000000-0005-0000-0000-000072440000}"/>
    <cellStyle name="40% - Accent1 5 5 3 2 3 2" xfId="21064" xr:uid="{00000000-0005-0000-0000-000073440000}"/>
    <cellStyle name="40% - Accent1 5 5 3 2 4" xfId="21065" xr:uid="{00000000-0005-0000-0000-000074440000}"/>
    <cellStyle name="40% - Accent1 5 5 3 2 5" xfId="21066" xr:uid="{00000000-0005-0000-0000-000075440000}"/>
    <cellStyle name="40% - Accent1 5 5 3 2 6" xfId="21067" xr:uid="{00000000-0005-0000-0000-000076440000}"/>
    <cellStyle name="40% - Accent1 5 5 3 3" xfId="21068" xr:uid="{00000000-0005-0000-0000-000077440000}"/>
    <cellStyle name="40% - Accent1 5 5 3 3 2" xfId="21069" xr:uid="{00000000-0005-0000-0000-000078440000}"/>
    <cellStyle name="40% - Accent1 5 5 3 3 2 2" xfId="21070" xr:uid="{00000000-0005-0000-0000-000079440000}"/>
    <cellStyle name="40% - Accent1 5 5 3 3 3" xfId="21071" xr:uid="{00000000-0005-0000-0000-00007A440000}"/>
    <cellStyle name="40% - Accent1 5 5 3 4" xfId="21072" xr:uid="{00000000-0005-0000-0000-00007B440000}"/>
    <cellStyle name="40% - Accent1 5 5 3 4 2" xfId="21073" xr:uid="{00000000-0005-0000-0000-00007C440000}"/>
    <cellStyle name="40% - Accent1 5 5 3 5" xfId="21074" xr:uid="{00000000-0005-0000-0000-00007D440000}"/>
    <cellStyle name="40% - Accent1 5 5 3 6" xfId="21075" xr:uid="{00000000-0005-0000-0000-00007E440000}"/>
    <cellStyle name="40% - Accent1 5 5 3 7" xfId="21076" xr:uid="{00000000-0005-0000-0000-00007F440000}"/>
    <cellStyle name="40% - Accent1 5 5 4" xfId="21077" xr:uid="{00000000-0005-0000-0000-000080440000}"/>
    <cellStyle name="40% - Accent1 5 5 4 2" xfId="21078" xr:uid="{00000000-0005-0000-0000-000081440000}"/>
    <cellStyle name="40% - Accent1 5 5 4 2 2" xfId="21079" xr:uid="{00000000-0005-0000-0000-000082440000}"/>
    <cellStyle name="40% - Accent1 5 5 4 2 2 2" xfId="21080" xr:uid="{00000000-0005-0000-0000-000083440000}"/>
    <cellStyle name="40% - Accent1 5 5 4 2 3" xfId="21081" xr:uid="{00000000-0005-0000-0000-000084440000}"/>
    <cellStyle name="40% - Accent1 5 5 4 3" xfId="21082" xr:uid="{00000000-0005-0000-0000-000085440000}"/>
    <cellStyle name="40% - Accent1 5 5 4 3 2" xfId="21083" xr:uid="{00000000-0005-0000-0000-000086440000}"/>
    <cellStyle name="40% - Accent1 5 5 4 4" xfId="21084" xr:uid="{00000000-0005-0000-0000-000087440000}"/>
    <cellStyle name="40% - Accent1 5 5 4 5" xfId="21085" xr:uid="{00000000-0005-0000-0000-000088440000}"/>
    <cellStyle name="40% - Accent1 5 5 4 6" xfId="21086" xr:uid="{00000000-0005-0000-0000-000089440000}"/>
    <cellStyle name="40% - Accent1 5 5 5" xfId="21087" xr:uid="{00000000-0005-0000-0000-00008A440000}"/>
    <cellStyle name="40% - Accent1 5 5 5 2" xfId="21088" xr:uid="{00000000-0005-0000-0000-00008B440000}"/>
    <cellStyle name="40% - Accent1 5 5 5 2 2" xfId="21089" xr:uid="{00000000-0005-0000-0000-00008C440000}"/>
    <cellStyle name="40% - Accent1 5 5 5 3" xfId="21090" xr:uid="{00000000-0005-0000-0000-00008D440000}"/>
    <cellStyle name="40% - Accent1 5 5 6" xfId="21091" xr:uid="{00000000-0005-0000-0000-00008E440000}"/>
    <cellStyle name="40% - Accent1 5 5 6 2" xfId="21092" xr:uid="{00000000-0005-0000-0000-00008F440000}"/>
    <cellStyle name="40% - Accent1 5 5 6 2 2" xfId="21093" xr:uid="{00000000-0005-0000-0000-000090440000}"/>
    <cellStyle name="40% - Accent1 5 5 6 3" xfId="21094" xr:uid="{00000000-0005-0000-0000-000091440000}"/>
    <cellStyle name="40% - Accent1 5 5 7" xfId="21095" xr:uid="{00000000-0005-0000-0000-000092440000}"/>
    <cellStyle name="40% - Accent1 5 5 7 2" xfId="21096" xr:uid="{00000000-0005-0000-0000-000093440000}"/>
    <cellStyle name="40% - Accent1 5 5 8" xfId="21097" xr:uid="{00000000-0005-0000-0000-000094440000}"/>
    <cellStyle name="40% - Accent1 5 5 8 2" xfId="21098" xr:uid="{00000000-0005-0000-0000-000095440000}"/>
    <cellStyle name="40% - Accent1 5 5 9" xfId="21099" xr:uid="{00000000-0005-0000-0000-000096440000}"/>
    <cellStyle name="40% - Accent1 5 6" xfId="21100" xr:uid="{00000000-0005-0000-0000-000097440000}"/>
    <cellStyle name="40% - Accent1 5 6 10" xfId="21101" xr:uid="{00000000-0005-0000-0000-000098440000}"/>
    <cellStyle name="40% - Accent1 5 6 11" xfId="21102" xr:uid="{00000000-0005-0000-0000-000099440000}"/>
    <cellStyle name="40% - Accent1 5 6 2" xfId="21103" xr:uid="{00000000-0005-0000-0000-00009A440000}"/>
    <cellStyle name="40% - Accent1 5 6 2 2" xfId="21104" xr:uid="{00000000-0005-0000-0000-00009B440000}"/>
    <cellStyle name="40% - Accent1 5 6 2 2 2" xfId="21105" xr:uid="{00000000-0005-0000-0000-00009C440000}"/>
    <cellStyle name="40% - Accent1 5 6 2 2 2 2" xfId="21106" xr:uid="{00000000-0005-0000-0000-00009D440000}"/>
    <cellStyle name="40% - Accent1 5 6 2 2 2 2 2" xfId="21107" xr:uid="{00000000-0005-0000-0000-00009E440000}"/>
    <cellStyle name="40% - Accent1 5 6 2 2 2 3" xfId="21108" xr:uid="{00000000-0005-0000-0000-00009F440000}"/>
    <cellStyle name="40% - Accent1 5 6 2 2 3" xfId="21109" xr:uid="{00000000-0005-0000-0000-0000A0440000}"/>
    <cellStyle name="40% - Accent1 5 6 2 2 3 2" xfId="21110" xr:uid="{00000000-0005-0000-0000-0000A1440000}"/>
    <cellStyle name="40% - Accent1 5 6 2 2 4" xfId="21111" xr:uid="{00000000-0005-0000-0000-0000A2440000}"/>
    <cellStyle name="40% - Accent1 5 6 2 2 5" xfId="21112" xr:uid="{00000000-0005-0000-0000-0000A3440000}"/>
    <cellStyle name="40% - Accent1 5 6 2 2 6" xfId="21113" xr:uid="{00000000-0005-0000-0000-0000A4440000}"/>
    <cellStyle name="40% - Accent1 5 6 2 3" xfId="21114" xr:uid="{00000000-0005-0000-0000-0000A5440000}"/>
    <cellStyle name="40% - Accent1 5 6 2 3 2" xfId="21115" xr:uid="{00000000-0005-0000-0000-0000A6440000}"/>
    <cellStyle name="40% - Accent1 5 6 2 3 2 2" xfId="21116" xr:uid="{00000000-0005-0000-0000-0000A7440000}"/>
    <cellStyle name="40% - Accent1 5 6 2 3 3" xfId="21117" xr:uid="{00000000-0005-0000-0000-0000A8440000}"/>
    <cellStyle name="40% - Accent1 5 6 2 4" xfId="21118" xr:uid="{00000000-0005-0000-0000-0000A9440000}"/>
    <cellStyle name="40% - Accent1 5 6 2 4 2" xfId="21119" xr:uid="{00000000-0005-0000-0000-0000AA440000}"/>
    <cellStyle name="40% - Accent1 5 6 2 5" xfId="21120" xr:uid="{00000000-0005-0000-0000-0000AB440000}"/>
    <cellStyle name="40% - Accent1 5 6 2 5 2" xfId="21121" xr:uid="{00000000-0005-0000-0000-0000AC440000}"/>
    <cellStyle name="40% - Accent1 5 6 2 6" xfId="21122" xr:uid="{00000000-0005-0000-0000-0000AD440000}"/>
    <cellStyle name="40% - Accent1 5 6 2 7" xfId="21123" xr:uid="{00000000-0005-0000-0000-0000AE440000}"/>
    <cellStyle name="40% - Accent1 5 6 2 8" xfId="21124" xr:uid="{00000000-0005-0000-0000-0000AF440000}"/>
    <cellStyle name="40% - Accent1 5 6 3" xfId="21125" xr:uid="{00000000-0005-0000-0000-0000B0440000}"/>
    <cellStyle name="40% - Accent1 5 6 3 2" xfId="21126" xr:uid="{00000000-0005-0000-0000-0000B1440000}"/>
    <cellStyle name="40% - Accent1 5 6 3 2 2" xfId="21127" xr:uid="{00000000-0005-0000-0000-0000B2440000}"/>
    <cellStyle name="40% - Accent1 5 6 3 2 2 2" xfId="21128" xr:uid="{00000000-0005-0000-0000-0000B3440000}"/>
    <cellStyle name="40% - Accent1 5 6 3 2 2 2 2" xfId="21129" xr:uid="{00000000-0005-0000-0000-0000B4440000}"/>
    <cellStyle name="40% - Accent1 5 6 3 2 2 3" xfId="21130" xr:uid="{00000000-0005-0000-0000-0000B5440000}"/>
    <cellStyle name="40% - Accent1 5 6 3 2 3" xfId="21131" xr:uid="{00000000-0005-0000-0000-0000B6440000}"/>
    <cellStyle name="40% - Accent1 5 6 3 2 3 2" xfId="21132" xr:uid="{00000000-0005-0000-0000-0000B7440000}"/>
    <cellStyle name="40% - Accent1 5 6 3 2 4" xfId="21133" xr:uid="{00000000-0005-0000-0000-0000B8440000}"/>
    <cellStyle name="40% - Accent1 5 6 3 2 5" xfId="21134" xr:uid="{00000000-0005-0000-0000-0000B9440000}"/>
    <cellStyle name="40% - Accent1 5 6 3 2 6" xfId="21135" xr:uid="{00000000-0005-0000-0000-0000BA440000}"/>
    <cellStyle name="40% - Accent1 5 6 3 3" xfId="21136" xr:uid="{00000000-0005-0000-0000-0000BB440000}"/>
    <cellStyle name="40% - Accent1 5 6 3 3 2" xfId="21137" xr:uid="{00000000-0005-0000-0000-0000BC440000}"/>
    <cellStyle name="40% - Accent1 5 6 3 3 2 2" xfId="21138" xr:uid="{00000000-0005-0000-0000-0000BD440000}"/>
    <cellStyle name="40% - Accent1 5 6 3 3 3" xfId="21139" xr:uid="{00000000-0005-0000-0000-0000BE440000}"/>
    <cellStyle name="40% - Accent1 5 6 3 4" xfId="21140" xr:uid="{00000000-0005-0000-0000-0000BF440000}"/>
    <cellStyle name="40% - Accent1 5 6 3 4 2" xfId="21141" xr:uid="{00000000-0005-0000-0000-0000C0440000}"/>
    <cellStyle name="40% - Accent1 5 6 3 5" xfId="21142" xr:uid="{00000000-0005-0000-0000-0000C1440000}"/>
    <cellStyle name="40% - Accent1 5 6 3 6" xfId="21143" xr:uid="{00000000-0005-0000-0000-0000C2440000}"/>
    <cellStyle name="40% - Accent1 5 6 3 7" xfId="21144" xr:uid="{00000000-0005-0000-0000-0000C3440000}"/>
    <cellStyle name="40% - Accent1 5 6 4" xfId="21145" xr:uid="{00000000-0005-0000-0000-0000C4440000}"/>
    <cellStyle name="40% - Accent1 5 6 4 2" xfId="21146" xr:uid="{00000000-0005-0000-0000-0000C5440000}"/>
    <cellStyle name="40% - Accent1 5 6 4 2 2" xfId="21147" xr:uid="{00000000-0005-0000-0000-0000C6440000}"/>
    <cellStyle name="40% - Accent1 5 6 4 2 2 2" xfId="21148" xr:uid="{00000000-0005-0000-0000-0000C7440000}"/>
    <cellStyle name="40% - Accent1 5 6 4 2 3" xfId="21149" xr:uid="{00000000-0005-0000-0000-0000C8440000}"/>
    <cellStyle name="40% - Accent1 5 6 4 3" xfId="21150" xr:uid="{00000000-0005-0000-0000-0000C9440000}"/>
    <cellStyle name="40% - Accent1 5 6 4 3 2" xfId="21151" xr:uid="{00000000-0005-0000-0000-0000CA440000}"/>
    <cellStyle name="40% - Accent1 5 6 4 4" xfId="21152" xr:uid="{00000000-0005-0000-0000-0000CB440000}"/>
    <cellStyle name="40% - Accent1 5 6 4 5" xfId="21153" xr:uid="{00000000-0005-0000-0000-0000CC440000}"/>
    <cellStyle name="40% - Accent1 5 6 4 6" xfId="21154" xr:uid="{00000000-0005-0000-0000-0000CD440000}"/>
    <cellStyle name="40% - Accent1 5 6 5" xfId="21155" xr:uid="{00000000-0005-0000-0000-0000CE440000}"/>
    <cellStyle name="40% - Accent1 5 6 5 2" xfId="21156" xr:uid="{00000000-0005-0000-0000-0000CF440000}"/>
    <cellStyle name="40% - Accent1 5 6 5 2 2" xfId="21157" xr:uid="{00000000-0005-0000-0000-0000D0440000}"/>
    <cellStyle name="40% - Accent1 5 6 5 3" xfId="21158" xr:uid="{00000000-0005-0000-0000-0000D1440000}"/>
    <cellStyle name="40% - Accent1 5 6 6" xfId="21159" xr:uid="{00000000-0005-0000-0000-0000D2440000}"/>
    <cellStyle name="40% - Accent1 5 6 6 2" xfId="21160" xr:uid="{00000000-0005-0000-0000-0000D3440000}"/>
    <cellStyle name="40% - Accent1 5 6 6 2 2" xfId="21161" xr:uid="{00000000-0005-0000-0000-0000D4440000}"/>
    <cellStyle name="40% - Accent1 5 6 6 3" xfId="21162" xr:uid="{00000000-0005-0000-0000-0000D5440000}"/>
    <cellStyle name="40% - Accent1 5 6 7" xfId="21163" xr:uid="{00000000-0005-0000-0000-0000D6440000}"/>
    <cellStyle name="40% - Accent1 5 6 7 2" xfId="21164" xr:uid="{00000000-0005-0000-0000-0000D7440000}"/>
    <cellStyle name="40% - Accent1 5 6 8" xfId="21165" xr:uid="{00000000-0005-0000-0000-0000D8440000}"/>
    <cellStyle name="40% - Accent1 5 6 8 2" xfId="21166" xr:uid="{00000000-0005-0000-0000-0000D9440000}"/>
    <cellStyle name="40% - Accent1 5 6 9" xfId="21167" xr:uid="{00000000-0005-0000-0000-0000DA440000}"/>
    <cellStyle name="40% - Accent1 5 7" xfId="21168" xr:uid="{00000000-0005-0000-0000-0000DB440000}"/>
    <cellStyle name="40% - Accent1 5 7 10" xfId="21169" xr:uid="{00000000-0005-0000-0000-0000DC440000}"/>
    <cellStyle name="40% - Accent1 5 7 11" xfId="21170" xr:uid="{00000000-0005-0000-0000-0000DD440000}"/>
    <cellStyle name="40% - Accent1 5 7 2" xfId="21171" xr:uid="{00000000-0005-0000-0000-0000DE440000}"/>
    <cellStyle name="40% - Accent1 5 7 2 2" xfId="21172" xr:uid="{00000000-0005-0000-0000-0000DF440000}"/>
    <cellStyle name="40% - Accent1 5 7 2 2 2" xfId="21173" xr:uid="{00000000-0005-0000-0000-0000E0440000}"/>
    <cellStyle name="40% - Accent1 5 7 2 2 2 2" xfId="21174" xr:uid="{00000000-0005-0000-0000-0000E1440000}"/>
    <cellStyle name="40% - Accent1 5 7 2 2 2 2 2" xfId="21175" xr:uid="{00000000-0005-0000-0000-0000E2440000}"/>
    <cellStyle name="40% - Accent1 5 7 2 2 2 3" xfId="21176" xr:uid="{00000000-0005-0000-0000-0000E3440000}"/>
    <cellStyle name="40% - Accent1 5 7 2 2 3" xfId="21177" xr:uid="{00000000-0005-0000-0000-0000E4440000}"/>
    <cellStyle name="40% - Accent1 5 7 2 2 3 2" xfId="21178" xr:uid="{00000000-0005-0000-0000-0000E5440000}"/>
    <cellStyle name="40% - Accent1 5 7 2 2 4" xfId="21179" xr:uid="{00000000-0005-0000-0000-0000E6440000}"/>
    <cellStyle name="40% - Accent1 5 7 2 2 5" xfId="21180" xr:uid="{00000000-0005-0000-0000-0000E7440000}"/>
    <cellStyle name="40% - Accent1 5 7 2 2 6" xfId="21181" xr:uid="{00000000-0005-0000-0000-0000E8440000}"/>
    <cellStyle name="40% - Accent1 5 7 2 3" xfId="21182" xr:uid="{00000000-0005-0000-0000-0000E9440000}"/>
    <cellStyle name="40% - Accent1 5 7 2 3 2" xfId="21183" xr:uid="{00000000-0005-0000-0000-0000EA440000}"/>
    <cellStyle name="40% - Accent1 5 7 2 3 2 2" xfId="21184" xr:uid="{00000000-0005-0000-0000-0000EB440000}"/>
    <cellStyle name="40% - Accent1 5 7 2 3 3" xfId="21185" xr:uid="{00000000-0005-0000-0000-0000EC440000}"/>
    <cellStyle name="40% - Accent1 5 7 2 4" xfId="21186" xr:uid="{00000000-0005-0000-0000-0000ED440000}"/>
    <cellStyle name="40% - Accent1 5 7 2 4 2" xfId="21187" xr:uid="{00000000-0005-0000-0000-0000EE440000}"/>
    <cellStyle name="40% - Accent1 5 7 2 5" xfId="21188" xr:uid="{00000000-0005-0000-0000-0000EF440000}"/>
    <cellStyle name="40% - Accent1 5 7 2 5 2" xfId="21189" xr:uid="{00000000-0005-0000-0000-0000F0440000}"/>
    <cellStyle name="40% - Accent1 5 7 2 6" xfId="21190" xr:uid="{00000000-0005-0000-0000-0000F1440000}"/>
    <cellStyle name="40% - Accent1 5 7 2 7" xfId="21191" xr:uid="{00000000-0005-0000-0000-0000F2440000}"/>
    <cellStyle name="40% - Accent1 5 7 2 8" xfId="21192" xr:uid="{00000000-0005-0000-0000-0000F3440000}"/>
    <cellStyle name="40% - Accent1 5 7 3" xfId="21193" xr:uid="{00000000-0005-0000-0000-0000F4440000}"/>
    <cellStyle name="40% - Accent1 5 7 3 2" xfId="21194" xr:uid="{00000000-0005-0000-0000-0000F5440000}"/>
    <cellStyle name="40% - Accent1 5 7 3 2 2" xfId="21195" xr:uid="{00000000-0005-0000-0000-0000F6440000}"/>
    <cellStyle name="40% - Accent1 5 7 3 2 2 2" xfId="21196" xr:uid="{00000000-0005-0000-0000-0000F7440000}"/>
    <cellStyle name="40% - Accent1 5 7 3 2 2 2 2" xfId="21197" xr:uid="{00000000-0005-0000-0000-0000F8440000}"/>
    <cellStyle name="40% - Accent1 5 7 3 2 2 3" xfId="21198" xr:uid="{00000000-0005-0000-0000-0000F9440000}"/>
    <cellStyle name="40% - Accent1 5 7 3 2 3" xfId="21199" xr:uid="{00000000-0005-0000-0000-0000FA440000}"/>
    <cellStyle name="40% - Accent1 5 7 3 2 3 2" xfId="21200" xr:uid="{00000000-0005-0000-0000-0000FB440000}"/>
    <cellStyle name="40% - Accent1 5 7 3 2 4" xfId="21201" xr:uid="{00000000-0005-0000-0000-0000FC440000}"/>
    <cellStyle name="40% - Accent1 5 7 3 2 5" xfId="21202" xr:uid="{00000000-0005-0000-0000-0000FD440000}"/>
    <cellStyle name="40% - Accent1 5 7 3 2 6" xfId="21203" xr:uid="{00000000-0005-0000-0000-0000FE440000}"/>
    <cellStyle name="40% - Accent1 5 7 3 3" xfId="21204" xr:uid="{00000000-0005-0000-0000-0000FF440000}"/>
    <cellStyle name="40% - Accent1 5 7 3 3 2" xfId="21205" xr:uid="{00000000-0005-0000-0000-000000450000}"/>
    <cellStyle name="40% - Accent1 5 7 3 3 2 2" xfId="21206" xr:uid="{00000000-0005-0000-0000-000001450000}"/>
    <cellStyle name="40% - Accent1 5 7 3 3 3" xfId="21207" xr:uid="{00000000-0005-0000-0000-000002450000}"/>
    <cellStyle name="40% - Accent1 5 7 3 4" xfId="21208" xr:uid="{00000000-0005-0000-0000-000003450000}"/>
    <cellStyle name="40% - Accent1 5 7 3 4 2" xfId="21209" xr:uid="{00000000-0005-0000-0000-000004450000}"/>
    <cellStyle name="40% - Accent1 5 7 3 5" xfId="21210" xr:uid="{00000000-0005-0000-0000-000005450000}"/>
    <cellStyle name="40% - Accent1 5 7 3 6" xfId="21211" xr:uid="{00000000-0005-0000-0000-000006450000}"/>
    <cellStyle name="40% - Accent1 5 7 3 7" xfId="21212" xr:uid="{00000000-0005-0000-0000-000007450000}"/>
    <cellStyle name="40% - Accent1 5 7 4" xfId="21213" xr:uid="{00000000-0005-0000-0000-000008450000}"/>
    <cellStyle name="40% - Accent1 5 7 4 2" xfId="21214" xr:uid="{00000000-0005-0000-0000-000009450000}"/>
    <cellStyle name="40% - Accent1 5 7 4 2 2" xfId="21215" xr:uid="{00000000-0005-0000-0000-00000A450000}"/>
    <cellStyle name="40% - Accent1 5 7 4 2 2 2" xfId="21216" xr:uid="{00000000-0005-0000-0000-00000B450000}"/>
    <cellStyle name="40% - Accent1 5 7 4 2 3" xfId="21217" xr:uid="{00000000-0005-0000-0000-00000C450000}"/>
    <cellStyle name="40% - Accent1 5 7 4 3" xfId="21218" xr:uid="{00000000-0005-0000-0000-00000D450000}"/>
    <cellStyle name="40% - Accent1 5 7 4 3 2" xfId="21219" xr:uid="{00000000-0005-0000-0000-00000E450000}"/>
    <cellStyle name="40% - Accent1 5 7 4 4" xfId="21220" xr:uid="{00000000-0005-0000-0000-00000F450000}"/>
    <cellStyle name="40% - Accent1 5 7 4 5" xfId="21221" xr:uid="{00000000-0005-0000-0000-000010450000}"/>
    <cellStyle name="40% - Accent1 5 7 4 6" xfId="21222" xr:uid="{00000000-0005-0000-0000-000011450000}"/>
    <cellStyle name="40% - Accent1 5 7 5" xfId="21223" xr:uid="{00000000-0005-0000-0000-000012450000}"/>
    <cellStyle name="40% - Accent1 5 7 5 2" xfId="21224" xr:uid="{00000000-0005-0000-0000-000013450000}"/>
    <cellStyle name="40% - Accent1 5 7 5 2 2" xfId="21225" xr:uid="{00000000-0005-0000-0000-000014450000}"/>
    <cellStyle name="40% - Accent1 5 7 5 3" xfId="21226" xr:uid="{00000000-0005-0000-0000-000015450000}"/>
    <cellStyle name="40% - Accent1 5 7 6" xfId="21227" xr:uid="{00000000-0005-0000-0000-000016450000}"/>
    <cellStyle name="40% - Accent1 5 7 6 2" xfId="21228" xr:uid="{00000000-0005-0000-0000-000017450000}"/>
    <cellStyle name="40% - Accent1 5 7 6 2 2" xfId="21229" xr:uid="{00000000-0005-0000-0000-000018450000}"/>
    <cellStyle name="40% - Accent1 5 7 6 3" xfId="21230" xr:uid="{00000000-0005-0000-0000-000019450000}"/>
    <cellStyle name="40% - Accent1 5 7 7" xfId="21231" xr:uid="{00000000-0005-0000-0000-00001A450000}"/>
    <cellStyle name="40% - Accent1 5 7 7 2" xfId="21232" xr:uid="{00000000-0005-0000-0000-00001B450000}"/>
    <cellStyle name="40% - Accent1 5 7 8" xfId="21233" xr:uid="{00000000-0005-0000-0000-00001C450000}"/>
    <cellStyle name="40% - Accent1 5 7 8 2" xfId="21234" xr:uid="{00000000-0005-0000-0000-00001D450000}"/>
    <cellStyle name="40% - Accent1 5 7 9" xfId="21235" xr:uid="{00000000-0005-0000-0000-00001E450000}"/>
    <cellStyle name="40% - Accent1 5 8" xfId="21236" xr:uid="{00000000-0005-0000-0000-00001F450000}"/>
    <cellStyle name="40% - Accent1 5 8 10" xfId="21237" xr:uid="{00000000-0005-0000-0000-000020450000}"/>
    <cellStyle name="40% - Accent1 5 8 11" xfId="21238" xr:uid="{00000000-0005-0000-0000-000021450000}"/>
    <cellStyle name="40% - Accent1 5 8 2" xfId="21239" xr:uid="{00000000-0005-0000-0000-000022450000}"/>
    <cellStyle name="40% - Accent1 5 8 2 2" xfId="21240" xr:uid="{00000000-0005-0000-0000-000023450000}"/>
    <cellStyle name="40% - Accent1 5 8 2 2 2" xfId="21241" xr:uid="{00000000-0005-0000-0000-000024450000}"/>
    <cellStyle name="40% - Accent1 5 8 2 2 2 2" xfId="21242" xr:uid="{00000000-0005-0000-0000-000025450000}"/>
    <cellStyle name="40% - Accent1 5 8 2 2 2 2 2" xfId="21243" xr:uid="{00000000-0005-0000-0000-000026450000}"/>
    <cellStyle name="40% - Accent1 5 8 2 2 2 3" xfId="21244" xr:uid="{00000000-0005-0000-0000-000027450000}"/>
    <cellStyle name="40% - Accent1 5 8 2 2 3" xfId="21245" xr:uid="{00000000-0005-0000-0000-000028450000}"/>
    <cellStyle name="40% - Accent1 5 8 2 2 3 2" xfId="21246" xr:uid="{00000000-0005-0000-0000-000029450000}"/>
    <cellStyle name="40% - Accent1 5 8 2 2 4" xfId="21247" xr:uid="{00000000-0005-0000-0000-00002A450000}"/>
    <cellStyle name="40% - Accent1 5 8 2 2 5" xfId="21248" xr:uid="{00000000-0005-0000-0000-00002B450000}"/>
    <cellStyle name="40% - Accent1 5 8 2 2 6" xfId="21249" xr:uid="{00000000-0005-0000-0000-00002C450000}"/>
    <cellStyle name="40% - Accent1 5 8 2 3" xfId="21250" xr:uid="{00000000-0005-0000-0000-00002D450000}"/>
    <cellStyle name="40% - Accent1 5 8 2 3 2" xfId="21251" xr:uid="{00000000-0005-0000-0000-00002E450000}"/>
    <cellStyle name="40% - Accent1 5 8 2 3 2 2" xfId="21252" xr:uid="{00000000-0005-0000-0000-00002F450000}"/>
    <cellStyle name="40% - Accent1 5 8 2 3 3" xfId="21253" xr:uid="{00000000-0005-0000-0000-000030450000}"/>
    <cellStyle name="40% - Accent1 5 8 2 4" xfId="21254" xr:uid="{00000000-0005-0000-0000-000031450000}"/>
    <cellStyle name="40% - Accent1 5 8 2 4 2" xfId="21255" xr:uid="{00000000-0005-0000-0000-000032450000}"/>
    <cellStyle name="40% - Accent1 5 8 2 5" xfId="21256" xr:uid="{00000000-0005-0000-0000-000033450000}"/>
    <cellStyle name="40% - Accent1 5 8 2 5 2" xfId="21257" xr:uid="{00000000-0005-0000-0000-000034450000}"/>
    <cellStyle name="40% - Accent1 5 8 2 6" xfId="21258" xr:uid="{00000000-0005-0000-0000-000035450000}"/>
    <cellStyle name="40% - Accent1 5 8 2 7" xfId="21259" xr:uid="{00000000-0005-0000-0000-000036450000}"/>
    <cellStyle name="40% - Accent1 5 8 2 8" xfId="21260" xr:uid="{00000000-0005-0000-0000-000037450000}"/>
    <cellStyle name="40% - Accent1 5 8 3" xfId="21261" xr:uid="{00000000-0005-0000-0000-000038450000}"/>
    <cellStyle name="40% - Accent1 5 8 3 2" xfId="21262" xr:uid="{00000000-0005-0000-0000-000039450000}"/>
    <cellStyle name="40% - Accent1 5 8 3 2 2" xfId="21263" xr:uid="{00000000-0005-0000-0000-00003A450000}"/>
    <cellStyle name="40% - Accent1 5 8 3 2 2 2" xfId="21264" xr:uid="{00000000-0005-0000-0000-00003B450000}"/>
    <cellStyle name="40% - Accent1 5 8 3 2 2 2 2" xfId="21265" xr:uid="{00000000-0005-0000-0000-00003C450000}"/>
    <cellStyle name="40% - Accent1 5 8 3 2 2 3" xfId="21266" xr:uid="{00000000-0005-0000-0000-00003D450000}"/>
    <cellStyle name="40% - Accent1 5 8 3 2 3" xfId="21267" xr:uid="{00000000-0005-0000-0000-00003E450000}"/>
    <cellStyle name="40% - Accent1 5 8 3 2 3 2" xfId="21268" xr:uid="{00000000-0005-0000-0000-00003F450000}"/>
    <cellStyle name="40% - Accent1 5 8 3 2 4" xfId="21269" xr:uid="{00000000-0005-0000-0000-000040450000}"/>
    <cellStyle name="40% - Accent1 5 8 3 2 5" xfId="21270" xr:uid="{00000000-0005-0000-0000-000041450000}"/>
    <cellStyle name="40% - Accent1 5 8 3 2 6" xfId="21271" xr:uid="{00000000-0005-0000-0000-000042450000}"/>
    <cellStyle name="40% - Accent1 5 8 3 3" xfId="21272" xr:uid="{00000000-0005-0000-0000-000043450000}"/>
    <cellStyle name="40% - Accent1 5 8 3 3 2" xfId="21273" xr:uid="{00000000-0005-0000-0000-000044450000}"/>
    <cellStyle name="40% - Accent1 5 8 3 3 2 2" xfId="21274" xr:uid="{00000000-0005-0000-0000-000045450000}"/>
    <cellStyle name="40% - Accent1 5 8 3 3 3" xfId="21275" xr:uid="{00000000-0005-0000-0000-000046450000}"/>
    <cellStyle name="40% - Accent1 5 8 3 4" xfId="21276" xr:uid="{00000000-0005-0000-0000-000047450000}"/>
    <cellStyle name="40% - Accent1 5 8 3 4 2" xfId="21277" xr:uid="{00000000-0005-0000-0000-000048450000}"/>
    <cellStyle name="40% - Accent1 5 8 3 5" xfId="21278" xr:uid="{00000000-0005-0000-0000-000049450000}"/>
    <cellStyle name="40% - Accent1 5 8 3 6" xfId="21279" xr:uid="{00000000-0005-0000-0000-00004A450000}"/>
    <cellStyle name="40% - Accent1 5 8 3 7" xfId="21280" xr:uid="{00000000-0005-0000-0000-00004B450000}"/>
    <cellStyle name="40% - Accent1 5 8 4" xfId="21281" xr:uid="{00000000-0005-0000-0000-00004C450000}"/>
    <cellStyle name="40% - Accent1 5 8 4 2" xfId="21282" xr:uid="{00000000-0005-0000-0000-00004D450000}"/>
    <cellStyle name="40% - Accent1 5 8 4 2 2" xfId="21283" xr:uid="{00000000-0005-0000-0000-00004E450000}"/>
    <cellStyle name="40% - Accent1 5 8 4 2 2 2" xfId="21284" xr:uid="{00000000-0005-0000-0000-00004F450000}"/>
    <cellStyle name="40% - Accent1 5 8 4 2 3" xfId="21285" xr:uid="{00000000-0005-0000-0000-000050450000}"/>
    <cellStyle name="40% - Accent1 5 8 4 3" xfId="21286" xr:uid="{00000000-0005-0000-0000-000051450000}"/>
    <cellStyle name="40% - Accent1 5 8 4 3 2" xfId="21287" xr:uid="{00000000-0005-0000-0000-000052450000}"/>
    <cellStyle name="40% - Accent1 5 8 4 4" xfId="21288" xr:uid="{00000000-0005-0000-0000-000053450000}"/>
    <cellStyle name="40% - Accent1 5 8 4 5" xfId="21289" xr:uid="{00000000-0005-0000-0000-000054450000}"/>
    <cellStyle name="40% - Accent1 5 8 4 6" xfId="21290" xr:uid="{00000000-0005-0000-0000-000055450000}"/>
    <cellStyle name="40% - Accent1 5 8 5" xfId="21291" xr:uid="{00000000-0005-0000-0000-000056450000}"/>
    <cellStyle name="40% - Accent1 5 8 5 2" xfId="21292" xr:uid="{00000000-0005-0000-0000-000057450000}"/>
    <cellStyle name="40% - Accent1 5 8 5 2 2" xfId="21293" xr:uid="{00000000-0005-0000-0000-000058450000}"/>
    <cellStyle name="40% - Accent1 5 8 5 3" xfId="21294" xr:uid="{00000000-0005-0000-0000-000059450000}"/>
    <cellStyle name="40% - Accent1 5 8 6" xfId="21295" xr:uid="{00000000-0005-0000-0000-00005A450000}"/>
    <cellStyle name="40% - Accent1 5 8 6 2" xfId="21296" xr:uid="{00000000-0005-0000-0000-00005B450000}"/>
    <cellStyle name="40% - Accent1 5 8 6 2 2" xfId="21297" xr:uid="{00000000-0005-0000-0000-00005C450000}"/>
    <cellStyle name="40% - Accent1 5 8 6 3" xfId="21298" xr:uid="{00000000-0005-0000-0000-00005D450000}"/>
    <cellStyle name="40% - Accent1 5 8 7" xfId="21299" xr:uid="{00000000-0005-0000-0000-00005E450000}"/>
    <cellStyle name="40% - Accent1 5 8 7 2" xfId="21300" xr:uid="{00000000-0005-0000-0000-00005F450000}"/>
    <cellStyle name="40% - Accent1 5 8 8" xfId="21301" xr:uid="{00000000-0005-0000-0000-000060450000}"/>
    <cellStyle name="40% - Accent1 5 8 8 2" xfId="21302" xr:uid="{00000000-0005-0000-0000-000061450000}"/>
    <cellStyle name="40% - Accent1 5 8 9" xfId="21303" xr:uid="{00000000-0005-0000-0000-000062450000}"/>
    <cellStyle name="40% - Accent1 5 9" xfId="21304" xr:uid="{00000000-0005-0000-0000-000063450000}"/>
    <cellStyle name="40% - Accent1 5 9 10" xfId="21305" xr:uid="{00000000-0005-0000-0000-000064450000}"/>
    <cellStyle name="40% - Accent1 5 9 11" xfId="21306" xr:uid="{00000000-0005-0000-0000-000065450000}"/>
    <cellStyle name="40% - Accent1 5 9 2" xfId="21307" xr:uid="{00000000-0005-0000-0000-000066450000}"/>
    <cellStyle name="40% - Accent1 5 9 2 2" xfId="21308" xr:uid="{00000000-0005-0000-0000-000067450000}"/>
    <cellStyle name="40% - Accent1 5 9 2 2 2" xfId="21309" xr:uid="{00000000-0005-0000-0000-000068450000}"/>
    <cellStyle name="40% - Accent1 5 9 2 2 2 2" xfId="21310" xr:uid="{00000000-0005-0000-0000-000069450000}"/>
    <cellStyle name="40% - Accent1 5 9 2 2 2 2 2" xfId="21311" xr:uid="{00000000-0005-0000-0000-00006A450000}"/>
    <cellStyle name="40% - Accent1 5 9 2 2 2 3" xfId="21312" xr:uid="{00000000-0005-0000-0000-00006B450000}"/>
    <cellStyle name="40% - Accent1 5 9 2 2 3" xfId="21313" xr:uid="{00000000-0005-0000-0000-00006C450000}"/>
    <cellStyle name="40% - Accent1 5 9 2 2 3 2" xfId="21314" xr:uid="{00000000-0005-0000-0000-00006D450000}"/>
    <cellStyle name="40% - Accent1 5 9 2 2 4" xfId="21315" xr:uid="{00000000-0005-0000-0000-00006E450000}"/>
    <cellStyle name="40% - Accent1 5 9 2 2 5" xfId="21316" xr:uid="{00000000-0005-0000-0000-00006F450000}"/>
    <cellStyle name="40% - Accent1 5 9 2 2 6" xfId="21317" xr:uid="{00000000-0005-0000-0000-000070450000}"/>
    <cellStyle name="40% - Accent1 5 9 2 3" xfId="21318" xr:uid="{00000000-0005-0000-0000-000071450000}"/>
    <cellStyle name="40% - Accent1 5 9 2 3 2" xfId="21319" xr:uid="{00000000-0005-0000-0000-000072450000}"/>
    <cellStyle name="40% - Accent1 5 9 2 3 2 2" xfId="21320" xr:uid="{00000000-0005-0000-0000-000073450000}"/>
    <cellStyle name="40% - Accent1 5 9 2 3 3" xfId="21321" xr:uid="{00000000-0005-0000-0000-000074450000}"/>
    <cellStyle name="40% - Accent1 5 9 2 4" xfId="21322" xr:uid="{00000000-0005-0000-0000-000075450000}"/>
    <cellStyle name="40% - Accent1 5 9 2 4 2" xfId="21323" xr:uid="{00000000-0005-0000-0000-000076450000}"/>
    <cellStyle name="40% - Accent1 5 9 2 5" xfId="21324" xr:uid="{00000000-0005-0000-0000-000077450000}"/>
    <cellStyle name="40% - Accent1 5 9 2 6" xfId="21325" xr:uid="{00000000-0005-0000-0000-000078450000}"/>
    <cellStyle name="40% - Accent1 5 9 2 7" xfId="21326" xr:uid="{00000000-0005-0000-0000-000079450000}"/>
    <cellStyle name="40% - Accent1 5 9 3" xfId="21327" xr:uid="{00000000-0005-0000-0000-00007A450000}"/>
    <cellStyle name="40% - Accent1 5 9 3 2" xfId="21328" xr:uid="{00000000-0005-0000-0000-00007B450000}"/>
    <cellStyle name="40% - Accent1 5 9 3 2 2" xfId="21329" xr:uid="{00000000-0005-0000-0000-00007C450000}"/>
    <cellStyle name="40% - Accent1 5 9 3 2 2 2" xfId="21330" xr:uid="{00000000-0005-0000-0000-00007D450000}"/>
    <cellStyle name="40% - Accent1 5 9 3 2 2 2 2" xfId="21331" xr:uid="{00000000-0005-0000-0000-00007E450000}"/>
    <cellStyle name="40% - Accent1 5 9 3 2 2 3" xfId="21332" xr:uid="{00000000-0005-0000-0000-00007F450000}"/>
    <cellStyle name="40% - Accent1 5 9 3 2 3" xfId="21333" xr:uid="{00000000-0005-0000-0000-000080450000}"/>
    <cellStyle name="40% - Accent1 5 9 3 2 3 2" xfId="21334" xr:uid="{00000000-0005-0000-0000-000081450000}"/>
    <cellStyle name="40% - Accent1 5 9 3 2 4" xfId="21335" xr:uid="{00000000-0005-0000-0000-000082450000}"/>
    <cellStyle name="40% - Accent1 5 9 3 2 5" xfId="21336" xr:uid="{00000000-0005-0000-0000-000083450000}"/>
    <cellStyle name="40% - Accent1 5 9 3 2 6" xfId="21337" xr:uid="{00000000-0005-0000-0000-000084450000}"/>
    <cellStyle name="40% - Accent1 5 9 3 3" xfId="21338" xr:uid="{00000000-0005-0000-0000-000085450000}"/>
    <cellStyle name="40% - Accent1 5 9 3 3 2" xfId="21339" xr:uid="{00000000-0005-0000-0000-000086450000}"/>
    <cellStyle name="40% - Accent1 5 9 3 3 2 2" xfId="21340" xr:uid="{00000000-0005-0000-0000-000087450000}"/>
    <cellStyle name="40% - Accent1 5 9 3 3 3" xfId="21341" xr:uid="{00000000-0005-0000-0000-000088450000}"/>
    <cellStyle name="40% - Accent1 5 9 3 4" xfId="21342" xr:uid="{00000000-0005-0000-0000-000089450000}"/>
    <cellStyle name="40% - Accent1 5 9 3 4 2" xfId="21343" xr:uid="{00000000-0005-0000-0000-00008A450000}"/>
    <cellStyle name="40% - Accent1 5 9 3 5" xfId="21344" xr:uid="{00000000-0005-0000-0000-00008B450000}"/>
    <cellStyle name="40% - Accent1 5 9 3 6" xfId="21345" xr:uid="{00000000-0005-0000-0000-00008C450000}"/>
    <cellStyle name="40% - Accent1 5 9 3 7" xfId="21346" xr:uid="{00000000-0005-0000-0000-00008D450000}"/>
    <cellStyle name="40% - Accent1 5 9 4" xfId="21347" xr:uid="{00000000-0005-0000-0000-00008E450000}"/>
    <cellStyle name="40% - Accent1 5 9 4 2" xfId="21348" xr:uid="{00000000-0005-0000-0000-00008F450000}"/>
    <cellStyle name="40% - Accent1 5 9 4 2 2" xfId="21349" xr:uid="{00000000-0005-0000-0000-000090450000}"/>
    <cellStyle name="40% - Accent1 5 9 4 2 2 2" xfId="21350" xr:uid="{00000000-0005-0000-0000-000091450000}"/>
    <cellStyle name="40% - Accent1 5 9 4 2 3" xfId="21351" xr:uid="{00000000-0005-0000-0000-000092450000}"/>
    <cellStyle name="40% - Accent1 5 9 4 3" xfId="21352" xr:uid="{00000000-0005-0000-0000-000093450000}"/>
    <cellStyle name="40% - Accent1 5 9 4 3 2" xfId="21353" xr:uid="{00000000-0005-0000-0000-000094450000}"/>
    <cellStyle name="40% - Accent1 5 9 4 4" xfId="21354" xr:uid="{00000000-0005-0000-0000-000095450000}"/>
    <cellStyle name="40% - Accent1 5 9 4 5" xfId="21355" xr:uid="{00000000-0005-0000-0000-000096450000}"/>
    <cellStyle name="40% - Accent1 5 9 4 6" xfId="21356" xr:uid="{00000000-0005-0000-0000-000097450000}"/>
    <cellStyle name="40% - Accent1 5 9 5" xfId="21357" xr:uid="{00000000-0005-0000-0000-000098450000}"/>
    <cellStyle name="40% - Accent1 5 9 5 2" xfId="21358" xr:uid="{00000000-0005-0000-0000-000099450000}"/>
    <cellStyle name="40% - Accent1 5 9 5 2 2" xfId="21359" xr:uid="{00000000-0005-0000-0000-00009A450000}"/>
    <cellStyle name="40% - Accent1 5 9 5 3" xfId="21360" xr:uid="{00000000-0005-0000-0000-00009B450000}"/>
    <cellStyle name="40% - Accent1 5 9 6" xfId="21361" xr:uid="{00000000-0005-0000-0000-00009C450000}"/>
    <cellStyle name="40% - Accent1 5 9 6 2" xfId="21362" xr:uid="{00000000-0005-0000-0000-00009D450000}"/>
    <cellStyle name="40% - Accent1 5 9 6 2 2" xfId="21363" xr:uid="{00000000-0005-0000-0000-00009E450000}"/>
    <cellStyle name="40% - Accent1 5 9 6 3" xfId="21364" xr:uid="{00000000-0005-0000-0000-00009F450000}"/>
    <cellStyle name="40% - Accent1 5 9 7" xfId="21365" xr:uid="{00000000-0005-0000-0000-0000A0450000}"/>
    <cellStyle name="40% - Accent1 5 9 7 2" xfId="21366" xr:uid="{00000000-0005-0000-0000-0000A1450000}"/>
    <cellStyle name="40% - Accent1 5 9 8" xfId="21367" xr:uid="{00000000-0005-0000-0000-0000A2450000}"/>
    <cellStyle name="40% - Accent1 5 9 8 2" xfId="21368" xr:uid="{00000000-0005-0000-0000-0000A3450000}"/>
    <cellStyle name="40% - Accent1 5 9 9" xfId="21369" xr:uid="{00000000-0005-0000-0000-0000A4450000}"/>
    <cellStyle name="40% - Accent1 6" xfId="195" xr:uid="{00000000-0005-0000-0000-0000A5450000}"/>
    <cellStyle name="40% - Accent1 6 10" xfId="21370" xr:uid="{00000000-0005-0000-0000-0000A6450000}"/>
    <cellStyle name="40% - Accent1 6 11" xfId="21371" xr:uid="{00000000-0005-0000-0000-0000A7450000}"/>
    <cellStyle name="40% - Accent1 6 12" xfId="21372" xr:uid="{00000000-0005-0000-0000-0000A8450000}"/>
    <cellStyle name="40% - Accent1 6 2" xfId="21373" xr:uid="{00000000-0005-0000-0000-0000A9450000}"/>
    <cellStyle name="40% - Accent1 6 2 10" xfId="21374" xr:uid="{00000000-0005-0000-0000-0000AA450000}"/>
    <cellStyle name="40% - Accent1 6 2 2" xfId="21375" xr:uid="{00000000-0005-0000-0000-0000AB450000}"/>
    <cellStyle name="40% - Accent1 6 2 2 2" xfId="21376" xr:uid="{00000000-0005-0000-0000-0000AC450000}"/>
    <cellStyle name="40% - Accent1 6 2 2 2 2" xfId="21377" xr:uid="{00000000-0005-0000-0000-0000AD450000}"/>
    <cellStyle name="40% - Accent1 6 2 2 2 2 2" xfId="21378" xr:uid="{00000000-0005-0000-0000-0000AE450000}"/>
    <cellStyle name="40% - Accent1 6 2 2 2 2 2 2" xfId="21379" xr:uid="{00000000-0005-0000-0000-0000AF450000}"/>
    <cellStyle name="40% - Accent1 6 2 2 2 2 3" xfId="21380" xr:uid="{00000000-0005-0000-0000-0000B0450000}"/>
    <cellStyle name="40% - Accent1 6 2 2 2 3" xfId="21381" xr:uid="{00000000-0005-0000-0000-0000B1450000}"/>
    <cellStyle name="40% - Accent1 6 2 2 2 3 2" xfId="21382" xr:uid="{00000000-0005-0000-0000-0000B2450000}"/>
    <cellStyle name="40% - Accent1 6 2 2 2 4" xfId="21383" xr:uid="{00000000-0005-0000-0000-0000B3450000}"/>
    <cellStyle name="40% - Accent1 6 2 2 2 5" xfId="21384" xr:uid="{00000000-0005-0000-0000-0000B4450000}"/>
    <cellStyle name="40% - Accent1 6 2 2 2 6" xfId="21385" xr:uid="{00000000-0005-0000-0000-0000B5450000}"/>
    <cellStyle name="40% - Accent1 6 2 2 3" xfId="21386" xr:uid="{00000000-0005-0000-0000-0000B6450000}"/>
    <cellStyle name="40% - Accent1 6 2 2 3 2" xfId="21387" xr:uid="{00000000-0005-0000-0000-0000B7450000}"/>
    <cellStyle name="40% - Accent1 6 2 2 3 2 2" xfId="21388" xr:uid="{00000000-0005-0000-0000-0000B8450000}"/>
    <cellStyle name="40% - Accent1 6 2 2 3 3" xfId="21389" xr:uid="{00000000-0005-0000-0000-0000B9450000}"/>
    <cellStyle name="40% - Accent1 6 2 2 4" xfId="21390" xr:uid="{00000000-0005-0000-0000-0000BA450000}"/>
    <cellStyle name="40% - Accent1 6 2 2 4 2" xfId="21391" xr:uid="{00000000-0005-0000-0000-0000BB450000}"/>
    <cellStyle name="40% - Accent1 6 2 2 5" xfId="21392" xr:uid="{00000000-0005-0000-0000-0000BC450000}"/>
    <cellStyle name="40% - Accent1 6 2 2 6" xfId="21393" xr:uid="{00000000-0005-0000-0000-0000BD450000}"/>
    <cellStyle name="40% - Accent1 6 2 2 7" xfId="21394" xr:uid="{00000000-0005-0000-0000-0000BE450000}"/>
    <cellStyle name="40% - Accent1 6 2 3" xfId="21395" xr:uid="{00000000-0005-0000-0000-0000BF450000}"/>
    <cellStyle name="40% - Accent1 6 2 3 2" xfId="21396" xr:uid="{00000000-0005-0000-0000-0000C0450000}"/>
    <cellStyle name="40% - Accent1 6 2 3 2 2" xfId="21397" xr:uid="{00000000-0005-0000-0000-0000C1450000}"/>
    <cellStyle name="40% - Accent1 6 2 3 2 2 2" xfId="21398" xr:uid="{00000000-0005-0000-0000-0000C2450000}"/>
    <cellStyle name="40% - Accent1 6 2 3 2 3" xfId="21399" xr:uid="{00000000-0005-0000-0000-0000C3450000}"/>
    <cellStyle name="40% - Accent1 6 2 3 3" xfId="21400" xr:uid="{00000000-0005-0000-0000-0000C4450000}"/>
    <cellStyle name="40% - Accent1 6 2 3 3 2" xfId="21401" xr:uid="{00000000-0005-0000-0000-0000C5450000}"/>
    <cellStyle name="40% - Accent1 6 2 3 4" xfId="21402" xr:uid="{00000000-0005-0000-0000-0000C6450000}"/>
    <cellStyle name="40% - Accent1 6 2 3 5" xfId="21403" xr:uid="{00000000-0005-0000-0000-0000C7450000}"/>
    <cellStyle name="40% - Accent1 6 2 3 6" xfId="21404" xr:uid="{00000000-0005-0000-0000-0000C8450000}"/>
    <cellStyle name="40% - Accent1 6 2 4" xfId="21405" xr:uid="{00000000-0005-0000-0000-0000C9450000}"/>
    <cellStyle name="40% - Accent1 6 2 4 2" xfId="21406" xr:uid="{00000000-0005-0000-0000-0000CA450000}"/>
    <cellStyle name="40% - Accent1 6 2 4 2 2" xfId="21407" xr:uid="{00000000-0005-0000-0000-0000CB450000}"/>
    <cellStyle name="40% - Accent1 6 2 4 3" xfId="21408" xr:uid="{00000000-0005-0000-0000-0000CC450000}"/>
    <cellStyle name="40% - Accent1 6 2 5" xfId="21409" xr:uid="{00000000-0005-0000-0000-0000CD450000}"/>
    <cellStyle name="40% - Accent1 6 2 5 2" xfId="21410" xr:uid="{00000000-0005-0000-0000-0000CE450000}"/>
    <cellStyle name="40% - Accent1 6 2 5 2 2" xfId="21411" xr:uid="{00000000-0005-0000-0000-0000CF450000}"/>
    <cellStyle name="40% - Accent1 6 2 5 3" xfId="21412" xr:uid="{00000000-0005-0000-0000-0000D0450000}"/>
    <cellStyle name="40% - Accent1 6 2 6" xfId="21413" xr:uid="{00000000-0005-0000-0000-0000D1450000}"/>
    <cellStyle name="40% - Accent1 6 2 6 2" xfId="21414" xr:uid="{00000000-0005-0000-0000-0000D2450000}"/>
    <cellStyle name="40% - Accent1 6 2 7" xfId="21415" xr:uid="{00000000-0005-0000-0000-0000D3450000}"/>
    <cellStyle name="40% - Accent1 6 2 7 2" xfId="21416" xr:uid="{00000000-0005-0000-0000-0000D4450000}"/>
    <cellStyle name="40% - Accent1 6 2 8" xfId="21417" xr:uid="{00000000-0005-0000-0000-0000D5450000}"/>
    <cellStyle name="40% - Accent1 6 2 9" xfId="21418" xr:uid="{00000000-0005-0000-0000-0000D6450000}"/>
    <cellStyle name="40% - Accent1 6 3" xfId="21419" xr:uid="{00000000-0005-0000-0000-0000D7450000}"/>
    <cellStyle name="40% - Accent1 6 3 2" xfId="21420" xr:uid="{00000000-0005-0000-0000-0000D8450000}"/>
    <cellStyle name="40% - Accent1 6 3 2 2" xfId="21421" xr:uid="{00000000-0005-0000-0000-0000D9450000}"/>
    <cellStyle name="40% - Accent1 6 3 2 2 2" xfId="21422" xr:uid="{00000000-0005-0000-0000-0000DA450000}"/>
    <cellStyle name="40% - Accent1 6 3 2 2 2 2" xfId="21423" xr:uid="{00000000-0005-0000-0000-0000DB450000}"/>
    <cellStyle name="40% - Accent1 6 3 2 2 3" xfId="21424" xr:uid="{00000000-0005-0000-0000-0000DC450000}"/>
    <cellStyle name="40% - Accent1 6 3 2 3" xfId="21425" xr:uid="{00000000-0005-0000-0000-0000DD450000}"/>
    <cellStyle name="40% - Accent1 6 3 2 3 2" xfId="21426" xr:uid="{00000000-0005-0000-0000-0000DE450000}"/>
    <cellStyle name="40% - Accent1 6 3 2 4" xfId="21427" xr:uid="{00000000-0005-0000-0000-0000DF450000}"/>
    <cellStyle name="40% - Accent1 6 3 2 5" xfId="21428" xr:uid="{00000000-0005-0000-0000-0000E0450000}"/>
    <cellStyle name="40% - Accent1 6 3 2 6" xfId="21429" xr:uid="{00000000-0005-0000-0000-0000E1450000}"/>
    <cellStyle name="40% - Accent1 6 3 3" xfId="21430" xr:uid="{00000000-0005-0000-0000-0000E2450000}"/>
    <cellStyle name="40% - Accent1 6 3 3 2" xfId="21431" xr:uid="{00000000-0005-0000-0000-0000E3450000}"/>
    <cellStyle name="40% - Accent1 6 3 3 2 2" xfId="21432" xr:uid="{00000000-0005-0000-0000-0000E4450000}"/>
    <cellStyle name="40% - Accent1 6 3 3 3" xfId="21433" xr:uid="{00000000-0005-0000-0000-0000E5450000}"/>
    <cellStyle name="40% - Accent1 6 3 4" xfId="21434" xr:uid="{00000000-0005-0000-0000-0000E6450000}"/>
    <cellStyle name="40% - Accent1 6 3 4 2" xfId="21435" xr:uid="{00000000-0005-0000-0000-0000E7450000}"/>
    <cellStyle name="40% - Accent1 6 3 5" xfId="21436" xr:uid="{00000000-0005-0000-0000-0000E8450000}"/>
    <cellStyle name="40% - Accent1 6 3 6" xfId="21437" xr:uid="{00000000-0005-0000-0000-0000E9450000}"/>
    <cellStyle name="40% - Accent1 6 3 7" xfId="21438" xr:uid="{00000000-0005-0000-0000-0000EA450000}"/>
    <cellStyle name="40% - Accent1 6 4" xfId="21439" xr:uid="{00000000-0005-0000-0000-0000EB450000}"/>
    <cellStyle name="40% - Accent1 6 4 2" xfId="21440" xr:uid="{00000000-0005-0000-0000-0000EC450000}"/>
    <cellStyle name="40% - Accent1 6 4 2 2" xfId="21441" xr:uid="{00000000-0005-0000-0000-0000ED450000}"/>
    <cellStyle name="40% - Accent1 6 4 2 2 2" xfId="21442" xr:uid="{00000000-0005-0000-0000-0000EE450000}"/>
    <cellStyle name="40% - Accent1 6 4 2 2 2 2" xfId="21443" xr:uid="{00000000-0005-0000-0000-0000EF450000}"/>
    <cellStyle name="40% - Accent1 6 4 2 2 3" xfId="21444" xr:uid="{00000000-0005-0000-0000-0000F0450000}"/>
    <cellStyle name="40% - Accent1 6 4 2 3" xfId="21445" xr:uid="{00000000-0005-0000-0000-0000F1450000}"/>
    <cellStyle name="40% - Accent1 6 4 2 3 2" xfId="21446" xr:uid="{00000000-0005-0000-0000-0000F2450000}"/>
    <cellStyle name="40% - Accent1 6 4 2 4" xfId="21447" xr:uid="{00000000-0005-0000-0000-0000F3450000}"/>
    <cellStyle name="40% - Accent1 6 4 2 5" xfId="21448" xr:uid="{00000000-0005-0000-0000-0000F4450000}"/>
    <cellStyle name="40% - Accent1 6 4 2 6" xfId="21449" xr:uid="{00000000-0005-0000-0000-0000F5450000}"/>
    <cellStyle name="40% - Accent1 6 4 3" xfId="21450" xr:uid="{00000000-0005-0000-0000-0000F6450000}"/>
    <cellStyle name="40% - Accent1 6 4 3 2" xfId="21451" xr:uid="{00000000-0005-0000-0000-0000F7450000}"/>
    <cellStyle name="40% - Accent1 6 4 3 2 2" xfId="21452" xr:uid="{00000000-0005-0000-0000-0000F8450000}"/>
    <cellStyle name="40% - Accent1 6 4 3 3" xfId="21453" xr:uid="{00000000-0005-0000-0000-0000F9450000}"/>
    <cellStyle name="40% - Accent1 6 4 4" xfId="21454" xr:uid="{00000000-0005-0000-0000-0000FA450000}"/>
    <cellStyle name="40% - Accent1 6 4 4 2" xfId="21455" xr:uid="{00000000-0005-0000-0000-0000FB450000}"/>
    <cellStyle name="40% - Accent1 6 4 5" xfId="21456" xr:uid="{00000000-0005-0000-0000-0000FC450000}"/>
    <cellStyle name="40% - Accent1 6 4 6" xfId="21457" xr:uid="{00000000-0005-0000-0000-0000FD450000}"/>
    <cellStyle name="40% - Accent1 6 4 7" xfId="21458" xr:uid="{00000000-0005-0000-0000-0000FE450000}"/>
    <cellStyle name="40% - Accent1 6 5" xfId="21459" xr:uid="{00000000-0005-0000-0000-0000FF450000}"/>
    <cellStyle name="40% - Accent1 6 5 2" xfId="21460" xr:uid="{00000000-0005-0000-0000-000000460000}"/>
    <cellStyle name="40% - Accent1 6 5 2 2" xfId="21461" xr:uid="{00000000-0005-0000-0000-000001460000}"/>
    <cellStyle name="40% - Accent1 6 5 2 2 2" xfId="21462" xr:uid="{00000000-0005-0000-0000-000002460000}"/>
    <cellStyle name="40% - Accent1 6 5 2 3" xfId="21463" xr:uid="{00000000-0005-0000-0000-000003460000}"/>
    <cellStyle name="40% - Accent1 6 5 3" xfId="21464" xr:uid="{00000000-0005-0000-0000-000004460000}"/>
    <cellStyle name="40% - Accent1 6 5 3 2" xfId="21465" xr:uid="{00000000-0005-0000-0000-000005460000}"/>
    <cellStyle name="40% - Accent1 6 5 4" xfId="21466" xr:uid="{00000000-0005-0000-0000-000006460000}"/>
    <cellStyle name="40% - Accent1 6 5 5" xfId="21467" xr:uid="{00000000-0005-0000-0000-000007460000}"/>
    <cellStyle name="40% - Accent1 6 5 6" xfId="21468" xr:uid="{00000000-0005-0000-0000-000008460000}"/>
    <cellStyle name="40% - Accent1 6 6" xfId="21469" xr:uid="{00000000-0005-0000-0000-000009460000}"/>
    <cellStyle name="40% - Accent1 6 6 2" xfId="21470" xr:uid="{00000000-0005-0000-0000-00000A460000}"/>
    <cellStyle name="40% - Accent1 6 6 2 2" xfId="21471" xr:uid="{00000000-0005-0000-0000-00000B460000}"/>
    <cellStyle name="40% - Accent1 6 6 3" xfId="21472" xr:uid="{00000000-0005-0000-0000-00000C460000}"/>
    <cellStyle name="40% - Accent1 6 7" xfId="21473" xr:uid="{00000000-0005-0000-0000-00000D460000}"/>
    <cellStyle name="40% - Accent1 6 7 2" xfId="21474" xr:uid="{00000000-0005-0000-0000-00000E460000}"/>
    <cellStyle name="40% - Accent1 6 7 2 2" xfId="21475" xr:uid="{00000000-0005-0000-0000-00000F460000}"/>
    <cellStyle name="40% - Accent1 6 7 3" xfId="21476" xr:uid="{00000000-0005-0000-0000-000010460000}"/>
    <cellStyle name="40% - Accent1 6 8" xfId="21477" xr:uid="{00000000-0005-0000-0000-000011460000}"/>
    <cellStyle name="40% - Accent1 6 8 2" xfId="21478" xr:uid="{00000000-0005-0000-0000-000012460000}"/>
    <cellStyle name="40% - Accent1 6 9" xfId="21479" xr:uid="{00000000-0005-0000-0000-000013460000}"/>
    <cellStyle name="40% - Accent1 6 9 2" xfId="21480" xr:uid="{00000000-0005-0000-0000-000014460000}"/>
    <cellStyle name="40% - Accent1 7" xfId="21481" xr:uid="{00000000-0005-0000-0000-000015460000}"/>
    <cellStyle name="40% - Accent1 7 10" xfId="21482" xr:uid="{00000000-0005-0000-0000-000016460000}"/>
    <cellStyle name="40% - Accent1 7 11" xfId="21483" xr:uid="{00000000-0005-0000-0000-000017460000}"/>
    <cellStyle name="40% - Accent1 7 12" xfId="21484" xr:uid="{00000000-0005-0000-0000-000018460000}"/>
    <cellStyle name="40% - Accent1 7 2" xfId="21485" xr:uid="{00000000-0005-0000-0000-000019460000}"/>
    <cellStyle name="40% - Accent1 7 2 10" xfId="21486" xr:uid="{00000000-0005-0000-0000-00001A460000}"/>
    <cellStyle name="40% - Accent1 7 2 2" xfId="21487" xr:uid="{00000000-0005-0000-0000-00001B460000}"/>
    <cellStyle name="40% - Accent1 7 2 2 2" xfId="21488" xr:uid="{00000000-0005-0000-0000-00001C460000}"/>
    <cellStyle name="40% - Accent1 7 2 2 2 2" xfId="21489" xr:uid="{00000000-0005-0000-0000-00001D460000}"/>
    <cellStyle name="40% - Accent1 7 2 2 2 2 2" xfId="21490" xr:uid="{00000000-0005-0000-0000-00001E460000}"/>
    <cellStyle name="40% - Accent1 7 2 2 2 2 2 2" xfId="21491" xr:uid="{00000000-0005-0000-0000-00001F460000}"/>
    <cellStyle name="40% - Accent1 7 2 2 2 2 3" xfId="21492" xr:uid="{00000000-0005-0000-0000-000020460000}"/>
    <cellStyle name="40% - Accent1 7 2 2 2 3" xfId="21493" xr:uid="{00000000-0005-0000-0000-000021460000}"/>
    <cellStyle name="40% - Accent1 7 2 2 2 3 2" xfId="21494" xr:uid="{00000000-0005-0000-0000-000022460000}"/>
    <cellStyle name="40% - Accent1 7 2 2 2 4" xfId="21495" xr:uid="{00000000-0005-0000-0000-000023460000}"/>
    <cellStyle name="40% - Accent1 7 2 2 2 5" xfId="21496" xr:uid="{00000000-0005-0000-0000-000024460000}"/>
    <cellStyle name="40% - Accent1 7 2 2 2 6" xfId="21497" xr:uid="{00000000-0005-0000-0000-000025460000}"/>
    <cellStyle name="40% - Accent1 7 2 2 3" xfId="21498" xr:uid="{00000000-0005-0000-0000-000026460000}"/>
    <cellStyle name="40% - Accent1 7 2 2 3 2" xfId="21499" xr:uid="{00000000-0005-0000-0000-000027460000}"/>
    <cellStyle name="40% - Accent1 7 2 2 3 2 2" xfId="21500" xr:uid="{00000000-0005-0000-0000-000028460000}"/>
    <cellStyle name="40% - Accent1 7 2 2 3 3" xfId="21501" xr:uid="{00000000-0005-0000-0000-000029460000}"/>
    <cellStyle name="40% - Accent1 7 2 2 4" xfId="21502" xr:uid="{00000000-0005-0000-0000-00002A460000}"/>
    <cellStyle name="40% - Accent1 7 2 2 4 2" xfId="21503" xr:uid="{00000000-0005-0000-0000-00002B460000}"/>
    <cellStyle name="40% - Accent1 7 2 2 5" xfId="21504" xr:uid="{00000000-0005-0000-0000-00002C460000}"/>
    <cellStyle name="40% - Accent1 7 2 2 6" xfId="21505" xr:uid="{00000000-0005-0000-0000-00002D460000}"/>
    <cellStyle name="40% - Accent1 7 2 2 7" xfId="21506" xr:uid="{00000000-0005-0000-0000-00002E460000}"/>
    <cellStyle name="40% - Accent1 7 2 3" xfId="21507" xr:uid="{00000000-0005-0000-0000-00002F460000}"/>
    <cellStyle name="40% - Accent1 7 2 3 2" xfId="21508" xr:uid="{00000000-0005-0000-0000-000030460000}"/>
    <cellStyle name="40% - Accent1 7 2 3 2 2" xfId="21509" xr:uid="{00000000-0005-0000-0000-000031460000}"/>
    <cellStyle name="40% - Accent1 7 2 3 2 2 2" xfId="21510" xr:uid="{00000000-0005-0000-0000-000032460000}"/>
    <cellStyle name="40% - Accent1 7 2 3 2 3" xfId="21511" xr:uid="{00000000-0005-0000-0000-000033460000}"/>
    <cellStyle name="40% - Accent1 7 2 3 3" xfId="21512" xr:uid="{00000000-0005-0000-0000-000034460000}"/>
    <cellStyle name="40% - Accent1 7 2 3 3 2" xfId="21513" xr:uid="{00000000-0005-0000-0000-000035460000}"/>
    <cellStyle name="40% - Accent1 7 2 3 4" xfId="21514" xr:uid="{00000000-0005-0000-0000-000036460000}"/>
    <cellStyle name="40% - Accent1 7 2 3 5" xfId="21515" xr:uid="{00000000-0005-0000-0000-000037460000}"/>
    <cellStyle name="40% - Accent1 7 2 3 6" xfId="21516" xr:uid="{00000000-0005-0000-0000-000038460000}"/>
    <cellStyle name="40% - Accent1 7 2 4" xfId="21517" xr:uid="{00000000-0005-0000-0000-000039460000}"/>
    <cellStyle name="40% - Accent1 7 2 4 2" xfId="21518" xr:uid="{00000000-0005-0000-0000-00003A460000}"/>
    <cellStyle name="40% - Accent1 7 2 4 2 2" xfId="21519" xr:uid="{00000000-0005-0000-0000-00003B460000}"/>
    <cellStyle name="40% - Accent1 7 2 4 3" xfId="21520" xr:uid="{00000000-0005-0000-0000-00003C460000}"/>
    <cellStyle name="40% - Accent1 7 2 5" xfId="21521" xr:uid="{00000000-0005-0000-0000-00003D460000}"/>
    <cellStyle name="40% - Accent1 7 2 5 2" xfId="21522" xr:uid="{00000000-0005-0000-0000-00003E460000}"/>
    <cellStyle name="40% - Accent1 7 2 5 2 2" xfId="21523" xr:uid="{00000000-0005-0000-0000-00003F460000}"/>
    <cellStyle name="40% - Accent1 7 2 5 3" xfId="21524" xr:uid="{00000000-0005-0000-0000-000040460000}"/>
    <cellStyle name="40% - Accent1 7 2 6" xfId="21525" xr:uid="{00000000-0005-0000-0000-000041460000}"/>
    <cellStyle name="40% - Accent1 7 2 6 2" xfId="21526" xr:uid="{00000000-0005-0000-0000-000042460000}"/>
    <cellStyle name="40% - Accent1 7 2 7" xfId="21527" xr:uid="{00000000-0005-0000-0000-000043460000}"/>
    <cellStyle name="40% - Accent1 7 2 7 2" xfId="21528" xr:uid="{00000000-0005-0000-0000-000044460000}"/>
    <cellStyle name="40% - Accent1 7 2 8" xfId="21529" xr:uid="{00000000-0005-0000-0000-000045460000}"/>
    <cellStyle name="40% - Accent1 7 2 9" xfId="21530" xr:uid="{00000000-0005-0000-0000-000046460000}"/>
    <cellStyle name="40% - Accent1 7 3" xfId="21531" xr:uid="{00000000-0005-0000-0000-000047460000}"/>
    <cellStyle name="40% - Accent1 7 3 2" xfId="21532" xr:uid="{00000000-0005-0000-0000-000048460000}"/>
    <cellStyle name="40% - Accent1 7 3 2 2" xfId="21533" xr:uid="{00000000-0005-0000-0000-000049460000}"/>
    <cellStyle name="40% - Accent1 7 3 2 2 2" xfId="21534" xr:uid="{00000000-0005-0000-0000-00004A460000}"/>
    <cellStyle name="40% - Accent1 7 3 2 2 2 2" xfId="21535" xr:uid="{00000000-0005-0000-0000-00004B460000}"/>
    <cellStyle name="40% - Accent1 7 3 2 2 3" xfId="21536" xr:uid="{00000000-0005-0000-0000-00004C460000}"/>
    <cellStyle name="40% - Accent1 7 3 2 3" xfId="21537" xr:uid="{00000000-0005-0000-0000-00004D460000}"/>
    <cellStyle name="40% - Accent1 7 3 2 3 2" xfId="21538" xr:uid="{00000000-0005-0000-0000-00004E460000}"/>
    <cellStyle name="40% - Accent1 7 3 2 4" xfId="21539" xr:uid="{00000000-0005-0000-0000-00004F460000}"/>
    <cellStyle name="40% - Accent1 7 3 2 5" xfId="21540" xr:uid="{00000000-0005-0000-0000-000050460000}"/>
    <cellStyle name="40% - Accent1 7 3 2 6" xfId="21541" xr:uid="{00000000-0005-0000-0000-000051460000}"/>
    <cellStyle name="40% - Accent1 7 3 3" xfId="21542" xr:uid="{00000000-0005-0000-0000-000052460000}"/>
    <cellStyle name="40% - Accent1 7 3 3 2" xfId="21543" xr:uid="{00000000-0005-0000-0000-000053460000}"/>
    <cellStyle name="40% - Accent1 7 3 3 2 2" xfId="21544" xr:uid="{00000000-0005-0000-0000-000054460000}"/>
    <cellStyle name="40% - Accent1 7 3 3 3" xfId="21545" xr:uid="{00000000-0005-0000-0000-000055460000}"/>
    <cellStyle name="40% - Accent1 7 3 4" xfId="21546" xr:uid="{00000000-0005-0000-0000-000056460000}"/>
    <cellStyle name="40% - Accent1 7 3 4 2" xfId="21547" xr:uid="{00000000-0005-0000-0000-000057460000}"/>
    <cellStyle name="40% - Accent1 7 3 5" xfId="21548" xr:uid="{00000000-0005-0000-0000-000058460000}"/>
    <cellStyle name="40% - Accent1 7 3 6" xfId="21549" xr:uid="{00000000-0005-0000-0000-000059460000}"/>
    <cellStyle name="40% - Accent1 7 3 7" xfId="21550" xr:uid="{00000000-0005-0000-0000-00005A460000}"/>
    <cellStyle name="40% - Accent1 7 4" xfId="21551" xr:uid="{00000000-0005-0000-0000-00005B460000}"/>
    <cellStyle name="40% - Accent1 7 4 2" xfId="21552" xr:uid="{00000000-0005-0000-0000-00005C460000}"/>
    <cellStyle name="40% - Accent1 7 4 2 2" xfId="21553" xr:uid="{00000000-0005-0000-0000-00005D460000}"/>
    <cellStyle name="40% - Accent1 7 4 2 2 2" xfId="21554" xr:uid="{00000000-0005-0000-0000-00005E460000}"/>
    <cellStyle name="40% - Accent1 7 4 2 2 2 2" xfId="21555" xr:uid="{00000000-0005-0000-0000-00005F460000}"/>
    <cellStyle name="40% - Accent1 7 4 2 2 3" xfId="21556" xr:uid="{00000000-0005-0000-0000-000060460000}"/>
    <cellStyle name="40% - Accent1 7 4 2 3" xfId="21557" xr:uid="{00000000-0005-0000-0000-000061460000}"/>
    <cellStyle name="40% - Accent1 7 4 2 3 2" xfId="21558" xr:uid="{00000000-0005-0000-0000-000062460000}"/>
    <cellStyle name="40% - Accent1 7 4 2 4" xfId="21559" xr:uid="{00000000-0005-0000-0000-000063460000}"/>
    <cellStyle name="40% - Accent1 7 4 2 5" xfId="21560" xr:uid="{00000000-0005-0000-0000-000064460000}"/>
    <cellStyle name="40% - Accent1 7 4 2 6" xfId="21561" xr:uid="{00000000-0005-0000-0000-000065460000}"/>
    <cellStyle name="40% - Accent1 7 4 3" xfId="21562" xr:uid="{00000000-0005-0000-0000-000066460000}"/>
    <cellStyle name="40% - Accent1 7 4 3 2" xfId="21563" xr:uid="{00000000-0005-0000-0000-000067460000}"/>
    <cellStyle name="40% - Accent1 7 4 3 2 2" xfId="21564" xr:uid="{00000000-0005-0000-0000-000068460000}"/>
    <cellStyle name="40% - Accent1 7 4 3 3" xfId="21565" xr:uid="{00000000-0005-0000-0000-000069460000}"/>
    <cellStyle name="40% - Accent1 7 4 4" xfId="21566" xr:uid="{00000000-0005-0000-0000-00006A460000}"/>
    <cellStyle name="40% - Accent1 7 4 4 2" xfId="21567" xr:uid="{00000000-0005-0000-0000-00006B460000}"/>
    <cellStyle name="40% - Accent1 7 4 5" xfId="21568" xr:uid="{00000000-0005-0000-0000-00006C460000}"/>
    <cellStyle name="40% - Accent1 7 4 6" xfId="21569" xr:uid="{00000000-0005-0000-0000-00006D460000}"/>
    <cellStyle name="40% - Accent1 7 4 7" xfId="21570" xr:uid="{00000000-0005-0000-0000-00006E460000}"/>
    <cellStyle name="40% - Accent1 7 5" xfId="21571" xr:uid="{00000000-0005-0000-0000-00006F460000}"/>
    <cellStyle name="40% - Accent1 7 5 2" xfId="21572" xr:uid="{00000000-0005-0000-0000-000070460000}"/>
    <cellStyle name="40% - Accent1 7 5 2 2" xfId="21573" xr:uid="{00000000-0005-0000-0000-000071460000}"/>
    <cellStyle name="40% - Accent1 7 5 2 2 2" xfId="21574" xr:uid="{00000000-0005-0000-0000-000072460000}"/>
    <cellStyle name="40% - Accent1 7 5 2 3" xfId="21575" xr:uid="{00000000-0005-0000-0000-000073460000}"/>
    <cellStyle name="40% - Accent1 7 5 3" xfId="21576" xr:uid="{00000000-0005-0000-0000-000074460000}"/>
    <cellStyle name="40% - Accent1 7 5 3 2" xfId="21577" xr:uid="{00000000-0005-0000-0000-000075460000}"/>
    <cellStyle name="40% - Accent1 7 5 4" xfId="21578" xr:uid="{00000000-0005-0000-0000-000076460000}"/>
    <cellStyle name="40% - Accent1 7 5 5" xfId="21579" xr:uid="{00000000-0005-0000-0000-000077460000}"/>
    <cellStyle name="40% - Accent1 7 5 6" xfId="21580" xr:uid="{00000000-0005-0000-0000-000078460000}"/>
    <cellStyle name="40% - Accent1 7 6" xfId="21581" xr:uid="{00000000-0005-0000-0000-000079460000}"/>
    <cellStyle name="40% - Accent1 7 6 2" xfId="21582" xr:uid="{00000000-0005-0000-0000-00007A460000}"/>
    <cellStyle name="40% - Accent1 7 6 2 2" xfId="21583" xr:uid="{00000000-0005-0000-0000-00007B460000}"/>
    <cellStyle name="40% - Accent1 7 6 3" xfId="21584" xr:uid="{00000000-0005-0000-0000-00007C460000}"/>
    <cellStyle name="40% - Accent1 7 7" xfId="21585" xr:uid="{00000000-0005-0000-0000-00007D460000}"/>
    <cellStyle name="40% - Accent1 7 7 2" xfId="21586" xr:uid="{00000000-0005-0000-0000-00007E460000}"/>
    <cellStyle name="40% - Accent1 7 7 2 2" xfId="21587" xr:uid="{00000000-0005-0000-0000-00007F460000}"/>
    <cellStyle name="40% - Accent1 7 7 3" xfId="21588" xr:uid="{00000000-0005-0000-0000-000080460000}"/>
    <cellStyle name="40% - Accent1 7 8" xfId="21589" xr:uid="{00000000-0005-0000-0000-000081460000}"/>
    <cellStyle name="40% - Accent1 7 8 2" xfId="21590" xr:uid="{00000000-0005-0000-0000-000082460000}"/>
    <cellStyle name="40% - Accent1 7 9" xfId="21591" xr:uid="{00000000-0005-0000-0000-000083460000}"/>
    <cellStyle name="40% - Accent1 7 9 2" xfId="21592" xr:uid="{00000000-0005-0000-0000-000084460000}"/>
    <cellStyle name="40% - Accent1 8" xfId="21593" xr:uid="{00000000-0005-0000-0000-000085460000}"/>
    <cellStyle name="40% - Accent1 8 10" xfId="21594" xr:uid="{00000000-0005-0000-0000-000086460000}"/>
    <cellStyle name="40% - Accent1 8 11" xfId="21595" xr:uid="{00000000-0005-0000-0000-000087460000}"/>
    <cellStyle name="40% - Accent1 8 12" xfId="21596" xr:uid="{00000000-0005-0000-0000-000088460000}"/>
    <cellStyle name="40% - Accent1 8 2" xfId="21597" xr:uid="{00000000-0005-0000-0000-000089460000}"/>
    <cellStyle name="40% - Accent1 8 2 10" xfId="21598" xr:uid="{00000000-0005-0000-0000-00008A460000}"/>
    <cellStyle name="40% - Accent1 8 2 2" xfId="21599" xr:uid="{00000000-0005-0000-0000-00008B460000}"/>
    <cellStyle name="40% - Accent1 8 2 2 2" xfId="21600" xr:uid="{00000000-0005-0000-0000-00008C460000}"/>
    <cellStyle name="40% - Accent1 8 2 2 2 2" xfId="21601" xr:uid="{00000000-0005-0000-0000-00008D460000}"/>
    <cellStyle name="40% - Accent1 8 2 2 2 2 2" xfId="21602" xr:uid="{00000000-0005-0000-0000-00008E460000}"/>
    <cellStyle name="40% - Accent1 8 2 2 2 2 2 2" xfId="21603" xr:uid="{00000000-0005-0000-0000-00008F460000}"/>
    <cellStyle name="40% - Accent1 8 2 2 2 2 3" xfId="21604" xr:uid="{00000000-0005-0000-0000-000090460000}"/>
    <cellStyle name="40% - Accent1 8 2 2 2 3" xfId="21605" xr:uid="{00000000-0005-0000-0000-000091460000}"/>
    <cellStyle name="40% - Accent1 8 2 2 2 3 2" xfId="21606" xr:uid="{00000000-0005-0000-0000-000092460000}"/>
    <cellStyle name="40% - Accent1 8 2 2 2 4" xfId="21607" xr:uid="{00000000-0005-0000-0000-000093460000}"/>
    <cellStyle name="40% - Accent1 8 2 2 2 5" xfId="21608" xr:uid="{00000000-0005-0000-0000-000094460000}"/>
    <cellStyle name="40% - Accent1 8 2 2 2 6" xfId="21609" xr:uid="{00000000-0005-0000-0000-000095460000}"/>
    <cellStyle name="40% - Accent1 8 2 2 3" xfId="21610" xr:uid="{00000000-0005-0000-0000-000096460000}"/>
    <cellStyle name="40% - Accent1 8 2 2 3 2" xfId="21611" xr:uid="{00000000-0005-0000-0000-000097460000}"/>
    <cellStyle name="40% - Accent1 8 2 2 3 2 2" xfId="21612" xr:uid="{00000000-0005-0000-0000-000098460000}"/>
    <cellStyle name="40% - Accent1 8 2 2 3 3" xfId="21613" xr:uid="{00000000-0005-0000-0000-000099460000}"/>
    <cellStyle name="40% - Accent1 8 2 2 4" xfId="21614" xr:uid="{00000000-0005-0000-0000-00009A460000}"/>
    <cellStyle name="40% - Accent1 8 2 2 4 2" xfId="21615" xr:uid="{00000000-0005-0000-0000-00009B460000}"/>
    <cellStyle name="40% - Accent1 8 2 2 5" xfId="21616" xr:uid="{00000000-0005-0000-0000-00009C460000}"/>
    <cellStyle name="40% - Accent1 8 2 2 6" xfId="21617" xr:uid="{00000000-0005-0000-0000-00009D460000}"/>
    <cellStyle name="40% - Accent1 8 2 2 7" xfId="21618" xr:uid="{00000000-0005-0000-0000-00009E460000}"/>
    <cellStyle name="40% - Accent1 8 2 3" xfId="21619" xr:uid="{00000000-0005-0000-0000-00009F460000}"/>
    <cellStyle name="40% - Accent1 8 2 3 2" xfId="21620" xr:uid="{00000000-0005-0000-0000-0000A0460000}"/>
    <cellStyle name="40% - Accent1 8 2 3 2 2" xfId="21621" xr:uid="{00000000-0005-0000-0000-0000A1460000}"/>
    <cellStyle name="40% - Accent1 8 2 3 2 2 2" xfId="21622" xr:uid="{00000000-0005-0000-0000-0000A2460000}"/>
    <cellStyle name="40% - Accent1 8 2 3 2 3" xfId="21623" xr:uid="{00000000-0005-0000-0000-0000A3460000}"/>
    <cellStyle name="40% - Accent1 8 2 3 3" xfId="21624" xr:uid="{00000000-0005-0000-0000-0000A4460000}"/>
    <cellStyle name="40% - Accent1 8 2 3 3 2" xfId="21625" xr:uid="{00000000-0005-0000-0000-0000A5460000}"/>
    <cellStyle name="40% - Accent1 8 2 3 4" xfId="21626" xr:uid="{00000000-0005-0000-0000-0000A6460000}"/>
    <cellStyle name="40% - Accent1 8 2 3 5" xfId="21627" xr:uid="{00000000-0005-0000-0000-0000A7460000}"/>
    <cellStyle name="40% - Accent1 8 2 3 6" xfId="21628" xr:uid="{00000000-0005-0000-0000-0000A8460000}"/>
    <cellStyle name="40% - Accent1 8 2 4" xfId="21629" xr:uid="{00000000-0005-0000-0000-0000A9460000}"/>
    <cellStyle name="40% - Accent1 8 2 4 2" xfId="21630" xr:uid="{00000000-0005-0000-0000-0000AA460000}"/>
    <cellStyle name="40% - Accent1 8 2 4 2 2" xfId="21631" xr:uid="{00000000-0005-0000-0000-0000AB460000}"/>
    <cellStyle name="40% - Accent1 8 2 4 3" xfId="21632" xr:uid="{00000000-0005-0000-0000-0000AC460000}"/>
    <cellStyle name="40% - Accent1 8 2 5" xfId="21633" xr:uid="{00000000-0005-0000-0000-0000AD460000}"/>
    <cellStyle name="40% - Accent1 8 2 5 2" xfId="21634" xr:uid="{00000000-0005-0000-0000-0000AE460000}"/>
    <cellStyle name="40% - Accent1 8 2 5 2 2" xfId="21635" xr:uid="{00000000-0005-0000-0000-0000AF460000}"/>
    <cellStyle name="40% - Accent1 8 2 5 3" xfId="21636" xr:uid="{00000000-0005-0000-0000-0000B0460000}"/>
    <cellStyle name="40% - Accent1 8 2 6" xfId="21637" xr:uid="{00000000-0005-0000-0000-0000B1460000}"/>
    <cellStyle name="40% - Accent1 8 2 6 2" xfId="21638" xr:uid="{00000000-0005-0000-0000-0000B2460000}"/>
    <cellStyle name="40% - Accent1 8 2 7" xfId="21639" xr:uid="{00000000-0005-0000-0000-0000B3460000}"/>
    <cellStyle name="40% - Accent1 8 2 7 2" xfId="21640" xr:uid="{00000000-0005-0000-0000-0000B4460000}"/>
    <cellStyle name="40% - Accent1 8 2 8" xfId="21641" xr:uid="{00000000-0005-0000-0000-0000B5460000}"/>
    <cellStyle name="40% - Accent1 8 2 9" xfId="21642" xr:uid="{00000000-0005-0000-0000-0000B6460000}"/>
    <cellStyle name="40% - Accent1 8 3" xfId="21643" xr:uid="{00000000-0005-0000-0000-0000B7460000}"/>
    <cellStyle name="40% - Accent1 8 3 2" xfId="21644" xr:uid="{00000000-0005-0000-0000-0000B8460000}"/>
    <cellStyle name="40% - Accent1 8 3 2 2" xfId="21645" xr:uid="{00000000-0005-0000-0000-0000B9460000}"/>
    <cellStyle name="40% - Accent1 8 3 2 2 2" xfId="21646" xr:uid="{00000000-0005-0000-0000-0000BA460000}"/>
    <cellStyle name="40% - Accent1 8 3 2 2 2 2" xfId="21647" xr:uid="{00000000-0005-0000-0000-0000BB460000}"/>
    <cellStyle name="40% - Accent1 8 3 2 2 3" xfId="21648" xr:uid="{00000000-0005-0000-0000-0000BC460000}"/>
    <cellStyle name="40% - Accent1 8 3 2 3" xfId="21649" xr:uid="{00000000-0005-0000-0000-0000BD460000}"/>
    <cellStyle name="40% - Accent1 8 3 2 3 2" xfId="21650" xr:uid="{00000000-0005-0000-0000-0000BE460000}"/>
    <cellStyle name="40% - Accent1 8 3 2 4" xfId="21651" xr:uid="{00000000-0005-0000-0000-0000BF460000}"/>
    <cellStyle name="40% - Accent1 8 3 2 5" xfId="21652" xr:uid="{00000000-0005-0000-0000-0000C0460000}"/>
    <cellStyle name="40% - Accent1 8 3 2 6" xfId="21653" xr:uid="{00000000-0005-0000-0000-0000C1460000}"/>
    <cellStyle name="40% - Accent1 8 3 3" xfId="21654" xr:uid="{00000000-0005-0000-0000-0000C2460000}"/>
    <cellStyle name="40% - Accent1 8 3 3 2" xfId="21655" xr:uid="{00000000-0005-0000-0000-0000C3460000}"/>
    <cellStyle name="40% - Accent1 8 3 3 2 2" xfId="21656" xr:uid="{00000000-0005-0000-0000-0000C4460000}"/>
    <cellStyle name="40% - Accent1 8 3 3 3" xfId="21657" xr:uid="{00000000-0005-0000-0000-0000C5460000}"/>
    <cellStyle name="40% - Accent1 8 3 4" xfId="21658" xr:uid="{00000000-0005-0000-0000-0000C6460000}"/>
    <cellStyle name="40% - Accent1 8 3 4 2" xfId="21659" xr:uid="{00000000-0005-0000-0000-0000C7460000}"/>
    <cellStyle name="40% - Accent1 8 3 5" xfId="21660" xr:uid="{00000000-0005-0000-0000-0000C8460000}"/>
    <cellStyle name="40% - Accent1 8 3 6" xfId="21661" xr:uid="{00000000-0005-0000-0000-0000C9460000}"/>
    <cellStyle name="40% - Accent1 8 3 7" xfId="21662" xr:uid="{00000000-0005-0000-0000-0000CA460000}"/>
    <cellStyle name="40% - Accent1 8 4" xfId="21663" xr:uid="{00000000-0005-0000-0000-0000CB460000}"/>
    <cellStyle name="40% - Accent1 8 4 2" xfId="21664" xr:uid="{00000000-0005-0000-0000-0000CC460000}"/>
    <cellStyle name="40% - Accent1 8 4 2 2" xfId="21665" xr:uid="{00000000-0005-0000-0000-0000CD460000}"/>
    <cellStyle name="40% - Accent1 8 4 2 2 2" xfId="21666" xr:uid="{00000000-0005-0000-0000-0000CE460000}"/>
    <cellStyle name="40% - Accent1 8 4 2 2 2 2" xfId="21667" xr:uid="{00000000-0005-0000-0000-0000CF460000}"/>
    <cellStyle name="40% - Accent1 8 4 2 2 3" xfId="21668" xr:uid="{00000000-0005-0000-0000-0000D0460000}"/>
    <cellStyle name="40% - Accent1 8 4 2 3" xfId="21669" xr:uid="{00000000-0005-0000-0000-0000D1460000}"/>
    <cellStyle name="40% - Accent1 8 4 2 3 2" xfId="21670" xr:uid="{00000000-0005-0000-0000-0000D2460000}"/>
    <cellStyle name="40% - Accent1 8 4 2 4" xfId="21671" xr:uid="{00000000-0005-0000-0000-0000D3460000}"/>
    <cellStyle name="40% - Accent1 8 4 2 5" xfId="21672" xr:uid="{00000000-0005-0000-0000-0000D4460000}"/>
    <cellStyle name="40% - Accent1 8 4 2 6" xfId="21673" xr:uid="{00000000-0005-0000-0000-0000D5460000}"/>
    <cellStyle name="40% - Accent1 8 4 3" xfId="21674" xr:uid="{00000000-0005-0000-0000-0000D6460000}"/>
    <cellStyle name="40% - Accent1 8 4 3 2" xfId="21675" xr:uid="{00000000-0005-0000-0000-0000D7460000}"/>
    <cellStyle name="40% - Accent1 8 4 3 2 2" xfId="21676" xr:uid="{00000000-0005-0000-0000-0000D8460000}"/>
    <cellStyle name="40% - Accent1 8 4 3 3" xfId="21677" xr:uid="{00000000-0005-0000-0000-0000D9460000}"/>
    <cellStyle name="40% - Accent1 8 4 4" xfId="21678" xr:uid="{00000000-0005-0000-0000-0000DA460000}"/>
    <cellStyle name="40% - Accent1 8 4 4 2" xfId="21679" xr:uid="{00000000-0005-0000-0000-0000DB460000}"/>
    <cellStyle name="40% - Accent1 8 4 5" xfId="21680" xr:uid="{00000000-0005-0000-0000-0000DC460000}"/>
    <cellStyle name="40% - Accent1 8 4 6" xfId="21681" xr:uid="{00000000-0005-0000-0000-0000DD460000}"/>
    <cellStyle name="40% - Accent1 8 4 7" xfId="21682" xr:uid="{00000000-0005-0000-0000-0000DE460000}"/>
    <cellStyle name="40% - Accent1 8 5" xfId="21683" xr:uid="{00000000-0005-0000-0000-0000DF460000}"/>
    <cellStyle name="40% - Accent1 8 5 2" xfId="21684" xr:uid="{00000000-0005-0000-0000-0000E0460000}"/>
    <cellStyle name="40% - Accent1 8 5 2 2" xfId="21685" xr:uid="{00000000-0005-0000-0000-0000E1460000}"/>
    <cellStyle name="40% - Accent1 8 5 2 2 2" xfId="21686" xr:uid="{00000000-0005-0000-0000-0000E2460000}"/>
    <cellStyle name="40% - Accent1 8 5 2 3" xfId="21687" xr:uid="{00000000-0005-0000-0000-0000E3460000}"/>
    <cellStyle name="40% - Accent1 8 5 3" xfId="21688" xr:uid="{00000000-0005-0000-0000-0000E4460000}"/>
    <cellStyle name="40% - Accent1 8 5 3 2" xfId="21689" xr:uid="{00000000-0005-0000-0000-0000E5460000}"/>
    <cellStyle name="40% - Accent1 8 5 4" xfId="21690" xr:uid="{00000000-0005-0000-0000-0000E6460000}"/>
    <cellStyle name="40% - Accent1 8 5 5" xfId="21691" xr:uid="{00000000-0005-0000-0000-0000E7460000}"/>
    <cellStyle name="40% - Accent1 8 5 6" xfId="21692" xr:uid="{00000000-0005-0000-0000-0000E8460000}"/>
    <cellStyle name="40% - Accent1 8 6" xfId="21693" xr:uid="{00000000-0005-0000-0000-0000E9460000}"/>
    <cellStyle name="40% - Accent1 8 6 2" xfId="21694" xr:uid="{00000000-0005-0000-0000-0000EA460000}"/>
    <cellStyle name="40% - Accent1 8 6 2 2" xfId="21695" xr:uid="{00000000-0005-0000-0000-0000EB460000}"/>
    <cellStyle name="40% - Accent1 8 6 3" xfId="21696" xr:uid="{00000000-0005-0000-0000-0000EC460000}"/>
    <cellStyle name="40% - Accent1 8 7" xfId="21697" xr:uid="{00000000-0005-0000-0000-0000ED460000}"/>
    <cellStyle name="40% - Accent1 8 7 2" xfId="21698" xr:uid="{00000000-0005-0000-0000-0000EE460000}"/>
    <cellStyle name="40% - Accent1 8 7 2 2" xfId="21699" xr:uid="{00000000-0005-0000-0000-0000EF460000}"/>
    <cellStyle name="40% - Accent1 8 7 3" xfId="21700" xr:uid="{00000000-0005-0000-0000-0000F0460000}"/>
    <cellStyle name="40% - Accent1 8 8" xfId="21701" xr:uid="{00000000-0005-0000-0000-0000F1460000}"/>
    <cellStyle name="40% - Accent1 8 8 2" xfId="21702" xr:uid="{00000000-0005-0000-0000-0000F2460000}"/>
    <cellStyle name="40% - Accent1 8 9" xfId="21703" xr:uid="{00000000-0005-0000-0000-0000F3460000}"/>
    <cellStyle name="40% - Accent1 8 9 2" xfId="21704" xr:uid="{00000000-0005-0000-0000-0000F4460000}"/>
    <cellStyle name="40% - Accent1 9" xfId="21705" xr:uid="{00000000-0005-0000-0000-0000F5460000}"/>
    <cellStyle name="40% - Accent1 9 10" xfId="21706" xr:uid="{00000000-0005-0000-0000-0000F6460000}"/>
    <cellStyle name="40% - Accent1 9 11" xfId="21707" xr:uid="{00000000-0005-0000-0000-0000F7460000}"/>
    <cellStyle name="40% - Accent1 9 12" xfId="21708" xr:uid="{00000000-0005-0000-0000-0000F8460000}"/>
    <cellStyle name="40% - Accent1 9 2" xfId="21709" xr:uid="{00000000-0005-0000-0000-0000F9460000}"/>
    <cellStyle name="40% - Accent1 9 2 10" xfId="21710" xr:uid="{00000000-0005-0000-0000-0000FA460000}"/>
    <cellStyle name="40% - Accent1 9 2 2" xfId="21711" xr:uid="{00000000-0005-0000-0000-0000FB460000}"/>
    <cellStyle name="40% - Accent1 9 2 2 2" xfId="21712" xr:uid="{00000000-0005-0000-0000-0000FC460000}"/>
    <cellStyle name="40% - Accent1 9 2 2 2 2" xfId="21713" xr:uid="{00000000-0005-0000-0000-0000FD460000}"/>
    <cellStyle name="40% - Accent1 9 2 2 2 2 2" xfId="21714" xr:uid="{00000000-0005-0000-0000-0000FE460000}"/>
    <cellStyle name="40% - Accent1 9 2 2 2 2 2 2" xfId="21715" xr:uid="{00000000-0005-0000-0000-0000FF460000}"/>
    <cellStyle name="40% - Accent1 9 2 2 2 2 3" xfId="21716" xr:uid="{00000000-0005-0000-0000-000000470000}"/>
    <cellStyle name="40% - Accent1 9 2 2 2 3" xfId="21717" xr:uid="{00000000-0005-0000-0000-000001470000}"/>
    <cellStyle name="40% - Accent1 9 2 2 2 3 2" xfId="21718" xr:uid="{00000000-0005-0000-0000-000002470000}"/>
    <cellStyle name="40% - Accent1 9 2 2 2 4" xfId="21719" xr:uid="{00000000-0005-0000-0000-000003470000}"/>
    <cellStyle name="40% - Accent1 9 2 2 2 5" xfId="21720" xr:uid="{00000000-0005-0000-0000-000004470000}"/>
    <cellStyle name="40% - Accent1 9 2 2 2 6" xfId="21721" xr:uid="{00000000-0005-0000-0000-000005470000}"/>
    <cellStyle name="40% - Accent1 9 2 2 3" xfId="21722" xr:uid="{00000000-0005-0000-0000-000006470000}"/>
    <cellStyle name="40% - Accent1 9 2 2 3 2" xfId="21723" xr:uid="{00000000-0005-0000-0000-000007470000}"/>
    <cellStyle name="40% - Accent1 9 2 2 3 2 2" xfId="21724" xr:uid="{00000000-0005-0000-0000-000008470000}"/>
    <cellStyle name="40% - Accent1 9 2 2 3 3" xfId="21725" xr:uid="{00000000-0005-0000-0000-000009470000}"/>
    <cellStyle name="40% - Accent1 9 2 2 4" xfId="21726" xr:uid="{00000000-0005-0000-0000-00000A470000}"/>
    <cellStyle name="40% - Accent1 9 2 2 4 2" xfId="21727" xr:uid="{00000000-0005-0000-0000-00000B470000}"/>
    <cellStyle name="40% - Accent1 9 2 2 5" xfId="21728" xr:uid="{00000000-0005-0000-0000-00000C470000}"/>
    <cellStyle name="40% - Accent1 9 2 2 6" xfId="21729" xr:uid="{00000000-0005-0000-0000-00000D470000}"/>
    <cellStyle name="40% - Accent1 9 2 2 7" xfId="21730" xr:uid="{00000000-0005-0000-0000-00000E470000}"/>
    <cellStyle name="40% - Accent1 9 2 3" xfId="21731" xr:uid="{00000000-0005-0000-0000-00000F470000}"/>
    <cellStyle name="40% - Accent1 9 2 3 2" xfId="21732" xr:uid="{00000000-0005-0000-0000-000010470000}"/>
    <cellStyle name="40% - Accent1 9 2 3 2 2" xfId="21733" xr:uid="{00000000-0005-0000-0000-000011470000}"/>
    <cellStyle name="40% - Accent1 9 2 3 2 2 2" xfId="21734" xr:uid="{00000000-0005-0000-0000-000012470000}"/>
    <cellStyle name="40% - Accent1 9 2 3 2 3" xfId="21735" xr:uid="{00000000-0005-0000-0000-000013470000}"/>
    <cellStyle name="40% - Accent1 9 2 3 3" xfId="21736" xr:uid="{00000000-0005-0000-0000-000014470000}"/>
    <cellStyle name="40% - Accent1 9 2 3 3 2" xfId="21737" xr:uid="{00000000-0005-0000-0000-000015470000}"/>
    <cellStyle name="40% - Accent1 9 2 3 4" xfId="21738" xr:uid="{00000000-0005-0000-0000-000016470000}"/>
    <cellStyle name="40% - Accent1 9 2 3 5" xfId="21739" xr:uid="{00000000-0005-0000-0000-000017470000}"/>
    <cellStyle name="40% - Accent1 9 2 3 6" xfId="21740" xr:uid="{00000000-0005-0000-0000-000018470000}"/>
    <cellStyle name="40% - Accent1 9 2 4" xfId="21741" xr:uid="{00000000-0005-0000-0000-000019470000}"/>
    <cellStyle name="40% - Accent1 9 2 4 2" xfId="21742" xr:uid="{00000000-0005-0000-0000-00001A470000}"/>
    <cellStyle name="40% - Accent1 9 2 4 2 2" xfId="21743" xr:uid="{00000000-0005-0000-0000-00001B470000}"/>
    <cellStyle name="40% - Accent1 9 2 4 3" xfId="21744" xr:uid="{00000000-0005-0000-0000-00001C470000}"/>
    <cellStyle name="40% - Accent1 9 2 5" xfId="21745" xr:uid="{00000000-0005-0000-0000-00001D470000}"/>
    <cellStyle name="40% - Accent1 9 2 5 2" xfId="21746" xr:uid="{00000000-0005-0000-0000-00001E470000}"/>
    <cellStyle name="40% - Accent1 9 2 5 2 2" xfId="21747" xr:uid="{00000000-0005-0000-0000-00001F470000}"/>
    <cellStyle name="40% - Accent1 9 2 5 3" xfId="21748" xr:uid="{00000000-0005-0000-0000-000020470000}"/>
    <cellStyle name="40% - Accent1 9 2 6" xfId="21749" xr:uid="{00000000-0005-0000-0000-000021470000}"/>
    <cellStyle name="40% - Accent1 9 2 6 2" xfId="21750" xr:uid="{00000000-0005-0000-0000-000022470000}"/>
    <cellStyle name="40% - Accent1 9 2 7" xfId="21751" xr:uid="{00000000-0005-0000-0000-000023470000}"/>
    <cellStyle name="40% - Accent1 9 2 7 2" xfId="21752" xr:uid="{00000000-0005-0000-0000-000024470000}"/>
    <cellStyle name="40% - Accent1 9 2 8" xfId="21753" xr:uid="{00000000-0005-0000-0000-000025470000}"/>
    <cellStyle name="40% - Accent1 9 2 9" xfId="21754" xr:uid="{00000000-0005-0000-0000-000026470000}"/>
    <cellStyle name="40% - Accent1 9 3" xfId="21755" xr:uid="{00000000-0005-0000-0000-000027470000}"/>
    <cellStyle name="40% - Accent1 9 3 2" xfId="21756" xr:uid="{00000000-0005-0000-0000-000028470000}"/>
    <cellStyle name="40% - Accent1 9 3 2 2" xfId="21757" xr:uid="{00000000-0005-0000-0000-000029470000}"/>
    <cellStyle name="40% - Accent1 9 3 2 2 2" xfId="21758" xr:uid="{00000000-0005-0000-0000-00002A470000}"/>
    <cellStyle name="40% - Accent1 9 3 2 2 2 2" xfId="21759" xr:uid="{00000000-0005-0000-0000-00002B470000}"/>
    <cellStyle name="40% - Accent1 9 3 2 2 3" xfId="21760" xr:uid="{00000000-0005-0000-0000-00002C470000}"/>
    <cellStyle name="40% - Accent1 9 3 2 3" xfId="21761" xr:uid="{00000000-0005-0000-0000-00002D470000}"/>
    <cellStyle name="40% - Accent1 9 3 2 3 2" xfId="21762" xr:uid="{00000000-0005-0000-0000-00002E470000}"/>
    <cellStyle name="40% - Accent1 9 3 2 4" xfId="21763" xr:uid="{00000000-0005-0000-0000-00002F470000}"/>
    <cellStyle name="40% - Accent1 9 3 2 5" xfId="21764" xr:uid="{00000000-0005-0000-0000-000030470000}"/>
    <cellStyle name="40% - Accent1 9 3 2 6" xfId="21765" xr:uid="{00000000-0005-0000-0000-000031470000}"/>
    <cellStyle name="40% - Accent1 9 3 3" xfId="21766" xr:uid="{00000000-0005-0000-0000-000032470000}"/>
    <cellStyle name="40% - Accent1 9 3 3 2" xfId="21767" xr:uid="{00000000-0005-0000-0000-000033470000}"/>
    <cellStyle name="40% - Accent1 9 3 3 2 2" xfId="21768" xr:uid="{00000000-0005-0000-0000-000034470000}"/>
    <cellStyle name="40% - Accent1 9 3 3 3" xfId="21769" xr:uid="{00000000-0005-0000-0000-000035470000}"/>
    <cellStyle name="40% - Accent1 9 3 4" xfId="21770" xr:uid="{00000000-0005-0000-0000-000036470000}"/>
    <cellStyle name="40% - Accent1 9 3 4 2" xfId="21771" xr:uid="{00000000-0005-0000-0000-000037470000}"/>
    <cellStyle name="40% - Accent1 9 3 5" xfId="21772" xr:uid="{00000000-0005-0000-0000-000038470000}"/>
    <cellStyle name="40% - Accent1 9 3 6" xfId="21773" xr:uid="{00000000-0005-0000-0000-000039470000}"/>
    <cellStyle name="40% - Accent1 9 3 7" xfId="21774" xr:uid="{00000000-0005-0000-0000-00003A470000}"/>
    <cellStyle name="40% - Accent1 9 4" xfId="21775" xr:uid="{00000000-0005-0000-0000-00003B470000}"/>
    <cellStyle name="40% - Accent1 9 4 2" xfId="21776" xr:uid="{00000000-0005-0000-0000-00003C470000}"/>
    <cellStyle name="40% - Accent1 9 4 2 2" xfId="21777" xr:uid="{00000000-0005-0000-0000-00003D470000}"/>
    <cellStyle name="40% - Accent1 9 4 2 2 2" xfId="21778" xr:uid="{00000000-0005-0000-0000-00003E470000}"/>
    <cellStyle name="40% - Accent1 9 4 2 2 2 2" xfId="21779" xr:uid="{00000000-0005-0000-0000-00003F470000}"/>
    <cellStyle name="40% - Accent1 9 4 2 2 3" xfId="21780" xr:uid="{00000000-0005-0000-0000-000040470000}"/>
    <cellStyle name="40% - Accent1 9 4 2 3" xfId="21781" xr:uid="{00000000-0005-0000-0000-000041470000}"/>
    <cellStyle name="40% - Accent1 9 4 2 3 2" xfId="21782" xr:uid="{00000000-0005-0000-0000-000042470000}"/>
    <cellStyle name="40% - Accent1 9 4 2 4" xfId="21783" xr:uid="{00000000-0005-0000-0000-000043470000}"/>
    <cellStyle name="40% - Accent1 9 4 2 5" xfId="21784" xr:uid="{00000000-0005-0000-0000-000044470000}"/>
    <cellStyle name="40% - Accent1 9 4 2 6" xfId="21785" xr:uid="{00000000-0005-0000-0000-000045470000}"/>
    <cellStyle name="40% - Accent1 9 4 3" xfId="21786" xr:uid="{00000000-0005-0000-0000-000046470000}"/>
    <cellStyle name="40% - Accent1 9 4 3 2" xfId="21787" xr:uid="{00000000-0005-0000-0000-000047470000}"/>
    <cellStyle name="40% - Accent1 9 4 3 2 2" xfId="21788" xr:uid="{00000000-0005-0000-0000-000048470000}"/>
    <cellStyle name="40% - Accent1 9 4 3 3" xfId="21789" xr:uid="{00000000-0005-0000-0000-000049470000}"/>
    <cellStyle name="40% - Accent1 9 4 4" xfId="21790" xr:uid="{00000000-0005-0000-0000-00004A470000}"/>
    <cellStyle name="40% - Accent1 9 4 4 2" xfId="21791" xr:uid="{00000000-0005-0000-0000-00004B470000}"/>
    <cellStyle name="40% - Accent1 9 4 5" xfId="21792" xr:uid="{00000000-0005-0000-0000-00004C470000}"/>
    <cellStyle name="40% - Accent1 9 4 6" xfId="21793" xr:uid="{00000000-0005-0000-0000-00004D470000}"/>
    <cellStyle name="40% - Accent1 9 4 7" xfId="21794" xr:uid="{00000000-0005-0000-0000-00004E470000}"/>
    <cellStyle name="40% - Accent1 9 5" xfId="21795" xr:uid="{00000000-0005-0000-0000-00004F470000}"/>
    <cellStyle name="40% - Accent1 9 5 2" xfId="21796" xr:uid="{00000000-0005-0000-0000-000050470000}"/>
    <cellStyle name="40% - Accent1 9 5 2 2" xfId="21797" xr:uid="{00000000-0005-0000-0000-000051470000}"/>
    <cellStyle name="40% - Accent1 9 5 2 2 2" xfId="21798" xr:uid="{00000000-0005-0000-0000-000052470000}"/>
    <cellStyle name="40% - Accent1 9 5 2 3" xfId="21799" xr:uid="{00000000-0005-0000-0000-000053470000}"/>
    <cellStyle name="40% - Accent1 9 5 3" xfId="21800" xr:uid="{00000000-0005-0000-0000-000054470000}"/>
    <cellStyle name="40% - Accent1 9 5 3 2" xfId="21801" xr:uid="{00000000-0005-0000-0000-000055470000}"/>
    <cellStyle name="40% - Accent1 9 5 4" xfId="21802" xr:uid="{00000000-0005-0000-0000-000056470000}"/>
    <cellStyle name="40% - Accent1 9 5 5" xfId="21803" xr:uid="{00000000-0005-0000-0000-000057470000}"/>
    <cellStyle name="40% - Accent1 9 5 6" xfId="21804" xr:uid="{00000000-0005-0000-0000-000058470000}"/>
    <cellStyle name="40% - Accent1 9 6" xfId="21805" xr:uid="{00000000-0005-0000-0000-000059470000}"/>
    <cellStyle name="40% - Accent1 9 6 2" xfId="21806" xr:uid="{00000000-0005-0000-0000-00005A470000}"/>
    <cellStyle name="40% - Accent1 9 6 2 2" xfId="21807" xr:uid="{00000000-0005-0000-0000-00005B470000}"/>
    <cellStyle name="40% - Accent1 9 6 3" xfId="21808" xr:uid="{00000000-0005-0000-0000-00005C470000}"/>
    <cellStyle name="40% - Accent1 9 7" xfId="21809" xr:uid="{00000000-0005-0000-0000-00005D470000}"/>
    <cellStyle name="40% - Accent1 9 7 2" xfId="21810" xr:uid="{00000000-0005-0000-0000-00005E470000}"/>
    <cellStyle name="40% - Accent1 9 7 2 2" xfId="21811" xr:uid="{00000000-0005-0000-0000-00005F470000}"/>
    <cellStyle name="40% - Accent1 9 7 3" xfId="21812" xr:uid="{00000000-0005-0000-0000-000060470000}"/>
    <cellStyle name="40% - Accent1 9 8" xfId="21813" xr:uid="{00000000-0005-0000-0000-000061470000}"/>
    <cellStyle name="40% - Accent1 9 8 2" xfId="21814" xr:uid="{00000000-0005-0000-0000-000062470000}"/>
    <cellStyle name="40% - Accent1 9 9" xfId="21815" xr:uid="{00000000-0005-0000-0000-000063470000}"/>
    <cellStyle name="40% - Accent1 9 9 2" xfId="21816" xr:uid="{00000000-0005-0000-0000-000064470000}"/>
    <cellStyle name="40% - Accent2" xfId="124" builtinId="35" customBuiltin="1"/>
    <cellStyle name="40% - Accent2 10" xfId="21817" xr:uid="{00000000-0005-0000-0000-000065470000}"/>
    <cellStyle name="40% - Accent2 10 10" xfId="21818" xr:uid="{00000000-0005-0000-0000-000066470000}"/>
    <cellStyle name="40% - Accent2 10 11" xfId="21819" xr:uid="{00000000-0005-0000-0000-000067470000}"/>
    <cellStyle name="40% - Accent2 10 2" xfId="21820" xr:uid="{00000000-0005-0000-0000-000068470000}"/>
    <cellStyle name="40% - Accent2 10 2 2" xfId="21821" xr:uid="{00000000-0005-0000-0000-000069470000}"/>
    <cellStyle name="40% - Accent2 10 2 2 2" xfId="21822" xr:uid="{00000000-0005-0000-0000-00006A470000}"/>
    <cellStyle name="40% - Accent2 10 2 2 2 2" xfId="21823" xr:uid="{00000000-0005-0000-0000-00006B470000}"/>
    <cellStyle name="40% - Accent2 10 2 2 2 2 2" xfId="21824" xr:uid="{00000000-0005-0000-0000-00006C470000}"/>
    <cellStyle name="40% - Accent2 10 2 2 2 3" xfId="21825" xr:uid="{00000000-0005-0000-0000-00006D470000}"/>
    <cellStyle name="40% - Accent2 10 2 2 3" xfId="21826" xr:uid="{00000000-0005-0000-0000-00006E470000}"/>
    <cellStyle name="40% - Accent2 10 2 2 3 2" xfId="21827" xr:uid="{00000000-0005-0000-0000-00006F470000}"/>
    <cellStyle name="40% - Accent2 10 2 2 4" xfId="21828" xr:uid="{00000000-0005-0000-0000-000070470000}"/>
    <cellStyle name="40% - Accent2 10 2 2 5" xfId="21829" xr:uid="{00000000-0005-0000-0000-000071470000}"/>
    <cellStyle name="40% - Accent2 10 2 2 6" xfId="21830" xr:uid="{00000000-0005-0000-0000-000072470000}"/>
    <cellStyle name="40% - Accent2 10 2 3" xfId="21831" xr:uid="{00000000-0005-0000-0000-000073470000}"/>
    <cellStyle name="40% - Accent2 10 2 3 2" xfId="21832" xr:uid="{00000000-0005-0000-0000-000074470000}"/>
    <cellStyle name="40% - Accent2 10 2 3 2 2" xfId="21833" xr:uid="{00000000-0005-0000-0000-000075470000}"/>
    <cellStyle name="40% - Accent2 10 2 3 3" xfId="21834" xr:uid="{00000000-0005-0000-0000-000076470000}"/>
    <cellStyle name="40% - Accent2 10 2 4" xfId="21835" xr:uid="{00000000-0005-0000-0000-000077470000}"/>
    <cellStyle name="40% - Accent2 10 2 4 2" xfId="21836" xr:uid="{00000000-0005-0000-0000-000078470000}"/>
    <cellStyle name="40% - Accent2 10 2 5" xfId="21837" xr:uid="{00000000-0005-0000-0000-000079470000}"/>
    <cellStyle name="40% - Accent2 10 2 5 2" xfId="21838" xr:uid="{00000000-0005-0000-0000-00007A470000}"/>
    <cellStyle name="40% - Accent2 10 2 6" xfId="21839" xr:uid="{00000000-0005-0000-0000-00007B470000}"/>
    <cellStyle name="40% - Accent2 10 2 7" xfId="21840" xr:uid="{00000000-0005-0000-0000-00007C470000}"/>
    <cellStyle name="40% - Accent2 10 2 8" xfId="21841" xr:uid="{00000000-0005-0000-0000-00007D470000}"/>
    <cellStyle name="40% - Accent2 10 3" xfId="21842" xr:uid="{00000000-0005-0000-0000-00007E470000}"/>
    <cellStyle name="40% - Accent2 10 3 2" xfId="21843" xr:uid="{00000000-0005-0000-0000-00007F470000}"/>
    <cellStyle name="40% - Accent2 10 3 2 2" xfId="21844" xr:uid="{00000000-0005-0000-0000-000080470000}"/>
    <cellStyle name="40% - Accent2 10 3 2 2 2" xfId="21845" xr:uid="{00000000-0005-0000-0000-000081470000}"/>
    <cellStyle name="40% - Accent2 10 3 2 2 2 2" xfId="21846" xr:uid="{00000000-0005-0000-0000-000082470000}"/>
    <cellStyle name="40% - Accent2 10 3 2 2 3" xfId="21847" xr:uid="{00000000-0005-0000-0000-000083470000}"/>
    <cellStyle name="40% - Accent2 10 3 2 3" xfId="21848" xr:uid="{00000000-0005-0000-0000-000084470000}"/>
    <cellStyle name="40% - Accent2 10 3 2 3 2" xfId="21849" xr:uid="{00000000-0005-0000-0000-000085470000}"/>
    <cellStyle name="40% - Accent2 10 3 2 4" xfId="21850" xr:uid="{00000000-0005-0000-0000-000086470000}"/>
    <cellStyle name="40% - Accent2 10 3 2 5" xfId="21851" xr:uid="{00000000-0005-0000-0000-000087470000}"/>
    <cellStyle name="40% - Accent2 10 3 2 6" xfId="21852" xr:uid="{00000000-0005-0000-0000-000088470000}"/>
    <cellStyle name="40% - Accent2 10 3 3" xfId="21853" xr:uid="{00000000-0005-0000-0000-000089470000}"/>
    <cellStyle name="40% - Accent2 10 3 3 2" xfId="21854" xr:uid="{00000000-0005-0000-0000-00008A470000}"/>
    <cellStyle name="40% - Accent2 10 3 3 2 2" xfId="21855" xr:uid="{00000000-0005-0000-0000-00008B470000}"/>
    <cellStyle name="40% - Accent2 10 3 3 3" xfId="21856" xr:uid="{00000000-0005-0000-0000-00008C470000}"/>
    <cellStyle name="40% - Accent2 10 3 4" xfId="21857" xr:uid="{00000000-0005-0000-0000-00008D470000}"/>
    <cellStyle name="40% - Accent2 10 3 4 2" xfId="21858" xr:uid="{00000000-0005-0000-0000-00008E470000}"/>
    <cellStyle name="40% - Accent2 10 3 5" xfId="21859" xr:uid="{00000000-0005-0000-0000-00008F470000}"/>
    <cellStyle name="40% - Accent2 10 3 6" xfId="21860" xr:uid="{00000000-0005-0000-0000-000090470000}"/>
    <cellStyle name="40% - Accent2 10 3 7" xfId="21861" xr:uid="{00000000-0005-0000-0000-000091470000}"/>
    <cellStyle name="40% - Accent2 10 4" xfId="21862" xr:uid="{00000000-0005-0000-0000-000092470000}"/>
    <cellStyle name="40% - Accent2 10 4 2" xfId="21863" xr:uid="{00000000-0005-0000-0000-000093470000}"/>
    <cellStyle name="40% - Accent2 10 4 2 2" xfId="21864" xr:uid="{00000000-0005-0000-0000-000094470000}"/>
    <cellStyle name="40% - Accent2 10 4 2 2 2" xfId="21865" xr:uid="{00000000-0005-0000-0000-000095470000}"/>
    <cellStyle name="40% - Accent2 10 4 2 3" xfId="21866" xr:uid="{00000000-0005-0000-0000-000096470000}"/>
    <cellStyle name="40% - Accent2 10 4 3" xfId="21867" xr:uid="{00000000-0005-0000-0000-000097470000}"/>
    <cellStyle name="40% - Accent2 10 4 3 2" xfId="21868" xr:uid="{00000000-0005-0000-0000-000098470000}"/>
    <cellStyle name="40% - Accent2 10 4 4" xfId="21869" xr:uid="{00000000-0005-0000-0000-000099470000}"/>
    <cellStyle name="40% - Accent2 10 4 5" xfId="21870" xr:uid="{00000000-0005-0000-0000-00009A470000}"/>
    <cellStyle name="40% - Accent2 10 4 6" xfId="21871" xr:uid="{00000000-0005-0000-0000-00009B470000}"/>
    <cellStyle name="40% - Accent2 10 5" xfId="21872" xr:uid="{00000000-0005-0000-0000-00009C470000}"/>
    <cellStyle name="40% - Accent2 10 5 2" xfId="21873" xr:uid="{00000000-0005-0000-0000-00009D470000}"/>
    <cellStyle name="40% - Accent2 10 5 2 2" xfId="21874" xr:uid="{00000000-0005-0000-0000-00009E470000}"/>
    <cellStyle name="40% - Accent2 10 5 3" xfId="21875" xr:uid="{00000000-0005-0000-0000-00009F470000}"/>
    <cellStyle name="40% - Accent2 10 6" xfId="21876" xr:uid="{00000000-0005-0000-0000-0000A0470000}"/>
    <cellStyle name="40% - Accent2 10 6 2" xfId="21877" xr:uid="{00000000-0005-0000-0000-0000A1470000}"/>
    <cellStyle name="40% - Accent2 10 6 2 2" xfId="21878" xr:uid="{00000000-0005-0000-0000-0000A2470000}"/>
    <cellStyle name="40% - Accent2 10 6 3" xfId="21879" xr:uid="{00000000-0005-0000-0000-0000A3470000}"/>
    <cellStyle name="40% - Accent2 10 7" xfId="21880" xr:uid="{00000000-0005-0000-0000-0000A4470000}"/>
    <cellStyle name="40% - Accent2 10 7 2" xfId="21881" xr:uid="{00000000-0005-0000-0000-0000A5470000}"/>
    <cellStyle name="40% - Accent2 10 8" xfId="21882" xr:uid="{00000000-0005-0000-0000-0000A6470000}"/>
    <cellStyle name="40% - Accent2 10 8 2" xfId="21883" xr:uid="{00000000-0005-0000-0000-0000A7470000}"/>
    <cellStyle name="40% - Accent2 10 9" xfId="21884" xr:uid="{00000000-0005-0000-0000-0000A8470000}"/>
    <cellStyle name="40% - Accent2 11" xfId="21885" xr:uid="{00000000-0005-0000-0000-0000A9470000}"/>
    <cellStyle name="40% - Accent2 11 10" xfId="21886" xr:uid="{00000000-0005-0000-0000-0000AA470000}"/>
    <cellStyle name="40% - Accent2 11 11" xfId="21887" xr:uid="{00000000-0005-0000-0000-0000AB470000}"/>
    <cellStyle name="40% - Accent2 11 2" xfId="21888" xr:uid="{00000000-0005-0000-0000-0000AC470000}"/>
    <cellStyle name="40% - Accent2 11 2 2" xfId="21889" xr:uid="{00000000-0005-0000-0000-0000AD470000}"/>
    <cellStyle name="40% - Accent2 11 2 2 2" xfId="21890" xr:uid="{00000000-0005-0000-0000-0000AE470000}"/>
    <cellStyle name="40% - Accent2 11 2 2 2 2" xfId="21891" xr:uid="{00000000-0005-0000-0000-0000AF470000}"/>
    <cellStyle name="40% - Accent2 11 2 2 2 2 2" xfId="21892" xr:uid="{00000000-0005-0000-0000-0000B0470000}"/>
    <cellStyle name="40% - Accent2 11 2 2 2 3" xfId="21893" xr:uid="{00000000-0005-0000-0000-0000B1470000}"/>
    <cellStyle name="40% - Accent2 11 2 2 3" xfId="21894" xr:uid="{00000000-0005-0000-0000-0000B2470000}"/>
    <cellStyle name="40% - Accent2 11 2 2 3 2" xfId="21895" xr:uid="{00000000-0005-0000-0000-0000B3470000}"/>
    <cellStyle name="40% - Accent2 11 2 2 4" xfId="21896" xr:uid="{00000000-0005-0000-0000-0000B4470000}"/>
    <cellStyle name="40% - Accent2 11 2 2 5" xfId="21897" xr:uid="{00000000-0005-0000-0000-0000B5470000}"/>
    <cellStyle name="40% - Accent2 11 2 2 6" xfId="21898" xr:uid="{00000000-0005-0000-0000-0000B6470000}"/>
    <cellStyle name="40% - Accent2 11 2 3" xfId="21899" xr:uid="{00000000-0005-0000-0000-0000B7470000}"/>
    <cellStyle name="40% - Accent2 11 2 3 2" xfId="21900" xr:uid="{00000000-0005-0000-0000-0000B8470000}"/>
    <cellStyle name="40% - Accent2 11 2 3 2 2" xfId="21901" xr:uid="{00000000-0005-0000-0000-0000B9470000}"/>
    <cellStyle name="40% - Accent2 11 2 3 3" xfId="21902" xr:uid="{00000000-0005-0000-0000-0000BA470000}"/>
    <cellStyle name="40% - Accent2 11 2 4" xfId="21903" xr:uid="{00000000-0005-0000-0000-0000BB470000}"/>
    <cellStyle name="40% - Accent2 11 2 4 2" xfId="21904" xr:uid="{00000000-0005-0000-0000-0000BC470000}"/>
    <cellStyle name="40% - Accent2 11 2 5" xfId="21905" xr:uid="{00000000-0005-0000-0000-0000BD470000}"/>
    <cellStyle name="40% - Accent2 11 2 5 2" xfId="21906" xr:uid="{00000000-0005-0000-0000-0000BE470000}"/>
    <cellStyle name="40% - Accent2 11 2 6" xfId="21907" xr:uid="{00000000-0005-0000-0000-0000BF470000}"/>
    <cellStyle name="40% - Accent2 11 2 7" xfId="21908" xr:uid="{00000000-0005-0000-0000-0000C0470000}"/>
    <cellStyle name="40% - Accent2 11 2 8" xfId="21909" xr:uid="{00000000-0005-0000-0000-0000C1470000}"/>
    <cellStyle name="40% - Accent2 11 3" xfId="21910" xr:uid="{00000000-0005-0000-0000-0000C2470000}"/>
    <cellStyle name="40% - Accent2 11 3 2" xfId="21911" xr:uid="{00000000-0005-0000-0000-0000C3470000}"/>
    <cellStyle name="40% - Accent2 11 3 2 2" xfId="21912" xr:uid="{00000000-0005-0000-0000-0000C4470000}"/>
    <cellStyle name="40% - Accent2 11 3 2 2 2" xfId="21913" xr:uid="{00000000-0005-0000-0000-0000C5470000}"/>
    <cellStyle name="40% - Accent2 11 3 2 2 2 2" xfId="21914" xr:uid="{00000000-0005-0000-0000-0000C6470000}"/>
    <cellStyle name="40% - Accent2 11 3 2 2 3" xfId="21915" xr:uid="{00000000-0005-0000-0000-0000C7470000}"/>
    <cellStyle name="40% - Accent2 11 3 2 3" xfId="21916" xr:uid="{00000000-0005-0000-0000-0000C8470000}"/>
    <cellStyle name="40% - Accent2 11 3 2 3 2" xfId="21917" xr:uid="{00000000-0005-0000-0000-0000C9470000}"/>
    <cellStyle name="40% - Accent2 11 3 2 4" xfId="21918" xr:uid="{00000000-0005-0000-0000-0000CA470000}"/>
    <cellStyle name="40% - Accent2 11 3 2 5" xfId="21919" xr:uid="{00000000-0005-0000-0000-0000CB470000}"/>
    <cellStyle name="40% - Accent2 11 3 2 6" xfId="21920" xr:uid="{00000000-0005-0000-0000-0000CC470000}"/>
    <cellStyle name="40% - Accent2 11 3 3" xfId="21921" xr:uid="{00000000-0005-0000-0000-0000CD470000}"/>
    <cellStyle name="40% - Accent2 11 3 3 2" xfId="21922" xr:uid="{00000000-0005-0000-0000-0000CE470000}"/>
    <cellStyle name="40% - Accent2 11 3 3 2 2" xfId="21923" xr:uid="{00000000-0005-0000-0000-0000CF470000}"/>
    <cellStyle name="40% - Accent2 11 3 3 3" xfId="21924" xr:uid="{00000000-0005-0000-0000-0000D0470000}"/>
    <cellStyle name="40% - Accent2 11 3 4" xfId="21925" xr:uid="{00000000-0005-0000-0000-0000D1470000}"/>
    <cellStyle name="40% - Accent2 11 3 4 2" xfId="21926" xr:uid="{00000000-0005-0000-0000-0000D2470000}"/>
    <cellStyle name="40% - Accent2 11 3 5" xfId="21927" xr:uid="{00000000-0005-0000-0000-0000D3470000}"/>
    <cellStyle name="40% - Accent2 11 3 6" xfId="21928" xr:uid="{00000000-0005-0000-0000-0000D4470000}"/>
    <cellStyle name="40% - Accent2 11 3 7" xfId="21929" xr:uid="{00000000-0005-0000-0000-0000D5470000}"/>
    <cellStyle name="40% - Accent2 11 4" xfId="21930" xr:uid="{00000000-0005-0000-0000-0000D6470000}"/>
    <cellStyle name="40% - Accent2 11 4 2" xfId="21931" xr:uid="{00000000-0005-0000-0000-0000D7470000}"/>
    <cellStyle name="40% - Accent2 11 4 2 2" xfId="21932" xr:uid="{00000000-0005-0000-0000-0000D8470000}"/>
    <cellStyle name="40% - Accent2 11 4 2 2 2" xfId="21933" xr:uid="{00000000-0005-0000-0000-0000D9470000}"/>
    <cellStyle name="40% - Accent2 11 4 2 3" xfId="21934" xr:uid="{00000000-0005-0000-0000-0000DA470000}"/>
    <cellStyle name="40% - Accent2 11 4 3" xfId="21935" xr:uid="{00000000-0005-0000-0000-0000DB470000}"/>
    <cellStyle name="40% - Accent2 11 4 3 2" xfId="21936" xr:uid="{00000000-0005-0000-0000-0000DC470000}"/>
    <cellStyle name="40% - Accent2 11 4 4" xfId="21937" xr:uid="{00000000-0005-0000-0000-0000DD470000}"/>
    <cellStyle name="40% - Accent2 11 4 5" xfId="21938" xr:uid="{00000000-0005-0000-0000-0000DE470000}"/>
    <cellStyle name="40% - Accent2 11 4 6" xfId="21939" xr:uid="{00000000-0005-0000-0000-0000DF470000}"/>
    <cellStyle name="40% - Accent2 11 5" xfId="21940" xr:uid="{00000000-0005-0000-0000-0000E0470000}"/>
    <cellStyle name="40% - Accent2 11 5 2" xfId="21941" xr:uid="{00000000-0005-0000-0000-0000E1470000}"/>
    <cellStyle name="40% - Accent2 11 5 2 2" xfId="21942" xr:uid="{00000000-0005-0000-0000-0000E2470000}"/>
    <cellStyle name="40% - Accent2 11 5 3" xfId="21943" xr:uid="{00000000-0005-0000-0000-0000E3470000}"/>
    <cellStyle name="40% - Accent2 11 6" xfId="21944" xr:uid="{00000000-0005-0000-0000-0000E4470000}"/>
    <cellStyle name="40% - Accent2 11 6 2" xfId="21945" xr:uid="{00000000-0005-0000-0000-0000E5470000}"/>
    <cellStyle name="40% - Accent2 11 6 2 2" xfId="21946" xr:uid="{00000000-0005-0000-0000-0000E6470000}"/>
    <cellStyle name="40% - Accent2 11 6 3" xfId="21947" xr:uid="{00000000-0005-0000-0000-0000E7470000}"/>
    <cellStyle name="40% - Accent2 11 7" xfId="21948" xr:uid="{00000000-0005-0000-0000-0000E8470000}"/>
    <cellStyle name="40% - Accent2 11 7 2" xfId="21949" xr:uid="{00000000-0005-0000-0000-0000E9470000}"/>
    <cellStyle name="40% - Accent2 11 8" xfId="21950" xr:uid="{00000000-0005-0000-0000-0000EA470000}"/>
    <cellStyle name="40% - Accent2 11 8 2" xfId="21951" xr:uid="{00000000-0005-0000-0000-0000EB470000}"/>
    <cellStyle name="40% - Accent2 11 9" xfId="21952" xr:uid="{00000000-0005-0000-0000-0000EC470000}"/>
    <cellStyle name="40% - Accent2 12" xfId="21953" xr:uid="{00000000-0005-0000-0000-0000ED470000}"/>
    <cellStyle name="40% - Accent2 12 2" xfId="21954" xr:uid="{00000000-0005-0000-0000-0000EE470000}"/>
    <cellStyle name="40% - Accent2 12 2 2" xfId="21955" xr:uid="{00000000-0005-0000-0000-0000EF470000}"/>
    <cellStyle name="40% - Accent2 12 2 2 2" xfId="21956" xr:uid="{00000000-0005-0000-0000-0000F0470000}"/>
    <cellStyle name="40% - Accent2 12 2 2 2 2" xfId="21957" xr:uid="{00000000-0005-0000-0000-0000F1470000}"/>
    <cellStyle name="40% - Accent2 12 2 2 2 2 2" xfId="21958" xr:uid="{00000000-0005-0000-0000-0000F2470000}"/>
    <cellStyle name="40% - Accent2 12 2 2 2 3" xfId="21959" xr:uid="{00000000-0005-0000-0000-0000F3470000}"/>
    <cellStyle name="40% - Accent2 12 2 2 3" xfId="21960" xr:uid="{00000000-0005-0000-0000-0000F4470000}"/>
    <cellStyle name="40% - Accent2 12 2 2 3 2" xfId="21961" xr:uid="{00000000-0005-0000-0000-0000F5470000}"/>
    <cellStyle name="40% - Accent2 12 2 2 4" xfId="21962" xr:uid="{00000000-0005-0000-0000-0000F6470000}"/>
    <cellStyle name="40% - Accent2 12 2 2 5" xfId="21963" xr:uid="{00000000-0005-0000-0000-0000F7470000}"/>
    <cellStyle name="40% - Accent2 12 2 2 6" xfId="21964" xr:uid="{00000000-0005-0000-0000-0000F8470000}"/>
    <cellStyle name="40% - Accent2 12 2 3" xfId="21965" xr:uid="{00000000-0005-0000-0000-0000F9470000}"/>
    <cellStyle name="40% - Accent2 12 2 3 2" xfId="21966" xr:uid="{00000000-0005-0000-0000-0000FA470000}"/>
    <cellStyle name="40% - Accent2 12 2 3 2 2" xfId="21967" xr:uid="{00000000-0005-0000-0000-0000FB470000}"/>
    <cellStyle name="40% - Accent2 12 2 3 3" xfId="21968" xr:uid="{00000000-0005-0000-0000-0000FC470000}"/>
    <cellStyle name="40% - Accent2 12 2 4" xfId="21969" xr:uid="{00000000-0005-0000-0000-0000FD470000}"/>
    <cellStyle name="40% - Accent2 12 2 4 2" xfId="21970" xr:uid="{00000000-0005-0000-0000-0000FE470000}"/>
    <cellStyle name="40% - Accent2 12 2 5" xfId="21971" xr:uid="{00000000-0005-0000-0000-0000FF470000}"/>
    <cellStyle name="40% - Accent2 12 2 6" xfId="21972" xr:uid="{00000000-0005-0000-0000-000000480000}"/>
    <cellStyle name="40% - Accent2 12 2 7" xfId="21973" xr:uid="{00000000-0005-0000-0000-000001480000}"/>
    <cellStyle name="40% - Accent2 12 3" xfId="21974" xr:uid="{00000000-0005-0000-0000-000002480000}"/>
    <cellStyle name="40% - Accent2 12 3 2" xfId="21975" xr:uid="{00000000-0005-0000-0000-000003480000}"/>
    <cellStyle name="40% - Accent2 12 3 2 2" xfId="21976" xr:uid="{00000000-0005-0000-0000-000004480000}"/>
    <cellStyle name="40% - Accent2 12 3 2 2 2" xfId="21977" xr:uid="{00000000-0005-0000-0000-000005480000}"/>
    <cellStyle name="40% - Accent2 12 3 2 2 2 2" xfId="21978" xr:uid="{00000000-0005-0000-0000-000006480000}"/>
    <cellStyle name="40% - Accent2 12 3 2 2 3" xfId="21979" xr:uid="{00000000-0005-0000-0000-000007480000}"/>
    <cellStyle name="40% - Accent2 12 3 2 3" xfId="21980" xr:uid="{00000000-0005-0000-0000-000008480000}"/>
    <cellStyle name="40% - Accent2 12 3 2 3 2" xfId="21981" xr:uid="{00000000-0005-0000-0000-000009480000}"/>
    <cellStyle name="40% - Accent2 12 3 2 4" xfId="21982" xr:uid="{00000000-0005-0000-0000-00000A480000}"/>
    <cellStyle name="40% - Accent2 12 3 2 5" xfId="21983" xr:uid="{00000000-0005-0000-0000-00000B480000}"/>
    <cellStyle name="40% - Accent2 12 3 2 6" xfId="21984" xr:uid="{00000000-0005-0000-0000-00000C480000}"/>
    <cellStyle name="40% - Accent2 12 3 3" xfId="21985" xr:uid="{00000000-0005-0000-0000-00000D480000}"/>
    <cellStyle name="40% - Accent2 12 3 3 2" xfId="21986" xr:uid="{00000000-0005-0000-0000-00000E480000}"/>
    <cellStyle name="40% - Accent2 12 3 3 2 2" xfId="21987" xr:uid="{00000000-0005-0000-0000-00000F480000}"/>
    <cellStyle name="40% - Accent2 12 3 3 3" xfId="21988" xr:uid="{00000000-0005-0000-0000-000010480000}"/>
    <cellStyle name="40% - Accent2 12 3 4" xfId="21989" xr:uid="{00000000-0005-0000-0000-000011480000}"/>
    <cellStyle name="40% - Accent2 12 3 4 2" xfId="21990" xr:uid="{00000000-0005-0000-0000-000012480000}"/>
    <cellStyle name="40% - Accent2 12 3 5" xfId="21991" xr:uid="{00000000-0005-0000-0000-000013480000}"/>
    <cellStyle name="40% - Accent2 12 3 6" xfId="21992" xr:uid="{00000000-0005-0000-0000-000014480000}"/>
    <cellStyle name="40% - Accent2 12 3 7" xfId="21993" xr:uid="{00000000-0005-0000-0000-000015480000}"/>
    <cellStyle name="40% - Accent2 12 4" xfId="21994" xr:uid="{00000000-0005-0000-0000-000016480000}"/>
    <cellStyle name="40% - Accent2 12 5" xfId="21995" xr:uid="{00000000-0005-0000-0000-000017480000}"/>
    <cellStyle name="40% - Accent2 12 6" xfId="21996" xr:uid="{00000000-0005-0000-0000-000018480000}"/>
    <cellStyle name="40% - Accent2 12 6 2" xfId="21997" xr:uid="{00000000-0005-0000-0000-000019480000}"/>
    <cellStyle name="40% - Accent2 12 7" xfId="21998" xr:uid="{00000000-0005-0000-0000-00001A480000}"/>
    <cellStyle name="40% - Accent2 12 8" xfId="21999" xr:uid="{00000000-0005-0000-0000-00001B480000}"/>
    <cellStyle name="40% - Accent2 13" xfId="22000" xr:uid="{00000000-0005-0000-0000-00001C480000}"/>
    <cellStyle name="40% - Accent2 13 2" xfId="22001" xr:uid="{00000000-0005-0000-0000-00001D480000}"/>
    <cellStyle name="40% - Accent2 13 2 2" xfId="22002" xr:uid="{00000000-0005-0000-0000-00001E480000}"/>
    <cellStyle name="40% - Accent2 13 2 2 2" xfId="22003" xr:uid="{00000000-0005-0000-0000-00001F480000}"/>
    <cellStyle name="40% - Accent2 13 2 3" xfId="22004" xr:uid="{00000000-0005-0000-0000-000020480000}"/>
    <cellStyle name="40% - Accent2 13 3" xfId="22005" xr:uid="{00000000-0005-0000-0000-000021480000}"/>
    <cellStyle name="40% - Accent2 13 3 2" xfId="22006" xr:uid="{00000000-0005-0000-0000-000022480000}"/>
    <cellStyle name="40% - Accent2 13 4" xfId="22007" xr:uid="{00000000-0005-0000-0000-000023480000}"/>
    <cellStyle name="40% - Accent2 13 5" xfId="22008" xr:uid="{00000000-0005-0000-0000-000024480000}"/>
    <cellStyle name="40% - Accent2 13 6" xfId="22009" xr:uid="{00000000-0005-0000-0000-000025480000}"/>
    <cellStyle name="40% - Accent2 14" xfId="22010" xr:uid="{00000000-0005-0000-0000-000026480000}"/>
    <cellStyle name="40% - Accent2 14 2" xfId="22011" xr:uid="{00000000-0005-0000-0000-000027480000}"/>
    <cellStyle name="40% - Accent2 14 2 2" xfId="22012" xr:uid="{00000000-0005-0000-0000-000028480000}"/>
    <cellStyle name="40% - Accent2 14 2 2 2" xfId="22013" xr:uid="{00000000-0005-0000-0000-000029480000}"/>
    <cellStyle name="40% - Accent2 14 2 3" xfId="22014" xr:uid="{00000000-0005-0000-0000-00002A480000}"/>
    <cellStyle name="40% - Accent2 14 3" xfId="22015" xr:uid="{00000000-0005-0000-0000-00002B480000}"/>
    <cellStyle name="40% - Accent2 14 3 2" xfId="22016" xr:uid="{00000000-0005-0000-0000-00002C480000}"/>
    <cellStyle name="40% - Accent2 14 4" xfId="22017" xr:uid="{00000000-0005-0000-0000-00002D480000}"/>
    <cellStyle name="40% - Accent2 15" xfId="22018" xr:uid="{00000000-0005-0000-0000-00002E480000}"/>
    <cellStyle name="40% - Accent2 15 2" xfId="22019" xr:uid="{00000000-0005-0000-0000-00002F480000}"/>
    <cellStyle name="40% - Accent2 15 2 2" xfId="22020" xr:uid="{00000000-0005-0000-0000-000030480000}"/>
    <cellStyle name="40% - Accent2 15 2 2 2" xfId="22021" xr:uid="{00000000-0005-0000-0000-000031480000}"/>
    <cellStyle name="40% - Accent2 15 2 3" xfId="22022" xr:uid="{00000000-0005-0000-0000-000032480000}"/>
    <cellStyle name="40% - Accent2 15 3" xfId="22023" xr:uid="{00000000-0005-0000-0000-000033480000}"/>
    <cellStyle name="40% - Accent2 15 3 2" xfId="22024" xr:uid="{00000000-0005-0000-0000-000034480000}"/>
    <cellStyle name="40% - Accent2 15 4" xfId="22025" xr:uid="{00000000-0005-0000-0000-000035480000}"/>
    <cellStyle name="40% - Accent2 16" xfId="22026" xr:uid="{00000000-0005-0000-0000-000036480000}"/>
    <cellStyle name="40% - Accent2 16 2" xfId="22027" xr:uid="{00000000-0005-0000-0000-000037480000}"/>
    <cellStyle name="40% - Accent2 16 2 2" xfId="22028" xr:uid="{00000000-0005-0000-0000-000038480000}"/>
    <cellStyle name="40% - Accent2 16 3" xfId="22029" xr:uid="{00000000-0005-0000-0000-000039480000}"/>
    <cellStyle name="40% - Accent2 17" xfId="22030" xr:uid="{00000000-0005-0000-0000-00003A480000}"/>
    <cellStyle name="40% - Accent2 18" xfId="22031" xr:uid="{00000000-0005-0000-0000-00003B480000}"/>
    <cellStyle name="40% - Accent2 19" xfId="22032" xr:uid="{00000000-0005-0000-0000-00003C480000}"/>
    <cellStyle name="40% - Accent2 2" xfId="196" xr:uid="{00000000-0005-0000-0000-00003D480000}"/>
    <cellStyle name="40% - Accent2 2 2" xfId="22033" xr:uid="{00000000-0005-0000-0000-00003E480000}"/>
    <cellStyle name="40% - Accent2 2 2 10" xfId="22034" xr:uid="{00000000-0005-0000-0000-00003F480000}"/>
    <cellStyle name="40% - Accent2 2 2 10 2" xfId="22035" xr:uid="{00000000-0005-0000-0000-000040480000}"/>
    <cellStyle name="40% - Accent2 2 2 10 2 2" xfId="22036" xr:uid="{00000000-0005-0000-0000-000041480000}"/>
    <cellStyle name="40% - Accent2 2 2 10 3" xfId="22037" xr:uid="{00000000-0005-0000-0000-000042480000}"/>
    <cellStyle name="40% - Accent2 2 2 11" xfId="22038" xr:uid="{00000000-0005-0000-0000-000043480000}"/>
    <cellStyle name="40% - Accent2 2 2 11 2" xfId="22039" xr:uid="{00000000-0005-0000-0000-000044480000}"/>
    <cellStyle name="40% - Accent2 2 2 11 2 2" xfId="22040" xr:uid="{00000000-0005-0000-0000-000045480000}"/>
    <cellStyle name="40% - Accent2 2 2 11 3" xfId="22041" xr:uid="{00000000-0005-0000-0000-000046480000}"/>
    <cellStyle name="40% - Accent2 2 2 12" xfId="22042" xr:uid="{00000000-0005-0000-0000-000047480000}"/>
    <cellStyle name="40% - Accent2 2 2 12 2" xfId="22043" xr:uid="{00000000-0005-0000-0000-000048480000}"/>
    <cellStyle name="40% - Accent2 2 2 12 2 2" xfId="22044" xr:uid="{00000000-0005-0000-0000-000049480000}"/>
    <cellStyle name="40% - Accent2 2 2 12 3" xfId="22045" xr:uid="{00000000-0005-0000-0000-00004A480000}"/>
    <cellStyle name="40% - Accent2 2 2 13" xfId="22046" xr:uid="{00000000-0005-0000-0000-00004B480000}"/>
    <cellStyle name="40% - Accent2 2 2 13 2" xfId="22047" xr:uid="{00000000-0005-0000-0000-00004C480000}"/>
    <cellStyle name="40% - Accent2 2 2 14" xfId="22048" xr:uid="{00000000-0005-0000-0000-00004D480000}"/>
    <cellStyle name="40% - Accent2 2 2 15" xfId="22049" xr:uid="{00000000-0005-0000-0000-00004E480000}"/>
    <cellStyle name="40% - Accent2 2 2 16" xfId="22050" xr:uid="{00000000-0005-0000-0000-00004F480000}"/>
    <cellStyle name="40% - Accent2 2 2 2" xfId="22051" xr:uid="{00000000-0005-0000-0000-000050480000}"/>
    <cellStyle name="40% - Accent2 2 2 2 10" xfId="22052" xr:uid="{00000000-0005-0000-0000-000051480000}"/>
    <cellStyle name="40% - Accent2 2 2 2 11" xfId="22053" xr:uid="{00000000-0005-0000-0000-000052480000}"/>
    <cellStyle name="40% - Accent2 2 2 2 2" xfId="22054" xr:uid="{00000000-0005-0000-0000-000053480000}"/>
    <cellStyle name="40% - Accent2 2 2 2 2 2" xfId="22055" xr:uid="{00000000-0005-0000-0000-000054480000}"/>
    <cellStyle name="40% - Accent2 2 2 2 2 2 2" xfId="22056" xr:uid="{00000000-0005-0000-0000-000055480000}"/>
    <cellStyle name="40% - Accent2 2 2 2 2 2 2 2" xfId="22057" xr:uid="{00000000-0005-0000-0000-000056480000}"/>
    <cellStyle name="40% - Accent2 2 2 2 2 2 2 2 2" xfId="22058" xr:uid="{00000000-0005-0000-0000-000057480000}"/>
    <cellStyle name="40% - Accent2 2 2 2 2 2 2 3" xfId="22059" xr:uid="{00000000-0005-0000-0000-000058480000}"/>
    <cellStyle name="40% - Accent2 2 2 2 2 2 3" xfId="22060" xr:uid="{00000000-0005-0000-0000-000059480000}"/>
    <cellStyle name="40% - Accent2 2 2 2 2 2 3 2" xfId="22061" xr:uid="{00000000-0005-0000-0000-00005A480000}"/>
    <cellStyle name="40% - Accent2 2 2 2 2 2 4" xfId="22062" xr:uid="{00000000-0005-0000-0000-00005B480000}"/>
    <cellStyle name="40% - Accent2 2 2 2 2 2 5" xfId="22063" xr:uid="{00000000-0005-0000-0000-00005C480000}"/>
    <cellStyle name="40% - Accent2 2 2 2 2 2 6" xfId="22064" xr:uid="{00000000-0005-0000-0000-00005D480000}"/>
    <cellStyle name="40% - Accent2 2 2 2 2 3" xfId="22065" xr:uid="{00000000-0005-0000-0000-00005E480000}"/>
    <cellStyle name="40% - Accent2 2 2 2 2 3 2" xfId="22066" xr:uid="{00000000-0005-0000-0000-00005F480000}"/>
    <cellStyle name="40% - Accent2 2 2 2 2 3 2 2" xfId="22067" xr:uid="{00000000-0005-0000-0000-000060480000}"/>
    <cellStyle name="40% - Accent2 2 2 2 2 3 3" xfId="22068" xr:uid="{00000000-0005-0000-0000-000061480000}"/>
    <cellStyle name="40% - Accent2 2 2 2 2 4" xfId="22069" xr:uid="{00000000-0005-0000-0000-000062480000}"/>
    <cellStyle name="40% - Accent2 2 2 2 2 4 2" xfId="22070" xr:uid="{00000000-0005-0000-0000-000063480000}"/>
    <cellStyle name="40% - Accent2 2 2 2 2 5" xfId="22071" xr:uid="{00000000-0005-0000-0000-000064480000}"/>
    <cellStyle name="40% - Accent2 2 2 2 2 5 2" xfId="22072" xr:uid="{00000000-0005-0000-0000-000065480000}"/>
    <cellStyle name="40% - Accent2 2 2 2 2 6" xfId="22073" xr:uid="{00000000-0005-0000-0000-000066480000}"/>
    <cellStyle name="40% - Accent2 2 2 2 2 7" xfId="22074" xr:uid="{00000000-0005-0000-0000-000067480000}"/>
    <cellStyle name="40% - Accent2 2 2 2 2 8" xfId="22075" xr:uid="{00000000-0005-0000-0000-000068480000}"/>
    <cellStyle name="40% - Accent2 2 2 2 3" xfId="22076" xr:uid="{00000000-0005-0000-0000-000069480000}"/>
    <cellStyle name="40% - Accent2 2 2 2 3 2" xfId="22077" xr:uid="{00000000-0005-0000-0000-00006A480000}"/>
    <cellStyle name="40% - Accent2 2 2 2 3 2 2" xfId="22078" xr:uid="{00000000-0005-0000-0000-00006B480000}"/>
    <cellStyle name="40% - Accent2 2 2 2 3 2 2 2" xfId="22079" xr:uid="{00000000-0005-0000-0000-00006C480000}"/>
    <cellStyle name="40% - Accent2 2 2 2 3 2 2 2 2" xfId="22080" xr:uid="{00000000-0005-0000-0000-00006D480000}"/>
    <cellStyle name="40% - Accent2 2 2 2 3 2 2 3" xfId="22081" xr:uid="{00000000-0005-0000-0000-00006E480000}"/>
    <cellStyle name="40% - Accent2 2 2 2 3 2 3" xfId="22082" xr:uid="{00000000-0005-0000-0000-00006F480000}"/>
    <cellStyle name="40% - Accent2 2 2 2 3 2 3 2" xfId="22083" xr:uid="{00000000-0005-0000-0000-000070480000}"/>
    <cellStyle name="40% - Accent2 2 2 2 3 2 4" xfId="22084" xr:uid="{00000000-0005-0000-0000-000071480000}"/>
    <cellStyle name="40% - Accent2 2 2 2 3 2 5" xfId="22085" xr:uid="{00000000-0005-0000-0000-000072480000}"/>
    <cellStyle name="40% - Accent2 2 2 2 3 2 6" xfId="22086" xr:uid="{00000000-0005-0000-0000-000073480000}"/>
    <cellStyle name="40% - Accent2 2 2 2 3 3" xfId="22087" xr:uid="{00000000-0005-0000-0000-000074480000}"/>
    <cellStyle name="40% - Accent2 2 2 2 3 3 2" xfId="22088" xr:uid="{00000000-0005-0000-0000-000075480000}"/>
    <cellStyle name="40% - Accent2 2 2 2 3 3 2 2" xfId="22089" xr:uid="{00000000-0005-0000-0000-000076480000}"/>
    <cellStyle name="40% - Accent2 2 2 2 3 3 3" xfId="22090" xr:uid="{00000000-0005-0000-0000-000077480000}"/>
    <cellStyle name="40% - Accent2 2 2 2 3 4" xfId="22091" xr:uid="{00000000-0005-0000-0000-000078480000}"/>
    <cellStyle name="40% - Accent2 2 2 2 3 4 2" xfId="22092" xr:uid="{00000000-0005-0000-0000-000079480000}"/>
    <cellStyle name="40% - Accent2 2 2 2 3 5" xfId="22093" xr:uid="{00000000-0005-0000-0000-00007A480000}"/>
    <cellStyle name="40% - Accent2 2 2 2 3 6" xfId="22094" xr:uid="{00000000-0005-0000-0000-00007B480000}"/>
    <cellStyle name="40% - Accent2 2 2 2 3 7" xfId="22095" xr:uid="{00000000-0005-0000-0000-00007C480000}"/>
    <cellStyle name="40% - Accent2 2 2 2 4" xfId="22096" xr:uid="{00000000-0005-0000-0000-00007D480000}"/>
    <cellStyle name="40% - Accent2 2 2 2 4 2" xfId="22097" xr:uid="{00000000-0005-0000-0000-00007E480000}"/>
    <cellStyle name="40% - Accent2 2 2 2 4 2 2" xfId="22098" xr:uid="{00000000-0005-0000-0000-00007F480000}"/>
    <cellStyle name="40% - Accent2 2 2 2 4 2 2 2" xfId="22099" xr:uid="{00000000-0005-0000-0000-000080480000}"/>
    <cellStyle name="40% - Accent2 2 2 2 4 2 3" xfId="22100" xr:uid="{00000000-0005-0000-0000-000081480000}"/>
    <cellStyle name="40% - Accent2 2 2 2 4 3" xfId="22101" xr:uid="{00000000-0005-0000-0000-000082480000}"/>
    <cellStyle name="40% - Accent2 2 2 2 4 3 2" xfId="22102" xr:uid="{00000000-0005-0000-0000-000083480000}"/>
    <cellStyle name="40% - Accent2 2 2 2 4 4" xfId="22103" xr:uid="{00000000-0005-0000-0000-000084480000}"/>
    <cellStyle name="40% - Accent2 2 2 2 4 5" xfId="22104" xr:uid="{00000000-0005-0000-0000-000085480000}"/>
    <cellStyle name="40% - Accent2 2 2 2 4 6" xfId="22105" xr:uid="{00000000-0005-0000-0000-000086480000}"/>
    <cellStyle name="40% - Accent2 2 2 2 5" xfId="22106" xr:uid="{00000000-0005-0000-0000-000087480000}"/>
    <cellStyle name="40% - Accent2 2 2 2 5 2" xfId="22107" xr:uid="{00000000-0005-0000-0000-000088480000}"/>
    <cellStyle name="40% - Accent2 2 2 2 5 2 2" xfId="22108" xr:uid="{00000000-0005-0000-0000-000089480000}"/>
    <cellStyle name="40% - Accent2 2 2 2 5 3" xfId="22109" xr:uid="{00000000-0005-0000-0000-00008A480000}"/>
    <cellStyle name="40% - Accent2 2 2 2 6" xfId="22110" xr:uid="{00000000-0005-0000-0000-00008B480000}"/>
    <cellStyle name="40% - Accent2 2 2 2 6 2" xfId="22111" xr:uid="{00000000-0005-0000-0000-00008C480000}"/>
    <cellStyle name="40% - Accent2 2 2 2 6 2 2" xfId="22112" xr:uid="{00000000-0005-0000-0000-00008D480000}"/>
    <cellStyle name="40% - Accent2 2 2 2 6 3" xfId="22113" xr:uid="{00000000-0005-0000-0000-00008E480000}"/>
    <cellStyle name="40% - Accent2 2 2 2 7" xfId="22114" xr:uid="{00000000-0005-0000-0000-00008F480000}"/>
    <cellStyle name="40% - Accent2 2 2 2 7 2" xfId="22115" xr:uid="{00000000-0005-0000-0000-000090480000}"/>
    <cellStyle name="40% - Accent2 2 2 2 8" xfId="22116" xr:uid="{00000000-0005-0000-0000-000091480000}"/>
    <cellStyle name="40% - Accent2 2 2 2 8 2" xfId="22117" xr:uid="{00000000-0005-0000-0000-000092480000}"/>
    <cellStyle name="40% - Accent2 2 2 2 9" xfId="22118" xr:uid="{00000000-0005-0000-0000-000093480000}"/>
    <cellStyle name="40% - Accent2 2 2 3" xfId="22119" xr:uid="{00000000-0005-0000-0000-000094480000}"/>
    <cellStyle name="40% - Accent2 2 2 3 10" xfId="22120" xr:uid="{00000000-0005-0000-0000-000095480000}"/>
    <cellStyle name="40% - Accent2 2 2 3 11" xfId="22121" xr:uid="{00000000-0005-0000-0000-000096480000}"/>
    <cellStyle name="40% - Accent2 2 2 3 2" xfId="22122" xr:uid="{00000000-0005-0000-0000-000097480000}"/>
    <cellStyle name="40% - Accent2 2 2 3 2 2" xfId="22123" xr:uid="{00000000-0005-0000-0000-000098480000}"/>
    <cellStyle name="40% - Accent2 2 2 3 2 2 2" xfId="22124" xr:uid="{00000000-0005-0000-0000-000099480000}"/>
    <cellStyle name="40% - Accent2 2 2 3 2 2 2 2" xfId="22125" xr:uid="{00000000-0005-0000-0000-00009A480000}"/>
    <cellStyle name="40% - Accent2 2 2 3 2 2 2 2 2" xfId="22126" xr:uid="{00000000-0005-0000-0000-00009B480000}"/>
    <cellStyle name="40% - Accent2 2 2 3 2 2 2 3" xfId="22127" xr:uid="{00000000-0005-0000-0000-00009C480000}"/>
    <cellStyle name="40% - Accent2 2 2 3 2 2 3" xfId="22128" xr:uid="{00000000-0005-0000-0000-00009D480000}"/>
    <cellStyle name="40% - Accent2 2 2 3 2 2 3 2" xfId="22129" xr:uid="{00000000-0005-0000-0000-00009E480000}"/>
    <cellStyle name="40% - Accent2 2 2 3 2 2 4" xfId="22130" xr:uid="{00000000-0005-0000-0000-00009F480000}"/>
    <cellStyle name="40% - Accent2 2 2 3 2 2 5" xfId="22131" xr:uid="{00000000-0005-0000-0000-0000A0480000}"/>
    <cellStyle name="40% - Accent2 2 2 3 2 2 6" xfId="22132" xr:uid="{00000000-0005-0000-0000-0000A1480000}"/>
    <cellStyle name="40% - Accent2 2 2 3 2 3" xfId="22133" xr:uid="{00000000-0005-0000-0000-0000A2480000}"/>
    <cellStyle name="40% - Accent2 2 2 3 2 3 2" xfId="22134" xr:uid="{00000000-0005-0000-0000-0000A3480000}"/>
    <cellStyle name="40% - Accent2 2 2 3 2 3 2 2" xfId="22135" xr:uid="{00000000-0005-0000-0000-0000A4480000}"/>
    <cellStyle name="40% - Accent2 2 2 3 2 3 3" xfId="22136" xr:uid="{00000000-0005-0000-0000-0000A5480000}"/>
    <cellStyle name="40% - Accent2 2 2 3 2 4" xfId="22137" xr:uid="{00000000-0005-0000-0000-0000A6480000}"/>
    <cellStyle name="40% - Accent2 2 2 3 2 4 2" xfId="22138" xr:uid="{00000000-0005-0000-0000-0000A7480000}"/>
    <cellStyle name="40% - Accent2 2 2 3 2 5" xfId="22139" xr:uid="{00000000-0005-0000-0000-0000A8480000}"/>
    <cellStyle name="40% - Accent2 2 2 3 2 5 2" xfId="22140" xr:uid="{00000000-0005-0000-0000-0000A9480000}"/>
    <cellStyle name="40% - Accent2 2 2 3 2 6" xfId="22141" xr:uid="{00000000-0005-0000-0000-0000AA480000}"/>
    <cellStyle name="40% - Accent2 2 2 3 2 7" xfId="22142" xr:uid="{00000000-0005-0000-0000-0000AB480000}"/>
    <cellStyle name="40% - Accent2 2 2 3 2 8" xfId="22143" xr:uid="{00000000-0005-0000-0000-0000AC480000}"/>
    <cellStyle name="40% - Accent2 2 2 3 3" xfId="22144" xr:uid="{00000000-0005-0000-0000-0000AD480000}"/>
    <cellStyle name="40% - Accent2 2 2 3 3 2" xfId="22145" xr:uid="{00000000-0005-0000-0000-0000AE480000}"/>
    <cellStyle name="40% - Accent2 2 2 3 3 2 2" xfId="22146" xr:uid="{00000000-0005-0000-0000-0000AF480000}"/>
    <cellStyle name="40% - Accent2 2 2 3 3 2 2 2" xfId="22147" xr:uid="{00000000-0005-0000-0000-0000B0480000}"/>
    <cellStyle name="40% - Accent2 2 2 3 3 2 2 2 2" xfId="22148" xr:uid="{00000000-0005-0000-0000-0000B1480000}"/>
    <cellStyle name="40% - Accent2 2 2 3 3 2 2 3" xfId="22149" xr:uid="{00000000-0005-0000-0000-0000B2480000}"/>
    <cellStyle name="40% - Accent2 2 2 3 3 2 3" xfId="22150" xr:uid="{00000000-0005-0000-0000-0000B3480000}"/>
    <cellStyle name="40% - Accent2 2 2 3 3 2 3 2" xfId="22151" xr:uid="{00000000-0005-0000-0000-0000B4480000}"/>
    <cellStyle name="40% - Accent2 2 2 3 3 2 4" xfId="22152" xr:uid="{00000000-0005-0000-0000-0000B5480000}"/>
    <cellStyle name="40% - Accent2 2 2 3 3 2 5" xfId="22153" xr:uid="{00000000-0005-0000-0000-0000B6480000}"/>
    <cellStyle name="40% - Accent2 2 2 3 3 2 6" xfId="22154" xr:uid="{00000000-0005-0000-0000-0000B7480000}"/>
    <cellStyle name="40% - Accent2 2 2 3 3 3" xfId="22155" xr:uid="{00000000-0005-0000-0000-0000B8480000}"/>
    <cellStyle name="40% - Accent2 2 2 3 3 3 2" xfId="22156" xr:uid="{00000000-0005-0000-0000-0000B9480000}"/>
    <cellStyle name="40% - Accent2 2 2 3 3 3 2 2" xfId="22157" xr:uid="{00000000-0005-0000-0000-0000BA480000}"/>
    <cellStyle name="40% - Accent2 2 2 3 3 3 3" xfId="22158" xr:uid="{00000000-0005-0000-0000-0000BB480000}"/>
    <cellStyle name="40% - Accent2 2 2 3 3 4" xfId="22159" xr:uid="{00000000-0005-0000-0000-0000BC480000}"/>
    <cellStyle name="40% - Accent2 2 2 3 3 4 2" xfId="22160" xr:uid="{00000000-0005-0000-0000-0000BD480000}"/>
    <cellStyle name="40% - Accent2 2 2 3 3 5" xfId="22161" xr:uid="{00000000-0005-0000-0000-0000BE480000}"/>
    <cellStyle name="40% - Accent2 2 2 3 3 6" xfId="22162" xr:uid="{00000000-0005-0000-0000-0000BF480000}"/>
    <cellStyle name="40% - Accent2 2 2 3 3 7" xfId="22163" xr:uid="{00000000-0005-0000-0000-0000C0480000}"/>
    <cellStyle name="40% - Accent2 2 2 3 4" xfId="22164" xr:uid="{00000000-0005-0000-0000-0000C1480000}"/>
    <cellStyle name="40% - Accent2 2 2 3 4 2" xfId="22165" xr:uid="{00000000-0005-0000-0000-0000C2480000}"/>
    <cellStyle name="40% - Accent2 2 2 3 4 2 2" xfId="22166" xr:uid="{00000000-0005-0000-0000-0000C3480000}"/>
    <cellStyle name="40% - Accent2 2 2 3 4 2 2 2" xfId="22167" xr:uid="{00000000-0005-0000-0000-0000C4480000}"/>
    <cellStyle name="40% - Accent2 2 2 3 4 2 3" xfId="22168" xr:uid="{00000000-0005-0000-0000-0000C5480000}"/>
    <cellStyle name="40% - Accent2 2 2 3 4 3" xfId="22169" xr:uid="{00000000-0005-0000-0000-0000C6480000}"/>
    <cellStyle name="40% - Accent2 2 2 3 4 3 2" xfId="22170" xr:uid="{00000000-0005-0000-0000-0000C7480000}"/>
    <cellStyle name="40% - Accent2 2 2 3 4 4" xfId="22171" xr:uid="{00000000-0005-0000-0000-0000C8480000}"/>
    <cellStyle name="40% - Accent2 2 2 3 4 5" xfId="22172" xr:uid="{00000000-0005-0000-0000-0000C9480000}"/>
    <cellStyle name="40% - Accent2 2 2 3 4 6" xfId="22173" xr:uid="{00000000-0005-0000-0000-0000CA480000}"/>
    <cellStyle name="40% - Accent2 2 2 3 5" xfId="22174" xr:uid="{00000000-0005-0000-0000-0000CB480000}"/>
    <cellStyle name="40% - Accent2 2 2 3 5 2" xfId="22175" xr:uid="{00000000-0005-0000-0000-0000CC480000}"/>
    <cellStyle name="40% - Accent2 2 2 3 5 2 2" xfId="22176" xr:uid="{00000000-0005-0000-0000-0000CD480000}"/>
    <cellStyle name="40% - Accent2 2 2 3 5 3" xfId="22177" xr:uid="{00000000-0005-0000-0000-0000CE480000}"/>
    <cellStyle name="40% - Accent2 2 2 3 6" xfId="22178" xr:uid="{00000000-0005-0000-0000-0000CF480000}"/>
    <cellStyle name="40% - Accent2 2 2 3 6 2" xfId="22179" xr:uid="{00000000-0005-0000-0000-0000D0480000}"/>
    <cellStyle name="40% - Accent2 2 2 3 6 2 2" xfId="22180" xr:uid="{00000000-0005-0000-0000-0000D1480000}"/>
    <cellStyle name="40% - Accent2 2 2 3 6 3" xfId="22181" xr:uid="{00000000-0005-0000-0000-0000D2480000}"/>
    <cellStyle name="40% - Accent2 2 2 3 7" xfId="22182" xr:uid="{00000000-0005-0000-0000-0000D3480000}"/>
    <cellStyle name="40% - Accent2 2 2 3 7 2" xfId="22183" xr:uid="{00000000-0005-0000-0000-0000D4480000}"/>
    <cellStyle name="40% - Accent2 2 2 3 8" xfId="22184" xr:uid="{00000000-0005-0000-0000-0000D5480000}"/>
    <cellStyle name="40% - Accent2 2 2 3 8 2" xfId="22185" xr:uid="{00000000-0005-0000-0000-0000D6480000}"/>
    <cellStyle name="40% - Accent2 2 2 3 9" xfId="22186" xr:uid="{00000000-0005-0000-0000-0000D7480000}"/>
    <cellStyle name="40% - Accent2 2 2 4" xfId="22187" xr:uid="{00000000-0005-0000-0000-0000D8480000}"/>
    <cellStyle name="40% - Accent2 2 2 4 10" xfId="22188" xr:uid="{00000000-0005-0000-0000-0000D9480000}"/>
    <cellStyle name="40% - Accent2 2 2 4 11" xfId="22189" xr:uid="{00000000-0005-0000-0000-0000DA480000}"/>
    <cellStyle name="40% - Accent2 2 2 4 2" xfId="22190" xr:uid="{00000000-0005-0000-0000-0000DB480000}"/>
    <cellStyle name="40% - Accent2 2 2 4 2 2" xfId="22191" xr:uid="{00000000-0005-0000-0000-0000DC480000}"/>
    <cellStyle name="40% - Accent2 2 2 4 2 2 2" xfId="22192" xr:uid="{00000000-0005-0000-0000-0000DD480000}"/>
    <cellStyle name="40% - Accent2 2 2 4 2 2 2 2" xfId="22193" xr:uid="{00000000-0005-0000-0000-0000DE480000}"/>
    <cellStyle name="40% - Accent2 2 2 4 2 2 2 2 2" xfId="22194" xr:uid="{00000000-0005-0000-0000-0000DF480000}"/>
    <cellStyle name="40% - Accent2 2 2 4 2 2 2 3" xfId="22195" xr:uid="{00000000-0005-0000-0000-0000E0480000}"/>
    <cellStyle name="40% - Accent2 2 2 4 2 2 3" xfId="22196" xr:uid="{00000000-0005-0000-0000-0000E1480000}"/>
    <cellStyle name="40% - Accent2 2 2 4 2 2 3 2" xfId="22197" xr:uid="{00000000-0005-0000-0000-0000E2480000}"/>
    <cellStyle name="40% - Accent2 2 2 4 2 2 4" xfId="22198" xr:uid="{00000000-0005-0000-0000-0000E3480000}"/>
    <cellStyle name="40% - Accent2 2 2 4 2 2 5" xfId="22199" xr:uid="{00000000-0005-0000-0000-0000E4480000}"/>
    <cellStyle name="40% - Accent2 2 2 4 2 2 6" xfId="22200" xr:uid="{00000000-0005-0000-0000-0000E5480000}"/>
    <cellStyle name="40% - Accent2 2 2 4 2 3" xfId="22201" xr:uid="{00000000-0005-0000-0000-0000E6480000}"/>
    <cellStyle name="40% - Accent2 2 2 4 2 3 2" xfId="22202" xr:uid="{00000000-0005-0000-0000-0000E7480000}"/>
    <cellStyle name="40% - Accent2 2 2 4 2 3 2 2" xfId="22203" xr:uid="{00000000-0005-0000-0000-0000E8480000}"/>
    <cellStyle name="40% - Accent2 2 2 4 2 3 3" xfId="22204" xr:uid="{00000000-0005-0000-0000-0000E9480000}"/>
    <cellStyle name="40% - Accent2 2 2 4 2 4" xfId="22205" xr:uid="{00000000-0005-0000-0000-0000EA480000}"/>
    <cellStyle name="40% - Accent2 2 2 4 2 4 2" xfId="22206" xr:uid="{00000000-0005-0000-0000-0000EB480000}"/>
    <cellStyle name="40% - Accent2 2 2 4 2 5" xfId="22207" xr:uid="{00000000-0005-0000-0000-0000EC480000}"/>
    <cellStyle name="40% - Accent2 2 2 4 2 5 2" xfId="22208" xr:uid="{00000000-0005-0000-0000-0000ED480000}"/>
    <cellStyle name="40% - Accent2 2 2 4 2 6" xfId="22209" xr:uid="{00000000-0005-0000-0000-0000EE480000}"/>
    <cellStyle name="40% - Accent2 2 2 4 2 7" xfId="22210" xr:uid="{00000000-0005-0000-0000-0000EF480000}"/>
    <cellStyle name="40% - Accent2 2 2 4 2 8" xfId="22211" xr:uid="{00000000-0005-0000-0000-0000F0480000}"/>
    <cellStyle name="40% - Accent2 2 2 4 3" xfId="22212" xr:uid="{00000000-0005-0000-0000-0000F1480000}"/>
    <cellStyle name="40% - Accent2 2 2 4 3 2" xfId="22213" xr:uid="{00000000-0005-0000-0000-0000F2480000}"/>
    <cellStyle name="40% - Accent2 2 2 4 3 2 2" xfId="22214" xr:uid="{00000000-0005-0000-0000-0000F3480000}"/>
    <cellStyle name="40% - Accent2 2 2 4 3 2 2 2" xfId="22215" xr:uid="{00000000-0005-0000-0000-0000F4480000}"/>
    <cellStyle name="40% - Accent2 2 2 4 3 2 2 2 2" xfId="22216" xr:uid="{00000000-0005-0000-0000-0000F5480000}"/>
    <cellStyle name="40% - Accent2 2 2 4 3 2 2 3" xfId="22217" xr:uid="{00000000-0005-0000-0000-0000F6480000}"/>
    <cellStyle name="40% - Accent2 2 2 4 3 2 3" xfId="22218" xr:uid="{00000000-0005-0000-0000-0000F7480000}"/>
    <cellStyle name="40% - Accent2 2 2 4 3 2 3 2" xfId="22219" xr:uid="{00000000-0005-0000-0000-0000F8480000}"/>
    <cellStyle name="40% - Accent2 2 2 4 3 2 4" xfId="22220" xr:uid="{00000000-0005-0000-0000-0000F9480000}"/>
    <cellStyle name="40% - Accent2 2 2 4 3 2 5" xfId="22221" xr:uid="{00000000-0005-0000-0000-0000FA480000}"/>
    <cellStyle name="40% - Accent2 2 2 4 3 2 6" xfId="22222" xr:uid="{00000000-0005-0000-0000-0000FB480000}"/>
    <cellStyle name="40% - Accent2 2 2 4 3 3" xfId="22223" xr:uid="{00000000-0005-0000-0000-0000FC480000}"/>
    <cellStyle name="40% - Accent2 2 2 4 3 3 2" xfId="22224" xr:uid="{00000000-0005-0000-0000-0000FD480000}"/>
    <cellStyle name="40% - Accent2 2 2 4 3 3 2 2" xfId="22225" xr:uid="{00000000-0005-0000-0000-0000FE480000}"/>
    <cellStyle name="40% - Accent2 2 2 4 3 3 3" xfId="22226" xr:uid="{00000000-0005-0000-0000-0000FF480000}"/>
    <cellStyle name="40% - Accent2 2 2 4 3 4" xfId="22227" xr:uid="{00000000-0005-0000-0000-000000490000}"/>
    <cellStyle name="40% - Accent2 2 2 4 3 4 2" xfId="22228" xr:uid="{00000000-0005-0000-0000-000001490000}"/>
    <cellStyle name="40% - Accent2 2 2 4 3 5" xfId="22229" xr:uid="{00000000-0005-0000-0000-000002490000}"/>
    <cellStyle name="40% - Accent2 2 2 4 3 6" xfId="22230" xr:uid="{00000000-0005-0000-0000-000003490000}"/>
    <cellStyle name="40% - Accent2 2 2 4 3 7" xfId="22231" xr:uid="{00000000-0005-0000-0000-000004490000}"/>
    <cellStyle name="40% - Accent2 2 2 4 4" xfId="22232" xr:uid="{00000000-0005-0000-0000-000005490000}"/>
    <cellStyle name="40% - Accent2 2 2 4 4 2" xfId="22233" xr:uid="{00000000-0005-0000-0000-000006490000}"/>
    <cellStyle name="40% - Accent2 2 2 4 4 2 2" xfId="22234" xr:uid="{00000000-0005-0000-0000-000007490000}"/>
    <cellStyle name="40% - Accent2 2 2 4 4 2 2 2" xfId="22235" xr:uid="{00000000-0005-0000-0000-000008490000}"/>
    <cellStyle name="40% - Accent2 2 2 4 4 2 3" xfId="22236" xr:uid="{00000000-0005-0000-0000-000009490000}"/>
    <cellStyle name="40% - Accent2 2 2 4 4 3" xfId="22237" xr:uid="{00000000-0005-0000-0000-00000A490000}"/>
    <cellStyle name="40% - Accent2 2 2 4 4 3 2" xfId="22238" xr:uid="{00000000-0005-0000-0000-00000B490000}"/>
    <cellStyle name="40% - Accent2 2 2 4 4 4" xfId="22239" xr:uid="{00000000-0005-0000-0000-00000C490000}"/>
    <cellStyle name="40% - Accent2 2 2 4 4 5" xfId="22240" xr:uid="{00000000-0005-0000-0000-00000D490000}"/>
    <cellStyle name="40% - Accent2 2 2 4 4 6" xfId="22241" xr:uid="{00000000-0005-0000-0000-00000E490000}"/>
    <cellStyle name="40% - Accent2 2 2 4 5" xfId="22242" xr:uid="{00000000-0005-0000-0000-00000F490000}"/>
    <cellStyle name="40% - Accent2 2 2 4 5 2" xfId="22243" xr:uid="{00000000-0005-0000-0000-000010490000}"/>
    <cellStyle name="40% - Accent2 2 2 4 5 2 2" xfId="22244" xr:uid="{00000000-0005-0000-0000-000011490000}"/>
    <cellStyle name="40% - Accent2 2 2 4 5 3" xfId="22245" xr:uid="{00000000-0005-0000-0000-000012490000}"/>
    <cellStyle name="40% - Accent2 2 2 4 6" xfId="22246" xr:uid="{00000000-0005-0000-0000-000013490000}"/>
    <cellStyle name="40% - Accent2 2 2 4 6 2" xfId="22247" xr:uid="{00000000-0005-0000-0000-000014490000}"/>
    <cellStyle name="40% - Accent2 2 2 4 6 2 2" xfId="22248" xr:uid="{00000000-0005-0000-0000-000015490000}"/>
    <cellStyle name="40% - Accent2 2 2 4 6 3" xfId="22249" xr:uid="{00000000-0005-0000-0000-000016490000}"/>
    <cellStyle name="40% - Accent2 2 2 4 7" xfId="22250" xr:uid="{00000000-0005-0000-0000-000017490000}"/>
    <cellStyle name="40% - Accent2 2 2 4 7 2" xfId="22251" xr:uid="{00000000-0005-0000-0000-000018490000}"/>
    <cellStyle name="40% - Accent2 2 2 4 8" xfId="22252" xr:uid="{00000000-0005-0000-0000-000019490000}"/>
    <cellStyle name="40% - Accent2 2 2 4 8 2" xfId="22253" xr:uid="{00000000-0005-0000-0000-00001A490000}"/>
    <cellStyle name="40% - Accent2 2 2 4 9" xfId="22254" xr:uid="{00000000-0005-0000-0000-00001B490000}"/>
    <cellStyle name="40% - Accent2 2 2 5" xfId="22255" xr:uid="{00000000-0005-0000-0000-00001C490000}"/>
    <cellStyle name="40% - Accent2 2 2 5 10" xfId="22256" xr:uid="{00000000-0005-0000-0000-00001D490000}"/>
    <cellStyle name="40% - Accent2 2 2 5 11" xfId="22257" xr:uid="{00000000-0005-0000-0000-00001E490000}"/>
    <cellStyle name="40% - Accent2 2 2 5 2" xfId="22258" xr:uid="{00000000-0005-0000-0000-00001F490000}"/>
    <cellStyle name="40% - Accent2 2 2 5 2 2" xfId="22259" xr:uid="{00000000-0005-0000-0000-000020490000}"/>
    <cellStyle name="40% - Accent2 2 2 5 2 2 2" xfId="22260" xr:uid="{00000000-0005-0000-0000-000021490000}"/>
    <cellStyle name="40% - Accent2 2 2 5 2 2 2 2" xfId="22261" xr:uid="{00000000-0005-0000-0000-000022490000}"/>
    <cellStyle name="40% - Accent2 2 2 5 2 2 2 2 2" xfId="22262" xr:uid="{00000000-0005-0000-0000-000023490000}"/>
    <cellStyle name="40% - Accent2 2 2 5 2 2 2 3" xfId="22263" xr:uid="{00000000-0005-0000-0000-000024490000}"/>
    <cellStyle name="40% - Accent2 2 2 5 2 2 3" xfId="22264" xr:uid="{00000000-0005-0000-0000-000025490000}"/>
    <cellStyle name="40% - Accent2 2 2 5 2 2 3 2" xfId="22265" xr:uid="{00000000-0005-0000-0000-000026490000}"/>
    <cellStyle name="40% - Accent2 2 2 5 2 2 4" xfId="22266" xr:uid="{00000000-0005-0000-0000-000027490000}"/>
    <cellStyle name="40% - Accent2 2 2 5 2 2 5" xfId="22267" xr:uid="{00000000-0005-0000-0000-000028490000}"/>
    <cellStyle name="40% - Accent2 2 2 5 2 2 6" xfId="22268" xr:uid="{00000000-0005-0000-0000-000029490000}"/>
    <cellStyle name="40% - Accent2 2 2 5 2 3" xfId="22269" xr:uid="{00000000-0005-0000-0000-00002A490000}"/>
    <cellStyle name="40% - Accent2 2 2 5 2 3 2" xfId="22270" xr:uid="{00000000-0005-0000-0000-00002B490000}"/>
    <cellStyle name="40% - Accent2 2 2 5 2 3 2 2" xfId="22271" xr:uid="{00000000-0005-0000-0000-00002C490000}"/>
    <cellStyle name="40% - Accent2 2 2 5 2 3 3" xfId="22272" xr:uid="{00000000-0005-0000-0000-00002D490000}"/>
    <cellStyle name="40% - Accent2 2 2 5 2 4" xfId="22273" xr:uid="{00000000-0005-0000-0000-00002E490000}"/>
    <cellStyle name="40% - Accent2 2 2 5 2 4 2" xfId="22274" xr:uid="{00000000-0005-0000-0000-00002F490000}"/>
    <cellStyle name="40% - Accent2 2 2 5 2 5" xfId="22275" xr:uid="{00000000-0005-0000-0000-000030490000}"/>
    <cellStyle name="40% - Accent2 2 2 5 2 5 2" xfId="22276" xr:uid="{00000000-0005-0000-0000-000031490000}"/>
    <cellStyle name="40% - Accent2 2 2 5 2 6" xfId="22277" xr:uid="{00000000-0005-0000-0000-000032490000}"/>
    <cellStyle name="40% - Accent2 2 2 5 2 7" xfId="22278" xr:uid="{00000000-0005-0000-0000-000033490000}"/>
    <cellStyle name="40% - Accent2 2 2 5 2 8" xfId="22279" xr:uid="{00000000-0005-0000-0000-000034490000}"/>
    <cellStyle name="40% - Accent2 2 2 5 3" xfId="22280" xr:uid="{00000000-0005-0000-0000-000035490000}"/>
    <cellStyle name="40% - Accent2 2 2 5 3 2" xfId="22281" xr:uid="{00000000-0005-0000-0000-000036490000}"/>
    <cellStyle name="40% - Accent2 2 2 5 3 2 2" xfId="22282" xr:uid="{00000000-0005-0000-0000-000037490000}"/>
    <cellStyle name="40% - Accent2 2 2 5 3 2 2 2" xfId="22283" xr:uid="{00000000-0005-0000-0000-000038490000}"/>
    <cellStyle name="40% - Accent2 2 2 5 3 2 2 2 2" xfId="22284" xr:uid="{00000000-0005-0000-0000-000039490000}"/>
    <cellStyle name="40% - Accent2 2 2 5 3 2 2 3" xfId="22285" xr:uid="{00000000-0005-0000-0000-00003A490000}"/>
    <cellStyle name="40% - Accent2 2 2 5 3 2 3" xfId="22286" xr:uid="{00000000-0005-0000-0000-00003B490000}"/>
    <cellStyle name="40% - Accent2 2 2 5 3 2 3 2" xfId="22287" xr:uid="{00000000-0005-0000-0000-00003C490000}"/>
    <cellStyle name="40% - Accent2 2 2 5 3 2 4" xfId="22288" xr:uid="{00000000-0005-0000-0000-00003D490000}"/>
    <cellStyle name="40% - Accent2 2 2 5 3 2 5" xfId="22289" xr:uid="{00000000-0005-0000-0000-00003E490000}"/>
    <cellStyle name="40% - Accent2 2 2 5 3 2 6" xfId="22290" xr:uid="{00000000-0005-0000-0000-00003F490000}"/>
    <cellStyle name="40% - Accent2 2 2 5 3 3" xfId="22291" xr:uid="{00000000-0005-0000-0000-000040490000}"/>
    <cellStyle name="40% - Accent2 2 2 5 3 3 2" xfId="22292" xr:uid="{00000000-0005-0000-0000-000041490000}"/>
    <cellStyle name="40% - Accent2 2 2 5 3 3 2 2" xfId="22293" xr:uid="{00000000-0005-0000-0000-000042490000}"/>
    <cellStyle name="40% - Accent2 2 2 5 3 3 3" xfId="22294" xr:uid="{00000000-0005-0000-0000-000043490000}"/>
    <cellStyle name="40% - Accent2 2 2 5 3 4" xfId="22295" xr:uid="{00000000-0005-0000-0000-000044490000}"/>
    <cellStyle name="40% - Accent2 2 2 5 3 4 2" xfId="22296" xr:uid="{00000000-0005-0000-0000-000045490000}"/>
    <cellStyle name="40% - Accent2 2 2 5 3 5" xfId="22297" xr:uid="{00000000-0005-0000-0000-000046490000}"/>
    <cellStyle name="40% - Accent2 2 2 5 3 6" xfId="22298" xr:uid="{00000000-0005-0000-0000-000047490000}"/>
    <cellStyle name="40% - Accent2 2 2 5 3 7" xfId="22299" xr:uid="{00000000-0005-0000-0000-000048490000}"/>
    <cellStyle name="40% - Accent2 2 2 5 4" xfId="22300" xr:uid="{00000000-0005-0000-0000-000049490000}"/>
    <cellStyle name="40% - Accent2 2 2 5 4 2" xfId="22301" xr:uid="{00000000-0005-0000-0000-00004A490000}"/>
    <cellStyle name="40% - Accent2 2 2 5 4 2 2" xfId="22302" xr:uid="{00000000-0005-0000-0000-00004B490000}"/>
    <cellStyle name="40% - Accent2 2 2 5 4 2 2 2" xfId="22303" xr:uid="{00000000-0005-0000-0000-00004C490000}"/>
    <cellStyle name="40% - Accent2 2 2 5 4 2 3" xfId="22304" xr:uid="{00000000-0005-0000-0000-00004D490000}"/>
    <cellStyle name="40% - Accent2 2 2 5 4 3" xfId="22305" xr:uid="{00000000-0005-0000-0000-00004E490000}"/>
    <cellStyle name="40% - Accent2 2 2 5 4 3 2" xfId="22306" xr:uid="{00000000-0005-0000-0000-00004F490000}"/>
    <cellStyle name="40% - Accent2 2 2 5 4 4" xfId="22307" xr:uid="{00000000-0005-0000-0000-000050490000}"/>
    <cellStyle name="40% - Accent2 2 2 5 4 5" xfId="22308" xr:uid="{00000000-0005-0000-0000-000051490000}"/>
    <cellStyle name="40% - Accent2 2 2 5 4 6" xfId="22309" xr:uid="{00000000-0005-0000-0000-000052490000}"/>
    <cellStyle name="40% - Accent2 2 2 5 5" xfId="22310" xr:uid="{00000000-0005-0000-0000-000053490000}"/>
    <cellStyle name="40% - Accent2 2 2 5 5 2" xfId="22311" xr:uid="{00000000-0005-0000-0000-000054490000}"/>
    <cellStyle name="40% - Accent2 2 2 5 5 2 2" xfId="22312" xr:uid="{00000000-0005-0000-0000-000055490000}"/>
    <cellStyle name="40% - Accent2 2 2 5 5 3" xfId="22313" xr:uid="{00000000-0005-0000-0000-000056490000}"/>
    <cellStyle name="40% - Accent2 2 2 5 6" xfId="22314" xr:uid="{00000000-0005-0000-0000-000057490000}"/>
    <cellStyle name="40% - Accent2 2 2 5 6 2" xfId="22315" xr:uid="{00000000-0005-0000-0000-000058490000}"/>
    <cellStyle name="40% - Accent2 2 2 5 6 2 2" xfId="22316" xr:uid="{00000000-0005-0000-0000-000059490000}"/>
    <cellStyle name="40% - Accent2 2 2 5 6 3" xfId="22317" xr:uid="{00000000-0005-0000-0000-00005A490000}"/>
    <cellStyle name="40% - Accent2 2 2 5 7" xfId="22318" xr:uid="{00000000-0005-0000-0000-00005B490000}"/>
    <cellStyle name="40% - Accent2 2 2 5 7 2" xfId="22319" xr:uid="{00000000-0005-0000-0000-00005C490000}"/>
    <cellStyle name="40% - Accent2 2 2 5 8" xfId="22320" xr:uid="{00000000-0005-0000-0000-00005D490000}"/>
    <cellStyle name="40% - Accent2 2 2 5 8 2" xfId="22321" xr:uid="{00000000-0005-0000-0000-00005E490000}"/>
    <cellStyle name="40% - Accent2 2 2 5 9" xfId="22322" xr:uid="{00000000-0005-0000-0000-00005F490000}"/>
    <cellStyle name="40% - Accent2 2 2 6" xfId="22323" xr:uid="{00000000-0005-0000-0000-000060490000}"/>
    <cellStyle name="40% - Accent2 2 2 6 10" xfId="22324" xr:uid="{00000000-0005-0000-0000-000061490000}"/>
    <cellStyle name="40% - Accent2 2 2 6 11" xfId="22325" xr:uid="{00000000-0005-0000-0000-000062490000}"/>
    <cellStyle name="40% - Accent2 2 2 6 2" xfId="22326" xr:uid="{00000000-0005-0000-0000-000063490000}"/>
    <cellStyle name="40% - Accent2 2 2 6 2 2" xfId="22327" xr:uid="{00000000-0005-0000-0000-000064490000}"/>
    <cellStyle name="40% - Accent2 2 2 6 2 2 2" xfId="22328" xr:uid="{00000000-0005-0000-0000-000065490000}"/>
    <cellStyle name="40% - Accent2 2 2 6 2 2 2 2" xfId="22329" xr:uid="{00000000-0005-0000-0000-000066490000}"/>
    <cellStyle name="40% - Accent2 2 2 6 2 2 2 2 2" xfId="22330" xr:uid="{00000000-0005-0000-0000-000067490000}"/>
    <cellStyle name="40% - Accent2 2 2 6 2 2 2 3" xfId="22331" xr:uid="{00000000-0005-0000-0000-000068490000}"/>
    <cellStyle name="40% - Accent2 2 2 6 2 2 3" xfId="22332" xr:uid="{00000000-0005-0000-0000-000069490000}"/>
    <cellStyle name="40% - Accent2 2 2 6 2 2 3 2" xfId="22333" xr:uid="{00000000-0005-0000-0000-00006A490000}"/>
    <cellStyle name="40% - Accent2 2 2 6 2 2 4" xfId="22334" xr:uid="{00000000-0005-0000-0000-00006B490000}"/>
    <cellStyle name="40% - Accent2 2 2 6 2 2 5" xfId="22335" xr:uid="{00000000-0005-0000-0000-00006C490000}"/>
    <cellStyle name="40% - Accent2 2 2 6 2 2 6" xfId="22336" xr:uid="{00000000-0005-0000-0000-00006D490000}"/>
    <cellStyle name="40% - Accent2 2 2 6 2 3" xfId="22337" xr:uid="{00000000-0005-0000-0000-00006E490000}"/>
    <cellStyle name="40% - Accent2 2 2 6 2 3 2" xfId="22338" xr:uid="{00000000-0005-0000-0000-00006F490000}"/>
    <cellStyle name="40% - Accent2 2 2 6 2 3 2 2" xfId="22339" xr:uid="{00000000-0005-0000-0000-000070490000}"/>
    <cellStyle name="40% - Accent2 2 2 6 2 3 3" xfId="22340" xr:uid="{00000000-0005-0000-0000-000071490000}"/>
    <cellStyle name="40% - Accent2 2 2 6 2 4" xfId="22341" xr:uid="{00000000-0005-0000-0000-000072490000}"/>
    <cellStyle name="40% - Accent2 2 2 6 2 4 2" xfId="22342" xr:uid="{00000000-0005-0000-0000-000073490000}"/>
    <cellStyle name="40% - Accent2 2 2 6 2 5" xfId="22343" xr:uid="{00000000-0005-0000-0000-000074490000}"/>
    <cellStyle name="40% - Accent2 2 2 6 2 5 2" xfId="22344" xr:uid="{00000000-0005-0000-0000-000075490000}"/>
    <cellStyle name="40% - Accent2 2 2 6 2 6" xfId="22345" xr:uid="{00000000-0005-0000-0000-000076490000}"/>
    <cellStyle name="40% - Accent2 2 2 6 2 7" xfId="22346" xr:uid="{00000000-0005-0000-0000-000077490000}"/>
    <cellStyle name="40% - Accent2 2 2 6 2 8" xfId="22347" xr:uid="{00000000-0005-0000-0000-000078490000}"/>
    <cellStyle name="40% - Accent2 2 2 6 3" xfId="22348" xr:uid="{00000000-0005-0000-0000-000079490000}"/>
    <cellStyle name="40% - Accent2 2 2 6 3 2" xfId="22349" xr:uid="{00000000-0005-0000-0000-00007A490000}"/>
    <cellStyle name="40% - Accent2 2 2 6 3 2 2" xfId="22350" xr:uid="{00000000-0005-0000-0000-00007B490000}"/>
    <cellStyle name="40% - Accent2 2 2 6 3 2 2 2" xfId="22351" xr:uid="{00000000-0005-0000-0000-00007C490000}"/>
    <cellStyle name="40% - Accent2 2 2 6 3 2 2 2 2" xfId="22352" xr:uid="{00000000-0005-0000-0000-00007D490000}"/>
    <cellStyle name="40% - Accent2 2 2 6 3 2 2 3" xfId="22353" xr:uid="{00000000-0005-0000-0000-00007E490000}"/>
    <cellStyle name="40% - Accent2 2 2 6 3 2 3" xfId="22354" xr:uid="{00000000-0005-0000-0000-00007F490000}"/>
    <cellStyle name="40% - Accent2 2 2 6 3 2 3 2" xfId="22355" xr:uid="{00000000-0005-0000-0000-000080490000}"/>
    <cellStyle name="40% - Accent2 2 2 6 3 2 4" xfId="22356" xr:uid="{00000000-0005-0000-0000-000081490000}"/>
    <cellStyle name="40% - Accent2 2 2 6 3 2 5" xfId="22357" xr:uid="{00000000-0005-0000-0000-000082490000}"/>
    <cellStyle name="40% - Accent2 2 2 6 3 2 6" xfId="22358" xr:uid="{00000000-0005-0000-0000-000083490000}"/>
    <cellStyle name="40% - Accent2 2 2 6 3 3" xfId="22359" xr:uid="{00000000-0005-0000-0000-000084490000}"/>
    <cellStyle name="40% - Accent2 2 2 6 3 3 2" xfId="22360" xr:uid="{00000000-0005-0000-0000-000085490000}"/>
    <cellStyle name="40% - Accent2 2 2 6 3 3 2 2" xfId="22361" xr:uid="{00000000-0005-0000-0000-000086490000}"/>
    <cellStyle name="40% - Accent2 2 2 6 3 3 3" xfId="22362" xr:uid="{00000000-0005-0000-0000-000087490000}"/>
    <cellStyle name="40% - Accent2 2 2 6 3 4" xfId="22363" xr:uid="{00000000-0005-0000-0000-000088490000}"/>
    <cellStyle name="40% - Accent2 2 2 6 3 4 2" xfId="22364" xr:uid="{00000000-0005-0000-0000-000089490000}"/>
    <cellStyle name="40% - Accent2 2 2 6 3 5" xfId="22365" xr:uid="{00000000-0005-0000-0000-00008A490000}"/>
    <cellStyle name="40% - Accent2 2 2 6 3 6" xfId="22366" xr:uid="{00000000-0005-0000-0000-00008B490000}"/>
    <cellStyle name="40% - Accent2 2 2 6 3 7" xfId="22367" xr:uid="{00000000-0005-0000-0000-00008C490000}"/>
    <cellStyle name="40% - Accent2 2 2 6 4" xfId="22368" xr:uid="{00000000-0005-0000-0000-00008D490000}"/>
    <cellStyle name="40% - Accent2 2 2 6 4 2" xfId="22369" xr:uid="{00000000-0005-0000-0000-00008E490000}"/>
    <cellStyle name="40% - Accent2 2 2 6 4 2 2" xfId="22370" xr:uid="{00000000-0005-0000-0000-00008F490000}"/>
    <cellStyle name="40% - Accent2 2 2 6 4 2 2 2" xfId="22371" xr:uid="{00000000-0005-0000-0000-000090490000}"/>
    <cellStyle name="40% - Accent2 2 2 6 4 2 3" xfId="22372" xr:uid="{00000000-0005-0000-0000-000091490000}"/>
    <cellStyle name="40% - Accent2 2 2 6 4 3" xfId="22373" xr:uid="{00000000-0005-0000-0000-000092490000}"/>
    <cellStyle name="40% - Accent2 2 2 6 4 3 2" xfId="22374" xr:uid="{00000000-0005-0000-0000-000093490000}"/>
    <cellStyle name="40% - Accent2 2 2 6 4 4" xfId="22375" xr:uid="{00000000-0005-0000-0000-000094490000}"/>
    <cellStyle name="40% - Accent2 2 2 6 4 5" xfId="22376" xr:uid="{00000000-0005-0000-0000-000095490000}"/>
    <cellStyle name="40% - Accent2 2 2 6 4 6" xfId="22377" xr:uid="{00000000-0005-0000-0000-000096490000}"/>
    <cellStyle name="40% - Accent2 2 2 6 5" xfId="22378" xr:uid="{00000000-0005-0000-0000-000097490000}"/>
    <cellStyle name="40% - Accent2 2 2 6 5 2" xfId="22379" xr:uid="{00000000-0005-0000-0000-000098490000}"/>
    <cellStyle name="40% - Accent2 2 2 6 5 2 2" xfId="22380" xr:uid="{00000000-0005-0000-0000-000099490000}"/>
    <cellStyle name="40% - Accent2 2 2 6 5 3" xfId="22381" xr:uid="{00000000-0005-0000-0000-00009A490000}"/>
    <cellStyle name="40% - Accent2 2 2 6 6" xfId="22382" xr:uid="{00000000-0005-0000-0000-00009B490000}"/>
    <cellStyle name="40% - Accent2 2 2 6 6 2" xfId="22383" xr:uid="{00000000-0005-0000-0000-00009C490000}"/>
    <cellStyle name="40% - Accent2 2 2 6 6 2 2" xfId="22384" xr:uid="{00000000-0005-0000-0000-00009D490000}"/>
    <cellStyle name="40% - Accent2 2 2 6 6 3" xfId="22385" xr:uid="{00000000-0005-0000-0000-00009E490000}"/>
    <cellStyle name="40% - Accent2 2 2 6 7" xfId="22386" xr:uid="{00000000-0005-0000-0000-00009F490000}"/>
    <cellStyle name="40% - Accent2 2 2 6 7 2" xfId="22387" xr:uid="{00000000-0005-0000-0000-0000A0490000}"/>
    <cellStyle name="40% - Accent2 2 2 6 8" xfId="22388" xr:uid="{00000000-0005-0000-0000-0000A1490000}"/>
    <cellStyle name="40% - Accent2 2 2 6 8 2" xfId="22389" xr:uid="{00000000-0005-0000-0000-0000A2490000}"/>
    <cellStyle name="40% - Accent2 2 2 6 9" xfId="22390" xr:uid="{00000000-0005-0000-0000-0000A3490000}"/>
    <cellStyle name="40% - Accent2 2 2 7" xfId="22391" xr:uid="{00000000-0005-0000-0000-0000A4490000}"/>
    <cellStyle name="40% - Accent2 2 2 7 2" xfId="22392" xr:uid="{00000000-0005-0000-0000-0000A5490000}"/>
    <cellStyle name="40% - Accent2 2 2 7 2 2" xfId="22393" xr:uid="{00000000-0005-0000-0000-0000A6490000}"/>
    <cellStyle name="40% - Accent2 2 2 7 2 2 2" xfId="22394" xr:uid="{00000000-0005-0000-0000-0000A7490000}"/>
    <cellStyle name="40% - Accent2 2 2 7 2 2 2 2" xfId="22395" xr:uid="{00000000-0005-0000-0000-0000A8490000}"/>
    <cellStyle name="40% - Accent2 2 2 7 2 2 3" xfId="22396" xr:uid="{00000000-0005-0000-0000-0000A9490000}"/>
    <cellStyle name="40% - Accent2 2 2 7 2 3" xfId="22397" xr:uid="{00000000-0005-0000-0000-0000AA490000}"/>
    <cellStyle name="40% - Accent2 2 2 7 2 3 2" xfId="22398" xr:uid="{00000000-0005-0000-0000-0000AB490000}"/>
    <cellStyle name="40% - Accent2 2 2 7 2 4" xfId="22399" xr:uid="{00000000-0005-0000-0000-0000AC490000}"/>
    <cellStyle name="40% - Accent2 2 2 7 2 5" xfId="22400" xr:uid="{00000000-0005-0000-0000-0000AD490000}"/>
    <cellStyle name="40% - Accent2 2 2 7 2 6" xfId="22401" xr:uid="{00000000-0005-0000-0000-0000AE490000}"/>
    <cellStyle name="40% - Accent2 2 2 7 3" xfId="22402" xr:uid="{00000000-0005-0000-0000-0000AF490000}"/>
    <cellStyle name="40% - Accent2 2 2 7 3 2" xfId="22403" xr:uid="{00000000-0005-0000-0000-0000B0490000}"/>
    <cellStyle name="40% - Accent2 2 2 7 3 2 2" xfId="22404" xr:uid="{00000000-0005-0000-0000-0000B1490000}"/>
    <cellStyle name="40% - Accent2 2 2 7 3 3" xfId="22405" xr:uid="{00000000-0005-0000-0000-0000B2490000}"/>
    <cellStyle name="40% - Accent2 2 2 7 4" xfId="22406" xr:uid="{00000000-0005-0000-0000-0000B3490000}"/>
    <cellStyle name="40% - Accent2 2 2 7 4 2" xfId="22407" xr:uid="{00000000-0005-0000-0000-0000B4490000}"/>
    <cellStyle name="40% - Accent2 2 2 7 5" xfId="22408" xr:uid="{00000000-0005-0000-0000-0000B5490000}"/>
    <cellStyle name="40% - Accent2 2 2 7 5 2" xfId="22409" xr:uid="{00000000-0005-0000-0000-0000B6490000}"/>
    <cellStyle name="40% - Accent2 2 2 7 6" xfId="22410" xr:uid="{00000000-0005-0000-0000-0000B7490000}"/>
    <cellStyle name="40% - Accent2 2 2 7 7" xfId="22411" xr:uid="{00000000-0005-0000-0000-0000B8490000}"/>
    <cellStyle name="40% - Accent2 2 2 7 8" xfId="22412" xr:uid="{00000000-0005-0000-0000-0000B9490000}"/>
    <cellStyle name="40% - Accent2 2 2 8" xfId="22413" xr:uid="{00000000-0005-0000-0000-0000BA490000}"/>
    <cellStyle name="40% - Accent2 2 2 8 2" xfId="22414" xr:uid="{00000000-0005-0000-0000-0000BB490000}"/>
    <cellStyle name="40% - Accent2 2 2 8 2 2" xfId="22415" xr:uid="{00000000-0005-0000-0000-0000BC490000}"/>
    <cellStyle name="40% - Accent2 2 2 8 2 2 2" xfId="22416" xr:uid="{00000000-0005-0000-0000-0000BD490000}"/>
    <cellStyle name="40% - Accent2 2 2 8 2 2 2 2" xfId="22417" xr:uid="{00000000-0005-0000-0000-0000BE490000}"/>
    <cellStyle name="40% - Accent2 2 2 8 2 2 3" xfId="22418" xr:uid="{00000000-0005-0000-0000-0000BF490000}"/>
    <cellStyle name="40% - Accent2 2 2 8 2 3" xfId="22419" xr:uid="{00000000-0005-0000-0000-0000C0490000}"/>
    <cellStyle name="40% - Accent2 2 2 8 2 3 2" xfId="22420" xr:uid="{00000000-0005-0000-0000-0000C1490000}"/>
    <cellStyle name="40% - Accent2 2 2 8 2 4" xfId="22421" xr:uid="{00000000-0005-0000-0000-0000C2490000}"/>
    <cellStyle name="40% - Accent2 2 2 8 2 5" xfId="22422" xr:uid="{00000000-0005-0000-0000-0000C3490000}"/>
    <cellStyle name="40% - Accent2 2 2 8 2 6" xfId="22423" xr:uid="{00000000-0005-0000-0000-0000C4490000}"/>
    <cellStyle name="40% - Accent2 2 2 8 3" xfId="22424" xr:uid="{00000000-0005-0000-0000-0000C5490000}"/>
    <cellStyle name="40% - Accent2 2 2 8 3 2" xfId="22425" xr:uid="{00000000-0005-0000-0000-0000C6490000}"/>
    <cellStyle name="40% - Accent2 2 2 8 3 2 2" xfId="22426" xr:uid="{00000000-0005-0000-0000-0000C7490000}"/>
    <cellStyle name="40% - Accent2 2 2 8 3 3" xfId="22427" xr:uid="{00000000-0005-0000-0000-0000C8490000}"/>
    <cellStyle name="40% - Accent2 2 2 8 4" xfId="22428" xr:uid="{00000000-0005-0000-0000-0000C9490000}"/>
    <cellStyle name="40% - Accent2 2 2 8 4 2" xfId="22429" xr:uid="{00000000-0005-0000-0000-0000CA490000}"/>
    <cellStyle name="40% - Accent2 2 2 8 5" xfId="22430" xr:uid="{00000000-0005-0000-0000-0000CB490000}"/>
    <cellStyle name="40% - Accent2 2 2 8 6" xfId="22431" xr:uid="{00000000-0005-0000-0000-0000CC490000}"/>
    <cellStyle name="40% - Accent2 2 2 8 7" xfId="22432" xr:uid="{00000000-0005-0000-0000-0000CD490000}"/>
    <cellStyle name="40% - Accent2 2 2 9" xfId="22433" xr:uid="{00000000-0005-0000-0000-0000CE490000}"/>
    <cellStyle name="40% - Accent2 2 2 9 2" xfId="22434" xr:uid="{00000000-0005-0000-0000-0000CF490000}"/>
    <cellStyle name="40% - Accent2 2 2 9 2 2" xfId="22435" xr:uid="{00000000-0005-0000-0000-0000D0490000}"/>
    <cellStyle name="40% - Accent2 2 2 9 2 2 2" xfId="22436" xr:uid="{00000000-0005-0000-0000-0000D1490000}"/>
    <cellStyle name="40% - Accent2 2 2 9 2 3" xfId="22437" xr:uid="{00000000-0005-0000-0000-0000D2490000}"/>
    <cellStyle name="40% - Accent2 2 2 9 3" xfId="22438" xr:uid="{00000000-0005-0000-0000-0000D3490000}"/>
    <cellStyle name="40% - Accent2 2 2 9 3 2" xfId="22439" xr:uid="{00000000-0005-0000-0000-0000D4490000}"/>
    <cellStyle name="40% - Accent2 2 2 9 4" xfId="22440" xr:uid="{00000000-0005-0000-0000-0000D5490000}"/>
    <cellStyle name="40% - Accent2 2 2 9 5" xfId="22441" xr:uid="{00000000-0005-0000-0000-0000D6490000}"/>
    <cellStyle name="40% - Accent2 2 2 9 6" xfId="22442" xr:uid="{00000000-0005-0000-0000-0000D7490000}"/>
    <cellStyle name="40% - Accent2 2 3" xfId="22443" xr:uid="{00000000-0005-0000-0000-0000D8490000}"/>
    <cellStyle name="40% - Accent2 2 3 2" xfId="22444" xr:uid="{00000000-0005-0000-0000-0000D9490000}"/>
    <cellStyle name="40% - Accent2 2 3 2 2" xfId="22445" xr:uid="{00000000-0005-0000-0000-0000DA490000}"/>
    <cellStyle name="40% - Accent2 2 3 2 2 2" xfId="22446" xr:uid="{00000000-0005-0000-0000-0000DB490000}"/>
    <cellStyle name="40% - Accent2 2 3 2 2 2 2" xfId="22447" xr:uid="{00000000-0005-0000-0000-0000DC490000}"/>
    <cellStyle name="40% - Accent2 2 3 2 2 3" xfId="22448" xr:uid="{00000000-0005-0000-0000-0000DD490000}"/>
    <cellStyle name="40% - Accent2 2 3 2 3" xfId="22449" xr:uid="{00000000-0005-0000-0000-0000DE490000}"/>
    <cellStyle name="40% - Accent2 2 3 2 3 2" xfId="22450" xr:uid="{00000000-0005-0000-0000-0000DF490000}"/>
    <cellStyle name="40% - Accent2 2 3 2 4" xfId="22451" xr:uid="{00000000-0005-0000-0000-0000E0490000}"/>
    <cellStyle name="40% - Accent2 2 3 3" xfId="22452" xr:uid="{00000000-0005-0000-0000-0000E1490000}"/>
    <cellStyle name="40% - Accent2 2 3 3 2" xfId="22453" xr:uid="{00000000-0005-0000-0000-0000E2490000}"/>
    <cellStyle name="40% - Accent2 2 3 3 2 2" xfId="22454" xr:uid="{00000000-0005-0000-0000-0000E3490000}"/>
    <cellStyle name="40% - Accent2 2 3 3 2 2 2" xfId="22455" xr:uid="{00000000-0005-0000-0000-0000E4490000}"/>
    <cellStyle name="40% - Accent2 2 3 3 2 3" xfId="22456" xr:uid="{00000000-0005-0000-0000-0000E5490000}"/>
    <cellStyle name="40% - Accent2 2 3 3 3" xfId="22457" xr:uid="{00000000-0005-0000-0000-0000E6490000}"/>
    <cellStyle name="40% - Accent2 2 3 3 3 2" xfId="22458" xr:uid="{00000000-0005-0000-0000-0000E7490000}"/>
    <cellStyle name="40% - Accent2 2 3 3 4" xfId="22459" xr:uid="{00000000-0005-0000-0000-0000E8490000}"/>
    <cellStyle name="40% - Accent2 2 3 4" xfId="22460" xr:uid="{00000000-0005-0000-0000-0000E9490000}"/>
    <cellStyle name="40% - Accent2 2 3 4 2" xfId="22461" xr:uid="{00000000-0005-0000-0000-0000EA490000}"/>
    <cellStyle name="40% - Accent2 2 3 4 2 2" xfId="22462" xr:uid="{00000000-0005-0000-0000-0000EB490000}"/>
    <cellStyle name="40% - Accent2 2 3 4 2 2 2" xfId="22463" xr:uid="{00000000-0005-0000-0000-0000EC490000}"/>
    <cellStyle name="40% - Accent2 2 3 4 2 3" xfId="22464" xr:uid="{00000000-0005-0000-0000-0000ED490000}"/>
    <cellStyle name="40% - Accent2 2 3 4 3" xfId="22465" xr:uid="{00000000-0005-0000-0000-0000EE490000}"/>
    <cellStyle name="40% - Accent2 2 3 4 3 2" xfId="22466" xr:uid="{00000000-0005-0000-0000-0000EF490000}"/>
    <cellStyle name="40% - Accent2 2 3 4 4" xfId="22467" xr:uid="{00000000-0005-0000-0000-0000F0490000}"/>
    <cellStyle name="40% - Accent2 2 4" xfId="22468" xr:uid="{00000000-0005-0000-0000-0000F1490000}"/>
    <cellStyle name="40% - Accent2 2 4 2" xfId="22469" xr:uid="{00000000-0005-0000-0000-0000F2490000}"/>
    <cellStyle name="40% - Accent2 2 5" xfId="22470" xr:uid="{00000000-0005-0000-0000-0000F3490000}"/>
    <cellStyle name="40% - Accent2 2 5 2" xfId="22471" xr:uid="{00000000-0005-0000-0000-0000F4490000}"/>
    <cellStyle name="40% - Accent2 2 6" xfId="22472" xr:uid="{00000000-0005-0000-0000-0000F5490000}"/>
    <cellStyle name="40% - Accent2 2 6 2" xfId="22473" xr:uid="{00000000-0005-0000-0000-0000F6490000}"/>
    <cellStyle name="40% - Accent2 2 7" xfId="22474" xr:uid="{00000000-0005-0000-0000-0000F7490000}"/>
    <cellStyle name="40% - Accent2 2 7 2" xfId="22475" xr:uid="{00000000-0005-0000-0000-0000F8490000}"/>
    <cellStyle name="40% - Accent2 2 7 2 2" xfId="22476" xr:uid="{00000000-0005-0000-0000-0000F9490000}"/>
    <cellStyle name="40% - Accent2 2 7 3" xfId="22477" xr:uid="{00000000-0005-0000-0000-0000FA490000}"/>
    <cellStyle name="40% - Accent2 3" xfId="197" xr:uid="{00000000-0005-0000-0000-0000FB490000}"/>
    <cellStyle name="40% - Accent2 3 10" xfId="22478" xr:uid="{00000000-0005-0000-0000-0000FC490000}"/>
    <cellStyle name="40% - Accent2 3 10 2" xfId="22479" xr:uid="{00000000-0005-0000-0000-0000FD490000}"/>
    <cellStyle name="40% - Accent2 3 10 2 2" xfId="22480" xr:uid="{00000000-0005-0000-0000-0000FE490000}"/>
    <cellStyle name="40% - Accent2 3 10 2 2 2" xfId="22481" xr:uid="{00000000-0005-0000-0000-0000FF490000}"/>
    <cellStyle name="40% - Accent2 3 10 2 2 2 2" xfId="22482" xr:uid="{00000000-0005-0000-0000-0000004A0000}"/>
    <cellStyle name="40% - Accent2 3 10 2 2 3" xfId="22483" xr:uid="{00000000-0005-0000-0000-0000014A0000}"/>
    <cellStyle name="40% - Accent2 3 10 2 3" xfId="22484" xr:uid="{00000000-0005-0000-0000-0000024A0000}"/>
    <cellStyle name="40% - Accent2 3 10 2 3 2" xfId="22485" xr:uid="{00000000-0005-0000-0000-0000034A0000}"/>
    <cellStyle name="40% - Accent2 3 10 2 4" xfId="22486" xr:uid="{00000000-0005-0000-0000-0000044A0000}"/>
    <cellStyle name="40% - Accent2 3 10 2 5" xfId="22487" xr:uid="{00000000-0005-0000-0000-0000054A0000}"/>
    <cellStyle name="40% - Accent2 3 10 2 6" xfId="22488" xr:uid="{00000000-0005-0000-0000-0000064A0000}"/>
    <cellStyle name="40% - Accent2 3 10 3" xfId="22489" xr:uid="{00000000-0005-0000-0000-0000074A0000}"/>
    <cellStyle name="40% - Accent2 3 10 3 2" xfId="22490" xr:uid="{00000000-0005-0000-0000-0000084A0000}"/>
    <cellStyle name="40% - Accent2 3 10 3 2 2" xfId="22491" xr:uid="{00000000-0005-0000-0000-0000094A0000}"/>
    <cellStyle name="40% - Accent2 3 10 3 3" xfId="22492" xr:uid="{00000000-0005-0000-0000-00000A4A0000}"/>
    <cellStyle name="40% - Accent2 3 10 4" xfId="22493" xr:uid="{00000000-0005-0000-0000-00000B4A0000}"/>
    <cellStyle name="40% - Accent2 3 10 4 2" xfId="22494" xr:uid="{00000000-0005-0000-0000-00000C4A0000}"/>
    <cellStyle name="40% - Accent2 3 10 4 2 2" xfId="22495" xr:uid="{00000000-0005-0000-0000-00000D4A0000}"/>
    <cellStyle name="40% - Accent2 3 10 4 3" xfId="22496" xr:uid="{00000000-0005-0000-0000-00000E4A0000}"/>
    <cellStyle name="40% - Accent2 3 10 5" xfId="22497" xr:uid="{00000000-0005-0000-0000-00000F4A0000}"/>
    <cellStyle name="40% - Accent2 3 10 6" xfId="22498" xr:uid="{00000000-0005-0000-0000-0000104A0000}"/>
    <cellStyle name="40% - Accent2 3 11" xfId="22499" xr:uid="{00000000-0005-0000-0000-0000114A0000}"/>
    <cellStyle name="40% - Accent2 3 11 2" xfId="22500" xr:uid="{00000000-0005-0000-0000-0000124A0000}"/>
    <cellStyle name="40% - Accent2 3 11 2 2" xfId="22501" xr:uid="{00000000-0005-0000-0000-0000134A0000}"/>
    <cellStyle name="40% - Accent2 3 11 2 2 2" xfId="22502" xr:uid="{00000000-0005-0000-0000-0000144A0000}"/>
    <cellStyle name="40% - Accent2 3 11 2 2 2 2" xfId="22503" xr:uid="{00000000-0005-0000-0000-0000154A0000}"/>
    <cellStyle name="40% - Accent2 3 11 2 2 3" xfId="22504" xr:uid="{00000000-0005-0000-0000-0000164A0000}"/>
    <cellStyle name="40% - Accent2 3 11 2 3" xfId="22505" xr:uid="{00000000-0005-0000-0000-0000174A0000}"/>
    <cellStyle name="40% - Accent2 3 11 2 3 2" xfId="22506" xr:uid="{00000000-0005-0000-0000-0000184A0000}"/>
    <cellStyle name="40% - Accent2 3 11 2 4" xfId="22507" xr:uid="{00000000-0005-0000-0000-0000194A0000}"/>
    <cellStyle name="40% - Accent2 3 11 2 5" xfId="22508" xr:uid="{00000000-0005-0000-0000-00001A4A0000}"/>
    <cellStyle name="40% - Accent2 3 11 2 6" xfId="22509" xr:uid="{00000000-0005-0000-0000-00001B4A0000}"/>
    <cellStyle name="40% - Accent2 3 11 3" xfId="22510" xr:uid="{00000000-0005-0000-0000-00001C4A0000}"/>
    <cellStyle name="40% - Accent2 3 11 3 2" xfId="22511" xr:uid="{00000000-0005-0000-0000-00001D4A0000}"/>
    <cellStyle name="40% - Accent2 3 11 3 2 2" xfId="22512" xr:uid="{00000000-0005-0000-0000-00001E4A0000}"/>
    <cellStyle name="40% - Accent2 3 11 3 3" xfId="22513" xr:uid="{00000000-0005-0000-0000-00001F4A0000}"/>
    <cellStyle name="40% - Accent2 3 11 4" xfId="22514" xr:uid="{00000000-0005-0000-0000-0000204A0000}"/>
    <cellStyle name="40% - Accent2 3 11 4 2" xfId="22515" xr:uid="{00000000-0005-0000-0000-0000214A0000}"/>
    <cellStyle name="40% - Accent2 3 11 5" xfId="22516" xr:uid="{00000000-0005-0000-0000-0000224A0000}"/>
    <cellStyle name="40% - Accent2 3 11 6" xfId="22517" xr:uid="{00000000-0005-0000-0000-0000234A0000}"/>
    <cellStyle name="40% - Accent2 3 11 7" xfId="22518" xr:uid="{00000000-0005-0000-0000-0000244A0000}"/>
    <cellStyle name="40% - Accent2 3 12" xfId="22519" xr:uid="{00000000-0005-0000-0000-0000254A0000}"/>
    <cellStyle name="40% - Accent2 3 13" xfId="22520" xr:uid="{00000000-0005-0000-0000-0000264A0000}"/>
    <cellStyle name="40% - Accent2 3 13 2" xfId="22521" xr:uid="{00000000-0005-0000-0000-0000274A0000}"/>
    <cellStyle name="40% - Accent2 3 13 2 2" xfId="22522" xr:uid="{00000000-0005-0000-0000-0000284A0000}"/>
    <cellStyle name="40% - Accent2 3 13 2 2 2" xfId="22523" xr:uid="{00000000-0005-0000-0000-0000294A0000}"/>
    <cellStyle name="40% - Accent2 3 13 2 3" xfId="22524" xr:uid="{00000000-0005-0000-0000-00002A4A0000}"/>
    <cellStyle name="40% - Accent2 3 13 3" xfId="22525" xr:uid="{00000000-0005-0000-0000-00002B4A0000}"/>
    <cellStyle name="40% - Accent2 3 13 3 2" xfId="22526" xr:uid="{00000000-0005-0000-0000-00002C4A0000}"/>
    <cellStyle name="40% - Accent2 3 13 4" xfId="22527" xr:uid="{00000000-0005-0000-0000-00002D4A0000}"/>
    <cellStyle name="40% - Accent2 3 14" xfId="22528" xr:uid="{00000000-0005-0000-0000-00002E4A0000}"/>
    <cellStyle name="40% - Accent2 3 14 2" xfId="22529" xr:uid="{00000000-0005-0000-0000-00002F4A0000}"/>
    <cellStyle name="40% - Accent2 3 14 2 2" xfId="22530" xr:uid="{00000000-0005-0000-0000-0000304A0000}"/>
    <cellStyle name="40% - Accent2 3 14 2 2 2" xfId="22531" xr:uid="{00000000-0005-0000-0000-0000314A0000}"/>
    <cellStyle name="40% - Accent2 3 14 2 3" xfId="22532" xr:uid="{00000000-0005-0000-0000-0000324A0000}"/>
    <cellStyle name="40% - Accent2 3 14 3" xfId="22533" xr:uid="{00000000-0005-0000-0000-0000334A0000}"/>
    <cellStyle name="40% - Accent2 3 14 3 2" xfId="22534" xr:uid="{00000000-0005-0000-0000-0000344A0000}"/>
    <cellStyle name="40% - Accent2 3 14 4" xfId="22535" xr:uid="{00000000-0005-0000-0000-0000354A0000}"/>
    <cellStyle name="40% - Accent2 3 15" xfId="22536" xr:uid="{00000000-0005-0000-0000-0000364A0000}"/>
    <cellStyle name="40% - Accent2 3 15 2" xfId="22537" xr:uid="{00000000-0005-0000-0000-0000374A0000}"/>
    <cellStyle name="40% - Accent2 3 15 2 2" xfId="22538" xr:uid="{00000000-0005-0000-0000-0000384A0000}"/>
    <cellStyle name="40% - Accent2 3 15 2 2 2" xfId="22539" xr:uid="{00000000-0005-0000-0000-0000394A0000}"/>
    <cellStyle name="40% - Accent2 3 15 2 3" xfId="22540" xr:uid="{00000000-0005-0000-0000-00003A4A0000}"/>
    <cellStyle name="40% - Accent2 3 15 3" xfId="22541" xr:uid="{00000000-0005-0000-0000-00003B4A0000}"/>
    <cellStyle name="40% - Accent2 3 15 3 2" xfId="22542" xr:uid="{00000000-0005-0000-0000-00003C4A0000}"/>
    <cellStyle name="40% - Accent2 3 15 4" xfId="22543" xr:uid="{00000000-0005-0000-0000-00003D4A0000}"/>
    <cellStyle name="40% - Accent2 3 16" xfId="22544" xr:uid="{00000000-0005-0000-0000-00003E4A0000}"/>
    <cellStyle name="40% - Accent2 3 16 2" xfId="22545" xr:uid="{00000000-0005-0000-0000-00003F4A0000}"/>
    <cellStyle name="40% - Accent2 3 16 2 2" xfId="22546" xr:uid="{00000000-0005-0000-0000-0000404A0000}"/>
    <cellStyle name="40% - Accent2 3 16 3" xfId="22547" xr:uid="{00000000-0005-0000-0000-0000414A0000}"/>
    <cellStyle name="40% - Accent2 3 2" xfId="22548" xr:uid="{00000000-0005-0000-0000-0000424A0000}"/>
    <cellStyle name="40% - Accent2 3 2 10" xfId="22549" xr:uid="{00000000-0005-0000-0000-0000434A0000}"/>
    <cellStyle name="40% - Accent2 3 2 11" xfId="22550" xr:uid="{00000000-0005-0000-0000-0000444A0000}"/>
    <cellStyle name="40% - Accent2 3 2 2" xfId="22551" xr:uid="{00000000-0005-0000-0000-0000454A0000}"/>
    <cellStyle name="40% - Accent2 3 2 2 2" xfId="22552" xr:uid="{00000000-0005-0000-0000-0000464A0000}"/>
    <cellStyle name="40% - Accent2 3 2 2 2 2" xfId="22553" xr:uid="{00000000-0005-0000-0000-0000474A0000}"/>
    <cellStyle name="40% - Accent2 3 2 2 2 2 2" xfId="22554" xr:uid="{00000000-0005-0000-0000-0000484A0000}"/>
    <cellStyle name="40% - Accent2 3 2 2 2 2 2 2" xfId="22555" xr:uid="{00000000-0005-0000-0000-0000494A0000}"/>
    <cellStyle name="40% - Accent2 3 2 2 2 2 3" xfId="22556" xr:uid="{00000000-0005-0000-0000-00004A4A0000}"/>
    <cellStyle name="40% - Accent2 3 2 2 2 3" xfId="22557" xr:uid="{00000000-0005-0000-0000-00004B4A0000}"/>
    <cellStyle name="40% - Accent2 3 2 2 2 3 2" xfId="22558" xr:uid="{00000000-0005-0000-0000-00004C4A0000}"/>
    <cellStyle name="40% - Accent2 3 2 2 2 4" xfId="22559" xr:uid="{00000000-0005-0000-0000-00004D4A0000}"/>
    <cellStyle name="40% - Accent2 3 2 2 2 5" xfId="22560" xr:uid="{00000000-0005-0000-0000-00004E4A0000}"/>
    <cellStyle name="40% - Accent2 3 2 2 2 6" xfId="22561" xr:uid="{00000000-0005-0000-0000-00004F4A0000}"/>
    <cellStyle name="40% - Accent2 3 2 2 3" xfId="22562" xr:uid="{00000000-0005-0000-0000-0000504A0000}"/>
    <cellStyle name="40% - Accent2 3 2 2 3 2" xfId="22563" xr:uid="{00000000-0005-0000-0000-0000514A0000}"/>
    <cellStyle name="40% - Accent2 3 2 2 3 2 2" xfId="22564" xr:uid="{00000000-0005-0000-0000-0000524A0000}"/>
    <cellStyle name="40% - Accent2 3 2 2 3 3" xfId="22565" xr:uid="{00000000-0005-0000-0000-0000534A0000}"/>
    <cellStyle name="40% - Accent2 3 2 2 4" xfId="22566" xr:uid="{00000000-0005-0000-0000-0000544A0000}"/>
    <cellStyle name="40% - Accent2 3 2 2 4 2" xfId="22567" xr:uid="{00000000-0005-0000-0000-0000554A0000}"/>
    <cellStyle name="40% - Accent2 3 2 2 5" xfId="22568" xr:uid="{00000000-0005-0000-0000-0000564A0000}"/>
    <cellStyle name="40% - Accent2 3 2 2 5 2" xfId="22569" xr:uid="{00000000-0005-0000-0000-0000574A0000}"/>
    <cellStyle name="40% - Accent2 3 2 2 6" xfId="22570" xr:uid="{00000000-0005-0000-0000-0000584A0000}"/>
    <cellStyle name="40% - Accent2 3 2 2 7" xfId="22571" xr:uid="{00000000-0005-0000-0000-0000594A0000}"/>
    <cellStyle name="40% - Accent2 3 2 2 8" xfId="22572" xr:uid="{00000000-0005-0000-0000-00005A4A0000}"/>
    <cellStyle name="40% - Accent2 3 2 3" xfId="22573" xr:uid="{00000000-0005-0000-0000-00005B4A0000}"/>
    <cellStyle name="40% - Accent2 3 2 3 2" xfId="22574" xr:uid="{00000000-0005-0000-0000-00005C4A0000}"/>
    <cellStyle name="40% - Accent2 3 2 3 2 2" xfId="22575" xr:uid="{00000000-0005-0000-0000-00005D4A0000}"/>
    <cellStyle name="40% - Accent2 3 2 3 2 2 2" xfId="22576" xr:uid="{00000000-0005-0000-0000-00005E4A0000}"/>
    <cellStyle name="40% - Accent2 3 2 3 2 2 2 2" xfId="22577" xr:uid="{00000000-0005-0000-0000-00005F4A0000}"/>
    <cellStyle name="40% - Accent2 3 2 3 2 2 3" xfId="22578" xr:uid="{00000000-0005-0000-0000-0000604A0000}"/>
    <cellStyle name="40% - Accent2 3 2 3 2 3" xfId="22579" xr:uid="{00000000-0005-0000-0000-0000614A0000}"/>
    <cellStyle name="40% - Accent2 3 2 3 2 3 2" xfId="22580" xr:uid="{00000000-0005-0000-0000-0000624A0000}"/>
    <cellStyle name="40% - Accent2 3 2 3 2 4" xfId="22581" xr:uid="{00000000-0005-0000-0000-0000634A0000}"/>
    <cellStyle name="40% - Accent2 3 2 3 2 5" xfId="22582" xr:uid="{00000000-0005-0000-0000-0000644A0000}"/>
    <cellStyle name="40% - Accent2 3 2 3 2 6" xfId="22583" xr:uid="{00000000-0005-0000-0000-0000654A0000}"/>
    <cellStyle name="40% - Accent2 3 2 3 3" xfId="22584" xr:uid="{00000000-0005-0000-0000-0000664A0000}"/>
    <cellStyle name="40% - Accent2 3 2 3 3 2" xfId="22585" xr:uid="{00000000-0005-0000-0000-0000674A0000}"/>
    <cellStyle name="40% - Accent2 3 2 3 3 2 2" xfId="22586" xr:uid="{00000000-0005-0000-0000-0000684A0000}"/>
    <cellStyle name="40% - Accent2 3 2 3 3 3" xfId="22587" xr:uid="{00000000-0005-0000-0000-0000694A0000}"/>
    <cellStyle name="40% - Accent2 3 2 3 4" xfId="22588" xr:uid="{00000000-0005-0000-0000-00006A4A0000}"/>
    <cellStyle name="40% - Accent2 3 2 3 4 2" xfId="22589" xr:uid="{00000000-0005-0000-0000-00006B4A0000}"/>
    <cellStyle name="40% - Accent2 3 2 3 5" xfId="22590" xr:uid="{00000000-0005-0000-0000-00006C4A0000}"/>
    <cellStyle name="40% - Accent2 3 2 3 6" xfId="22591" xr:uid="{00000000-0005-0000-0000-00006D4A0000}"/>
    <cellStyle name="40% - Accent2 3 2 3 7" xfId="22592" xr:uid="{00000000-0005-0000-0000-00006E4A0000}"/>
    <cellStyle name="40% - Accent2 3 2 4" xfId="22593" xr:uid="{00000000-0005-0000-0000-00006F4A0000}"/>
    <cellStyle name="40% - Accent2 3 2 4 2" xfId="22594" xr:uid="{00000000-0005-0000-0000-0000704A0000}"/>
    <cellStyle name="40% - Accent2 3 2 4 2 2" xfId="22595" xr:uid="{00000000-0005-0000-0000-0000714A0000}"/>
    <cellStyle name="40% - Accent2 3 2 4 2 2 2" xfId="22596" xr:uid="{00000000-0005-0000-0000-0000724A0000}"/>
    <cellStyle name="40% - Accent2 3 2 4 2 3" xfId="22597" xr:uid="{00000000-0005-0000-0000-0000734A0000}"/>
    <cellStyle name="40% - Accent2 3 2 4 3" xfId="22598" xr:uid="{00000000-0005-0000-0000-0000744A0000}"/>
    <cellStyle name="40% - Accent2 3 2 4 3 2" xfId="22599" xr:uid="{00000000-0005-0000-0000-0000754A0000}"/>
    <cellStyle name="40% - Accent2 3 2 4 4" xfId="22600" xr:uid="{00000000-0005-0000-0000-0000764A0000}"/>
    <cellStyle name="40% - Accent2 3 2 4 5" xfId="22601" xr:uid="{00000000-0005-0000-0000-0000774A0000}"/>
    <cellStyle name="40% - Accent2 3 2 4 6" xfId="22602" xr:uid="{00000000-0005-0000-0000-0000784A0000}"/>
    <cellStyle name="40% - Accent2 3 2 5" xfId="22603" xr:uid="{00000000-0005-0000-0000-0000794A0000}"/>
    <cellStyle name="40% - Accent2 3 2 5 2" xfId="22604" xr:uid="{00000000-0005-0000-0000-00007A4A0000}"/>
    <cellStyle name="40% - Accent2 3 2 5 2 2" xfId="22605" xr:uid="{00000000-0005-0000-0000-00007B4A0000}"/>
    <cellStyle name="40% - Accent2 3 2 5 3" xfId="22606" xr:uid="{00000000-0005-0000-0000-00007C4A0000}"/>
    <cellStyle name="40% - Accent2 3 2 6" xfId="22607" xr:uid="{00000000-0005-0000-0000-00007D4A0000}"/>
    <cellStyle name="40% - Accent2 3 2 6 2" xfId="22608" xr:uid="{00000000-0005-0000-0000-00007E4A0000}"/>
    <cellStyle name="40% - Accent2 3 2 6 2 2" xfId="22609" xr:uid="{00000000-0005-0000-0000-00007F4A0000}"/>
    <cellStyle name="40% - Accent2 3 2 6 3" xfId="22610" xr:uid="{00000000-0005-0000-0000-0000804A0000}"/>
    <cellStyle name="40% - Accent2 3 2 7" xfId="22611" xr:uid="{00000000-0005-0000-0000-0000814A0000}"/>
    <cellStyle name="40% - Accent2 3 2 7 2" xfId="22612" xr:uid="{00000000-0005-0000-0000-0000824A0000}"/>
    <cellStyle name="40% - Accent2 3 2 8" xfId="22613" xr:uid="{00000000-0005-0000-0000-0000834A0000}"/>
    <cellStyle name="40% - Accent2 3 2 8 2" xfId="22614" xr:uid="{00000000-0005-0000-0000-0000844A0000}"/>
    <cellStyle name="40% - Accent2 3 2 9" xfId="22615" xr:uid="{00000000-0005-0000-0000-0000854A0000}"/>
    <cellStyle name="40% - Accent2 3 3" xfId="22616" xr:uid="{00000000-0005-0000-0000-0000864A0000}"/>
    <cellStyle name="40% - Accent2 3 3 10" xfId="22617" xr:uid="{00000000-0005-0000-0000-0000874A0000}"/>
    <cellStyle name="40% - Accent2 3 3 11" xfId="22618" xr:uid="{00000000-0005-0000-0000-0000884A0000}"/>
    <cellStyle name="40% - Accent2 3 3 2" xfId="22619" xr:uid="{00000000-0005-0000-0000-0000894A0000}"/>
    <cellStyle name="40% - Accent2 3 3 2 2" xfId="22620" xr:uid="{00000000-0005-0000-0000-00008A4A0000}"/>
    <cellStyle name="40% - Accent2 3 3 2 2 2" xfId="22621" xr:uid="{00000000-0005-0000-0000-00008B4A0000}"/>
    <cellStyle name="40% - Accent2 3 3 2 2 2 2" xfId="22622" xr:uid="{00000000-0005-0000-0000-00008C4A0000}"/>
    <cellStyle name="40% - Accent2 3 3 2 2 2 2 2" xfId="22623" xr:uid="{00000000-0005-0000-0000-00008D4A0000}"/>
    <cellStyle name="40% - Accent2 3 3 2 2 2 3" xfId="22624" xr:uid="{00000000-0005-0000-0000-00008E4A0000}"/>
    <cellStyle name="40% - Accent2 3 3 2 2 3" xfId="22625" xr:uid="{00000000-0005-0000-0000-00008F4A0000}"/>
    <cellStyle name="40% - Accent2 3 3 2 2 3 2" xfId="22626" xr:uid="{00000000-0005-0000-0000-0000904A0000}"/>
    <cellStyle name="40% - Accent2 3 3 2 2 4" xfId="22627" xr:uid="{00000000-0005-0000-0000-0000914A0000}"/>
    <cellStyle name="40% - Accent2 3 3 2 2 5" xfId="22628" xr:uid="{00000000-0005-0000-0000-0000924A0000}"/>
    <cellStyle name="40% - Accent2 3 3 2 2 6" xfId="22629" xr:uid="{00000000-0005-0000-0000-0000934A0000}"/>
    <cellStyle name="40% - Accent2 3 3 2 3" xfId="22630" xr:uid="{00000000-0005-0000-0000-0000944A0000}"/>
    <cellStyle name="40% - Accent2 3 3 2 3 2" xfId="22631" xr:uid="{00000000-0005-0000-0000-0000954A0000}"/>
    <cellStyle name="40% - Accent2 3 3 2 3 2 2" xfId="22632" xr:uid="{00000000-0005-0000-0000-0000964A0000}"/>
    <cellStyle name="40% - Accent2 3 3 2 3 3" xfId="22633" xr:uid="{00000000-0005-0000-0000-0000974A0000}"/>
    <cellStyle name="40% - Accent2 3 3 2 4" xfId="22634" xr:uid="{00000000-0005-0000-0000-0000984A0000}"/>
    <cellStyle name="40% - Accent2 3 3 2 4 2" xfId="22635" xr:uid="{00000000-0005-0000-0000-0000994A0000}"/>
    <cellStyle name="40% - Accent2 3 3 2 5" xfId="22636" xr:uid="{00000000-0005-0000-0000-00009A4A0000}"/>
    <cellStyle name="40% - Accent2 3 3 2 5 2" xfId="22637" xr:uid="{00000000-0005-0000-0000-00009B4A0000}"/>
    <cellStyle name="40% - Accent2 3 3 2 6" xfId="22638" xr:uid="{00000000-0005-0000-0000-00009C4A0000}"/>
    <cellStyle name="40% - Accent2 3 3 2 7" xfId="22639" xr:uid="{00000000-0005-0000-0000-00009D4A0000}"/>
    <cellStyle name="40% - Accent2 3 3 2 8" xfId="22640" xr:uid="{00000000-0005-0000-0000-00009E4A0000}"/>
    <cellStyle name="40% - Accent2 3 3 3" xfId="22641" xr:uid="{00000000-0005-0000-0000-00009F4A0000}"/>
    <cellStyle name="40% - Accent2 3 3 3 2" xfId="22642" xr:uid="{00000000-0005-0000-0000-0000A04A0000}"/>
    <cellStyle name="40% - Accent2 3 3 3 2 2" xfId="22643" xr:uid="{00000000-0005-0000-0000-0000A14A0000}"/>
    <cellStyle name="40% - Accent2 3 3 3 2 2 2" xfId="22644" xr:uid="{00000000-0005-0000-0000-0000A24A0000}"/>
    <cellStyle name="40% - Accent2 3 3 3 2 2 2 2" xfId="22645" xr:uid="{00000000-0005-0000-0000-0000A34A0000}"/>
    <cellStyle name="40% - Accent2 3 3 3 2 2 3" xfId="22646" xr:uid="{00000000-0005-0000-0000-0000A44A0000}"/>
    <cellStyle name="40% - Accent2 3 3 3 2 3" xfId="22647" xr:uid="{00000000-0005-0000-0000-0000A54A0000}"/>
    <cellStyle name="40% - Accent2 3 3 3 2 3 2" xfId="22648" xr:uid="{00000000-0005-0000-0000-0000A64A0000}"/>
    <cellStyle name="40% - Accent2 3 3 3 2 4" xfId="22649" xr:uid="{00000000-0005-0000-0000-0000A74A0000}"/>
    <cellStyle name="40% - Accent2 3 3 3 2 5" xfId="22650" xr:uid="{00000000-0005-0000-0000-0000A84A0000}"/>
    <cellStyle name="40% - Accent2 3 3 3 2 6" xfId="22651" xr:uid="{00000000-0005-0000-0000-0000A94A0000}"/>
    <cellStyle name="40% - Accent2 3 3 3 3" xfId="22652" xr:uid="{00000000-0005-0000-0000-0000AA4A0000}"/>
    <cellStyle name="40% - Accent2 3 3 3 3 2" xfId="22653" xr:uid="{00000000-0005-0000-0000-0000AB4A0000}"/>
    <cellStyle name="40% - Accent2 3 3 3 3 2 2" xfId="22654" xr:uid="{00000000-0005-0000-0000-0000AC4A0000}"/>
    <cellStyle name="40% - Accent2 3 3 3 3 3" xfId="22655" xr:uid="{00000000-0005-0000-0000-0000AD4A0000}"/>
    <cellStyle name="40% - Accent2 3 3 3 4" xfId="22656" xr:uid="{00000000-0005-0000-0000-0000AE4A0000}"/>
    <cellStyle name="40% - Accent2 3 3 3 4 2" xfId="22657" xr:uid="{00000000-0005-0000-0000-0000AF4A0000}"/>
    <cellStyle name="40% - Accent2 3 3 3 5" xfId="22658" xr:uid="{00000000-0005-0000-0000-0000B04A0000}"/>
    <cellStyle name="40% - Accent2 3 3 3 6" xfId="22659" xr:uid="{00000000-0005-0000-0000-0000B14A0000}"/>
    <cellStyle name="40% - Accent2 3 3 3 7" xfId="22660" xr:uid="{00000000-0005-0000-0000-0000B24A0000}"/>
    <cellStyle name="40% - Accent2 3 3 4" xfId="22661" xr:uid="{00000000-0005-0000-0000-0000B34A0000}"/>
    <cellStyle name="40% - Accent2 3 3 4 2" xfId="22662" xr:uid="{00000000-0005-0000-0000-0000B44A0000}"/>
    <cellStyle name="40% - Accent2 3 3 4 2 2" xfId="22663" xr:uid="{00000000-0005-0000-0000-0000B54A0000}"/>
    <cellStyle name="40% - Accent2 3 3 4 2 2 2" xfId="22664" xr:uid="{00000000-0005-0000-0000-0000B64A0000}"/>
    <cellStyle name="40% - Accent2 3 3 4 2 3" xfId="22665" xr:uid="{00000000-0005-0000-0000-0000B74A0000}"/>
    <cellStyle name="40% - Accent2 3 3 4 3" xfId="22666" xr:uid="{00000000-0005-0000-0000-0000B84A0000}"/>
    <cellStyle name="40% - Accent2 3 3 4 3 2" xfId="22667" xr:uid="{00000000-0005-0000-0000-0000B94A0000}"/>
    <cellStyle name="40% - Accent2 3 3 4 4" xfId="22668" xr:uid="{00000000-0005-0000-0000-0000BA4A0000}"/>
    <cellStyle name="40% - Accent2 3 3 4 5" xfId="22669" xr:uid="{00000000-0005-0000-0000-0000BB4A0000}"/>
    <cellStyle name="40% - Accent2 3 3 4 6" xfId="22670" xr:uid="{00000000-0005-0000-0000-0000BC4A0000}"/>
    <cellStyle name="40% - Accent2 3 3 5" xfId="22671" xr:uid="{00000000-0005-0000-0000-0000BD4A0000}"/>
    <cellStyle name="40% - Accent2 3 3 5 2" xfId="22672" xr:uid="{00000000-0005-0000-0000-0000BE4A0000}"/>
    <cellStyle name="40% - Accent2 3 3 5 2 2" xfId="22673" xr:uid="{00000000-0005-0000-0000-0000BF4A0000}"/>
    <cellStyle name="40% - Accent2 3 3 5 3" xfId="22674" xr:uid="{00000000-0005-0000-0000-0000C04A0000}"/>
    <cellStyle name="40% - Accent2 3 3 6" xfId="22675" xr:uid="{00000000-0005-0000-0000-0000C14A0000}"/>
    <cellStyle name="40% - Accent2 3 3 6 2" xfId="22676" xr:uid="{00000000-0005-0000-0000-0000C24A0000}"/>
    <cellStyle name="40% - Accent2 3 3 6 2 2" xfId="22677" xr:uid="{00000000-0005-0000-0000-0000C34A0000}"/>
    <cellStyle name="40% - Accent2 3 3 6 3" xfId="22678" xr:uid="{00000000-0005-0000-0000-0000C44A0000}"/>
    <cellStyle name="40% - Accent2 3 3 7" xfId="22679" xr:uid="{00000000-0005-0000-0000-0000C54A0000}"/>
    <cellStyle name="40% - Accent2 3 3 7 2" xfId="22680" xr:uid="{00000000-0005-0000-0000-0000C64A0000}"/>
    <cellStyle name="40% - Accent2 3 3 8" xfId="22681" xr:uid="{00000000-0005-0000-0000-0000C74A0000}"/>
    <cellStyle name="40% - Accent2 3 3 8 2" xfId="22682" xr:uid="{00000000-0005-0000-0000-0000C84A0000}"/>
    <cellStyle name="40% - Accent2 3 3 9" xfId="22683" xr:uid="{00000000-0005-0000-0000-0000C94A0000}"/>
    <cellStyle name="40% - Accent2 3 4" xfId="22684" xr:uid="{00000000-0005-0000-0000-0000CA4A0000}"/>
    <cellStyle name="40% - Accent2 3 4 10" xfId="22685" xr:uid="{00000000-0005-0000-0000-0000CB4A0000}"/>
    <cellStyle name="40% - Accent2 3 4 11" xfId="22686" xr:uid="{00000000-0005-0000-0000-0000CC4A0000}"/>
    <cellStyle name="40% - Accent2 3 4 2" xfId="22687" xr:uid="{00000000-0005-0000-0000-0000CD4A0000}"/>
    <cellStyle name="40% - Accent2 3 4 2 2" xfId="22688" xr:uid="{00000000-0005-0000-0000-0000CE4A0000}"/>
    <cellStyle name="40% - Accent2 3 4 2 2 2" xfId="22689" xr:uid="{00000000-0005-0000-0000-0000CF4A0000}"/>
    <cellStyle name="40% - Accent2 3 4 2 2 2 2" xfId="22690" xr:uid="{00000000-0005-0000-0000-0000D04A0000}"/>
    <cellStyle name="40% - Accent2 3 4 2 2 2 2 2" xfId="22691" xr:uid="{00000000-0005-0000-0000-0000D14A0000}"/>
    <cellStyle name="40% - Accent2 3 4 2 2 2 3" xfId="22692" xr:uid="{00000000-0005-0000-0000-0000D24A0000}"/>
    <cellStyle name="40% - Accent2 3 4 2 2 3" xfId="22693" xr:uid="{00000000-0005-0000-0000-0000D34A0000}"/>
    <cellStyle name="40% - Accent2 3 4 2 2 3 2" xfId="22694" xr:uid="{00000000-0005-0000-0000-0000D44A0000}"/>
    <cellStyle name="40% - Accent2 3 4 2 2 4" xfId="22695" xr:uid="{00000000-0005-0000-0000-0000D54A0000}"/>
    <cellStyle name="40% - Accent2 3 4 2 2 5" xfId="22696" xr:uid="{00000000-0005-0000-0000-0000D64A0000}"/>
    <cellStyle name="40% - Accent2 3 4 2 2 6" xfId="22697" xr:uid="{00000000-0005-0000-0000-0000D74A0000}"/>
    <cellStyle name="40% - Accent2 3 4 2 3" xfId="22698" xr:uid="{00000000-0005-0000-0000-0000D84A0000}"/>
    <cellStyle name="40% - Accent2 3 4 2 3 2" xfId="22699" xr:uid="{00000000-0005-0000-0000-0000D94A0000}"/>
    <cellStyle name="40% - Accent2 3 4 2 3 2 2" xfId="22700" xr:uid="{00000000-0005-0000-0000-0000DA4A0000}"/>
    <cellStyle name="40% - Accent2 3 4 2 3 3" xfId="22701" xr:uid="{00000000-0005-0000-0000-0000DB4A0000}"/>
    <cellStyle name="40% - Accent2 3 4 2 4" xfId="22702" xr:uid="{00000000-0005-0000-0000-0000DC4A0000}"/>
    <cellStyle name="40% - Accent2 3 4 2 4 2" xfId="22703" xr:uid="{00000000-0005-0000-0000-0000DD4A0000}"/>
    <cellStyle name="40% - Accent2 3 4 2 5" xfId="22704" xr:uid="{00000000-0005-0000-0000-0000DE4A0000}"/>
    <cellStyle name="40% - Accent2 3 4 2 5 2" xfId="22705" xr:uid="{00000000-0005-0000-0000-0000DF4A0000}"/>
    <cellStyle name="40% - Accent2 3 4 2 6" xfId="22706" xr:uid="{00000000-0005-0000-0000-0000E04A0000}"/>
    <cellStyle name="40% - Accent2 3 4 2 7" xfId="22707" xr:uid="{00000000-0005-0000-0000-0000E14A0000}"/>
    <cellStyle name="40% - Accent2 3 4 2 8" xfId="22708" xr:uid="{00000000-0005-0000-0000-0000E24A0000}"/>
    <cellStyle name="40% - Accent2 3 4 3" xfId="22709" xr:uid="{00000000-0005-0000-0000-0000E34A0000}"/>
    <cellStyle name="40% - Accent2 3 4 3 2" xfId="22710" xr:uid="{00000000-0005-0000-0000-0000E44A0000}"/>
    <cellStyle name="40% - Accent2 3 4 3 2 2" xfId="22711" xr:uid="{00000000-0005-0000-0000-0000E54A0000}"/>
    <cellStyle name="40% - Accent2 3 4 3 2 2 2" xfId="22712" xr:uid="{00000000-0005-0000-0000-0000E64A0000}"/>
    <cellStyle name="40% - Accent2 3 4 3 2 2 2 2" xfId="22713" xr:uid="{00000000-0005-0000-0000-0000E74A0000}"/>
    <cellStyle name="40% - Accent2 3 4 3 2 2 3" xfId="22714" xr:uid="{00000000-0005-0000-0000-0000E84A0000}"/>
    <cellStyle name="40% - Accent2 3 4 3 2 3" xfId="22715" xr:uid="{00000000-0005-0000-0000-0000E94A0000}"/>
    <cellStyle name="40% - Accent2 3 4 3 2 3 2" xfId="22716" xr:uid="{00000000-0005-0000-0000-0000EA4A0000}"/>
    <cellStyle name="40% - Accent2 3 4 3 2 4" xfId="22717" xr:uid="{00000000-0005-0000-0000-0000EB4A0000}"/>
    <cellStyle name="40% - Accent2 3 4 3 2 5" xfId="22718" xr:uid="{00000000-0005-0000-0000-0000EC4A0000}"/>
    <cellStyle name="40% - Accent2 3 4 3 2 6" xfId="22719" xr:uid="{00000000-0005-0000-0000-0000ED4A0000}"/>
    <cellStyle name="40% - Accent2 3 4 3 3" xfId="22720" xr:uid="{00000000-0005-0000-0000-0000EE4A0000}"/>
    <cellStyle name="40% - Accent2 3 4 3 3 2" xfId="22721" xr:uid="{00000000-0005-0000-0000-0000EF4A0000}"/>
    <cellStyle name="40% - Accent2 3 4 3 3 2 2" xfId="22722" xr:uid="{00000000-0005-0000-0000-0000F04A0000}"/>
    <cellStyle name="40% - Accent2 3 4 3 3 3" xfId="22723" xr:uid="{00000000-0005-0000-0000-0000F14A0000}"/>
    <cellStyle name="40% - Accent2 3 4 3 4" xfId="22724" xr:uid="{00000000-0005-0000-0000-0000F24A0000}"/>
    <cellStyle name="40% - Accent2 3 4 3 4 2" xfId="22725" xr:uid="{00000000-0005-0000-0000-0000F34A0000}"/>
    <cellStyle name="40% - Accent2 3 4 3 5" xfId="22726" xr:uid="{00000000-0005-0000-0000-0000F44A0000}"/>
    <cellStyle name="40% - Accent2 3 4 3 6" xfId="22727" xr:uid="{00000000-0005-0000-0000-0000F54A0000}"/>
    <cellStyle name="40% - Accent2 3 4 3 7" xfId="22728" xr:uid="{00000000-0005-0000-0000-0000F64A0000}"/>
    <cellStyle name="40% - Accent2 3 4 4" xfId="22729" xr:uid="{00000000-0005-0000-0000-0000F74A0000}"/>
    <cellStyle name="40% - Accent2 3 4 4 2" xfId="22730" xr:uid="{00000000-0005-0000-0000-0000F84A0000}"/>
    <cellStyle name="40% - Accent2 3 4 4 2 2" xfId="22731" xr:uid="{00000000-0005-0000-0000-0000F94A0000}"/>
    <cellStyle name="40% - Accent2 3 4 4 2 2 2" xfId="22732" xr:uid="{00000000-0005-0000-0000-0000FA4A0000}"/>
    <cellStyle name="40% - Accent2 3 4 4 2 3" xfId="22733" xr:uid="{00000000-0005-0000-0000-0000FB4A0000}"/>
    <cellStyle name="40% - Accent2 3 4 4 3" xfId="22734" xr:uid="{00000000-0005-0000-0000-0000FC4A0000}"/>
    <cellStyle name="40% - Accent2 3 4 4 3 2" xfId="22735" xr:uid="{00000000-0005-0000-0000-0000FD4A0000}"/>
    <cellStyle name="40% - Accent2 3 4 4 4" xfId="22736" xr:uid="{00000000-0005-0000-0000-0000FE4A0000}"/>
    <cellStyle name="40% - Accent2 3 4 4 5" xfId="22737" xr:uid="{00000000-0005-0000-0000-0000FF4A0000}"/>
    <cellStyle name="40% - Accent2 3 4 4 6" xfId="22738" xr:uid="{00000000-0005-0000-0000-0000004B0000}"/>
    <cellStyle name="40% - Accent2 3 4 5" xfId="22739" xr:uid="{00000000-0005-0000-0000-0000014B0000}"/>
    <cellStyle name="40% - Accent2 3 4 5 2" xfId="22740" xr:uid="{00000000-0005-0000-0000-0000024B0000}"/>
    <cellStyle name="40% - Accent2 3 4 5 2 2" xfId="22741" xr:uid="{00000000-0005-0000-0000-0000034B0000}"/>
    <cellStyle name="40% - Accent2 3 4 5 3" xfId="22742" xr:uid="{00000000-0005-0000-0000-0000044B0000}"/>
    <cellStyle name="40% - Accent2 3 4 6" xfId="22743" xr:uid="{00000000-0005-0000-0000-0000054B0000}"/>
    <cellStyle name="40% - Accent2 3 4 6 2" xfId="22744" xr:uid="{00000000-0005-0000-0000-0000064B0000}"/>
    <cellStyle name="40% - Accent2 3 4 6 2 2" xfId="22745" xr:uid="{00000000-0005-0000-0000-0000074B0000}"/>
    <cellStyle name="40% - Accent2 3 4 6 3" xfId="22746" xr:uid="{00000000-0005-0000-0000-0000084B0000}"/>
    <cellStyle name="40% - Accent2 3 4 7" xfId="22747" xr:uid="{00000000-0005-0000-0000-0000094B0000}"/>
    <cellStyle name="40% - Accent2 3 4 7 2" xfId="22748" xr:uid="{00000000-0005-0000-0000-00000A4B0000}"/>
    <cellStyle name="40% - Accent2 3 4 8" xfId="22749" xr:uid="{00000000-0005-0000-0000-00000B4B0000}"/>
    <cellStyle name="40% - Accent2 3 4 8 2" xfId="22750" xr:uid="{00000000-0005-0000-0000-00000C4B0000}"/>
    <cellStyle name="40% - Accent2 3 4 9" xfId="22751" xr:uid="{00000000-0005-0000-0000-00000D4B0000}"/>
    <cellStyle name="40% - Accent2 3 5" xfId="22752" xr:uid="{00000000-0005-0000-0000-00000E4B0000}"/>
    <cellStyle name="40% - Accent2 3 5 10" xfId="22753" xr:uid="{00000000-0005-0000-0000-00000F4B0000}"/>
    <cellStyle name="40% - Accent2 3 5 11" xfId="22754" xr:uid="{00000000-0005-0000-0000-0000104B0000}"/>
    <cellStyle name="40% - Accent2 3 5 2" xfId="22755" xr:uid="{00000000-0005-0000-0000-0000114B0000}"/>
    <cellStyle name="40% - Accent2 3 5 2 2" xfId="22756" xr:uid="{00000000-0005-0000-0000-0000124B0000}"/>
    <cellStyle name="40% - Accent2 3 5 2 2 2" xfId="22757" xr:uid="{00000000-0005-0000-0000-0000134B0000}"/>
    <cellStyle name="40% - Accent2 3 5 2 2 2 2" xfId="22758" xr:uid="{00000000-0005-0000-0000-0000144B0000}"/>
    <cellStyle name="40% - Accent2 3 5 2 2 2 2 2" xfId="22759" xr:uid="{00000000-0005-0000-0000-0000154B0000}"/>
    <cellStyle name="40% - Accent2 3 5 2 2 2 3" xfId="22760" xr:uid="{00000000-0005-0000-0000-0000164B0000}"/>
    <cellStyle name="40% - Accent2 3 5 2 2 3" xfId="22761" xr:uid="{00000000-0005-0000-0000-0000174B0000}"/>
    <cellStyle name="40% - Accent2 3 5 2 2 3 2" xfId="22762" xr:uid="{00000000-0005-0000-0000-0000184B0000}"/>
    <cellStyle name="40% - Accent2 3 5 2 2 4" xfId="22763" xr:uid="{00000000-0005-0000-0000-0000194B0000}"/>
    <cellStyle name="40% - Accent2 3 5 2 2 5" xfId="22764" xr:uid="{00000000-0005-0000-0000-00001A4B0000}"/>
    <cellStyle name="40% - Accent2 3 5 2 2 6" xfId="22765" xr:uid="{00000000-0005-0000-0000-00001B4B0000}"/>
    <cellStyle name="40% - Accent2 3 5 2 3" xfId="22766" xr:uid="{00000000-0005-0000-0000-00001C4B0000}"/>
    <cellStyle name="40% - Accent2 3 5 2 3 2" xfId="22767" xr:uid="{00000000-0005-0000-0000-00001D4B0000}"/>
    <cellStyle name="40% - Accent2 3 5 2 3 2 2" xfId="22768" xr:uid="{00000000-0005-0000-0000-00001E4B0000}"/>
    <cellStyle name="40% - Accent2 3 5 2 3 3" xfId="22769" xr:uid="{00000000-0005-0000-0000-00001F4B0000}"/>
    <cellStyle name="40% - Accent2 3 5 2 4" xfId="22770" xr:uid="{00000000-0005-0000-0000-0000204B0000}"/>
    <cellStyle name="40% - Accent2 3 5 2 4 2" xfId="22771" xr:uid="{00000000-0005-0000-0000-0000214B0000}"/>
    <cellStyle name="40% - Accent2 3 5 2 5" xfId="22772" xr:uid="{00000000-0005-0000-0000-0000224B0000}"/>
    <cellStyle name="40% - Accent2 3 5 2 5 2" xfId="22773" xr:uid="{00000000-0005-0000-0000-0000234B0000}"/>
    <cellStyle name="40% - Accent2 3 5 2 6" xfId="22774" xr:uid="{00000000-0005-0000-0000-0000244B0000}"/>
    <cellStyle name="40% - Accent2 3 5 2 7" xfId="22775" xr:uid="{00000000-0005-0000-0000-0000254B0000}"/>
    <cellStyle name="40% - Accent2 3 5 2 8" xfId="22776" xr:uid="{00000000-0005-0000-0000-0000264B0000}"/>
    <cellStyle name="40% - Accent2 3 5 3" xfId="22777" xr:uid="{00000000-0005-0000-0000-0000274B0000}"/>
    <cellStyle name="40% - Accent2 3 5 3 2" xfId="22778" xr:uid="{00000000-0005-0000-0000-0000284B0000}"/>
    <cellStyle name="40% - Accent2 3 5 3 2 2" xfId="22779" xr:uid="{00000000-0005-0000-0000-0000294B0000}"/>
    <cellStyle name="40% - Accent2 3 5 3 2 2 2" xfId="22780" xr:uid="{00000000-0005-0000-0000-00002A4B0000}"/>
    <cellStyle name="40% - Accent2 3 5 3 2 2 2 2" xfId="22781" xr:uid="{00000000-0005-0000-0000-00002B4B0000}"/>
    <cellStyle name="40% - Accent2 3 5 3 2 2 3" xfId="22782" xr:uid="{00000000-0005-0000-0000-00002C4B0000}"/>
    <cellStyle name="40% - Accent2 3 5 3 2 3" xfId="22783" xr:uid="{00000000-0005-0000-0000-00002D4B0000}"/>
    <cellStyle name="40% - Accent2 3 5 3 2 3 2" xfId="22784" xr:uid="{00000000-0005-0000-0000-00002E4B0000}"/>
    <cellStyle name="40% - Accent2 3 5 3 2 4" xfId="22785" xr:uid="{00000000-0005-0000-0000-00002F4B0000}"/>
    <cellStyle name="40% - Accent2 3 5 3 2 5" xfId="22786" xr:uid="{00000000-0005-0000-0000-0000304B0000}"/>
    <cellStyle name="40% - Accent2 3 5 3 2 6" xfId="22787" xr:uid="{00000000-0005-0000-0000-0000314B0000}"/>
    <cellStyle name="40% - Accent2 3 5 3 3" xfId="22788" xr:uid="{00000000-0005-0000-0000-0000324B0000}"/>
    <cellStyle name="40% - Accent2 3 5 3 3 2" xfId="22789" xr:uid="{00000000-0005-0000-0000-0000334B0000}"/>
    <cellStyle name="40% - Accent2 3 5 3 3 2 2" xfId="22790" xr:uid="{00000000-0005-0000-0000-0000344B0000}"/>
    <cellStyle name="40% - Accent2 3 5 3 3 3" xfId="22791" xr:uid="{00000000-0005-0000-0000-0000354B0000}"/>
    <cellStyle name="40% - Accent2 3 5 3 4" xfId="22792" xr:uid="{00000000-0005-0000-0000-0000364B0000}"/>
    <cellStyle name="40% - Accent2 3 5 3 4 2" xfId="22793" xr:uid="{00000000-0005-0000-0000-0000374B0000}"/>
    <cellStyle name="40% - Accent2 3 5 3 5" xfId="22794" xr:uid="{00000000-0005-0000-0000-0000384B0000}"/>
    <cellStyle name="40% - Accent2 3 5 3 6" xfId="22795" xr:uid="{00000000-0005-0000-0000-0000394B0000}"/>
    <cellStyle name="40% - Accent2 3 5 3 7" xfId="22796" xr:uid="{00000000-0005-0000-0000-00003A4B0000}"/>
    <cellStyle name="40% - Accent2 3 5 4" xfId="22797" xr:uid="{00000000-0005-0000-0000-00003B4B0000}"/>
    <cellStyle name="40% - Accent2 3 5 4 2" xfId="22798" xr:uid="{00000000-0005-0000-0000-00003C4B0000}"/>
    <cellStyle name="40% - Accent2 3 5 4 2 2" xfId="22799" xr:uid="{00000000-0005-0000-0000-00003D4B0000}"/>
    <cellStyle name="40% - Accent2 3 5 4 2 2 2" xfId="22800" xr:uid="{00000000-0005-0000-0000-00003E4B0000}"/>
    <cellStyle name="40% - Accent2 3 5 4 2 3" xfId="22801" xr:uid="{00000000-0005-0000-0000-00003F4B0000}"/>
    <cellStyle name="40% - Accent2 3 5 4 3" xfId="22802" xr:uid="{00000000-0005-0000-0000-0000404B0000}"/>
    <cellStyle name="40% - Accent2 3 5 4 3 2" xfId="22803" xr:uid="{00000000-0005-0000-0000-0000414B0000}"/>
    <cellStyle name="40% - Accent2 3 5 4 4" xfId="22804" xr:uid="{00000000-0005-0000-0000-0000424B0000}"/>
    <cellStyle name="40% - Accent2 3 5 4 5" xfId="22805" xr:uid="{00000000-0005-0000-0000-0000434B0000}"/>
    <cellStyle name="40% - Accent2 3 5 4 6" xfId="22806" xr:uid="{00000000-0005-0000-0000-0000444B0000}"/>
    <cellStyle name="40% - Accent2 3 5 5" xfId="22807" xr:uid="{00000000-0005-0000-0000-0000454B0000}"/>
    <cellStyle name="40% - Accent2 3 5 5 2" xfId="22808" xr:uid="{00000000-0005-0000-0000-0000464B0000}"/>
    <cellStyle name="40% - Accent2 3 5 5 2 2" xfId="22809" xr:uid="{00000000-0005-0000-0000-0000474B0000}"/>
    <cellStyle name="40% - Accent2 3 5 5 3" xfId="22810" xr:uid="{00000000-0005-0000-0000-0000484B0000}"/>
    <cellStyle name="40% - Accent2 3 5 6" xfId="22811" xr:uid="{00000000-0005-0000-0000-0000494B0000}"/>
    <cellStyle name="40% - Accent2 3 5 6 2" xfId="22812" xr:uid="{00000000-0005-0000-0000-00004A4B0000}"/>
    <cellStyle name="40% - Accent2 3 5 6 2 2" xfId="22813" xr:uid="{00000000-0005-0000-0000-00004B4B0000}"/>
    <cellStyle name="40% - Accent2 3 5 6 3" xfId="22814" xr:uid="{00000000-0005-0000-0000-00004C4B0000}"/>
    <cellStyle name="40% - Accent2 3 5 7" xfId="22815" xr:uid="{00000000-0005-0000-0000-00004D4B0000}"/>
    <cellStyle name="40% - Accent2 3 5 7 2" xfId="22816" xr:uid="{00000000-0005-0000-0000-00004E4B0000}"/>
    <cellStyle name="40% - Accent2 3 5 8" xfId="22817" xr:uid="{00000000-0005-0000-0000-00004F4B0000}"/>
    <cellStyle name="40% - Accent2 3 5 8 2" xfId="22818" xr:uid="{00000000-0005-0000-0000-0000504B0000}"/>
    <cellStyle name="40% - Accent2 3 5 9" xfId="22819" xr:uid="{00000000-0005-0000-0000-0000514B0000}"/>
    <cellStyle name="40% - Accent2 3 6" xfId="22820" xr:uid="{00000000-0005-0000-0000-0000524B0000}"/>
    <cellStyle name="40% - Accent2 3 6 10" xfId="22821" xr:uid="{00000000-0005-0000-0000-0000534B0000}"/>
    <cellStyle name="40% - Accent2 3 6 11" xfId="22822" xr:uid="{00000000-0005-0000-0000-0000544B0000}"/>
    <cellStyle name="40% - Accent2 3 6 2" xfId="22823" xr:uid="{00000000-0005-0000-0000-0000554B0000}"/>
    <cellStyle name="40% - Accent2 3 6 2 2" xfId="22824" xr:uid="{00000000-0005-0000-0000-0000564B0000}"/>
    <cellStyle name="40% - Accent2 3 6 2 2 2" xfId="22825" xr:uid="{00000000-0005-0000-0000-0000574B0000}"/>
    <cellStyle name="40% - Accent2 3 6 2 2 2 2" xfId="22826" xr:uid="{00000000-0005-0000-0000-0000584B0000}"/>
    <cellStyle name="40% - Accent2 3 6 2 2 2 2 2" xfId="22827" xr:uid="{00000000-0005-0000-0000-0000594B0000}"/>
    <cellStyle name="40% - Accent2 3 6 2 2 2 3" xfId="22828" xr:uid="{00000000-0005-0000-0000-00005A4B0000}"/>
    <cellStyle name="40% - Accent2 3 6 2 2 3" xfId="22829" xr:uid="{00000000-0005-0000-0000-00005B4B0000}"/>
    <cellStyle name="40% - Accent2 3 6 2 2 3 2" xfId="22830" xr:uid="{00000000-0005-0000-0000-00005C4B0000}"/>
    <cellStyle name="40% - Accent2 3 6 2 2 4" xfId="22831" xr:uid="{00000000-0005-0000-0000-00005D4B0000}"/>
    <cellStyle name="40% - Accent2 3 6 2 2 5" xfId="22832" xr:uid="{00000000-0005-0000-0000-00005E4B0000}"/>
    <cellStyle name="40% - Accent2 3 6 2 2 6" xfId="22833" xr:uid="{00000000-0005-0000-0000-00005F4B0000}"/>
    <cellStyle name="40% - Accent2 3 6 2 3" xfId="22834" xr:uid="{00000000-0005-0000-0000-0000604B0000}"/>
    <cellStyle name="40% - Accent2 3 6 2 3 2" xfId="22835" xr:uid="{00000000-0005-0000-0000-0000614B0000}"/>
    <cellStyle name="40% - Accent2 3 6 2 3 2 2" xfId="22836" xr:uid="{00000000-0005-0000-0000-0000624B0000}"/>
    <cellStyle name="40% - Accent2 3 6 2 3 3" xfId="22837" xr:uid="{00000000-0005-0000-0000-0000634B0000}"/>
    <cellStyle name="40% - Accent2 3 6 2 4" xfId="22838" xr:uid="{00000000-0005-0000-0000-0000644B0000}"/>
    <cellStyle name="40% - Accent2 3 6 2 4 2" xfId="22839" xr:uid="{00000000-0005-0000-0000-0000654B0000}"/>
    <cellStyle name="40% - Accent2 3 6 2 5" xfId="22840" xr:uid="{00000000-0005-0000-0000-0000664B0000}"/>
    <cellStyle name="40% - Accent2 3 6 2 5 2" xfId="22841" xr:uid="{00000000-0005-0000-0000-0000674B0000}"/>
    <cellStyle name="40% - Accent2 3 6 2 6" xfId="22842" xr:uid="{00000000-0005-0000-0000-0000684B0000}"/>
    <cellStyle name="40% - Accent2 3 6 2 7" xfId="22843" xr:uid="{00000000-0005-0000-0000-0000694B0000}"/>
    <cellStyle name="40% - Accent2 3 6 2 8" xfId="22844" xr:uid="{00000000-0005-0000-0000-00006A4B0000}"/>
    <cellStyle name="40% - Accent2 3 6 3" xfId="22845" xr:uid="{00000000-0005-0000-0000-00006B4B0000}"/>
    <cellStyle name="40% - Accent2 3 6 3 2" xfId="22846" xr:uid="{00000000-0005-0000-0000-00006C4B0000}"/>
    <cellStyle name="40% - Accent2 3 6 3 2 2" xfId="22847" xr:uid="{00000000-0005-0000-0000-00006D4B0000}"/>
    <cellStyle name="40% - Accent2 3 6 3 2 2 2" xfId="22848" xr:uid="{00000000-0005-0000-0000-00006E4B0000}"/>
    <cellStyle name="40% - Accent2 3 6 3 2 2 2 2" xfId="22849" xr:uid="{00000000-0005-0000-0000-00006F4B0000}"/>
    <cellStyle name="40% - Accent2 3 6 3 2 2 3" xfId="22850" xr:uid="{00000000-0005-0000-0000-0000704B0000}"/>
    <cellStyle name="40% - Accent2 3 6 3 2 3" xfId="22851" xr:uid="{00000000-0005-0000-0000-0000714B0000}"/>
    <cellStyle name="40% - Accent2 3 6 3 2 3 2" xfId="22852" xr:uid="{00000000-0005-0000-0000-0000724B0000}"/>
    <cellStyle name="40% - Accent2 3 6 3 2 4" xfId="22853" xr:uid="{00000000-0005-0000-0000-0000734B0000}"/>
    <cellStyle name="40% - Accent2 3 6 3 2 5" xfId="22854" xr:uid="{00000000-0005-0000-0000-0000744B0000}"/>
    <cellStyle name="40% - Accent2 3 6 3 2 6" xfId="22855" xr:uid="{00000000-0005-0000-0000-0000754B0000}"/>
    <cellStyle name="40% - Accent2 3 6 3 3" xfId="22856" xr:uid="{00000000-0005-0000-0000-0000764B0000}"/>
    <cellStyle name="40% - Accent2 3 6 3 3 2" xfId="22857" xr:uid="{00000000-0005-0000-0000-0000774B0000}"/>
    <cellStyle name="40% - Accent2 3 6 3 3 2 2" xfId="22858" xr:uid="{00000000-0005-0000-0000-0000784B0000}"/>
    <cellStyle name="40% - Accent2 3 6 3 3 3" xfId="22859" xr:uid="{00000000-0005-0000-0000-0000794B0000}"/>
    <cellStyle name="40% - Accent2 3 6 3 4" xfId="22860" xr:uid="{00000000-0005-0000-0000-00007A4B0000}"/>
    <cellStyle name="40% - Accent2 3 6 3 4 2" xfId="22861" xr:uid="{00000000-0005-0000-0000-00007B4B0000}"/>
    <cellStyle name="40% - Accent2 3 6 3 5" xfId="22862" xr:uid="{00000000-0005-0000-0000-00007C4B0000}"/>
    <cellStyle name="40% - Accent2 3 6 3 6" xfId="22863" xr:uid="{00000000-0005-0000-0000-00007D4B0000}"/>
    <cellStyle name="40% - Accent2 3 6 3 7" xfId="22864" xr:uid="{00000000-0005-0000-0000-00007E4B0000}"/>
    <cellStyle name="40% - Accent2 3 6 4" xfId="22865" xr:uid="{00000000-0005-0000-0000-00007F4B0000}"/>
    <cellStyle name="40% - Accent2 3 6 4 2" xfId="22866" xr:uid="{00000000-0005-0000-0000-0000804B0000}"/>
    <cellStyle name="40% - Accent2 3 6 4 2 2" xfId="22867" xr:uid="{00000000-0005-0000-0000-0000814B0000}"/>
    <cellStyle name="40% - Accent2 3 6 4 2 2 2" xfId="22868" xr:uid="{00000000-0005-0000-0000-0000824B0000}"/>
    <cellStyle name="40% - Accent2 3 6 4 2 3" xfId="22869" xr:uid="{00000000-0005-0000-0000-0000834B0000}"/>
    <cellStyle name="40% - Accent2 3 6 4 3" xfId="22870" xr:uid="{00000000-0005-0000-0000-0000844B0000}"/>
    <cellStyle name="40% - Accent2 3 6 4 3 2" xfId="22871" xr:uid="{00000000-0005-0000-0000-0000854B0000}"/>
    <cellStyle name="40% - Accent2 3 6 4 4" xfId="22872" xr:uid="{00000000-0005-0000-0000-0000864B0000}"/>
    <cellStyle name="40% - Accent2 3 6 4 5" xfId="22873" xr:uid="{00000000-0005-0000-0000-0000874B0000}"/>
    <cellStyle name="40% - Accent2 3 6 4 6" xfId="22874" xr:uid="{00000000-0005-0000-0000-0000884B0000}"/>
    <cellStyle name="40% - Accent2 3 6 5" xfId="22875" xr:uid="{00000000-0005-0000-0000-0000894B0000}"/>
    <cellStyle name="40% - Accent2 3 6 5 2" xfId="22876" xr:uid="{00000000-0005-0000-0000-00008A4B0000}"/>
    <cellStyle name="40% - Accent2 3 6 5 2 2" xfId="22877" xr:uid="{00000000-0005-0000-0000-00008B4B0000}"/>
    <cellStyle name="40% - Accent2 3 6 5 3" xfId="22878" xr:uid="{00000000-0005-0000-0000-00008C4B0000}"/>
    <cellStyle name="40% - Accent2 3 6 6" xfId="22879" xr:uid="{00000000-0005-0000-0000-00008D4B0000}"/>
    <cellStyle name="40% - Accent2 3 6 6 2" xfId="22880" xr:uid="{00000000-0005-0000-0000-00008E4B0000}"/>
    <cellStyle name="40% - Accent2 3 6 6 2 2" xfId="22881" xr:uid="{00000000-0005-0000-0000-00008F4B0000}"/>
    <cellStyle name="40% - Accent2 3 6 6 3" xfId="22882" xr:uid="{00000000-0005-0000-0000-0000904B0000}"/>
    <cellStyle name="40% - Accent2 3 6 7" xfId="22883" xr:uid="{00000000-0005-0000-0000-0000914B0000}"/>
    <cellStyle name="40% - Accent2 3 6 7 2" xfId="22884" xr:uid="{00000000-0005-0000-0000-0000924B0000}"/>
    <cellStyle name="40% - Accent2 3 6 8" xfId="22885" xr:uid="{00000000-0005-0000-0000-0000934B0000}"/>
    <cellStyle name="40% - Accent2 3 6 8 2" xfId="22886" xr:uid="{00000000-0005-0000-0000-0000944B0000}"/>
    <cellStyle name="40% - Accent2 3 6 9" xfId="22887" xr:uid="{00000000-0005-0000-0000-0000954B0000}"/>
    <cellStyle name="40% - Accent2 3 7" xfId="22888" xr:uid="{00000000-0005-0000-0000-0000964B0000}"/>
    <cellStyle name="40% - Accent2 3 7 10" xfId="22889" xr:uid="{00000000-0005-0000-0000-0000974B0000}"/>
    <cellStyle name="40% - Accent2 3 7 11" xfId="22890" xr:uid="{00000000-0005-0000-0000-0000984B0000}"/>
    <cellStyle name="40% - Accent2 3 7 2" xfId="22891" xr:uid="{00000000-0005-0000-0000-0000994B0000}"/>
    <cellStyle name="40% - Accent2 3 7 2 2" xfId="22892" xr:uid="{00000000-0005-0000-0000-00009A4B0000}"/>
    <cellStyle name="40% - Accent2 3 7 2 2 2" xfId="22893" xr:uid="{00000000-0005-0000-0000-00009B4B0000}"/>
    <cellStyle name="40% - Accent2 3 7 2 2 2 2" xfId="22894" xr:uid="{00000000-0005-0000-0000-00009C4B0000}"/>
    <cellStyle name="40% - Accent2 3 7 2 2 2 2 2" xfId="22895" xr:uid="{00000000-0005-0000-0000-00009D4B0000}"/>
    <cellStyle name="40% - Accent2 3 7 2 2 2 3" xfId="22896" xr:uid="{00000000-0005-0000-0000-00009E4B0000}"/>
    <cellStyle name="40% - Accent2 3 7 2 2 3" xfId="22897" xr:uid="{00000000-0005-0000-0000-00009F4B0000}"/>
    <cellStyle name="40% - Accent2 3 7 2 2 3 2" xfId="22898" xr:uid="{00000000-0005-0000-0000-0000A04B0000}"/>
    <cellStyle name="40% - Accent2 3 7 2 2 4" xfId="22899" xr:uid="{00000000-0005-0000-0000-0000A14B0000}"/>
    <cellStyle name="40% - Accent2 3 7 2 2 5" xfId="22900" xr:uid="{00000000-0005-0000-0000-0000A24B0000}"/>
    <cellStyle name="40% - Accent2 3 7 2 2 6" xfId="22901" xr:uid="{00000000-0005-0000-0000-0000A34B0000}"/>
    <cellStyle name="40% - Accent2 3 7 2 3" xfId="22902" xr:uid="{00000000-0005-0000-0000-0000A44B0000}"/>
    <cellStyle name="40% - Accent2 3 7 2 3 2" xfId="22903" xr:uid="{00000000-0005-0000-0000-0000A54B0000}"/>
    <cellStyle name="40% - Accent2 3 7 2 3 2 2" xfId="22904" xr:uid="{00000000-0005-0000-0000-0000A64B0000}"/>
    <cellStyle name="40% - Accent2 3 7 2 3 3" xfId="22905" xr:uid="{00000000-0005-0000-0000-0000A74B0000}"/>
    <cellStyle name="40% - Accent2 3 7 2 4" xfId="22906" xr:uid="{00000000-0005-0000-0000-0000A84B0000}"/>
    <cellStyle name="40% - Accent2 3 7 2 4 2" xfId="22907" xr:uid="{00000000-0005-0000-0000-0000A94B0000}"/>
    <cellStyle name="40% - Accent2 3 7 2 5" xfId="22908" xr:uid="{00000000-0005-0000-0000-0000AA4B0000}"/>
    <cellStyle name="40% - Accent2 3 7 2 5 2" xfId="22909" xr:uid="{00000000-0005-0000-0000-0000AB4B0000}"/>
    <cellStyle name="40% - Accent2 3 7 2 6" xfId="22910" xr:uid="{00000000-0005-0000-0000-0000AC4B0000}"/>
    <cellStyle name="40% - Accent2 3 7 2 7" xfId="22911" xr:uid="{00000000-0005-0000-0000-0000AD4B0000}"/>
    <cellStyle name="40% - Accent2 3 7 2 8" xfId="22912" xr:uid="{00000000-0005-0000-0000-0000AE4B0000}"/>
    <cellStyle name="40% - Accent2 3 7 3" xfId="22913" xr:uid="{00000000-0005-0000-0000-0000AF4B0000}"/>
    <cellStyle name="40% - Accent2 3 7 3 2" xfId="22914" xr:uid="{00000000-0005-0000-0000-0000B04B0000}"/>
    <cellStyle name="40% - Accent2 3 7 3 2 2" xfId="22915" xr:uid="{00000000-0005-0000-0000-0000B14B0000}"/>
    <cellStyle name="40% - Accent2 3 7 3 2 2 2" xfId="22916" xr:uid="{00000000-0005-0000-0000-0000B24B0000}"/>
    <cellStyle name="40% - Accent2 3 7 3 2 2 2 2" xfId="22917" xr:uid="{00000000-0005-0000-0000-0000B34B0000}"/>
    <cellStyle name="40% - Accent2 3 7 3 2 2 3" xfId="22918" xr:uid="{00000000-0005-0000-0000-0000B44B0000}"/>
    <cellStyle name="40% - Accent2 3 7 3 2 3" xfId="22919" xr:uid="{00000000-0005-0000-0000-0000B54B0000}"/>
    <cellStyle name="40% - Accent2 3 7 3 2 3 2" xfId="22920" xr:uid="{00000000-0005-0000-0000-0000B64B0000}"/>
    <cellStyle name="40% - Accent2 3 7 3 2 4" xfId="22921" xr:uid="{00000000-0005-0000-0000-0000B74B0000}"/>
    <cellStyle name="40% - Accent2 3 7 3 2 5" xfId="22922" xr:uid="{00000000-0005-0000-0000-0000B84B0000}"/>
    <cellStyle name="40% - Accent2 3 7 3 2 6" xfId="22923" xr:uid="{00000000-0005-0000-0000-0000B94B0000}"/>
    <cellStyle name="40% - Accent2 3 7 3 3" xfId="22924" xr:uid="{00000000-0005-0000-0000-0000BA4B0000}"/>
    <cellStyle name="40% - Accent2 3 7 3 3 2" xfId="22925" xr:uid="{00000000-0005-0000-0000-0000BB4B0000}"/>
    <cellStyle name="40% - Accent2 3 7 3 3 2 2" xfId="22926" xr:uid="{00000000-0005-0000-0000-0000BC4B0000}"/>
    <cellStyle name="40% - Accent2 3 7 3 3 3" xfId="22927" xr:uid="{00000000-0005-0000-0000-0000BD4B0000}"/>
    <cellStyle name="40% - Accent2 3 7 3 4" xfId="22928" xr:uid="{00000000-0005-0000-0000-0000BE4B0000}"/>
    <cellStyle name="40% - Accent2 3 7 3 4 2" xfId="22929" xr:uid="{00000000-0005-0000-0000-0000BF4B0000}"/>
    <cellStyle name="40% - Accent2 3 7 3 5" xfId="22930" xr:uid="{00000000-0005-0000-0000-0000C04B0000}"/>
    <cellStyle name="40% - Accent2 3 7 3 6" xfId="22931" xr:uid="{00000000-0005-0000-0000-0000C14B0000}"/>
    <cellStyle name="40% - Accent2 3 7 3 7" xfId="22932" xr:uid="{00000000-0005-0000-0000-0000C24B0000}"/>
    <cellStyle name="40% - Accent2 3 7 4" xfId="22933" xr:uid="{00000000-0005-0000-0000-0000C34B0000}"/>
    <cellStyle name="40% - Accent2 3 7 4 2" xfId="22934" xr:uid="{00000000-0005-0000-0000-0000C44B0000}"/>
    <cellStyle name="40% - Accent2 3 7 4 2 2" xfId="22935" xr:uid="{00000000-0005-0000-0000-0000C54B0000}"/>
    <cellStyle name="40% - Accent2 3 7 4 2 2 2" xfId="22936" xr:uid="{00000000-0005-0000-0000-0000C64B0000}"/>
    <cellStyle name="40% - Accent2 3 7 4 2 3" xfId="22937" xr:uid="{00000000-0005-0000-0000-0000C74B0000}"/>
    <cellStyle name="40% - Accent2 3 7 4 3" xfId="22938" xr:uid="{00000000-0005-0000-0000-0000C84B0000}"/>
    <cellStyle name="40% - Accent2 3 7 4 3 2" xfId="22939" xr:uid="{00000000-0005-0000-0000-0000C94B0000}"/>
    <cellStyle name="40% - Accent2 3 7 4 4" xfId="22940" xr:uid="{00000000-0005-0000-0000-0000CA4B0000}"/>
    <cellStyle name="40% - Accent2 3 7 4 5" xfId="22941" xr:uid="{00000000-0005-0000-0000-0000CB4B0000}"/>
    <cellStyle name="40% - Accent2 3 7 4 6" xfId="22942" xr:uid="{00000000-0005-0000-0000-0000CC4B0000}"/>
    <cellStyle name="40% - Accent2 3 7 5" xfId="22943" xr:uid="{00000000-0005-0000-0000-0000CD4B0000}"/>
    <cellStyle name="40% - Accent2 3 7 5 2" xfId="22944" xr:uid="{00000000-0005-0000-0000-0000CE4B0000}"/>
    <cellStyle name="40% - Accent2 3 7 5 2 2" xfId="22945" xr:uid="{00000000-0005-0000-0000-0000CF4B0000}"/>
    <cellStyle name="40% - Accent2 3 7 5 3" xfId="22946" xr:uid="{00000000-0005-0000-0000-0000D04B0000}"/>
    <cellStyle name="40% - Accent2 3 7 6" xfId="22947" xr:uid="{00000000-0005-0000-0000-0000D14B0000}"/>
    <cellStyle name="40% - Accent2 3 7 6 2" xfId="22948" xr:uid="{00000000-0005-0000-0000-0000D24B0000}"/>
    <cellStyle name="40% - Accent2 3 7 6 2 2" xfId="22949" xr:uid="{00000000-0005-0000-0000-0000D34B0000}"/>
    <cellStyle name="40% - Accent2 3 7 6 3" xfId="22950" xr:uid="{00000000-0005-0000-0000-0000D44B0000}"/>
    <cellStyle name="40% - Accent2 3 7 7" xfId="22951" xr:uid="{00000000-0005-0000-0000-0000D54B0000}"/>
    <cellStyle name="40% - Accent2 3 7 7 2" xfId="22952" xr:uid="{00000000-0005-0000-0000-0000D64B0000}"/>
    <cellStyle name="40% - Accent2 3 7 8" xfId="22953" xr:uid="{00000000-0005-0000-0000-0000D74B0000}"/>
    <cellStyle name="40% - Accent2 3 7 8 2" xfId="22954" xr:uid="{00000000-0005-0000-0000-0000D84B0000}"/>
    <cellStyle name="40% - Accent2 3 7 9" xfId="22955" xr:uid="{00000000-0005-0000-0000-0000D94B0000}"/>
    <cellStyle name="40% - Accent2 3 8" xfId="22956" xr:uid="{00000000-0005-0000-0000-0000DA4B0000}"/>
    <cellStyle name="40% - Accent2 3 8 10" xfId="22957" xr:uid="{00000000-0005-0000-0000-0000DB4B0000}"/>
    <cellStyle name="40% - Accent2 3 8 11" xfId="22958" xr:uid="{00000000-0005-0000-0000-0000DC4B0000}"/>
    <cellStyle name="40% - Accent2 3 8 2" xfId="22959" xr:uid="{00000000-0005-0000-0000-0000DD4B0000}"/>
    <cellStyle name="40% - Accent2 3 8 2 2" xfId="22960" xr:uid="{00000000-0005-0000-0000-0000DE4B0000}"/>
    <cellStyle name="40% - Accent2 3 8 2 2 2" xfId="22961" xr:uid="{00000000-0005-0000-0000-0000DF4B0000}"/>
    <cellStyle name="40% - Accent2 3 8 2 2 2 2" xfId="22962" xr:uid="{00000000-0005-0000-0000-0000E04B0000}"/>
    <cellStyle name="40% - Accent2 3 8 2 2 2 2 2" xfId="22963" xr:uid="{00000000-0005-0000-0000-0000E14B0000}"/>
    <cellStyle name="40% - Accent2 3 8 2 2 2 3" xfId="22964" xr:uid="{00000000-0005-0000-0000-0000E24B0000}"/>
    <cellStyle name="40% - Accent2 3 8 2 2 3" xfId="22965" xr:uid="{00000000-0005-0000-0000-0000E34B0000}"/>
    <cellStyle name="40% - Accent2 3 8 2 2 3 2" xfId="22966" xr:uid="{00000000-0005-0000-0000-0000E44B0000}"/>
    <cellStyle name="40% - Accent2 3 8 2 2 4" xfId="22967" xr:uid="{00000000-0005-0000-0000-0000E54B0000}"/>
    <cellStyle name="40% - Accent2 3 8 2 2 5" xfId="22968" xr:uid="{00000000-0005-0000-0000-0000E64B0000}"/>
    <cellStyle name="40% - Accent2 3 8 2 2 6" xfId="22969" xr:uid="{00000000-0005-0000-0000-0000E74B0000}"/>
    <cellStyle name="40% - Accent2 3 8 2 3" xfId="22970" xr:uid="{00000000-0005-0000-0000-0000E84B0000}"/>
    <cellStyle name="40% - Accent2 3 8 2 3 2" xfId="22971" xr:uid="{00000000-0005-0000-0000-0000E94B0000}"/>
    <cellStyle name="40% - Accent2 3 8 2 3 2 2" xfId="22972" xr:uid="{00000000-0005-0000-0000-0000EA4B0000}"/>
    <cellStyle name="40% - Accent2 3 8 2 3 3" xfId="22973" xr:uid="{00000000-0005-0000-0000-0000EB4B0000}"/>
    <cellStyle name="40% - Accent2 3 8 2 4" xfId="22974" xr:uid="{00000000-0005-0000-0000-0000EC4B0000}"/>
    <cellStyle name="40% - Accent2 3 8 2 4 2" xfId="22975" xr:uid="{00000000-0005-0000-0000-0000ED4B0000}"/>
    <cellStyle name="40% - Accent2 3 8 2 5" xfId="22976" xr:uid="{00000000-0005-0000-0000-0000EE4B0000}"/>
    <cellStyle name="40% - Accent2 3 8 2 5 2" xfId="22977" xr:uid="{00000000-0005-0000-0000-0000EF4B0000}"/>
    <cellStyle name="40% - Accent2 3 8 2 6" xfId="22978" xr:uid="{00000000-0005-0000-0000-0000F04B0000}"/>
    <cellStyle name="40% - Accent2 3 8 2 7" xfId="22979" xr:uid="{00000000-0005-0000-0000-0000F14B0000}"/>
    <cellStyle name="40% - Accent2 3 8 2 8" xfId="22980" xr:uid="{00000000-0005-0000-0000-0000F24B0000}"/>
    <cellStyle name="40% - Accent2 3 8 3" xfId="22981" xr:uid="{00000000-0005-0000-0000-0000F34B0000}"/>
    <cellStyle name="40% - Accent2 3 8 3 2" xfId="22982" xr:uid="{00000000-0005-0000-0000-0000F44B0000}"/>
    <cellStyle name="40% - Accent2 3 8 3 2 2" xfId="22983" xr:uid="{00000000-0005-0000-0000-0000F54B0000}"/>
    <cellStyle name="40% - Accent2 3 8 3 2 2 2" xfId="22984" xr:uid="{00000000-0005-0000-0000-0000F64B0000}"/>
    <cellStyle name="40% - Accent2 3 8 3 2 2 2 2" xfId="22985" xr:uid="{00000000-0005-0000-0000-0000F74B0000}"/>
    <cellStyle name="40% - Accent2 3 8 3 2 2 3" xfId="22986" xr:uid="{00000000-0005-0000-0000-0000F84B0000}"/>
    <cellStyle name="40% - Accent2 3 8 3 2 3" xfId="22987" xr:uid="{00000000-0005-0000-0000-0000F94B0000}"/>
    <cellStyle name="40% - Accent2 3 8 3 2 3 2" xfId="22988" xr:uid="{00000000-0005-0000-0000-0000FA4B0000}"/>
    <cellStyle name="40% - Accent2 3 8 3 2 4" xfId="22989" xr:uid="{00000000-0005-0000-0000-0000FB4B0000}"/>
    <cellStyle name="40% - Accent2 3 8 3 2 5" xfId="22990" xr:uid="{00000000-0005-0000-0000-0000FC4B0000}"/>
    <cellStyle name="40% - Accent2 3 8 3 2 6" xfId="22991" xr:uid="{00000000-0005-0000-0000-0000FD4B0000}"/>
    <cellStyle name="40% - Accent2 3 8 3 3" xfId="22992" xr:uid="{00000000-0005-0000-0000-0000FE4B0000}"/>
    <cellStyle name="40% - Accent2 3 8 3 3 2" xfId="22993" xr:uid="{00000000-0005-0000-0000-0000FF4B0000}"/>
    <cellStyle name="40% - Accent2 3 8 3 3 2 2" xfId="22994" xr:uid="{00000000-0005-0000-0000-0000004C0000}"/>
    <cellStyle name="40% - Accent2 3 8 3 3 3" xfId="22995" xr:uid="{00000000-0005-0000-0000-0000014C0000}"/>
    <cellStyle name="40% - Accent2 3 8 3 4" xfId="22996" xr:uid="{00000000-0005-0000-0000-0000024C0000}"/>
    <cellStyle name="40% - Accent2 3 8 3 4 2" xfId="22997" xr:uid="{00000000-0005-0000-0000-0000034C0000}"/>
    <cellStyle name="40% - Accent2 3 8 3 5" xfId="22998" xr:uid="{00000000-0005-0000-0000-0000044C0000}"/>
    <cellStyle name="40% - Accent2 3 8 3 6" xfId="22999" xr:uid="{00000000-0005-0000-0000-0000054C0000}"/>
    <cellStyle name="40% - Accent2 3 8 3 7" xfId="23000" xr:uid="{00000000-0005-0000-0000-0000064C0000}"/>
    <cellStyle name="40% - Accent2 3 8 4" xfId="23001" xr:uid="{00000000-0005-0000-0000-0000074C0000}"/>
    <cellStyle name="40% - Accent2 3 8 4 2" xfId="23002" xr:uid="{00000000-0005-0000-0000-0000084C0000}"/>
    <cellStyle name="40% - Accent2 3 8 4 2 2" xfId="23003" xr:uid="{00000000-0005-0000-0000-0000094C0000}"/>
    <cellStyle name="40% - Accent2 3 8 4 2 2 2" xfId="23004" xr:uid="{00000000-0005-0000-0000-00000A4C0000}"/>
    <cellStyle name="40% - Accent2 3 8 4 2 3" xfId="23005" xr:uid="{00000000-0005-0000-0000-00000B4C0000}"/>
    <cellStyle name="40% - Accent2 3 8 4 3" xfId="23006" xr:uid="{00000000-0005-0000-0000-00000C4C0000}"/>
    <cellStyle name="40% - Accent2 3 8 4 3 2" xfId="23007" xr:uid="{00000000-0005-0000-0000-00000D4C0000}"/>
    <cellStyle name="40% - Accent2 3 8 4 4" xfId="23008" xr:uid="{00000000-0005-0000-0000-00000E4C0000}"/>
    <cellStyle name="40% - Accent2 3 8 4 5" xfId="23009" xr:uid="{00000000-0005-0000-0000-00000F4C0000}"/>
    <cellStyle name="40% - Accent2 3 8 4 6" xfId="23010" xr:uid="{00000000-0005-0000-0000-0000104C0000}"/>
    <cellStyle name="40% - Accent2 3 8 5" xfId="23011" xr:uid="{00000000-0005-0000-0000-0000114C0000}"/>
    <cellStyle name="40% - Accent2 3 8 5 2" xfId="23012" xr:uid="{00000000-0005-0000-0000-0000124C0000}"/>
    <cellStyle name="40% - Accent2 3 8 5 2 2" xfId="23013" xr:uid="{00000000-0005-0000-0000-0000134C0000}"/>
    <cellStyle name="40% - Accent2 3 8 5 3" xfId="23014" xr:uid="{00000000-0005-0000-0000-0000144C0000}"/>
    <cellStyle name="40% - Accent2 3 8 6" xfId="23015" xr:uid="{00000000-0005-0000-0000-0000154C0000}"/>
    <cellStyle name="40% - Accent2 3 8 6 2" xfId="23016" xr:uid="{00000000-0005-0000-0000-0000164C0000}"/>
    <cellStyle name="40% - Accent2 3 8 6 2 2" xfId="23017" xr:uid="{00000000-0005-0000-0000-0000174C0000}"/>
    <cellStyle name="40% - Accent2 3 8 6 3" xfId="23018" xr:uid="{00000000-0005-0000-0000-0000184C0000}"/>
    <cellStyle name="40% - Accent2 3 8 7" xfId="23019" xr:uid="{00000000-0005-0000-0000-0000194C0000}"/>
    <cellStyle name="40% - Accent2 3 8 7 2" xfId="23020" xr:uid="{00000000-0005-0000-0000-00001A4C0000}"/>
    <cellStyle name="40% - Accent2 3 8 8" xfId="23021" xr:uid="{00000000-0005-0000-0000-00001B4C0000}"/>
    <cellStyle name="40% - Accent2 3 8 8 2" xfId="23022" xr:uid="{00000000-0005-0000-0000-00001C4C0000}"/>
    <cellStyle name="40% - Accent2 3 8 9" xfId="23023" xr:uid="{00000000-0005-0000-0000-00001D4C0000}"/>
    <cellStyle name="40% - Accent2 3 9" xfId="23024" xr:uid="{00000000-0005-0000-0000-00001E4C0000}"/>
    <cellStyle name="40% - Accent2 3 9 2" xfId="23025" xr:uid="{00000000-0005-0000-0000-00001F4C0000}"/>
    <cellStyle name="40% - Accent2 3 9 2 2" xfId="23026" xr:uid="{00000000-0005-0000-0000-0000204C0000}"/>
    <cellStyle name="40% - Accent2 4" xfId="198" xr:uid="{00000000-0005-0000-0000-0000214C0000}"/>
    <cellStyle name="40% - Accent2 4 10" xfId="23027" xr:uid="{00000000-0005-0000-0000-0000224C0000}"/>
    <cellStyle name="40% - Accent2 4 10 2" xfId="23028" xr:uid="{00000000-0005-0000-0000-0000234C0000}"/>
    <cellStyle name="40% - Accent2 4 10 2 2" xfId="23029" xr:uid="{00000000-0005-0000-0000-0000244C0000}"/>
    <cellStyle name="40% - Accent2 4 10 2 2 2" xfId="23030" xr:uid="{00000000-0005-0000-0000-0000254C0000}"/>
    <cellStyle name="40% - Accent2 4 10 2 2 2 2" xfId="23031" xr:uid="{00000000-0005-0000-0000-0000264C0000}"/>
    <cellStyle name="40% - Accent2 4 10 2 2 3" xfId="23032" xr:uid="{00000000-0005-0000-0000-0000274C0000}"/>
    <cellStyle name="40% - Accent2 4 10 2 3" xfId="23033" xr:uid="{00000000-0005-0000-0000-0000284C0000}"/>
    <cellStyle name="40% - Accent2 4 10 2 3 2" xfId="23034" xr:uid="{00000000-0005-0000-0000-0000294C0000}"/>
    <cellStyle name="40% - Accent2 4 10 2 4" xfId="23035" xr:uid="{00000000-0005-0000-0000-00002A4C0000}"/>
    <cellStyle name="40% - Accent2 4 10 2 5" xfId="23036" xr:uid="{00000000-0005-0000-0000-00002B4C0000}"/>
    <cellStyle name="40% - Accent2 4 10 2 6" xfId="23037" xr:uid="{00000000-0005-0000-0000-00002C4C0000}"/>
    <cellStyle name="40% - Accent2 4 10 3" xfId="23038" xr:uid="{00000000-0005-0000-0000-00002D4C0000}"/>
    <cellStyle name="40% - Accent2 4 10 3 2" xfId="23039" xr:uid="{00000000-0005-0000-0000-00002E4C0000}"/>
    <cellStyle name="40% - Accent2 4 10 3 2 2" xfId="23040" xr:uid="{00000000-0005-0000-0000-00002F4C0000}"/>
    <cellStyle name="40% - Accent2 4 10 3 3" xfId="23041" xr:uid="{00000000-0005-0000-0000-0000304C0000}"/>
    <cellStyle name="40% - Accent2 4 10 4" xfId="23042" xr:uid="{00000000-0005-0000-0000-0000314C0000}"/>
    <cellStyle name="40% - Accent2 4 10 4 2" xfId="23043" xr:uid="{00000000-0005-0000-0000-0000324C0000}"/>
    <cellStyle name="40% - Accent2 4 10 4 2 2" xfId="23044" xr:uid="{00000000-0005-0000-0000-0000334C0000}"/>
    <cellStyle name="40% - Accent2 4 10 4 3" xfId="23045" xr:uid="{00000000-0005-0000-0000-0000344C0000}"/>
    <cellStyle name="40% - Accent2 4 10 5" xfId="23046" xr:uid="{00000000-0005-0000-0000-0000354C0000}"/>
    <cellStyle name="40% - Accent2 4 10 6" xfId="23047" xr:uid="{00000000-0005-0000-0000-0000364C0000}"/>
    <cellStyle name="40% - Accent2 4 11" xfId="23048" xr:uid="{00000000-0005-0000-0000-0000374C0000}"/>
    <cellStyle name="40% - Accent2 4 11 2" xfId="23049" xr:uid="{00000000-0005-0000-0000-0000384C0000}"/>
    <cellStyle name="40% - Accent2 4 11 2 2" xfId="23050" xr:uid="{00000000-0005-0000-0000-0000394C0000}"/>
    <cellStyle name="40% - Accent2 4 11 2 2 2" xfId="23051" xr:uid="{00000000-0005-0000-0000-00003A4C0000}"/>
    <cellStyle name="40% - Accent2 4 11 2 2 2 2" xfId="23052" xr:uid="{00000000-0005-0000-0000-00003B4C0000}"/>
    <cellStyle name="40% - Accent2 4 11 2 2 3" xfId="23053" xr:uid="{00000000-0005-0000-0000-00003C4C0000}"/>
    <cellStyle name="40% - Accent2 4 11 2 3" xfId="23054" xr:uid="{00000000-0005-0000-0000-00003D4C0000}"/>
    <cellStyle name="40% - Accent2 4 11 2 3 2" xfId="23055" xr:uid="{00000000-0005-0000-0000-00003E4C0000}"/>
    <cellStyle name="40% - Accent2 4 11 2 4" xfId="23056" xr:uid="{00000000-0005-0000-0000-00003F4C0000}"/>
    <cellStyle name="40% - Accent2 4 11 2 5" xfId="23057" xr:uid="{00000000-0005-0000-0000-0000404C0000}"/>
    <cellStyle name="40% - Accent2 4 11 2 6" xfId="23058" xr:uid="{00000000-0005-0000-0000-0000414C0000}"/>
    <cellStyle name="40% - Accent2 4 11 3" xfId="23059" xr:uid="{00000000-0005-0000-0000-0000424C0000}"/>
    <cellStyle name="40% - Accent2 4 11 3 2" xfId="23060" xr:uid="{00000000-0005-0000-0000-0000434C0000}"/>
    <cellStyle name="40% - Accent2 4 11 3 2 2" xfId="23061" xr:uid="{00000000-0005-0000-0000-0000444C0000}"/>
    <cellStyle name="40% - Accent2 4 11 3 3" xfId="23062" xr:uid="{00000000-0005-0000-0000-0000454C0000}"/>
    <cellStyle name="40% - Accent2 4 11 4" xfId="23063" xr:uid="{00000000-0005-0000-0000-0000464C0000}"/>
    <cellStyle name="40% - Accent2 4 11 4 2" xfId="23064" xr:uid="{00000000-0005-0000-0000-0000474C0000}"/>
    <cellStyle name="40% - Accent2 4 11 5" xfId="23065" xr:uid="{00000000-0005-0000-0000-0000484C0000}"/>
    <cellStyle name="40% - Accent2 4 11 6" xfId="23066" xr:uid="{00000000-0005-0000-0000-0000494C0000}"/>
    <cellStyle name="40% - Accent2 4 11 7" xfId="23067" xr:uid="{00000000-0005-0000-0000-00004A4C0000}"/>
    <cellStyle name="40% - Accent2 4 12" xfId="23068" xr:uid="{00000000-0005-0000-0000-00004B4C0000}"/>
    <cellStyle name="40% - Accent2 4 13" xfId="23069" xr:uid="{00000000-0005-0000-0000-00004C4C0000}"/>
    <cellStyle name="40% - Accent2 4 13 2" xfId="23070" xr:uid="{00000000-0005-0000-0000-00004D4C0000}"/>
    <cellStyle name="40% - Accent2 4 13 2 2" xfId="23071" xr:uid="{00000000-0005-0000-0000-00004E4C0000}"/>
    <cellStyle name="40% - Accent2 4 13 3" xfId="23072" xr:uid="{00000000-0005-0000-0000-00004F4C0000}"/>
    <cellStyle name="40% - Accent2 4 14" xfId="23073" xr:uid="{00000000-0005-0000-0000-0000504C0000}"/>
    <cellStyle name="40% - Accent2 4 14 2" xfId="23074" xr:uid="{00000000-0005-0000-0000-0000514C0000}"/>
    <cellStyle name="40% - Accent2 4 15" xfId="23075" xr:uid="{00000000-0005-0000-0000-0000524C0000}"/>
    <cellStyle name="40% - Accent2 4 16" xfId="23076" xr:uid="{00000000-0005-0000-0000-0000534C0000}"/>
    <cellStyle name="40% - Accent2 4 2" xfId="23077" xr:uid="{00000000-0005-0000-0000-0000544C0000}"/>
    <cellStyle name="40% - Accent2 4 2 10" xfId="23078" xr:uid="{00000000-0005-0000-0000-0000554C0000}"/>
    <cellStyle name="40% - Accent2 4 2 11" xfId="23079" xr:uid="{00000000-0005-0000-0000-0000564C0000}"/>
    <cellStyle name="40% - Accent2 4 2 2" xfId="23080" xr:uid="{00000000-0005-0000-0000-0000574C0000}"/>
    <cellStyle name="40% - Accent2 4 2 2 2" xfId="23081" xr:uid="{00000000-0005-0000-0000-0000584C0000}"/>
    <cellStyle name="40% - Accent2 4 2 2 2 2" xfId="23082" xr:uid="{00000000-0005-0000-0000-0000594C0000}"/>
    <cellStyle name="40% - Accent2 4 2 2 2 2 2" xfId="23083" xr:uid="{00000000-0005-0000-0000-00005A4C0000}"/>
    <cellStyle name="40% - Accent2 4 2 2 2 2 2 2" xfId="23084" xr:uid="{00000000-0005-0000-0000-00005B4C0000}"/>
    <cellStyle name="40% - Accent2 4 2 2 2 2 3" xfId="23085" xr:uid="{00000000-0005-0000-0000-00005C4C0000}"/>
    <cellStyle name="40% - Accent2 4 2 2 2 3" xfId="23086" xr:uid="{00000000-0005-0000-0000-00005D4C0000}"/>
    <cellStyle name="40% - Accent2 4 2 2 2 3 2" xfId="23087" xr:uid="{00000000-0005-0000-0000-00005E4C0000}"/>
    <cellStyle name="40% - Accent2 4 2 2 2 4" xfId="23088" xr:uid="{00000000-0005-0000-0000-00005F4C0000}"/>
    <cellStyle name="40% - Accent2 4 2 2 2 5" xfId="23089" xr:uid="{00000000-0005-0000-0000-0000604C0000}"/>
    <cellStyle name="40% - Accent2 4 2 2 2 6" xfId="23090" xr:uid="{00000000-0005-0000-0000-0000614C0000}"/>
    <cellStyle name="40% - Accent2 4 2 2 3" xfId="23091" xr:uid="{00000000-0005-0000-0000-0000624C0000}"/>
    <cellStyle name="40% - Accent2 4 2 2 3 2" xfId="23092" xr:uid="{00000000-0005-0000-0000-0000634C0000}"/>
    <cellStyle name="40% - Accent2 4 2 2 3 2 2" xfId="23093" xr:uid="{00000000-0005-0000-0000-0000644C0000}"/>
    <cellStyle name="40% - Accent2 4 2 2 3 3" xfId="23094" xr:uid="{00000000-0005-0000-0000-0000654C0000}"/>
    <cellStyle name="40% - Accent2 4 2 2 4" xfId="23095" xr:uid="{00000000-0005-0000-0000-0000664C0000}"/>
    <cellStyle name="40% - Accent2 4 2 2 4 2" xfId="23096" xr:uid="{00000000-0005-0000-0000-0000674C0000}"/>
    <cellStyle name="40% - Accent2 4 2 2 5" xfId="23097" xr:uid="{00000000-0005-0000-0000-0000684C0000}"/>
    <cellStyle name="40% - Accent2 4 2 2 5 2" xfId="23098" xr:uid="{00000000-0005-0000-0000-0000694C0000}"/>
    <cellStyle name="40% - Accent2 4 2 2 6" xfId="23099" xr:uid="{00000000-0005-0000-0000-00006A4C0000}"/>
    <cellStyle name="40% - Accent2 4 2 2 7" xfId="23100" xr:uid="{00000000-0005-0000-0000-00006B4C0000}"/>
    <cellStyle name="40% - Accent2 4 2 2 8" xfId="23101" xr:uid="{00000000-0005-0000-0000-00006C4C0000}"/>
    <cellStyle name="40% - Accent2 4 2 3" xfId="23102" xr:uid="{00000000-0005-0000-0000-00006D4C0000}"/>
    <cellStyle name="40% - Accent2 4 2 3 2" xfId="23103" xr:uid="{00000000-0005-0000-0000-00006E4C0000}"/>
    <cellStyle name="40% - Accent2 4 2 3 2 2" xfId="23104" xr:uid="{00000000-0005-0000-0000-00006F4C0000}"/>
    <cellStyle name="40% - Accent2 4 2 3 2 2 2" xfId="23105" xr:uid="{00000000-0005-0000-0000-0000704C0000}"/>
    <cellStyle name="40% - Accent2 4 2 3 2 2 2 2" xfId="23106" xr:uid="{00000000-0005-0000-0000-0000714C0000}"/>
    <cellStyle name="40% - Accent2 4 2 3 2 2 3" xfId="23107" xr:uid="{00000000-0005-0000-0000-0000724C0000}"/>
    <cellStyle name="40% - Accent2 4 2 3 2 3" xfId="23108" xr:uid="{00000000-0005-0000-0000-0000734C0000}"/>
    <cellStyle name="40% - Accent2 4 2 3 2 3 2" xfId="23109" xr:uid="{00000000-0005-0000-0000-0000744C0000}"/>
    <cellStyle name="40% - Accent2 4 2 3 2 4" xfId="23110" xr:uid="{00000000-0005-0000-0000-0000754C0000}"/>
    <cellStyle name="40% - Accent2 4 2 3 2 5" xfId="23111" xr:uid="{00000000-0005-0000-0000-0000764C0000}"/>
    <cellStyle name="40% - Accent2 4 2 3 2 6" xfId="23112" xr:uid="{00000000-0005-0000-0000-0000774C0000}"/>
    <cellStyle name="40% - Accent2 4 2 3 3" xfId="23113" xr:uid="{00000000-0005-0000-0000-0000784C0000}"/>
    <cellStyle name="40% - Accent2 4 2 3 3 2" xfId="23114" xr:uid="{00000000-0005-0000-0000-0000794C0000}"/>
    <cellStyle name="40% - Accent2 4 2 3 3 2 2" xfId="23115" xr:uid="{00000000-0005-0000-0000-00007A4C0000}"/>
    <cellStyle name="40% - Accent2 4 2 3 3 3" xfId="23116" xr:uid="{00000000-0005-0000-0000-00007B4C0000}"/>
    <cellStyle name="40% - Accent2 4 2 3 4" xfId="23117" xr:uid="{00000000-0005-0000-0000-00007C4C0000}"/>
    <cellStyle name="40% - Accent2 4 2 3 4 2" xfId="23118" xr:uid="{00000000-0005-0000-0000-00007D4C0000}"/>
    <cellStyle name="40% - Accent2 4 2 3 5" xfId="23119" xr:uid="{00000000-0005-0000-0000-00007E4C0000}"/>
    <cellStyle name="40% - Accent2 4 2 3 6" xfId="23120" xr:uid="{00000000-0005-0000-0000-00007F4C0000}"/>
    <cellStyle name="40% - Accent2 4 2 3 7" xfId="23121" xr:uid="{00000000-0005-0000-0000-0000804C0000}"/>
    <cellStyle name="40% - Accent2 4 2 4" xfId="23122" xr:uid="{00000000-0005-0000-0000-0000814C0000}"/>
    <cellStyle name="40% - Accent2 4 2 4 2" xfId="23123" xr:uid="{00000000-0005-0000-0000-0000824C0000}"/>
    <cellStyle name="40% - Accent2 4 2 4 2 2" xfId="23124" xr:uid="{00000000-0005-0000-0000-0000834C0000}"/>
    <cellStyle name="40% - Accent2 4 2 4 2 2 2" xfId="23125" xr:uid="{00000000-0005-0000-0000-0000844C0000}"/>
    <cellStyle name="40% - Accent2 4 2 4 2 3" xfId="23126" xr:uid="{00000000-0005-0000-0000-0000854C0000}"/>
    <cellStyle name="40% - Accent2 4 2 4 3" xfId="23127" xr:uid="{00000000-0005-0000-0000-0000864C0000}"/>
    <cellStyle name="40% - Accent2 4 2 4 3 2" xfId="23128" xr:uid="{00000000-0005-0000-0000-0000874C0000}"/>
    <cellStyle name="40% - Accent2 4 2 4 4" xfId="23129" xr:uid="{00000000-0005-0000-0000-0000884C0000}"/>
    <cellStyle name="40% - Accent2 4 2 4 5" xfId="23130" xr:uid="{00000000-0005-0000-0000-0000894C0000}"/>
    <cellStyle name="40% - Accent2 4 2 4 6" xfId="23131" xr:uid="{00000000-0005-0000-0000-00008A4C0000}"/>
    <cellStyle name="40% - Accent2 4 2 5" xfId="23132" xr:uid="{00000000-0005-0000-0000-00008B4C0000}"/>
    <cellStyle name="40% - Accent2 4 2 5 2" xfId="23133" xr:uid="{00000000-0005-0000-0000-00008C4C0000}"/>
    <cellStyle name="40% - Accent2 4 2 5 2 2" xfId="23134" xr:uid="{00000000-0005-0000-0000-00008D4C0000}"/>
    <cellStyle name="40% - Accent2 4 2 5 3" xfId="23135" xr:uid="{00000000-0005-0000-0000-00008E4C0000}"/>
    <cellStyle name="40% - Accent2 4 2 6" xfId="23136" xr:uid="{00000000-0005-0000-0000-00008F4C0000}"/>
    <cellStyle name="40% - Accent2 4 2 6 2" xfId="23137" xr:uid="{00000000-0005-0000-0000-0000904C0000}"/>
    <cellStyle name="40% - Accent2 4 2 6 2 2" xfId="23138" xr:uid="{00000000-0005-0000-0000-0000914C0000}"/>
    <cellStyle name="40% - Accent2 4 2 6 3" xfId="23139" xr:uid="{00000000-0005-0000-0000-0000924C0000}"/>
    <cellStyle name="40% - Accent2 4 2 7" xfId="23140" xr:uid="{00000000-0005-0000-0000-0000934C0000}"/>
    <cellStyle name="40% - Accent2 4 2 7 2" xfId="23141" xr:uid="{00000000-0005-0000-0000-0000944C0000}"/>
    <cellStyle name="40% - Accent2 4 2 8" xfId="23142" xr:uid="{00000000-0005-0000-0000-0000954C0000}"/>
    <cellStyle name="40% - Accent2 4 2 8 2" xfId="23143" xr:uid="{00000000-0005-0000-0000-0000964C0000}"/>
    <cellStyle name="40% - Accent2 4 2 9" xfId="23144" xr:uid="{00000000-0005-0000-0000-0000974C0000}"/>
    <cellStyle name="40% - Accent2 4 3" xfId="23145" xr:uid="{00000000-0005-0000-0000-0000984C0000}"/>
    <cellStyle name="40% - Accent2 4 3 10" xfId="23146" xr:uid="{00000000-0005-0000-0000-0000994C0000}"/>
    <cellStyle name="40% - Accent2 4 3 11" xfId="23147" xr:uid="{00000000-0005-0000-0000-00009A4C0000}"/>
    <cellStyle name="40% - Accent2 4 3 2" xfId="23148" xr:uid="{00000000-0005-0000-0000-00009B4C0000}"/>
    <cellStyle name="40% - Accent2 4 3 2 2" xfId="23149" xr:uid="{00000000-0005-0000-0000-00009C4C0000}"/>
    <cellStyle name="40% - Accent2 4 3 2 2 2" xfId="23150" xr:uid="{00000000-0005-0000-0000-00009D4C0000}"/>
    <cellStyle name="40% - Accent2 4 3 2 2 2 2" xfId="23151" xr:uid="{00000000-0005-0000-0000-00009E4C0000}"/>
    <cellStyle name="40% - Accent2 4 3 2 2 2 2 2" xfId="23152" xr:uid="{00000000-0005-0000-0000-00009F4C0000}"/>
    <cellStyle name="40% - Accent2 4 3 2 2 2 3" xfId="23153" xr:uid="{00000000-0005-0000-0000-0000A04C0000}"/>
    <cellStyle name="40% - Accent2 4 3 2 2 3" xfId="23154" xr:uid="{00000000-0005-0000-0000-0000A14C0000}"/>
    <cellStyle name="40% - Accent2 4 3 2 2 3 2" xfId="23155" xr:uid="{00000000-0005-0000-0000-0000A24C0000}"/>
    <cellStyle name="40% - Accent2 4 3 2 2 4" xfId="23156" xr:uid="{00000000-0005-0000-0000-0000A34C0000}"/>
    <cellStyle name="40% - Accent2 4 3 2 2 5" xfId="23157" xr:uid="{00000000-0005-0000-0000-0000A44C0000}"/>
    <cellStyle name="40% - Accent2 4 3 2 2 6" xfId="23158" xr:uid="{00000000-0005-0000-0000-0000A54C0000}"/>
    <cellStyle name="40% - Accent2 4 3 2 3" xfId="23159" xr:uid="{00000000-0005-0000-0000-0000A64C0000}"/>
    <cellStyle name="40% - Accent2 4 3 2 3 2" xfId="23160" xr:uid="{00000000-0005-0000-0000-0000A74C0000}"/>
    <cellStyle name="40% - Accent2 4 3 2 3 2 2" xfId="23161" xr:uid="{00000000-0005-0000-0000-0000A84C0000}"/>
    <cellStyle name="40% - Accent2 4 3 2 3 3" xfId="23162" xr:uid="{00000000-0005-0000-0000-0000A94C0000}"/>
    <cellStyle name="40% - Accent2 4 3 2 4" xfId="23163" xr:uid="{00000000-0005-0000-0000-0000AA4C0000}"/>
    <cellStyle name="40% - Accent2 4 3 2 4 2" xfId="23164" xr:uid="{00000000-0005-0000-0000-0000AB4C0000}"/>
    <cellStyle name="40% - Accent2 4 3 2 5" xfId="23165" xr:uid="{00000000-0005-0000-0000-0000AC4C0000}"/>
    <cellStyle name="40% - Accent2 4 3 2 5 2" xfId="23166" xr:uid="{00000000-0005-0000-0000-0000AD4C0000}"/>
    <cellStyle name="40% - Accent2 4 3 2 6" xfId="23167" xr:uid="{00000000-0005-0000-0000-0000AE4C0000}"/>
    <cellStyle name="40% - Accent2 4 3 2 7" xfId="23168" xr:uid="{00000000-0005-0000-0000-0000AF4C0000}"/>
    <cellStyle name="40% - Accent2 4 3 2 8" xfId="23169" xr:uid="{00000000-0005-0000-0000-0000B04C0000}"/>
    <cellStyle name="40% - Accent2 4 3 3" xfId="23170" xr:uid="{00000000-0005-0000-0000-0000B14C0000}"/>
    <cellStyle name="40% - Accent2 4 3 3 2" xfId="23171" xr:uid="{00000000-0005-0000-0000-0000B24C0000}"/>
    <cellStyle name="40% - Accent2 4 3 3 2 2" xfId="23172" xr:uid="{00000000-0005-0000-0000-0000B34C0000}"/>
    <cellStyle name="40% - Accent2 4 3 3 2 2 2" xfId="23173" xr:uid="{00000000-0005-0000-0000-0000B44C0000}"/>
    <cellStyle name="40% - Accent2 4 3 3 2 2 2 2" xfId="23174" xr:uid="{00000000-0005-0000-0000-0000B54C0000}"/>
    <cellStyle name="40% - Accent2 4 3 3 2 2 3" xfId="23175" xr:uid="{00000000-0005-0000-0000-0000B64C0000}"/>
    <cellStyle name="40% - Accent2 4 3 3 2 3" xfId="23176" xr:uid="{00000000-0005-0000-0000-0000B74C0000}"/>
    <cellStyle name="40% - Accent2 4 3 3 2 3 2" xfId="23177" xr:uid="{00000000-0005-0000-0000-0000B84C0000}"/>
    <cellStyle name="40% - Accent2 4 3 3 2 4" xfId="23178" xr:uid="{00000000-0005-0000-0000-0000B94C0000}"/>
    <cellStyle name="40% - Accent2 4 3 3 2 5" xfId="23179" xr:uid="{00000000-0005-0000-0000-0000BA4C0000}"/>
    <cellStyle name="40% - Accent2 4 3 3 2 6" xfId="23180" xr:uid="{00000000-0005-0000-0000-0000BB4C0000}"/>
    <cellStyle name="40% - Accent2 4 3 3 3" xfId="23181" xr:uid="{00000000-0005-0000-0000-0000BC4C0000}"/>
    <cellStyle name="40% - Accent2 4 3 3 3 2" xfId="23182" xr:uid="{00000000-0005-0000-0000-0000BD4C0000}"/>
    <cellStyle name="40% - Accent2 4 3 3 3 2 2" xfId="23183" xr:uid="{00000000-0005-0000-0000-0000BE4C0000}"/>
    <cellStyle name="40% - Accent2 4 3 3 3 3" xfId="23184" xr:uid="{00000000-0005-0000-0000-0000BF4C0000}"/>
    <cellStyle name="40% - Accent2 4 3 3 4" xfId="23185" xr:uid="{00000000-0005-0000-0000-0000C04C0000}"/>
    <cellStyle name="40% - Accent2 4 3 3 4 2" xfId="23186" xr:uid="{00000000-0005-0000-0000-0000C14C0000}"/>
    <cellStyle name="40% - Accent2 4 3 3 5" xfId="23187" xr:uid="{00000000-0005-0000-0000-0000C24C0000}"/>
    <cellStyle name="40% - Accent2 4 3 3 6" xfId="23188" xr:uid="{00000000-0005-0000-0000-0000C34C0000}"/>
    <cellStyle name="40% - Accent2 4 3 3 7" xfId="23189" xr:uid="{00000000-0005-0000-0000-0000C44C0000}"/>
    <cellStyle name="40% - Accent2 4 3 4" xfId="23190" xr:uid="{00000000-0005-0000-0000-0000C54C0000}"/>
    <cellStyle name="40% - Accent2 4 3 4 2" xfId="23191" xr:uid="{00000000-0005-0000-0000-0000C64C0000}"/>
    <cellStyle name="40% - Accent2 4 3 4 2 2" xfId="23192" xr:uid="{00000000-0005-0000-0000-0000C74C0000}"/>
    <cellStyle name="40% - Accent2 4 3 4 2 2 2" xfId="23193" xr:uid="{00000000-0005-0000-0000-0000C84C0000}"/>
    <cellStyle name="40% - Accent2 4 3 4 2 3" xfId="23194" xr:uid="{00000000-0005-0000-0000-0000C94C0000}"/>
    <cellStyle name="40% - Accent2 4 3 4 3" xfId="23195" xr:uid="{00000000-0005-0000-0000-0000CA4C0000}"/>
    <cellStyle name="40% - Accent2 4 3 4 3 2" xfId="23196" xr:uid="{00000000-0005-0000-0000-0000CB4C0000}"/>
    <cellStyle name="40% - Accent2 4 3 4 4" xfId="23197" xr:uid="{00000000-0005-0000-0000-0000CC4C0000}"/>
    <cellStyle name="40% - Accent2 4 3 4 5" xfId="23198" xr:uid="{00000000-0005-0000-0000-0000CD4C0000}"/>
    <cellStyle name="40% - Accent2 4 3 4 6" xfId="23199" xr:uid="{00000000-0005-0000-0000-0000CE4C0000}"/>
    <cellStyle name="40% - Accent2 4 3 5" xfId="23200" xr:uid="{00000000-0005-0000-0000-0000CF4C0000}"/>
    <cellStyle name="40% - Accent2 4 3 5 2" xfId="23201" xr:uid="{00000000-0005-0000-0000-0000D04C0000}"/>
    <cellStyle name="40% - Accent2 4 3 5 2 2" xfId="23202" xr:uid="{00000000-0005-0000-0000-0000D14C0000}"/>
    <cellStyle name="40% - Accent2 4 3 5 3" xfId="23203" xr:uid="{00000000-0005-0000-0000-0000D24C0000}"/>
    <cellStyle name="40% - Accent2 4 3 6" xfId="23204" xr:uid="{00000000-0005-0000-0000-0000D34C0000}"/>
    <cellStyle name="40% - Accent2 4 3 6 2" xfId="23205" xr:uid="{00000000-0005-0000-0000-0000D44C0000}"/>
    <cellStyle name="40% - Accent2 4 3 6 2 2" xfId="23206" xr:uid="{00000000-0005-0000-0000-0000D54C0000}"/>
    <cellStyle name="40% - Accent2 4 3 6 3" xfId="23207" xr:uid="{00000000-0005-0000-0000-0000D64C0000}"/>
    <cellStyle name="40% - Accent2 4 3 7" xfId="23208" xr:uid="{00000000-0005-0000-0000-0000D74C0000}"/>
    <cellStyle name="40% - Accent2 4 3 7 2" xfId="23209" xr:uid="{00000000-0005-0000-0000-0000D84C0000}"/>
    <cellStyle name="40% - Accent2 4 3 8" xfId="23210" xr:uid="{00000000-0005-0000-0000-0000D94C0000}"/>
    <cellStyle name="40% - Accent2 4 3 8 2" xfId="23211" xr:uid="{00000000-0005-0000-0000-0000DA4C0000}"/>
    <cellStyle name="40% - Accent2 4 3 9" xfId="23212" xr:uid="{00000000-0005-0000-0000-0000DB4C0000}"/>
    <cellStyle name="40% - Accent2 4 4" xfId="23213" xr:uid="{00000000-0005-0000-0000-0000DC4C0000}"/>
    <cellStyle name="40% - Accent2 4 4 10" xfId="23214" xr:uid="{00000000-0005-0000-0000-0000DD4C0000}"/>
    <cellStyle name="40% - Accent2 4 4 11" xfId="23215" xr:uid="{00000000-0005-0000-0000-0000DE4C0000}"/>
    <cellStyle name="40% - Accent2 4 4 2" xfId="23216" xr:uid="{00000000-0005-0000-0000-0000DF4C0000}"/>
    <cellStyle name="40% - Accent2 4 4 2 2" xfId="23217" xr:uid="{00000000-0005-0000-0000-0000E04C0000}"/>
    <cellStyle name="40% - Accent2 4 4 2 2 2" xfId="23218" xr:uid="{00000000-0005-0000-0000-0000E14C0000}"/>
    <cellStyle name="40% - Accent2 4 4 2 2 2 2" xfId="23219" xr:uid="{00000000-0005-0000-0000-0000E24C0000}"/>
    <cellStyle name="40% - Accent2 4 4 2 2 2 2 2" xfId="23220" xr:uid="{00000000-0005-0000-0000-0000E34C0000}"/>
    <cellStyle name="40% - Accent2 4 4 2 2 2 3" xfId="23221" xr:uid="{00000000-0005-0000-0000-0000E44C0000}"/>
    <cellStyle name="40% - Accent2 4 4 2 2 3" xfId="23222" xr:uid="{00000000-0005-0000-0000-0000E54C0000}"/>
    <cellStyle name="40% - Accent2 4 4 2 2 3 2" xfId="23223" xr:uid="{00000000-0005-0000-0000-0000E64C0000}"/>
    <cellStyle name="40% - Accent2 4 4 2 2 4" xfId="23224" xr:uid="{00000000-0005-0000-0000-0000E74C0000}"/>
    <cellStyle name="40% - Accent2 4 4 2 2 5" xfId="23225" xr:uid="{00000000-0005-0000-0000-0000E84C0000}"/>
    <cellStyle name="40% - Accent2 4 4 2 2 6" xfId="23226" xr:uid="{00000000-0005-0000-0000-0000E94C0000}"/>
    <cellStyle name="40% - Accent2 4 4 2 3" xfId="23227" xr:uid="{00000000-0005-0000-0000-0000EA4C0000}"/>
    <cellStyle name="40% - Accent2 4 4 2 3 2" xfId="23228" xr:uid="{00000000-0005-0000-0000-0000EB4C0000}"/>
    <cellStyle name="40% - Accent2 4 4 2 3 2 2" xfId="23229" xr:uid="{00000000-0005-0000-0000-0000EC4C0000}"/>
    <cellStyle name="40% - Accent2 4 4 2 3 3" xfId="23230" xr:uid="{00000000-0005-0000-0000-0000ED4C0000}"/>
    <cellStyle name="40% - Accent2 4 4 2 4" xfId="23231" xr:uid="{00000000-0005-0000-0000-0000EE4C0000}"/>
    <cellStyle name="40% - Accent2 4 4 2 4 2" xfId="23232" xr:uid="{00000000-0005-0000-0000-0000EF4C0000}"/>
    <cellStyle name="40% - Accent2 4 4 2 5" xfId="23233" xr:uid="{00000000-0005-0000-0000-0000F04C0000}"/>
    <cellStyle name="40% - Accent2 4 4 2 5 2" xfId="23234" xr:uid="{00000000-0005-0000-0000-0000F14C0000}"/>
    <cellStyle name="40% - Accent2 4 4 2 6" xfId="23235" xr:uid="{00000000-0005-0000-0000-0000F24C0000}"/>
    <cellStyle name="40% - Accent2 4 4 2 7" xfId="23236" xr:uid="{00000000-0005-0000-0000-0000F34C0000}"/>
    <cellStyle name="40% - Accent2 4 4 2 8" xfId="23237" xr:uid="{00000000-0005-0000-0000-0000F44C0000}"/>
    <cellStyle name="40% - Accent2 4 4 3" xfId="23238" xr:uid="{00000000-0005-0000-0000-0000F54C0000}"/>
    <cellStyle name="40% - Accent2 4 4 3 2" xfId="23239" xr:uid="{00000000-0005-0000-0000-0000F64C0000}"/>
    <cellStyle name="40% - Accent2 4 4 3 2 2" xfId="23240" xr:uid="{00000000-0005-0000-0000-0000F74C0000}"/>
    <cellStyle name="40% - Accent2 4 4 3 2 2 2" xfId="23241" xr:uid="{00000000-0005-0000-0000-0000F84C0000}"/>
    <cellStyle name="40% - Accent2 4 4 3 2 2 2 2" xfId="23242" xr:uid="{00000000-0005-0000-0000-0000F94C0000}"/>
    <cellStyle name="40% - Accent2 4 4 3 2 2 3" xfId="23243" xr:uid="{00000000-0005-0000-0000-0000FA4C0000}"/>
    <cellStyle name="40% - Accent2 4 4 3 2 3" xfId="23244" xr:uid="{00000000-0005-0000-0000-0000FB4C0000}"/>
    <cellStyle name="40% - Accent2 4 4 3 2 3 2" xfId="23245" xr:uid="{00000000-0005-0000-0000-0000FC4C0000}"/>
    <cellStyle name="40% - Accent2 4 4 3 2 4" xfId="23246" xr:uid="{00000000-0005-0000-0000-0000FD4C0000}"/>
    <cellStyle name="40% - Accent2 4 4 3 2 5" xfId="23247" xr:uid="{00000000-0005-0000-0000-0000FE4C0000}"/>
    <cellStyle name="40% - Accent2 4 4 3 2 6" xfId="23248" xr:uid="{00000000-0005-0000-0000-0000FF4C0000}"/>
    <cellStyle name="40% - Accent2 4 4 3 3" xfId="23249" xr:uid="{00000000-0005-0000-0000-0000004D0000}"/>
    <cellStyle name="40% - Accent2 4 4 3 3 2" xfId="23250" xr:uid="{00000000-0005-0000-0000-0000014D0000}"/>
    <cellStyle name="40% - Accent2 4 4 3 3 2 2" xfId="23251" xr:uid="{00000000-0005-0000-0000-0000024D0000}"/>
    <cellStyle name="40% - Accent2 4 4 3 3 3" xfId="23252" xr:uid="{00000000-0005-0000-0000-0000034D0000}"/>
    <cellStyle name="40% - Accent2 4 4 3 4" xfId="23253" xr:uid="{00000000-0005-0000-0000-0000044D0000}"/>
    <cellStyle name="40% - Accent2 4 4 3 4 2" xfId="23254" xr:uid="{00000000-0005-0000-0000-0000054D0000}"/>
    <cellStyle name="40% - Accent2 4 4 3 5" xfId="23255" xr:uid="{00000000-0005-0000-0000-0000064D0000}"/>
    <cellStyle name="40% - Accent2 4 4 3 6" xfId="23256" xr:uid="{00000000-0005-0000-0000-0000074D0000}"/>
    <cellStyle name="40% - Accent2 4 4 3 7" xfId="23257" xr:uid="{00000000-0005-0000-0000-0000084D0000}"/>
    <cellStyle name="40% - Accent2 4 4 4" xfId="23258" xr:uid="{00000000-0005-0000-0000-0000094D0000}"/>
    <cellStyle name="40% - Accent2 4 4 4 2" xfId="23259" xr:uid="{00000000-0005-0000-0000-00000A4D0000}"/>
    <cellStyle name="40% - Accent2 4 4 4 2 2" xfId="23260" xr:uid="{00000000-0005-0000-0000-00000B4D0000}"/>
    <cellStyle name="40% - Accent2 4 4 4 2 2 2" xfId="23261" xr:uid="{00000000-0005-0000-0000-00000C4D0000}"/>
    <cellStyle name="40% - Accent2 4 4 4 2 3" xfId="23262" xr:uid="{00000000-0005-0000-0000-00000D4D0000}"/>
    <cellStyle name="40% - Accent2 4 4 4 3" xfId="23263" xr:uid="{00000000-0005-0000-0000-00000E4D0000}"/>
    <cellStyle name="40% - Accent2 4 4 4 3 2" xfId="23264" xr:uid="{00000000-0005-0000-0000-00000F4D0000}"/>
    <cellStyle name="40% - Accent2 4 4 4 4" xfId="23265" xr:uid="{00000000-0005-0000-0000-0000104D0000}"/>
    <cellStyle name="40% - Accent2 4 4 4 5" xfId="23266" xr:uid="{00000000-0005-0000-0000-0000114D0000}"/>
    <cellStyle name="40% - Accent2 4 4 4 6" xfId="23267" xr:uid="{00000000-0005-0000-0000-0000124D0000}"/>
    <cellStyle name="40% - Accent2 4 4 5" xfId="23268" xr:uid="{00000000-0005-0000-0000-0000134D0000}"/>
    <cellStyle name="40% - Accent2 4 4 5 2" xfId="23269" xr:uid="{00000000-0005-0000-0000-0000144D0000}"/>
    <cellStyle name="40% - Accent2 4 4 5 2 2" xfId="23270" xr:uid="{00000000-0005-0000-0000-0000154D0000}"/>
    <cellStyle name="40% - Accent2 4 4 5 3" xfId="23271" xr:uid="{00000000-0005-0000-0000-0000164D0000}"/>
    <cellStyle name="40% - Accent2 4 4 6" xfId="23272" xr:uid="{00000000-0005-0000-0000-0000174D0000}"/>
    <cellStyle name="40% - Accent2 4 4 6 2" xfId="23273" xr:uid="{00000000-0005-0000-0000-0000184D0000}"/>
    <cellStyle name="40% - Accent2 4 4 6 2 2" xfId="23274" xr:uid="{00000000-0005-0000-0000-0000194D0000}"/>
    <cellStyle name="40% - Accent2 4 4 6 3" xfId="23275" xr:uid="{00000000-0005-0000-0000-00001A4D0000}"/>
    <cellStyle name="40% - Accent2 4 4 7" xfId="23276" xr:uid="{00000000-0005-0000-0000-00001B4D0000}"/>
    <cellStyle name="40% - Accent2 4 4 7 2" xfId="23277" xr:uid="{00000000-0005-0000-0000-00001C4D0000}"/>
    <cellStyle name="40% - Accent2 4 4 8" xfId="23278" xr:uid="{00000000-0005-0000-0000-00001D4D0000}"/>
    <cellStyle name="40% - Accent2 4 4 8 2" xfId="23279" xr:uid="{00000000-0005-0000-0000-00001E4D0000}"/>
    <cellStyle name="40% - Accent2 4 4 9" xfId="23280" xr:uid="{00000000-0005-0000-0000-00001F4D0000}"/>
    <cellStyle name="40% - Accent2 4 5" xfId="23281" xr:uid="{00000000-0005-0000-0000-0000204D0000}"/>
    <cellStyle name="40% - Accent2 4 5 10" xfId="23282" xr:uid="{00000000-0005-0000-0000-0000214D0000}"/>
    <cellStyle name="40% - Accent2 4 5 11" xfId="23283" xr:uid="{00000000-0005-0000-0000-0000224D0000}"/>
    <cellStyle name="40% - Accent2 4 5 2" xfId="23284" xr:uid="{00000000-0005-0000-0000-0000234D0000}"/>
    <cellStyle name="40% - Accent2 4 5 2 2" xfId="23285" xr:uid="{00000000-0005-0000-0000-0000244D0000}"/>
    <cellStyle name="40% - Accent2 4 5 2 2 2" xfId="23286" xr:uid="{00000000-0005-0000-0000-0000254D0000}"/>
    <cellStyle name="40% - Accent2 4 5 2 2 2 2" xfId="23287" xr:uid="{00000000-0005-0000-0000-0000264D0000}"/>
    <cellStyle name="40% - Accent2 4 5 2 2 2 2 2" xfId="23288" xr:uid="{00000000-0005-0000-0000-0000274D0000}"/>
    <cellStyle name="40% - Accent2 4 5 2 2 2 3" xfId="23289" xr:uid="{00000000-0005-0000-0000-0000284D0000}"/>
    <cellStyle name="40% - Accent2 4 5 2 2 3" xfId="23290" xr:uid="{00000000-0005-0000-0000-0000294D0000}"/>
    <cellStyle name="40% - Accent2 4 5 2 2 3 2" xfId="23291" xr:uid="{00000000-0005-0000-0000-00002A4D0000}"/>
    <cellStyle name="40% - Accent2 4 5 2 2 4" xfId="23292" xr:uid="{00000000-0005-0000-0000-00002B4D0000}"/>
    <cellStyle name="40% - Accent2 4 5 2 2 5" xfId="23293" xr:uid="{00000000-0005-0000-0000-00002C4D0000}"/>
    <cellStyle name="40% - Accent2 4 5 2 2 6" xfId="23294" xr:uid="{00000000-0005-0000-0000-00002D4D0000}"/>
    <cellStyle name="40% - Accent2 4 5 2 3" xfId="23295" xr:uid="{00000000-0005-0000-0000-00002E4D0000}"/>
    <cellStyle name="40% - Accent2 4 5 2 3 2" xfId="23296" xr:uid="{00000000-0005-0000-0000-00002F4D0000}"/>
    <cellStyle name="40% - Accent2 4 5 2 3 2 2" xfId="23297" xr:uid="{00000000-0005-0000-0000-0000304D0000}"/>
    <cellStyle name="40% - Accent2 4 5 2 3 3" xfId="23298" xr:uid="{00000000-0005-0000-0000-0000314D0000}"/>
    <cellStyle name="40% - Accent2 4 5 2 4" xfId="23299" xr:uid="{00000000-0005-0000-0000-0000324D0000}"/>
    <cellStyle name="40% - Accent2 4 5 2 4 2" xfId="23300" xr:uid="{00000000-0005-0000-0000-0000334D0000}"/>
    <cellStyle name="40% - Accent2 4 5 2 5" xfId="23301" xr:uid="{00000000-0005-0000-0000-0000344D0000}"/>
    <cellStyle name="40% - Accent2 4 5 2 5 2" xfId="23302" xr:uid="{00000000-0005-0000-0000-0000354D0000}"/>
    <cellStyle name="40% - Accent2 4 5 2 6" xfId="23303" xr:uid="{00000000-0005-0000-0000-0000364D0000}"/>
    <cellStyle name="40% - Accent2 4 5 2 7" xfId="23304" xr:uid="{00000000-0005-0000-0000-0000374D0000}"/>
    <cellStyle name="40% - Accent2 4 5 2 8" xfId="23305" xr:uid="{00000000-0005-0000-0000-0000384D0000}"/>
    <cellStyle name="40% - Accent2 4 5 3" xfId="23306" xr:uid="{00000000-0005-0000-0000-0000394D0000}"/>
    <cellStyle name="40% - Accent2 4 5 3 2" xfId="23307" xr:uid="{00000000-0005-0000-0000-00003A4D0000}"/>
    <cellStyle name="40% - Accent2 4 5 3 2 2" xfId="23308" xr:uid="{00000000-0005-0000-0000-00003B4D0000}"/>
    <cellStyle name="40% - Accent2 4 5 3 2 2 2" xfId="23309" xr:uid="{00000000-0005-0000-0000-00003C4D0000}"/>
    <cellStyle name="40% - Accent2 4 5 3 2 2 2 2" xfId="23310" xr:uid="{00000000-0005-0000-0000-00003D4D0000}"/>
    <cellStyle name="40% - Accent2 4 5 3 2 2 3" xfId="23311" xr:uid="{00000000-0005-0000-0000-00003E4D0000}"/>
    <cellStyle name="40% - Accent2 4 5 3 2 3" xfId="23312" xr:uid="{00000000-0005-0000-0000-00003F4D0000}"/>
    <cellStyle name="40% - Accent2 4 5 3 2 3 2" xfId="23313" xr:uid="{00000000-0005-0000-0000-0000404D0000}"/>
    <cellStyle name="40% - Accent2 4 5 3 2 4" xfId="23314" xr:uid="{00000000-0005-0000-0000-0000414D0000}"/>
    <cellStyle name="40% - Accent2 4 5 3 2 5" xfId="23315" xr:uid="{00000000-0005-0000-0000-0000424D0000}"/>
    <cellStyle name="40% - Accent2 4 5 3 2 6" xfId="23316" xr:uid="{00000000-0005-0000-0000-0000434D0000}"/>
    <cellStyle name="40% - Accent2 4 5 3 3" xfId="23317" xr:uid="{00000000-0005-0000-0000-0000444D0000}"/>
    <cellStyle name="40% - Accent2 4 5 3 3 2" xfId="23318" xr:uid="{00000000-0005-0000-0000-0000454D0000}"/>
    <cellStyle name="40% - Accent2 4 5 3 3 2 2" xfId="23319" xr:uid="{00000000-0005-0000-0000-0000464D0000}"/>
    <cellStyle name="40% - Accent2 4 5 3 3 3" xfId="23320" xr:uid="{00000000-0005-0000-0000-0000474D0000}"/>
    <cellStyle name="40% - Accent2 4 5 3 4" xfId="23321" xr:uid="{00000000-0005-0000-0000-0000484D0000}"/>
    <cellStyle name="40% - Accent2 4 5 3 4 2" xfId="23322" xr:uid="{00000000-0005-0000-0000-0000494D0000}"/>
    <cellStyle name="40% - Accent2 4 5 3 5" xfId="23323" xr:uid="{00000000-0005-0000-0000-00004A4D0000}"/>
    <cellStyle name="40% - Accent2 4 5 3 6" xfId="23324" xr:uid="{00000000-0005-0000-0000-00004B4D0000}"/>
    <cellStyle name="40% - Accent2 4 5 3 7" xfId="23325" xr:uid="{00000000-0005-0000-0000-00004C4D0000}"/>
    <cellStyle name="40% - Accent2 4 5 4" xfId="23326" xr:uid="{00000000-0005-0000-0000-00004D4D0000}"/>
    <cellStyle name="40% - Accent2 4 5 4 2" xfId="23327" xr:uid="{00000000-0005-0000-0000-00004E4D0000}"/>
    <cellStyle name="40% - Accent2 4 5 4 2 2" xfId="23328" xr:uid="{00000000-0005-0000-0000-00004F4D0000}"/>
    <cellStyle name="40% - Accent2 4 5 4 2 2 2" xfId="23329" xr:uid="{00000000-0005-0000-0000-0000504D0000}"/>
    <cellStyle name="40% - Accent2 4 5 4 2 3" xfId="23330" xr:uid="{00000000-0005-0000-0000-0000514D0000}"/>
    <cellStyle name="40% - Accent2 4 5 4 3" xfId="23331" xr:uid="{00000000-0005-0000-0000-0000524D0000}"/>
    <cellStyle name="40% - Accent2 4 5 4 3 2" xfId="23332" xr:uid="{00000000-0005-0000-0000-0000534D0000}"/>
    <cellStyle name="40% - Accent2 4 5 4 4" xfId="23333" xr:uid="{00000000-0005-0000-0000-0000544D0000}"/>
    <cellStyle name="40% - Accent2 4 5 4 5" xfId="23334" xr:uid="{00000000-0005-0000-0000-0000554D0000}"/>
    <cellStyle name="40% - Accent2 4 5 4 6" xfId="23335" xr:uid="{00000000-0005-0000-0000-0000564D0000}"/>
    <cellStyle name="40% - Accent2 4 5 5" xfId="23336" xr:uid="{00000000-0005-0000-0000-0000574D0000}"/>
    <cellStyle name="40% - Accent2 4 5 5 2" xfId="23337" xr:uid="{00000000-0005-0000-0000-0000584D0000}"/>
    <cellStyle name="40% - Accent2 4 5 5 2 2" xfId="23338" xr:uid="{00000000-0005-0000-0000-0000594D0000}"/>
    <cellStyle name="40% - Accent2 4 5 5 3" xfId="23339" xr:uid="{00000000-0005-0000-0000-00005A4D0000}"/>
    <cellStyle name="40% - Accent2 4 5 6" xfId="23340" xr:uid="{00000000-0005-0000-0000-00005B4D0000}"/>
    <cellStyle name="40% - Accent2 4 5 6 2" xfId="23341" xr:uid="{00000000-0005-0000-0000-00005C4D0000}"/>
    <cellStyle name="40% - Accent2 4 5 6 2 2" xfId="23342" xr:uid="{00000000-0005-0000-0000-00005D4D0000}"/>
    <cellStyle name="40% - Accent2 4 5 6 3" xfId="23343" xr:uid="{00000000-0005-0000-0000-00005E4D0000}"/>
    <cellStyle name="40% - Accent2 4 5 7" xfId="23344" xr:uid="{00000000-0005-0000-0000-00005F4D0000}"/>
    <cellStyle name="40% - Accent2 4 5 7 2" xfId="23345" xr:uid="{00000000-0005-0000-0000-0000604D0000}"/>
    <cellStyle name="40% - Accent2 4 5 8" xfId="23346" xr:uid="{00000000-0005-0000-0000-0000614D0000}"/>
    <cellStyle name="40% - Accent2 4 5 8 2" xfId="23347" xr:uid="{00000000-0005-0000-0000-0000624D0000}"/>
    <cellStyle name="40% - Accent2 4 5 9" xfId="23348" xr:uid="{00000000-0005-0000-0000-0000634D0000}"/>
    <cellStyle name="40% - Accent2 4 6" xfId="23349" xr:uid="{00000000-0005-0000-0000-0000644D0000}"/>
    <cellStyle name="40% - Accent2 4 6 10" xfId="23350" xr:uid="{00000000-0005-0000-0000-0000654D0000}"/>
    <cellStyle name="40% - Accent2 4 6 11" xfId="23351" xr:uid="{00000000-0005-0000-0000-0000664D0000}"/>
    <cellStyle name="40% - Accent2 4 6 2" xfId="23352" xr:uid="{00000000-0005-0000-0000-0000674D0000}"/>
    <cellStyle name="40% - Accent2 4 6 2 2" xfId="23353" xr:uid="{00000000-0005-0000-0000-0000684D0000}"/>
    <cellStyle name="40% - Accent2 4 6 2 2 2" xfId="23354" xr:uid="{00000000-0005-0000-0000-0000694D0000}"/>
    <cellStyle name="40% - Accent2 4 6 2 2 2 2" xfId="23355" xr:uid="{00000000-0005-0000-0000-00006A4D0000}"/>
    <cellStyle name="40% - Accent2 4 6 2 2 2 2 2" xfId="23356" xr:uid="{00000000-0005-0000-0000-00006B4D0000}"/>
    <cellStyle name="40% - Accent2 4 6 2 2 2 3" xfId="23357" xr:uid="{00000000-0005-0000-0000-00006C4D0000}"/>
    <cellStyle name="40% - Accent2 4 6 2 2 3" xfId="23358" xr:uid="{00000000-0005-0000-0000-00006D4D0000}"/>
    <cellStyle name="40% - Accent2 4 6 2 2 3 2" xfId="23359" xr:uid="{00000000-0005-0000-0000-00006E4D0000}"/>
    <cellStyle name="40% - Accent2 4 6 2 2 4" xfId="23360" xr:uid="{00000000-0005-0000-0000-00006F4D0000}"/>
    <cellStyle name="40% - Accent2 4 6 2 2 5" xfId="23361" xr:uid="{00000000-0005-0000-0000-0000704D0000}"/>
    <cellStyle name="40% - Accent2 4 6 2 2 6" xfId="23362" xr:uid="{00000000-0005-0000-0000-0000714D0000}"/>
    <cellStyle name="40% - Accent2 4 6 2 3" xfId="23363" xr:uid="{00000000-0005-0000-0000-0000724D0000}"/>
    <cellStyle name="40% - Accent2 4 6 2 3 2" xfId="23364" xr:uid="{00000000-0005-0000-0000-0000734D0000}"/>
    <cellStyle name="40% - Accent2 4 6 2 3 2 2" xfId="23365" xr:uid="{00000000-0005-0000-0000-0000744D0000}"/>
    <cellStyle name="40% - Accent2 4 6 2 3 3" xfId="23366" xr:uid="{00000000-0005-0000-0000-0000754D0000}"/>
    <cellStyle name="40% - Accent2 4 6 2 4" xfId="23367" xr:uid="{00000000-0005-0000-0000-0000764D0000}"/>
    <cellStyle name="40% - Accent2 4 6 2 4 2" xfId="23368" xr:uid="{00000000-0005-0000-0000-0000774D0000}"/>
    <cellStyle name="40% - Accent2 4 6 2 5" xfId="23369" xr:uid="{00000000-0005-0000-0000-0000784D0000}"/>
    <cellStyle name="40% - Accent2 4 6 2 5 2" xfId="23370" xr:uid="{00000000-0005-0000-0000-0000794D0000}"/>
    <cellStyle name="40% - Accent2 4 6 2 6" xfId="23371" xr:uid="{00000000-0005-0000-0000-00007A4D0000}"/>
    <cellStyle name="40% - Accent2 4 6 2 7" xfId="23372" xr:uid="{00000000-0005-0000-0000-00007B4D0000}"/>
    <cellStyle name="40% - Accent2 4 6 2 8" xfId="23373" xr:uid="{00000000-0005-0000-0000-00007C4D0000}"/>
    <cellStyle name="40% - Accent2 4 6 3" xfId="23374" xr:uid="{00000000-0005-0000-0000-00007D4D0000}"/>
    <cellStyle name="40% - Accent2 4 6 3 2" xfId="23375" xr:uid="{00000000-0005-0000-0000-00007E4D0000}"/>
    <cellStyle name="40% - Accent2 4 6 3 2 2" xfId="23376" xr:uid="{00000000-0005-0000-0000-00007F4D0000}"/>
    <cellStyle name="40% - Accent2 4 6 3 2 2 2" xfId="23377" xr:uid="{00000000-0005-0000-0000-0000804D0000}"/>
    <cellStyle name="40% - Accent2 4 6 3 2 2 2 2" xfId="23378" xr:uid="{00000000-0005-0000-0000-0000814D0000}"/>
    <cellStyle name="40% - Accent2 4 6 3 2 2 3" xfId="23379" xr:uid="{00000000-0005-0000-0000-0000824D0000}"/>
    <cellStyle name="40% - Accent2 4 6 3 2 3" xfId="23380" xr:uid="{00000000-0005-0000-0000-0000834D0000}"/>
    <cellStyle name="40% - Accent2 4 6 3 2 3 2" xfId="23381" xr:uid="{00000000-0005-0000-0000-0000844D0000}"/>
    <cellStyle name="40% - Accent2 4 6 3 2 4" xfId="23382" xr:uid="{00000000-0005-0000-0000-0000854D0000}"/>
    <cellStyle name="40% - Accent2 4 6 3 2 5" xfId="23383" xr:uid="{00000000-0005-0000-0000-0000864D0000}"/>
    <cellStyle name="40% - Accent2 4 6 3 2 6" xfId="23384" xr:uid="{00000000-0005-0000-0000-0000874D0000}"/>
    <cellStyle name="40% - Accent2 4 6 3 3" xfId="23385" xr:uid="{00000000-0005-0000-0000-0000884D0000}"/>
    <cellStyle name="40% - Accent2 4 6 3 3 2" xfId="23386" xr:uid="{00000000-0005-0000-0000-0000894D0000}"/>
    <cellStyle name="40% - Accent2 4 6 3 3 2 2" xfId="23387" xr:uid="{00000000-0005-0000-0000-00008A4D0000}"/>
    <cellStyle name="40% - Accent2 4 6 3 3 3" xfId="23388" xr:uid="{00000000-0005-0000-0000-00008B4D0000}"/>
    <cellStyle name="40% - Accent2 4 6 3 4" xfId="23389" xr:uid="{00000000-0005-0000-0000-00008C4D0000}"/>
    <cellStyle name="40% - Accent2 4 6 3 4 2" xfId="23390" xr:uid="{00000000-0005-0000-0000-00008D4D0000}"/>
    <cellStyle name="40% - Accent2 4 6 3 5" xfId="23391" xr:uid="{00000000-0005-0000-0000-00008E4D0000}"/>
    <cellStyle name="40% - Accent2 4 6 3 6" xfId="23392" xr:uid="{00000000-0005-0000-0000-00008F4D0000}"/>
    <cellStyle name="40% - Accent2 4 6 3 7" xfId="23393" xr:uid="{00000000-0005-0000-0000-0000904D0000}"/>
    <cellStyle name="40% - Accent2 4 6 4" xfId="23394" xr:uid="{00000000-0005-0000-0000-0000914D0000}"/>
    <cellStyle name="40% - Accent2 4 6 4 2" xfId="23395" xr:uid="{00000000-0005-0000-0000-0000924D0000}"/>
    <cellStyle name="40% - Accent2 4 6 4 2 2" xfId="23396" xr:uid="{00000000-0005-0000-0000-0000934D0000}"/>
    <cellStyle name="40% - Accent2 4 6 4 2 2 2" xfId="23397" xr:uid="{00000000-0005-0000-0000-0000944D0000}"/>
    <cellStyle name="40% - Accent2 4 6 4 2 3" xfId="23398" xr:uid="{00000000-0005-0000-0000-0000954D0000}"/>
    <cellStyle name="40% - Accent2 4 6 4 3" xfId="23399" xr:uid="{00000000-0005-0000-0000-0000964D0000}"/>
    <cellStyle name="40% - Accent2 4 6 4 3 2" xfId="23400" xr:uid="{00000000-0005-0000-0000-0000974D0000}"/>
    <cellStyle name="40% - Accent2 4 6 4 4" xfId="23401" xr:uid="{00000000-0005-0000-0000-0000984D0000}"/>
    <cellStyle name="40% - Accent2 4 6 4 5" xfId="23402" xr:uid="{00000000-0005-0000-0000-0000994D0000}"/>
    <cellStyle name="40% - Accent2 4 6 4 6" xfId="23403" xr:uid="{00000000-0005-0000-0000-00009A4D0000}"/>
    <cellStyle name="40% - Accent2 4 6 5" xfId="23404" xr:uid="{00000000-0005-0000-0000-00009B4D0000}"/>
    <cellStyle name="40% - Accent2 4 6 5 2" xfId="23405" xr:uid="{00000000-0005-0000-0000-00009C4D0000}"/>
    <cellStyle name="40% - Accent2 4 6 5 2 2" xfId="23406" xr:uid="{00000000-0005-0000-0000-00009D4D0000}"/>
    <cellStyle name="40% - Accent2 4 6 5 3" xfId="23407" xr:uid="{00000000-0005-0000-0000-00009E4D0000}"/>
    <cellStyle name="40% - Accent2 4 6 6" xfId="23408" xr:uid="{00000000-0005-0000-0000-00009F4D0000}"/>
    <cellStyle name="40% - Accent2 4 6 6 2" xfId="23409" xr:uid="{00000000-0005-0000-0000-0000A04D0000}"/>
    <cellStyle name="40% - Accent2 4 6 6 2 2" xfId="23410" xr:uid="{00000000-0005-0000-0000-0000A14D0000}"/>
    <cellStyle name="40% - Accent2 4 6 6 3" xfId="23411" xr:uid="{00000000-0005-0000-0000-0000A24D0000}"/>
    <cellStyle name="40% - Accent2 4 6 7" xfId="23412" xr:uid="{00000000-0005-0000-0000-0000A34D0000}"/>
    <cellStyle name="40% - Accent2 4 6 7 2" xfId="23413" xr:uid="{00000000-0005-0000-0000-0000A44D0000}"/>
    <cellStyle name="40% - Accent2 4 6 8" xfId="23414" xr:uid="{00000000-0005-0000-0000-0000A54D0000}"/>
    <cellStyle name="40% - Accent2 4 6 8 2" xfId="23415" xr:uid="{00000000-0005-0000-0000-0000A64D0000}"/>
    <cellStyle name="40% - Accent2 4 6 9" xfId="23416" xr:uid="{00000000-0005-0000-0000-0000A74D0000}"/>
    <cellStyle name="40% - Accent2 4 7" xfId="23417" xr:uid="{00000000-0005-0000-0000-0000A84D0000}"/>
    <cellStyle name="40% - Accent2 4 7 10" xfId="23418" xr:uid="{00000000-0005-0000-0000-0000A94D0000}"/>
    <cellStyle name="40% - Accent2 4 7 11" xfId="23419" xr:uid="{00000000-0005-0000-0000-0000AA4D0000}"/>
    <cellStyle name="40% - Accent2 4 7 2" xfId="23420" xr:uid="{00000000-0005-0000-0000-0000AB4D0000}"/>
    <cellStyle name="40% - Accent2 4 7 2 2" xfId="23421" xr:uid="{00000000-0005-0000-0000-0000AC4D0000}"/>
    <cellStyle name="40% - Accent2 4 7 2 2 2" xfId="23422" xr:uid="{00000000-0005-0000-0000-0000AD4D0000}"/>
    <cellStyle name="40% - Accent2 4 7 2 2 2 2" xfId="23423" xr:uid="{00000000-0005-0000-0000-0000AE4D0000}"/>
    <cellStyle name="40% - Accent2 4 7 2 2 2 2 2" xfId="23424" xr:uid="{00000000-0005-0000-0000-0000AF4D0000}"/>
    <cellStyle name="40% - Accent2 4 7 2 2 2 3" xfId="23425" xr:uid="{00000000-0005-0000-0000-0000B04D0000}"/>
    <cellStyle name="40% - Accent2 4 7 2 2 3" xfId="23426" xr:uid="{00000000-0005-0000-0000-0000B14D0000}"/>
    <cellStyle name="40% - Accent2 4 7 2 2 3 2" xfId="23427" xr:uid="{00000000-0005-0000-0000-0000B24D0000}"/>
    <cellStyle name="40% - Accent2 4 7 2 2 4" xfId="23428" xr:uid="{00000000-0005-0000-0000-0000B34D0000}"/>
    <cellStyle name="40% - Accent2 4 7 2 2 5" xfId="23429" xr:uid="{00000000-0005-0000-0000-0000B44D0000}"/>
    <cellStyle name="40% - Accent2 4 7 2 2 6" xfId="23430" xr:uid="{00000000-0005-0000-0000-0000B54D0000}"/>
    <cellStyle name="40% - Accent2 4 7 2 3" xfId="23431" xr:uid="{00000000-0005-0000-0000-0000B64D0000}"/>
    <cellStyle name="40% - Accent2 4 7 2 3 2" xfId="23432" xr:uid="{00000000-0005-0000-0000-0000B74D0000}"/>
    <cellStyle name="40% - Accent2 4 7 2 3 2 2" xfId="23433" xr:uid="{00000000-0005-0000-0000-0000B84D0000}"/>
    <cellStyle name="40% - Accent2 4 7 2 3 3" xfId="23434" xr:uid="{00000000-0005-0000-0000-0000B94D0000}"/>
    <cellStyle name="40% - Accent2 4 7 2 4" xfId="23435" xr:uid="{00000000-0005-0000-0000-0000BA4D0000}"/>
    <cellStyle name="40% - Accent2 4 7 2 4 2" xfId="23436" xr:uid="{00000000-0005-0000-0000-0000BB4D0000}"/>
    <cellStyle name="40% - Accent2 4 7 2 5" xfId="23437" xr:uid="{00000000-0005-0000-0000-0000BC4D0000}"/>
    <cellStyle name="40% - Accent2 4 7 2 5 2" xfId="23438" xr:uid="{00000000-0005-0000-0000-0000BD4D0000}"/>
    <cellStyle name="40% - Accent2 4 7 2 6" xfId="23439" xr:uid="{00000000-0005-0000-0000-0000BE4D0000}"/>
    <cellStyle name="40% - Accent2 4 7 2 7" xfId="23440" xr:uid="{00000000-0005-0000-0000-0000BF4D0000}"/>
    <cellStyle name="40% - Accent2 4 7 2 8" xfId="23441" xr:uid="{00000000-0005-0000-0000-0000C04D0000}"/>
    <cellStyle name="40% - Accent2 4 7 3" xfId="23442" xr:uid="{00000000-0005-0000-0000-0000C14D0000}"/>
    <cellStyle name="40% - Accent2 4 7 3 2" xfId="23443" xr:uid="{00000000-0005-0000-0000-0000C24D0000}"/>
    <cellStyle name="40% - Accent2 4 7 3 2 2" xfId="23444" xr:uid="{00000000-0005-0000-0000-0000C34D0000}"/>
    <cellStyle name="40% - Accent2 4 7 3 2 2 2" xfId="23445" xr:uid="{00000000-0005-0000-0000-0000C44D0000}"/>
    <cellStyle name="40% - Accent2 4 7 3 2 2 2 2" xfId="23446" xr:uid="{00000000-0005-0000-0000-0000C54D0000}"/>
    <cellStyle name="40% - Accent2 4 7 3 2 2 3" xfId="23447" xr:uid="{00000000-0005-0000-0000-0000C64D0000}"/>
    <cellStyle name="40% - Accent2 4 7 3 2 3" xfId="23448" xr:uid="{00000000-0005-0000-0000-0000C74D0000}"/>
    <cellStyle name="40% - Accent2 4 7 3 2 3 2" xfId="23449" xr:uid="{00000000-0005-0000-0000-0000C84D0000}"/>
    <cellStyle name="40% - Accent2 4 7 3 2 4" xfId="23450" xr:uid="{00000000-0005-0000-0000-0000C94D0000}"/>
    <cellStyle name="40% - Accent2 4 7 3 2 5" xfId="23451" xr:uid="{00000000-0005-0000-0000-0000CA4D0000}"/>
    <cellStyle name="40% - Accent2 4 7 3 2 6" xfId="23452" xr:uid="{00000000-0005-0000-0000-0000CB4D0000}"/>
    <cellStyle name="40% - Accent2 4 7 3 3" xfId="23453" xr:uid="{00000000-0005-0000-0000-0000CC4D0000}"/>
    <cellStyle name="40% - Accent2 4 7 3 3 2" xfId="23454" xr:uid="{00000000-0005-0000-0000-0000CD4D0000}"/>
    <cellStyle name="40% - Accent2 4 7 3 3 2 2" xfId="23455" xr:uid="{00000000-0005-0000-0000-0000CE4D0000}"/>
    <cellStyle name="40% - Accent2 4 7 3 3 3" xfId="23456" xr:uid="{00000000-0005-0000-0000-0000CF4D0000}"/>
    <cellStyle name="40% - Accent2 4 7 3 4" xfId="23457" xr:uid="{00000000-0005-0000-0000-0000D04D0000}"/>
    <cellStyle name="40% - Accent2 4 7 3 4 2" xfId="23458" xr:uid="{00000000-0005-0000-0000-0000D14D0000}"/>
    <cellStyle name="40% - Accent2 4 7 3 5" xfId="23459" xr:uid="{00000000-0005-0000-0000-0000D24D0000}"/>
    <cellStyle name="40% - Accent2 4 7 3 6" xfId="23460" xr:uid="{00000000-0005-0000-0000-0000D34D0000}"/>
    <cellStyle name="40% - Accent2 4 7 3 7" xfId="23461" xr:uid="{00000000-0005-0000-0000-0000D44D0000}"/>
    <cellStyle name="40% - Accent2 4 7 4" xfId="23462" xr:uid="{00000000-0005-0000-0000-0000D54D0000}"/>
    <cellStyle name="40% - Accent2 4 7 4 2" xfId="23463" xr:uid="{00000000-0005-0000-0000-0000D64D0000}"/>
    <cellStyle name="40% - Accent2 4 7 4 2 2" xfId="23464" xr:uid="{00000000-0005-0000-0000-0000D74D0000}"/>
    <cellStyle name="40% - Accent2 4 7 4 2 2 2" xfId="23465" xr:uid="{00000000-0005-0000-0000-0000D84D0000}"/>
    <cellStyle name="40% - Accent2 4 7 4 2 3" xfId="23466" xr:uid="{00000000-0005-0000-0000-0000D94D0000}"/>
    <cellStyle name="40% - Accent2 4 7 4 3" xfId="23467" xr:uid="{00000000-0005-0000-0000-0000DA4D0000}"/>
    <cellStyle name="40% - Accent2 4 7 4 3 2" xfId="23468" xr:uid="{00000000-0005-0000-0000-0000DB4D0000}"/>
    <cellStyle name="40% - Accent2 4 7 4 4" xfId="23469" xr:uid="{00000000-0005-0000-0000-0000DC4D0000}"/>
    <cellStyle name="40% - Accent2 4 7 4 5" xfId="23470" xr:uid="{00000000-0005-0000-0000-0000DD4D0000}"/>
    <cellStyle name="40% - Accent2 4 7 4 6" xfId="23471" xr:uid="{00000000-0005-0000-0000-0000DE4D0000}"/>
    <cellStyle name="40% - Accent2 4 7 5" xfId="23472" xr:uid="{00000000-0005-0000-0000-0000DF4D0000}"/>
    <cellStyle name="40% - Accent2 4 7 5 2" xfId="23473" xr:uid="{00000000-0005-0000-0000-0000E04D0000}"/>
    <cellStyle name="40% - Accent2 4 7 5 2 2" xfId="23474" xr:uid="{00000000-0005-0000-0000-0000E14D0000}"/>
    <cellStyle name="40% - Accent2 4 7 5 3" xfId="23475" xr:uid="{00000000-0005-0000-0000-0000E24D0000}"/>
    <cellStyle name="40% - Accent2 4 7 6" xfId="23476" xr:uid="{00000000-0005-0000-0000-0000E34D0000}"/>
    <cellStyle name="40% - Accent2 4 7 6 2" xfId="23477" xr:uid="{00000000-0005-0000-0000-0000E44D0000}"/>
    <cellStyle name="40% - Accent2 4 7 6 2 2" xfId="23478" xr:uid="{00000000-0005-0000-0000-0000E54D0000}"/>
    <cellStyle name="40% - Accent2 4 7 6 3" xfId="23479" xr:uid="{00000000-0005-0000-0000-0000E64D0000}"/>
    <cellStyle name="40% - Accent2 4 7 7" xfId="23480" xr:uid="{00000000-0005-0000-0000-0000E74D0000}"/>
    <cellStyle name="40% - Accent2 4 7 7 2" xfId="23481" xr:uid="{00000000-0005-0000-0000-0000E84D0000}"/>
    <cellStyle name="40% - Accent2 4 7 8" xfId="23482" xr:uid="{00000000-0005-0000-0000-0000E94D0000}"/>
    <cellStyle name="40% - Accent2 4 7 8 2" xfId="23483" xr:uid="{00000000-0005-0000-0000-0000EA4D0000}"/>
    <cellStyle name="40% - Accent2 4 7 9" xfId="23484" xr:uid="{00000000-0005-0000-0000-0000EB4D0000}"/>
    <cellStyle name="40% - Accent2 4 8" xfId="23485" xr:uid="{00000000-0005-0000-0000-0000EC4D0000}"/>
    <cellStyle name="40% - Accent2 4 8 10" xfId="23486" xr:uid="{00000000-0005-0000-0000-0000ED4D0000}"/>
    <cellStyle name="40% - Accent2 4 8 11" xfId="23487" xr:uid="{00000000-0005-0000-0000-0000EE4D0000}"/>
    <cellStyle name="40% - Accent2 4 8 2" xfId="23488" xr:uid="{00000000-0005-0000-0000-0000EF4D0000}"/>
    <cellStyle name="40% - Accent2 4 8 2 2" xfId="23489" xr:uid="{00000000-0005-0000-0000-0000F04D0000}"/>
    <cellStyle name="40% - Accent2 4 8 2 2 2" xfId="23490" xr:uid="{00000000-0005-0000-0000-0000F14D0000}"/>
    <cellStyle name="40% - Accent2 4 8 2 2 2 2" xfId="23491" xr:uid="{00000000-0005-0000-0000-0000F24D0000}"/>
    <cellStyle name="40% - Accent2 4 8 2 2 2 2 2" xfId="23492" xr:uid="{00000000-0005-0000-0000-0000F34D0000}"/>
    <cellStyle name="40% - Accent2 4 8 2 2 2 3" xfId="23493" xr:uid="{00000000-0005-0000-0000-0000F44D0000}"/>
    <cellStyle name="40% - Accent2 4 8 2 2 3" xfId="23494" xr:uid="{00000000-0005-0000-0000-0000F54D0000}"/>
    <cellStyle name="40% - Accent2 4 8 2 2 3 2" xfId="23495" xr:uid="{00000000-0005-0000-0000-0000F64D0000}"/>
    <cellStyle name="40% - Accent2 4 8 2 2 4" xfId="23496" xr:uid="{00000000-0005-0000-0000-0000F74D0000}"/>
    <cellStyle name="40% - Accent2 4 8 2 2 5" xfId="23497" xr:uid="{00000000-0005-0000-0000-0000F84D0000}"/>
    <cellStyle name="40% - Accent2 4 8 2 2 6" xfId="23498" xr:uid="{00000000-0005-0000-0000-0000F94D0000}"/>
    <cellStyle name="40% - Accent2 4 8 2 3" xfId="23499" xr:uid="{00000000-0005-0000-0000-0000FA4D0000}"/>
    <cellStyle name="40% - Accent2 4 8 2 3 2" xfId="23500" xr:uid="{00000000-0005-0000-0000-0000FB4D0000}"/>
    <cellStyle name="40% - Accent2 4 8 2 3 2 2" xfId="23501" xr:uid="{00000000-0005-0000-0000-0000FC4D0000}"/>
    <cellStyle name="40% - Accent2 4 8 2 3 3" xfId="23502" xr:uid="{00000000-0005-0000-0000-0000FD4D0000}"/>
    <cellStyle name="40% - Accent2 4 8 2 4" xfId="23503" xr:uid="{00000000-0005-0000-0000-0000FE4D0000}"/>
    <cellStyle name="40% - Accent2 4 8 2 4 2" xfId="23504" xr:uid="{00000000-0005-0000-0000-0000FF4D0000}"/>
    <cellStyle name="40% - Accent2 4 8 2 5" xfId="23505" xr:uid="{00000000-0005-0000-0000-0000004E0000}"/>
    <cellStyle name="40% - Accent2 4 8 2 5 2" xfId="23506" xr:uid="{00000000-0005-0000-0000-0000014E0000}"/>
    <cellStyle name="40% - Accent2 4 8 2 6" xfId="23507" xr:uid="{00000000-0005-0000-0000-0000024E0000}"/>
    <cellStyle name="40% - Accent2 4 8 2 7" xfId="23508" xr:uid="{00000000-0005-0000-0000-0000034E0000}"/>
    <cellStyle name="40% - Accent2 4 8 2 8" xfId="23509" xr:uid="{00000000-0005-0000-0000-0000044E0000}"/>
    <cellStyle name="40% - Accent2 4 8 3" xfId="23510" xr:uid="{00000000-0005-0000-0000-0000054E0000}"/>
    <cellStyle name="40% - Accent2 4 8 3 2" xfId="23511" xr:uid="{00000000-0005-0000-0000-0000064E0000}"/>
    <cellStyle name="40% - Accent2 4 8 3 2 2" xfId="23512" xr:uid="{00000000-0005-0000-0000-0000074E0000}"/>
    <cellStyle name="40% - Accent2 4 8 3 2 2 2" xfId="23513" xr:uid="{00000000-0005-0000-0000-0000084E0000}"/>
    <cellStyle name="40% - Accent2 4 8 3 2 2 2 2" xfId="23514" xr:uid="{00000000-0005-0000-0000-0000094E0000}"/>
    <cellStyle name="40% - Accent2 4 8 3 2 2 3" xfId="23515" xr:uid="{00000000-0005-0000-0000-00000A4E0000}"/>
    <cellStyle name="40% - Accent2 4 8 3 2 3" xfId="23516" xr:uid="{00000000-0005-0000-0000-00000B4E0000}"/>
    <cellStyle name="40% - Accent2 4 8 3 2 3 2" xfId="23517" xr:uid="{00000000-0005-0000-0000-00000C4E0000}"/>
    <cellStyle name="40% - Accent2 4 8 3 2 4" xfId="23518" xr:uid="{00000000-0005-0000-0000-00000D4E0000}"/>
    <cellStyle name="40% - Accent2 4 8 3 2 5" xfId="23519" xr:uid="{00000000-0005-0000-0000-00000E4E0000}"/>
    <cellStyle name="40% - Accent2 4 8 3 2 6" xfId="23520" xr:uid="{00000000-0005-0000-0000-00000F4E0000}"/>
    <cellStyle name="40% - Accent2 4 8 3 3" xfId="23521" xr:uid="{00000000-0005-0000-0000-0000104E0000}"/>
    <cellStyle name="40% - Accent2 4 8 3 3 2" xfId="23522" xr:uid="{00000000-0005-0000-0000-0000114E0000}"/>
    <cellStyle name="40% - Accent2 4 8 3 3 2 2" xfId="23523" xr:uid="{00000000-0005-0000-0000-0000124E0000}"/>
    <cellStyle name="40% - Accent2 4 8 3 3 3" xfId="23524" xr:uid="{00000000-0005-0000-0000-0000134E0000}"/>
    <cellStyle name="40% - Accent2 4 8 3 4" xfId="23525" xr:uid="{00000000-0005-0000-0000-0000144E0000}"/>
    <cellStyle name="40% - Accent2 4 8 3 4 2" xfId="23526" xr:uid="{00000000-0005-0000-0000-0000154E0000}"/>
    <cellStyle name="40% - Accent2 4 8 3 5" xfId="23527" xr:uid="{00000000-0005-0000-0000-0000164E0000}"/>
    <cellStyle name="40% - Accent2 4 8 3 6" xfId="23528" xr:uid="{00000000-0005-0000-0000-0000174E0000}"/>
    <cellStyle name="40% - Accent2 4 8 3 7" xfId="23529" xr:uid="{00000000-0005-0000-0000-0000184E0000}"/>
    <cellStyle name="40% - Accent2 4 8 4" xfId="23530" xr:uid="{00000000-0005-0000-0000-0000194E0000}"/>
    <cellStyle name="40% - Accent2 4 8 4 2" xfId="23531" xr:uid="{00000000-0005-0000-0000-00001A4E0000}"/>
    <cellStyle name="40% - Accent2 4 8 4 2 2" xfId="23532" xr:uid="{00000000-0005-0000-0000-00001B4E0000}"/>
    <cellStyle name="40% - Accent2 4 8 4 2 2 2" xfId="23533" xr:uid="{00000000-0005-0000-0000-00001C4E0000}"/>
    <cellStyle name="40% - Accent2 4 8 4 2 3" xfId="23534" xr:uid="{00000000-0005-0000-0000-00001D4E0000}"/>
    <cellStyle name="40% - Accent2 4 8 4 3" xfId="23535" xr:uid="{00000000-0005-0000-0000-00001E4E0000}"/>
    <cellStyle name="40% - Accent2 4 8 4 3 2" xfId="23536" xr:uid="{00000000-0005-0000-0000-00001F4E0000}"/>
    <cellStyle name="40% - Accent2 4 8 4 4" xfId="23537" xr:uid="{00000000-0005-0000-0000-0000204E0000}"/>
    <cellStyle name="40% - Accent2 4 8 4 5" xfId="23538" xr:uid="{00000000-0005-0000-0000-0000214E0000}"/>
    <cellStyle name="40% - Accent2 4 8 4 6" xfId="23539" xr:uid="{00000000-0005-0000-0000-0000224E0000}"/>
    <cellStyle name="40% - Accent2 4 8 5" xfId="23540" xr:uid="{00000000-0005-0000-0000-0000234E0000}"/>
    <cellStyle name="40% - Accent2 4 8 5 2" xfId="23541" xr:uid="{00000000-0005-0000-0000-0000244E0000}"/>
    <cellStyle name="40% - Accent2 4 8 5 2 2" xfId="23542" xr:uid="{00000000-0005-0000-0000-0000254E0000}"/>
    <cellStyle name="40% - Accent2 4 8 5 3" xfId="23543" xr:uid="{00000000-0005-0000-0000-0000264E0000}"/>
    <cellStyle name="40% - Accent2 4 8 6" xfId="23544" xr:uid="{00000000-0005-0000-0000-0000274E0000}"/>
    <cellStyle name="40% - Accent2 4 8 6 2" xfId="23545" xr:uid="{00000000-0005-0000-0000-0000284E0000}"/>
    <cellStyle name="40% - Accent2 4 8 6 2 2" xfId="23546" xr:uid="{00000000-0005-0000-0000-0000294E0000}"/>
    <cellStyle name="40% - Accent2 4 8 6 3" xfId="23547" xr:uid="{00000000-0005-0000-0000-00002A4E0000}"/>
    <cellStyle name="40% - Accent2 4 8 7" xfId="23548" xr:uid="{00000000-0005-0000-0000-00002B4E0000}"/>
    <cellStyle name="40% - Accent2 4 8 7 2" xfId="23549" xr:uid="{00000000-0005-0000-0000-00002C4E0000}"/>
    <cellStyle name="40% - Accent2 4 8 8" xfId="23550" xr:uid="{00000000-0005-0000-0000-00002D4E0000}"/>
    <cellStyle name="40% - Accent2 4 8 8 2" xfId="23551" xr:uid="{00000000-0005-0000-0000-00002E4E0000}"/>
    <cellStyle name="40% - Accent2 4 8 9" xfId="23552" xr:uid="{00000000-0005-0000-0000-00002F4E0000}"/>
    <cellStyle name="40% - Accent2 4 9" xfId="23553" xr:uid="{00000000-0005-0000-0000-0000304E0000}"/>
    <cellStyle name="40% - Accent2 4 9 10" xfId="23554" xr:uid="{00000000-0005-0000-0000-0000314E0000}"/>
    <cellStyle name="40% - Accent2 4 9 2" xfId="23555" xr:uid="{00000000-0005-0000-0000-0000324E0000}"/>
    <cellStyle name="40% - Accent2 4 9 2 2" xfId="23556" xr:uid="{00000000-0005-0000-0000-0000334E0000}"/>
    <cellStyle name="40% - Accent2 4 9 2 2 2" xfId="23557" xr:uid="{00000000-0005-0000-0000-0000344E0000}"/>
    <cellStyle name="40% - Accent2 4 9 2 2 2 2" xfId="23558" xr:uid="{00000000-0005-0000-0000-0000354E0000}"/>
    <cellStyle name="40% - Accent2 4 9 2 2 2 2 2" xfId="23559" xr:uid="{00000000-0005-0000-0000-0000364E0000}"/>
    <cellStyle name="40% - Accent2 4 9 2 2 2 3" xfId="23560" xr:uid="{00000000-0005-0000-0000-0000374E0000}"/>
    <cellStyle name="40% - Accent2 4 9 2 2 3" xfId="23561" xr:uid="{00000000-0005-0000-0000-0000384E0000}"/>
    <cellStyle name="40% - Accent2 4 9 2 2 3 2" xfId="23562" xr:uid="{00000000-0005-0000-0000-0000394E0000}"/>
    <cellStyle name="40% - Accent2 4 9 2 2 4" xfId="23563" xr:uid="{00000000-0005-0000-0000-00003A4E0000}"/>
    <cellStyle name="40% - Accent2 4 9 2 2 5" xfId="23564" xr:uid="{00000000-0005-0000-0000-00003B4E0000}"/>
    <cellStyle name="40% - Accent2 4 9 2 2 6" xfId="23565" xr:uid="{00000000-0005-0000-0000-00003C4E0000}"/>
    <cellStyle name="40% - Accent2 4 9 2 3" xfId="23566" xr:uid="{00000000-0005-0000-0000-00003D4E0000}"/>
    <cellStyle name="40% - Accent2 4 9 2 3 2" xfId="23567" xr:uid="{00000000-0005-0000-0000-00003E4E0000}"/>
    <cellStyle name="40% - Accent2 4 9 2 3 2 2" xfId="23568" xr:uid="{00000000-0005-0000-0000-00003F4E0000}"/>
    <cellStyle name="40% - Accent2 4 9 2 3 3" xfId="23569" xr:uid="{00000000-0005-0000-0000-0000404E0000}"/>
    <cellStyle name="40% - Accent2 4 9 2 4" xfId="23570" xr:uid="{00000000-0005-0000-0000-0000414E0000}"/>
    <cellStyle name="40% - Accent2 4 9 2 4 2" xfId="23571" xr:uid="{00000000-0005-0000-0000-0000424E0000}"/>
    <cellStyle name="40% - Accent2 4 9 2 5" xfId="23572" xr:uid="{00000000-0005-0000-0000-0000434E0000}"/>
    <cellStyle name="40% - Accent2 4 9 2 6" xfId="23573" xr:uid="{00000000-0005-0000-0000-0000444E0000}"/>
    <cellStyle name="40% - Accent2 4 9 2 7" xfId="23574" xr:uid="{00000000-0005-0000-0000-0000454E0000}"/>
    <cellStyle name="40% - Accent2 4 9 3" xfId="23575" xr:uid="{00000000-0005-0000-0000-0000464E0000}"/>
    <cellStyle name="40% - Accent2 4 9 3 2" xfId="23576" xr:uid="{00000000-0005-0000-0000-0000474E0000}"/>
    <cellStyle name="40% - Accent2 4 9 3 2 2" xfId="23577" xr:uid="{00000000-0005-0000-0000-0000484E0000}"/>
    <cellStyle name="40% - Accent2 4 9 3 2 2 2" xfId="23578" xr:uid="{00000000-0005-0000-0000-0000494E0000}"/>
    <cellStyle name="40% - Accent2 4 9 3 2 3" xfId="23579" xr:uid="{00000000-0005-0000-0000-00004A4E0000}"/>
    <cellStyle name="40% - Accent2 4 9 3 3" xfId="23580" xr:uid="{00000000-0005-0000-0000-00004B4E0000}"/>
    <cellStyle name="40% - Accent2 4 9 3 3 2" xfId="23581" xr:uid="{00000000-0005-0000-0000-00004C4E0000}"/>
    <cellStyle name="40% - Accent2 4 9 3 4" xfId="23582" xr:uid="{00000000-0005-0000-0000-00004D4E0000}"/>
    <cellStyle name="40% - Accent2 4 9 3 5" xfId="23583" xr:uid="{00000000-0005-0000-0000-00004E4E0000}"/>
    <cellStyle name="40% - Accent2 4 9 3 6" xfId="23584" xr:uid="{00000000-0005-0000-0000-00004F4E0000}"/>
    <cellStyle name="40% - Accent2 4 9 4" xfId="23585" xr:uid="{00000000-0005-0000-0000-0000504E0000}"/>
    <cellStyle name="40% - Accent2 4 9 4 2" xfId="23586" xr:uid="{00000000-0005-0000-0000-0000514E0000}"/>
    <cellStyle name="40% - Accent2 4 9 4 2 2" xfId="23587" xr:uid="{00000000-0005-0000-0000-0000524E0000}"/>
    <cellStyle name="40% - Accent2 4 9 4 3" xfId="23588" xr:uid="{00000000-0005-0000-0000-0000534E0000}"/>
    <cellStyle name="40% - Accent2 4 9 5" xfId="23589" xr:uid="{00000000-0005-0000-0000-0000544E0000}"/>
    <cellStyle name="40% - Accent2 4 9 5 2" xfId="23590" xr:uid="{00000000-0005-0000-0000-0000554E0000}"/>
    <cellStyle name="40% - Accent2 4 9 5 2 2" xfId="23591" xr:uid="{00000000-0005-0000-0000-0000564E0000}"/>
    <cellStyle name="40% - Accent2 4 9 5 3" xfId="23592" xr:uid="{00000000-0005-0000-0000-0000574E0000}"/>
    <cellStyle name="40% - Accent2 4 9 6" xfId="23593" xr:uid="{00000000-0005-0000-0000-0000584E0000}"/>
    <cellStyle name="40% - Accent2 4 9 6 2" xfId="23594" xr:uid="{00000000-0005-0000-0000-0000594E0000}"/>
    <cellStyle name="40% - Accent2 4 9 7" xfId="23595" xr:uid="{00000000-0005-0000-0000-00005A4E0000}"/>
    <cellStyle name="40% - Accent2 4 9 7 2" xfId="23596" xr:uid="{00000000-0005-0000-0000-00005B4E0000}"/>
    <cellStyle name="40% - Accent2 4 9 8" xfId="23597" xr:uid="{00000000-0005-0000-0000-00005C4E0000}"/>
    <cellStyle name="40% - Accent2 4 9 9" xfId="23598" xr:uid="{00000000-0005-0000-0000-00005D4E0000}"/>
    <cellStyle name="40% - Accent2 5" xfId="199" xr:uid="{00000000-0005-0000-0000-00005E4E0000}"/>
    <cellStyle name="40% - Accent2 5 10" xfId="23599" xr:uid="{00000000-0005-0000-0000-00005F4E0000}"/>
    <cellStyle name="40% - Accent2 5 10 2" xfId="23600" xr:uid="{00000000-0005-0000-0000-0000604E0000}"/>
    <cellStyle name="40% - Accent2 5 11" xfId="23601" xr:uid="{00000000-0005-0000-0000-0000614E0000}"/>
    <cellStyle name="40% - Accent2 5 11 2" xfId="23602" xr:uid="{00000000-0005-0000-0000-0000624E0000}"/>
    <cellStyle name="40% - Accent2 5 11 2 2" xfId="23603" xr:uid="{00000000-0005-0000-0000-0000634E0000}"/>
    <cellStyle name="40% - Accent2 5 11 2 2 2" xfId="23604" xr:uid="{00000000-0005-0000-0000-0000644E0000}"/>
    <cellStyle name="40% - Accent2 5 11 2 2 2 2" xfId="23605" xr:uid="{00000000-0005-0000-0000-0000654E0000}"/>
    <cellStyle name="40% - Accent2 5 11 2 2 3" xfId="23606" xr:uid="{00000000-0005-0000-0000-0000664E0000}"/>
    <cellStyle name="40% - Accent2 5 11 2 3" xfId="23607" xr:uid="{00000000-0005-0000-0000-0000674E0000}"/>
    <cellStyle name="40% - Accent2 5 11 2 3 2" xfId="23608" xr:uid="{00000000-0005-0000-0000-0000684E0000}"/>
    <cellStyle name="40% - Accent2 5 11 2 4" xfId="23609" xr:uid="{00000000-0005-0000-0000-0000694E0000}"/>
    <cellStyle name="40% - Accent2 5 11 2 5" xfId="23610" xr:uid="{00000000-0005-0000-0000-00006A4E0000}"/>
    <cellStyle name="40% - Accent2 5 11 2 6" xfId="23611" xr:uid="{00000000-0005-0000-0000-00006B4E0000}"/>
    <cellStyle name="40% - Accent2 5 11 3" xfId="23612" xr:uid="{00000000-0005-0000-0000-00006C4E0000}"/>
    <cellStyle name="40% - Accent2 5 11 3 2" xfId="23613" xr:uid="{00000000-0005-0000-0000-00006D4E0000}"/>
    <cellStyle name="40% - Accent2 5 11 3 2 2" xfId="23614" xr:uid="{00000000-0005-0000-0000-00006E4E0000}"/>
    <cellStyle name="40% - Accent2 5 11 3 3" xfId="23615" xr:uid="{00000000-0005-0000-0000-00006F4E0000}"/>
    <cellStyle name="40% - Accent2 5 11 4" xfId="23616" xr:uid="{00000000-0005-0000-0000-0000704E0000}"/>
    <cellStyle name="40% - Accent2 5 11 4 2" xfId="23617" xr:uid="{00000000-0005-0000-0000-0000714E0000}"/>
    <cellStyle name="40% - Accent2 5 11 5" xfId="23618" xr:uid="{00000000-0005-0000-0000-0000724E0000}"/>
    <cellStyle name="40% - Accent2 5 11 6" xfId="23619" xr:uid="{00000000-0005-0000-0000-0000734E0000}"/>
    <cellStyle name="40% - Accent2 5 11 7" xfId="23620" xr:uid="{00000000-0005-0000-0000-0000744E0000}"/>
    <cellStyle name="40% - Accent2 5 12" xfId="23621" xr:uid="{00000000-0005-0000-0000-0000754E0000}"/>
    <cellStyle name="40% - Accent2 5 12 2" xfId="23622" xr:uid="{00000000-0005-0000-0000-0000764E0000}"/>
    <cellStyle name="40% - Accent2 5 12 2 2" xfId="23623" xr:uid="{00000000-0005-0000-0000-0000774E0000}"/>
    <cellStyle name="40% - Accent2 5 12 2 2 2" xfId="23624" xr:uid="{00000000-0005-0000-0000-0000784E0000}"/>
    <cellStyle name="40% - Accent2 5 12 2 2 2 2" xfId="23625" xr:uid="{00000000-0005-0000-0000-0000794E0000}"/>
    <cellStyle name="40% - Accent2 5 12 2 2 3" xfId="23626" xr:uid="{00000000-0005-0000-0000-00007A4E0000}"/>
    <cellStyle name="40% - Accent2 5 12 2 3" xfId="23627" xr:uid="{00000000-0005-0000-0000-00007B4E0000}"/>
    <cellStyle name="40% - Accent2 5 12 2 3 2" xfId="23628" xr:uid="{00000000-0005-0000-0000-00007C4E0000}"/>
    <cellStyle name="40% - Accent2 5 12 2 4" xfId="23629" xr:uid="{00000000-0005-0000-0000-00007D4E0000}"/>
    <cellStyle name="40% - Accent2 5 12 2 5" xfId="23630" xr:uid="{00000000-0005-0000-0000-00007E4E0000}"/>
    <cellStyle name="40% - Accent2 5 12 2 6" xfId="23631" xr:uid="{00000000-0005-0000-0000-00007F4E0000}"/>
    <cellStyle name="40% - Accent2 5 12 3" xfId="23632" xr:uid="{00000000-0005-0000-0000-0000804E0000}"/>
    <cellStyle name="40% - Accent2 5 12 3 2" xfId="23633" xr:uid="{00000000-0005-0000-0000-0000814E0000}"/>
    <cellStyle name="40% - Accent2 5 12 3 2 2" xfId="23634" xr:uid="{00000000-0005-0000-0000-0000824E0000}"/>
    <cellStyle name="40% - Accent2 5 12 3 3" xfId="23635" xr:uid="{00000000-0005-0000-0000-0000834E0000}"/>
    <cellStyle name="40% - Accent2 5 12 4" xfId="23636" xr:uid="{00000000-0005-0000-0000-0000844E0000}"/>
    <cellStyle name="40% - Accent2 5 12 4 2" xfId="23637" xr:uid="{00000000-0005-0000-0000-0000854E0000}"/>
    <cellStyle name="40% - Accent2 5 12 5" xfId="23638" xr:uid="{00000000-0005-0000-0000-0000864E0000}"/>
    <cellStyle name="40% - Accent2 5 12 6" xfId="23639" xr:uid="{00000000-0005-0000-0000-0000874E0000}"/>
    <cellStyle name="40% - Accent2 5 12 7" xfId="23640" xr:uid="{00000000-0005-0000-0000-0000884E0000}"/>
    <cellStyle name="40% - Accent2 5 13" xfId="23641" xr:uid="{00000000-0005-0000-0000-0000894E0000}"/>
    <cellStyle name="40% - Accent2 5 13 2" xfId="23642" xr:uid="{00000000-0005-0000-0000-00008A4E0000}"/>
    <cellStyle name="40% - Accent2 5 13 2 2" xfId="23643" xr:uid="{00000000-0005-0000-0000-00008B4E0000}"/>
    <cellStyle name="40% - Accent2 5 13 2 2 2" xfId="23644" xr:uid="{00000000-0005-0000-0000-00008C4E0000}"/>
    <cellStyle name="40% - Accent2 5 13 2 3" xfId="23645" xr:uid="{00000000-0005-0000-0000-00008D4E0000}"/>
    <cellStyle name="40% - Accent2 5 13 3" xfId="23646" xr:uid="{00000000-0005-0000-0000-00008E4E0000}"/>
    <cellStyle name="40% - Accent2 5 13 3 2" xfId="23647" xr:uid="{00000000-0005-0000-0000-00008F4E0000}"/>
    <cellStyle name="40% - Accent2 5 13 4" xfId="23648" xr:uid="{00000000-0005-0000-0000-0000904E0000}"/>
    <cellStyle name="40% - Accent2 5 13 5" xfId="23649" xr:uid="{00000000-0005-0000-0000-0000914E0000}"/>
    <cellStyle name="40% - Accent2 5 13 6" xfId="23650" xr:uid="{00000000-0005-0000-0000-0000924E0000}"/>
    <cellStyle name="40% - Accent2 5 14" xfId="23651" xr:uid="{00000000-0005-0000-0000-0000934E0000}"/>
    <cellStyle name="40% - Accent2 5 14 2" xfId="23652" xr:uid="{00000000-0005-0000-0000-0000944E0000}"/>
    <cellStyle name="40% - Accent2 5 14 2 2" xfId="23653" xr:uid="{00000000-0005-0000-0000-0000954E0000}"/>
    <cellStyle name="40% - Accent2 5 14 3" xfId="23654" xr:uid="{00000000-0005-0000-0000-0000964E0000}"/>
    <cellStyle name="40% - Accent2 5 15" xfId="23655" xr:uid="{00000000-0005-0000-0000-0000974E0000}"/>
    <cellStyle name="40% - Accent2 5 15 2" xfId="23656" xr:uid="{00000000-0005-0000-0000-0000984E0000}"/>
    <cellStyle name="40% - Accent2 5 15 2 2" xfId="23657" xr:uid="{00000000-0005-0000-0000-0000994E0000}"/>
    <cellStyle name="40% - Accent2 5 15 3" xfId="23658" xr:uid="{00000000-0005-0000-0000-00009A4E0000}"/>
    <cellStyle name="40% - Accent2 5 16" xfId="23659" xr:uid="{00000000-0005-0000-0000-00009B4E0000}"/>
    <cellStyle name="40% - Accent2 5 16 2" xfId="23660" xr:uid="{00000000-0005-0000-0000-00009C4E0000}"/>
    <cellStyle name="40% - Accent2 5 17" xfId="23661" xr:uid="{00000000-0005-0000-0000-00009D4E0000}"/>
    <cellStyle name="40% - Accent2 5 17 2" xfId="23662" xr:uid="{00000000-0005-0000-0000-00009E4E0000}"/>
    <cellStyle name="40% - Accent2 5 18" xfId="23663" xr:uid="{00000000-0005-0000-0000-00009F4E0000}"/>
    <cellStyle name="40% - Accent2 5 19" xfId="23664" xr:uid="{00000000-0005-0000-0000-0000A04E0000}"/>
    <cellStyle name="40% - Accent2 5 2" xfId="23665" xr:uid="{00000000-0005-0000-0000-0000A14E0000}"/>
    <cellStyle name="40% - Accent2 5 2 10" xfId="23666" xr:uid="{00000000-0005-0000-0000-0000A24E0000}"/>
    <cellStyle name="40% - Accent2 5 2 11" xfId="23667" xr:uid="{00000000-0005-0000-0000-0000A34E0000}"/>
    <cellStyle name="40% - Accent2 5 2 2" xfId="23668" xr:uid="{00000000-0005-0000-0000-0000A44E0000}"/>
    <cellStyle name="40% - Accent2 5 2 2 2" xfId="23669" xr:uid="{00000000-0005-0000-0000-0000A54E0000}"/>
    <cellStyle name="40% - Accent2 5 2 2 2 2" xfId="23670" xr:uid="{00000000-0005-0000-0000-0000A64E0000}"/>
    <cellStyle name="40% - Accent2 5 2 2 2 2 2" xfId="23671" xr:uid="{00000000-0005-0000-0000-0000A74E0000}"/>
    <cellStyle name="40% - Accent2 5 2 2 2 2 2 2" xfId="23672" xr:uid="{00000000-0005-0000-0000-0000A84E0000}"/>
    <cellStyle name="40% - Accent2 5 2 2 2 2 3" xfId="23673" xr:uid="{00000000-0005-0000-0000-0000A94E0000}"/>
    <cellStyle name="40% - Accent2 5 2 2 2 3" xfId="23674" xr:uid="{00000000-0005-0000-0000-0000AA4E0000}"/>
    <cellStyle name="40% - Accent2 5 2 2 2 3 2" xfId="23675" xr:uid="{00000000-0005-0000-0000-0000AB4E0000}"/>
    <cellStyle name="40% - Accent2 5 2 2 2 4" xfId="23676" xr:uid="{00000000-0005-0000-0000-0000AC4E0000}"/>
    <cellStyle name="40% - Accent2 5 2 2 2 5" xfId="23677" xr:uid="{00000000-0005-0000-0000-0000AD4E0000}"/>
    <cellStyle name="40% - Accent2 5 2 2 2 6" xfId="23678" xr:uid="{00000000-0005-0000-0000-0000AE4E0000}"/>
    <cellStyle name="40% - Accent2 5 2 2 3" xfId="23679" xr:uid="{00000000-0005-0000-0000-0000AF4E0000}"/>
    <cellStyle name="40% - Accent2 5 2 2 3 2" xfId="23680" xr:uid="{00000000-0005-0000-0000-0000B04E0000}"/>
    <cellStyle name="40% - Accent2 5 2 2 3 2 2" xfId="23681" xr:uid="{00000000-0005-0000-0000-0000B14E0000}"/>
    <cellStyle name="40% - Accent2 5 2 2 3 3" xfId="23682" xr:uid="{00000000-0005-0000-0000-0000B24E0000}"/>
    <cellStyle name="40% - Accent2 5 2 2 4" xfId="23683" xr:uid="{00000000-0005-0000-0000-0000B34E0000}"/>
    <cellStyle name="40% - Accent2 5 2 2 4 2" xfId="23684" xr:uid="{00000000-0005-0000-0000-0000B44E0000}"/>
    <cellStyle name="40% - Accent2 5 2 2 5" xfId="23685" xr:uid="{00000000-0005-0000-0000-0000B54E0000}"/>
    <cellStyle name="40% - Accent2 5 2 2 5 2" xfId="23686" xr:uid="{00000000-0005-0000-0000-0000B64E0000}"/>
    <cellStyle name="40% - Accent2 5 2 2 6" xfId="23687" xr:uid="{00000000-0005-0000-0000-0000B74E0000}"/>
    <cellStyle name="40% - Accent2 5 2 2 7" xfId="23688" xr:uid="{00000000-0005-0000-0000-0000B84E0000}"/>
    <cellStyle name="40% - Accent2 5 2 2 8" xfId="23689" xr:uid="{00000000-0005-0000-0000-0000B94E0000}"/>
    <cellStyle name="40% - Accent2 5 2 3" xfId="23690" xr:uid="{00000000-0005-0000-0000-0000BA4E0000}"/>
    <cellStyle name="40% - Accent2 5 2 3 2" xfId="23691" xr:uid="{00000000-0005-0000-0000-0000BB4E0000}"/>
    <cellStyle name="40% - Accent2 5 2 3 2 2" xfId="23692" xr:uid="{00000000-0005-0000-0000-0000BC4E0000}"/>
    <cellStyle name="40% - Accent2 5 2 3 2 2 2" xfId="23693" xr:uid="{00000000-0005-0000-0000-0000BD4E0000}"/>
    <cellStyle name="40% - Accent2 5 2 3 2 2 2 2" xfId="23694" xr:uid="{00000000-0005-0000-0000-0000BE4E0000}"/>
    <cellStyle name="40% - Accent2 5 2 3 2 2 3" xfId="23695" xr:uid="{00000000-0005-0000-0000-0000BF4E0000}"/>
    <cellStyle name="40% - Accent2 5 2 3 2 3" xfId="23696" xr:uid="{00000000-0005-0000-0000-0000C04E0000}"/>
    <cellStyle name="40% - Accent2 5 2 3 2 3 2" xfId="23697" xr:uid="{00000000-0005-0000-0000-0000C14E0000}"/>
    <cellStyle name="40% - Accent2 5 2 3 2 4" xfId="23698" xr:uid="{00000000-0005-0000-0000-0000C24E0000}"/>
    <cellStyle name="40% - Accent2 5 2 3 2 5" xfId="23699" xr:uid="{00000000-0005-0000-0000-0000C34E0000}"/>
    <cellStyle name="40% - Accent2 5 2 3 2 6" xfId="23700" xr:uid="{00000000-0005-0000-0000-0000C44E0000}"/>
    <cellStyle name="40% - Accent2 5 2 3 3" xfId="23701" xr:uid="{00000000-0005-0000-0000-0000C54E0000}"/>
    <cellStyle name="40% - Accent2 5 2 3 3 2" xfId="23702" xr:uid="{00000000-0005-0000-0000-0000C64E0000}"/>
    <cellStyle name="40% - Accent2 5 2 3 3 2 2" xfId="23703" xr:uid="{00000000-0005-0000-0000-0000C74E0000}"/>
    <cellStyle name="40% - Accent2 5 2 3 3 3" xfId="23704" xr:uid="{00000000-0005-0000-0000-0000C84E0000}"/>
    <cellStyle name="40% - Accent2 5 2 3 4" xfId="23705" xr:uid="{00000000-0005-0000-0000-0000C94E0000}"/>
    <cellStyle name="40% - Accent2 5 2 3 4 2" xfId="23706" xr:uid="{00000000-0005-0000-0000-0000CA4E0000}"/>
    <cellStyle name="40% - Accent2 5 2 3 5" xfId="23707" xr:uid="{00000000-0005-0000-0000-0000CB4E0000}"/>
    <cellStyle name="40% - Accent2 5 2 3 6" xfId="23708" xr:uid="{00000000-0005-0000-0000-0000CC4E0000}"/>
    <cellStyle name="40% - Accent2 5 2 3 7" xfId="23709" xr:uid="{00000000-0005-0000-0000-0000CD4E0000}"/>
    <cellStyle name="40% - Accent2 5 2 4" xfId="23710" xr:uid="{00000000-0005-0000-0000-0000CE4E0000}"/>
    <cellStyle name="40% - Accent2 5 2 4 2" xfId="23711" xr:uid="{00000000-0005-0000-0000-0000CF4E0000}"/>
    <cellStyle name="40% - Accent2 5 2 4 2 2" xfId="23712" xr:uid="{00000000-0005-0000-0000-0000D04E0000}"/>
    <cellStyle name="40% - Accent2 5 2 4 2 2 2" xfId="23713" xr:uid="{00000000-0005-0000-0000-0000D14E0000}"/>
    <cellStyle name="40% - Accent2 5 2 4 2 3" xfId="23714" xr:uid="{00000000-0005-0000-0000-0000D24E0000}"/>
    <cellStyle name="40% - Accent2 5 2 4 3" xfId="23715" xr:uid="{00000000-0005-0000-0000-0000D34E0000}"/>
    <cellStyle name="40% - Accent2 5 2 4 3 2" xfId="23716" xr:uid="{00000000-0005-0000-0000-0000D44E0000}"/>
    <cellStyle name="40% - Accent2 5 2 4 4" xfId="23717" xr:uid="{00000000-0005-0000-0000-0000D54E0000}"/>
    <cellStyle name="40% - Accent2 5 2 4 5" xfId="23718" xr:uid="{00000000-0005-0000-0000-0000D64E0000}"/>
    <cellStyle name="40% - Accent2 5 2 4 6" xfId="23719" xr:uid="{00000000-0005-0000-0000-0000D74E0000}"/>
    <cellStyle name="40% - Accent2 5 2 5" xfId="23720" xr:uid="{00000000-0005-0000-0000-0000D84E0000}"/>
    <cellStyle name="40% - Accent2 5 2 5 2" xfId="23721" xr:uid="{00000000-0005-0000-0000-0000D94E0000}"/>
    <cellStyle name="40% - Accent2 5 2 5 2 2" xfId="23722" xr:uid="{00000000-0005-0000-0000-0000DA4E0000}"/>
    <cellStyle name="40% - Accent2 5 2 5 3" xfId="23723" xr:uid="{00000000-0005-0000-0000-0000DB4E0000}"/>
    <cellStyle name="40% - Accent2 5 2 6" xfId="23724" xr:uid="{00000000-0005-0000-0000-0000DC4E0000}"/>
    <cellStyle name="40% - Accent2 5 2 6 2" xfId="23725" xr:uid="{00000000-0005-0000-0000-0000DD4E0000}"/>
    <cellStyle name="40% - Accent2 5 2 6 2 2" xfId="23726" xr:uid="{00000000-0005-0000-0000-0000DE4E0000}"/>
    <cellStyle name="40% - Accent2 5 2 6 3" xfId="23727" xr:uid="{00000000-0005-0000-0000-0000DF4E0000}"/>
    <cellStyle name="40% - Accent2 5 2 7" xfId="23728" xr:uid="{00000000-0005-0000-0000-0000E04E0000}"/>
    <cellStyle name="40% - Accent2 5 2 7 2" xfId="23729" xr:uid="{00000000-0005-0000-0000-0000E14E0000}"/>
    <cellStyle name="40% - Accent2 5 2 8" xfId="23730" xr:uid="{00000000-0005-0000-0000-0000E24E0000}"/>
    <cellStyle name="40% - Accent2 5 2 8 2" xfId="23731" xr:uid="{00000000-0005-0000-0000-0000E34E0000}"/>
    <cellStyle name="40% - Accent2 5 2 9" xfId="23732" xr:uid="{00000000-0005-0000-0000-0000E44E0000}"/>
    <cellStyle name="40% - Accent2 5 20" xfId="23733" xr:uid="{00000000-0005-0000-0000-0000E54E0000}"/>
    <cellStyle name="40% - Accent2 5 3" xfId="23734" xr:uid="{00000000-0005-0000-0000-0000E64E0000}"/>
    <cellStyle name="40% - Accent2 5 3 10" xfId="23735" xr:uid="{00000000-0005-0000-0000-0000E74E0000}"/>
    <cellStyle name="40% - Accent2 5 3 11" xfId="23736" xr:uid="{00000000-0005-0000-0000-0000E84E0000}"/>
    <cellStyle name="40% - Accent2 5 3 2" xfId="23737" xr:uid="{00000000-0005-0000-0000-0000E94E0000}"/>
    <cellStyle name="40% - Accent2 5 3 2 2" xfId="23738" xr:uid="{00000000-0005-0000-0000-0000EA4E0000}"/>
    <cellStyle name="40% - Accent2 5 3 2 2 2" xfId="23739" xr:uid="{00000000-0005-0000-0000-0000EB4E0000}"/>
    <cellStyle name="40% - Accent2 5 3 2 2 2 2" xfId="23740" xr:uid="{00000000-0005-0000-0000-0000EC4E0000}"/>
    <cellStyle name="40% - Accent2 5 3 2 2 2 2 2" xfId="23741" xr:uid="{00000000-0005-0000-0000-0000ED4E0000}"/>
    <cellStyle name="40% - Accent2 5 3 2 2 2 3" xfId="23742" xr:uid="{00000000-0005-0000-0000-0000EE4E0000}"/>
    <cellStyle name="40% - Accent2 5 3 2 2 3" xfId="23743" xr:uid="{00000000-0005-0000-0000-0000EF4E0000}"/>
    <cellStyle name="40% - Accent2 5 3 2 2 3 2" xfId="23744" xr:uid="{00000000-0005-0000-0000-0000F04E0000}"/>
    <cellStyle name="40% - Accent2 5 3 2 2 4" xfId="23745" xr:uid="{00000000-0005-0000-0000-0000F14E0000}"/>
    <cellStyle name="40% - Accent2 5 3 2 2 5" xfId="23746" xr:uid="{00000000-0005-0000-0000-0000F24E0000}"/>
    <cellStyle name="40% - Accent2 5 3 2 2 6" xfId="23747" xr:uid="{00000000-0005-0000-0000-0000F34E0000}"/>
    <cellStyle name="40% - Accent2 5 3 2 3" xfId="23748" xr:uid="{00000000-0005-0000-0000-0000F44E0000}"/>
    <cellStyle name="40% - Accent2 5 3 2 3 2" xfId="23749" xr:uid="{00000000-0005-0000-0000-0000F54E0000}"/>
    <cellStyle name="40% - Accent2 5 3 2 3 2 2" xfId="23750" xr:uid="{00000000-0005-0000-0000-0000F64E0000}"/>
    <cellStyle name="40% - Accent2 5 3 2 3 3" xfId="23751" xr:uid="{00000000-0005-0000-0000-0000F74E0000}"/>
    <cellStyle name="40% - Accent2 5 3 2 4" xfId="23752" xr:uid="{00000000-0005-0000-0000-0000F84E0000}"/>
    <cellStyle name="40% - Accent2 5 3 2 4 2" xfId="23753" xr:uid="{00000000-0005-0000-0000-0000F94E0000}"/>
    <cellStyle name="40% - Accent2 5 3 2 5" xfId="23754" xr:uid="{00000000-0005-0000-0000-0000FA4E0000}"/>
    <cellStyle name="40% - Accent2 5 3 2 5 2" xfId="23755" xr:uid="{00000000-0005-0000-0000-0000FB4E0000}"/>
    <cellStyle name="40% - Accent2 5 3 2 6" xfId="23756" xr:uid="{00000000-0005-0000-0000-0000FC4E0000}"/>
    <cellStyle name="40% - Accent2 5 3 2 7" xfId="23757" xr:uid="{00000000-0005-0000-0000-0000FD4E0000}"/>
    <cellStyle name="40% - Accent2 5 3 2 8" xfId="23758" xr:uid="{00000000-0005-0000-0000-0000FE4E0000}"/>
    <cellStyle name="40% - Accent2 5 3 3" xfId="23759" xr:uid="{00000000-0005-0000-0000-0000FF4E0000}"/>
    <cellStyle name="40% - Accent2 5 3 3 2" xfId="23760" xr:uid="{00000000-0005-0000-0000-0000004F0000}"/>
    <cellStyle name="40% - Accent2 5 3 3 2 2" xfId="23761" xr:uid="{00000000-0005-0000-0000-0000014F0000}"/>
    <cellStyle name="40% - Accent2 5 3 3 2 2 2" xfId="23762" xr:uid="{00000000-0005-0000-0000-0000024F0000}"/>
    <cellStyle name="40% - Accent2 5 3 3 2 2 2 2" xfId="23763" xr:uid="{00000000-0005-0000-0000-0000034F0000}"/>
    <cellStyle name="40% - Accent2 5 3 3 2 2 3" xfId="23764" xr:uid="{00000000-0005-0000-0000-0000044F0000}"/>
    <cellStyle name="40% - Accent2 5 3 3 2 3" xfId="23765" xr:uid="{00000000-0005-0000-0000-0000054F0000}"/>
    <cellStyle name="40% - Accent2 5 3 3 2 3 2" xfId="23766" xr:uid="{00000000-0005-0000-0000-0000064F0000}"/>
    <cellStyle name="40% - Accent2 5 3 3 2 4" xfId="23767" xr:uid="{00000000-0005-0000-0000-0000074F0000}"/>
    <cellStyle name="40% - Accent2 5 3 3 2 5" xfId="23768" xr:uid="{00000000-0005-0000-0000-0000084F0000}"/>
    <cellStyle name="40% - Accent2 5 3 3 2 6" xfId="23769" xr:uid="{00000000-0005-0000-0000-0000094F0000}"/>
    <cellStyle name="40% - Accent2 5 3 3 3" xfId="23770" xr:uid="{00000000-0005-0000-0000-00000A4F0000}"/>
    <cellStyle name="40% - Accent2 5 3 3 3 2" xfId="23771" xr:uid="{00000000-0005-0000-0000-00000B4F0000}"/>
    <cellStyle name="40% - Accent2 5 3 3 3 2 2" xfId="23772" xr:uid="{00000000-0005-0000-0000-00000C4F0000}"/>
    <cellStyle name="40% - Accent2 5 3 3 3 3" xfId="23773" xr:uid="{00000000-0005-0000-0000-00000D4F0000}"/>
    <cellStyle name="40% - Accent2 5 3 3 4" xfId="23774" xr:uid="{00000000-0005-0000-0000-00000E4F0000}"/>
    <cellStyle name="40% - Accent2 5 3 3 4 2" xfId="23775" xr:uid="{00000000-0005-0000-0000-00000F4F0000}"/>
    <cellStyle name="40% - Accent2 5 3 3 5" xfId="23776" xr:uid="{00000000-0005-0000-0000-0000104F0000}"/>
    <cellStyle name="40% - Accent2 5 3 3 6" xfId="23777" xr:uid="{00000000-0005-0000-0000-0000114F0000}"/>
    <cellStyle name="40% - Accent2 5 3 3 7" xfId="23778" xr:uid="{00000000-0005-0000-0000-0000124F0000}"/>
    <cellStyle name="40% - Accent2 5 3 4" xfId="23779" xr:uid="{00000000-0005-0000-0000-0000134F0000}"/>
    <cellStyle name="40% - Accent2 5 3 4 2" xfId="23780" xr:uid="{00000000-0005-0000-0000-0000144F0000}"/>
    <cellStyle name="40% - Accent2 5 3 4 2 2" xfId="23781" xr:uid="{00000000-0005-0000-0000-0000154F0000}"/>
    <cellStyle name="40% - Accent2 5 3 4 2 2 2" xfId="23782" xr:uid="{00000000-0005-0000-0000-0000164F0000}"/>
    <cellStyle name="40% - Accent2 5 3 4 2 3" xfId="23783" xr:uid="{00000000-0005-0000-0000-0000174F0000}"/>
    <cellStyle name="40% - Accent2 5 3 4 3" xfId="23784" xr:uid="{00000000-0005-0000-0000-0000184F0000}"/>
    <cellStyle name="40% - Accent2 5 3 4 3 2" xfId="23785" xr:uid="{00000000-0005-0000-0000-0000194F0000}"/>
    <cellStyle name="40% - Accent2 5 3 4 4" xfId="23786" xr:uid="{00000000-0005-0000-0000-00001A4F0000}"/>
    <cellStyle name="40% - Accent2 5 3 4 5" xfId="23787" xr:uid="{00000000-0005-0000-0000-00001B4F0000}"/>
    <cellStyle name="40% - Accent2 5 3 4 6" xfId="23788" xr:uid="{00000000-0005-0000-0000-00001C4F0000}"/>
    <cellStyle name="40% - Accent2 5 3 5" xfId="23789" xr:uid="{00000000-0005-0000-0000-00001D4F0000}"/>
    <cellStyle name="40% - Accent2 5 3 5 2" xfId="23790" xr:uid="{00000000-0005-0000-0000-00001E4F0000}"/>
    <cellStyle name="40% - Accent2 5 3 5 2 2" xfId="23791" xr:uid="{00000000-0005-0000-0000-00001F4F0000}"/>
    <cellStyle name="40% - Accent2 5 3 5 3" xfId="23792" xr:uid="{00000000-0005-0000-0000-0000204F0000}"/>
    <cellStyle name="40% - Accent2 5 3 6" xfId="23793" xr:uid="{00000000-0005-0000-0000-0000214F0000}"/>
    <cellStyle name="40% - Accent2 5 3 6 2" xfId="23794" xr:uid="{00000000-0005-0000-0000-0000224F0000}"/>
    <cellStyle name="40% - Accent2 5 3 6 2 2" xfId="23795" xr:uid="{00000000-0005-0000-0000-0000234F0000}"/>
    <cellStyle name="40% - Accent2 5 3 6 3" xfId="23796" xr:uid="{00000000-0005-0000-0000-0000244F0000}"/>
    <cellStyle name="40% - Accent2 5 3 7" xfId="23797" xr:uid="{00000000-0005-0000-0000-0000254F0000}"/>
    <cellStyle name="40% - Accent2 5 3 7 2" xfId="23798" xr:uid="{00000000-0005-0000-0000-0000264F0000}"/>
    <cellStyle name="40% - Accent2 5 3 8" xfId="23799" xr:uid="{00000000-0005-0000-0000-0000274F0000}"/>
    <cellStyle name="40% - Accent2 5 3 8 2" xfId="23800" xr:uid="{00000000-0005-0000-0000-0000284F0000}"/>
    <cellStyle name="40% - Accent2 5 3 9" xfId="23801" xr:uid="{00000000-0005-0000-0000-0000294F0000}"/>
    <cellStyle name="40% - Accent2 5 4" xfId="23802" xr:uid="{00000000-0005-0000-0000-00002A4F0000}"/>
    <cellStyle name="40% - Accent2 5 4 10" xfId="23803" xr:uid="{00000000-0005-0000-0000-00002B4F0000}"/>
    <cellStyle name="40% - Accent2 5 4 11" xfId="23804" xr:uid="{00000000-0005-0000-0000-00002C4F0000}"/>
    <cellStyle name="40% - Accent2 5 4 2" xfId="23805" xr:uid="{00000000-0005-0000-0000-00002D4F0000}"/>
    <cellStyle name="40% - Accent2 5 4 2 2" xfId="23806" xr:uid="{00000000-0005-0000-0000-00002E4F0000}"/>
    <cellStyle name="40% - Accent2 5 4 2 2 2" xfId="23807" xr:uid="{00000000-0005-0000-0000-00002F4F0000}"/>
    <cellStyle name="40% - Accent2 5 4 2 2 2 2" xfId="23808" xr:uid="{00000000-0005-0000-0000-0000304F0000}"/>
    <cellStyle name="40% - Accent2 5 4 2 2 2 2 2" xfId="23809" xr:uid="{00000000-0005-0000-0000-0000314F0000}"/>
    <cellStyle name="40% - Accent2 5 4 2 2 2 3" xfId="23810" xr:uid="{00000000-0005-0000-0000-0000324F0000}"/>
    <cellStyle name="40% - Accent2 5 4 2 2 3" xfId="23811" xr:uid="{00000000-0005-0000-0000-0000334F0000}"/>
    <cellStyle name="40% - Accent2 5 4 2 2 3 2" xfId="23812" xr:uid="{00000000-0005-0000-0000-0000344F0000}"/>
    <cellStyle name="40% - Accent2 5 4 2 2 4" xfId="23813" xr:uid="{00000000-0005-0000-0000-0000354F0000}"/>
    <cellStyle name="40% - Accent2 5 4 2 2 5" xfId="23814" xr:uid="{00000000-0005-0000-0000-0000364F0000}"/>
    <cellStyle name="40% - Accent2 5 4 2 2 6" xfId="23815" xr:uid="{00000000-0005-0000-0000-0000374F0000}"/>
    <cellStyle name="40% - Accent2 5 4 2 3" xfId="23816" xr:uid="{00000000-0005-0000-0000-0000384F0000}"/>
    <cellStyle name="40% - Accent2 5 4 2 3 2" xfId="23817" xr:uid="{00000000-0005-0000-0000-0000394F0000}"/>
    <cellStyle name="40% - Accent2 5 4 2 3 2 2" xfId="23818" xr:uid="{00000000-0005-0000-0000-00003A4F0000}"/>
    <cellStyle name="40% - Accent2 5 4 2 3 3" xfId="23819" xr:uid="{00000000-0005-0000-0000-00003B4F0000}"/>
    <cellStyle name="40% - Accent2 5 4 2 4" xfId="23820" xr:uid="{00000000-0005-0000-0000-00003C4F0000}"/>
    <cellStyle name="40% - Accent2 5 4 2 4 2" xfId="23821" xr:uid="{00000000-0005-0000-0000-00003D4F0000}"/>
    <cellStyle name="40% - Accent2 5 4 2 5" xfId="23822" xr:uid="{00000000-0005-0000-0000-00003E4F0000}"/>
    <cellStyle name="40% - Accent2 5 4 2 5 2" xfId="23823" xr:uid="{00000000-0005-0000-0000-00003F4F0000}"/>
    <cellStyle name="40% - Accent2 5 4 2 6" xfId="23824" xr:uid="{00000000-0005-0000-0000-0000404F0000}"/>
    <cellStyle name="40% - Accent2 5 4 2 7" xfId="23825" xr:uid="{00000000-0005-0000-0000-0000414F0000}"/>
    <cellStyle name="40% - Accent2 5 4 2 8" xfId="23826" xr:uid="{00000000-0005-0000-0000-0000424F0000}"/>
    <cellStyle name="40% - Accent2 5 4 3" xfId="23827" xr:uid="{00000000-0005-0000-0000-0000434F0000}"/>
    <cellStyle name="40% - Accent2 5 4 3 2" xfId="23828" xr:uid="{00000000-0005-0000-0000-0000444F0000}"/>
    <cellStyle name="40% - Accent2 5 4 3 2 2" xfId="23829" xr:uid="{00000000-0005-0000-0000-0000454F0000}"/>
    <cellStyle name="40% - Accent2 5 4 3 2 2 2" xfId="23830" xr:uid="{00000000-0005-0000-0000-0000464F0000}"/>
    <cellStyle name="40% - Accent2 5 4 3 2 2 2 2" xfId="23831" xr:uid="{00000000-0005-0000-0000-0000474F0000}"/>
    <cellStyle name="40% - Accent2 5 4 3 2 2 3" xfId="23832" xr:uid="{00000000-0005-0000-0000-0000484F0000}"/>
    <cellStyle name="40% - Accent2 5 4 3 2 3" xfId="23833" xr:uid="{00000000-0005-0000-0000-0000494F0000}"/>
    <cellStyle name="40% - Accent2 5 4 3 2 3 2" xfId="23834" xr:uid="{00000000-0005-0000-0000-00004A4F0000}"/>
    <cellStyle name="40% - Accent2 5 4 3 2 4" xfId="23835" xr:uid="{00000000-0005-0000-0000-00004B4F0000}"/>
    <cellStyle name="40% - Accent2 5 4 3 2 5" xfId="23836" xr:uid="{00000000-0005-0000-0000-00004C4F0000}"/>
    <cellStyle name="40% - Accent2 5 4 3 2 6" xfId="23837" xr:uid="{00000000-0005-0000-0000-00004D4F0000}"/>
    <cellStyle name="40% - Accent2 5 4 3 3" xfId="23838" xr:uid="{00000000-0005-0000-0000-00004E4F0000}"/>
    <cellStyle name="40% - Accent2 5 4 3 3 2" xfId="23839" xr:uid="{00000000-0005-0000-0000-00004F4F0000}"/>
    <cellStyle name="40% - Accent2 5 4 3 3 2 2" xfId="23840" xr:uid="{00000000-0005-0000-0000-0000504F0000}"/>
    <cellStyle name="40% - Accent2 5 4 3 3 3" xfId="23841" xr:uid="{00000000-0005-0000-0000-0000514F0000}"/>
    <cellStyle name="40% - Accent2 5 4 3 4" xfId="23842" xr:uid="{00000000-0005-0000-0000-0000524F0000}"/>
    <cellStyle name="40% - Accent2 5 4 3 4 2" xfId="23843" xr:uid="{00000000-0005-0000-0000-0000534F0000}"/>
    <cellStyle name="40% - Accent2 5 4 3 5" xfId="23844" xr:uid="{00000000-0005-0000-0000-0000544F0000}"/>
    <cellStyle name="40% - Accent2 5 4 3 6" xfId="23845" xr:uid="{00000000-0005-0000-0000-0000554F0000}"/>
    <cellStyle name="40% - Accent2 5 4 3 7" xfId="23846" xr:uid="{00000000-0005-0000-0000-0000564F0000}"/>
    <cellStyle name="40% - Accent2 5 4 4" xfId="23847" xr:uid="{00000000-0005-0000-0000-0000574F0000}"/>
    <cellStyle name="40% - Accent2 5 4 4 2" xfId="23848" xr:uid="{00000000-0005-0000-0000-0000584F0000}"/>
    <cellStyle name="40% - Accent2 5 4 4 2 2" xfId="23849" xr:uid="{00000000-0005-0000-0000-0000594F0000}"/>
    <cellStyle name="40% - Accent2 5 4 4 2 2 2" xfId="23850" xr:uid="{00000000-0005-0000-0000-00005A4F0000}"/>
    <cellStyle name="40% - Accent2 5 4 4 2 3" xfId="23851" xr:uid="{00000000-0005-0000-0000-00005B4F0000}"/>
    <cellStyle name="40% - Accent2 5 4 4 3" xfId="23852" xr:uid="{00000000-0005-0000-0000-00005C4F0000}"/>
    <cellStyle name="40% - Accent2 5 4 4 3 2" xfId="23853" xr:uid="{00000000-0005-0000-0000-00005D4F0000}"/>
    <cellStyle name="40% - Accent2 5 4 4 4" xfId="23854" xr:uid="{00000000-0005-0000-0000-00005E4F0000}"/>
    <cellStyle name="40% - Accent2 5 4 4 5" xfId="23855" xr:uid="{00000000-0005-0000-0000-00005F4F0000}"/>
    <cellStyle name="40% - Accent2 5 4 4 6" xfId="23856" xr:uid="{00000000-0005-0000-0000-0000604F0000}"/>
    <cellStyle name="40% - Accent2 5 4 5" xfId="23857" xr:uid="{00000000-0005-0000-0000-0000614F0000}"/>
    <cellStyle name="40% - Accent2 5 4 5 2" xfId="23858" xr:uid="{00000000-0005-0000-0000-0000624F0000}"/>
    <cellStyle name="40% - Accent2 5 4 5 2 2" xfId="23859" xr:uid="{00000000-0005-0000-0000-0000634F0000}"/>
    <cellStyle name="40% - Accent2 5 4 5 3" xfId="23860" xr:uid="{00000000-0005-0000-0000-0000644F0000}"/>
    <cellStyle name="40% - Accent2 5 4 6" xfId="23861" xr:uid="{00000000-0005-0000-0000-0000654F0000}"/>
    <cellStyle name="40% - Accent2 5 4 6 2" xfId="23862" xr:uid="{00000000-0005-0000-0000-0000664F0000}"/>
    <cellStyle name="40% - Accent2 5 4 6 2 2" xfId="23863" xr:uid="{00000000-0005-0000-0000-0000674F0000}"/>
    <cellStyle name="40% - Accent2 5 4 6 3" xfId="23864" xr:uid="{00000000-0005-0000-0000-0000684F0000}"/>
    <cellStyle name="40% - Accent2 5 4 7" xfId="23865" xr:uid="{00000000-0005-0000-0000-0000694F0000}"/>
    <cellStyle name="40% - Accent2 5 4 7 2" xfId="23866" xr:uid="{00000000-0005-0000-0000-00006A4F0000}"/>
    <cellStyle name="40% - Accent2 5 4 8" xfId="23867" xr:uid="{00000000-0005-0000-0000-00006B4F0000}"/>
    <cellStyle name="40% - Accent2 5 4 8 2" xfId="23868" xr:uid="{00000000-0005-0000-0000-00006C4F0000}"/>
    <cellStyle name="40% - Accent2 5 4 9" xfId="23869" xr:uid="{00000000-0005-0000-0000-00006D4F0000}"/>
    <cellStyle name="40% - Accent2 5 5" xfId="23870" xr:uid="{00000000-0005-0000-0000-00006E4F0000}"/>
    <cellStyle name="40% - Accent2 5 5 10" xfId="23871" xr:uid="{00000000-0005-0000-0000-00006F4F0000}"/>
    <cellStyle name="40% - Accent2 5 5 11" xfId="23872" xr:uid="{00000000-0005-0000-0000-0000704F0000}"/>
    <cellStyle name="40% - Accent2 5 5 2" xfId="23873" xr:uid="{00000000-0005-0000-0000-0000714F0000}"/>
    <cellStyle name="40% - Accent2 5 5 2 2" xfId="23874" xr:uid="{00000000-0005-0000-0000-0000724F0000}"/>
    <cellStyle name="40% - Accent2 5 5 2 2 2" xfId="23875" xr:uid="{00000000-0005-0000-0000-0000734F0000}"/>
    <cellStyle name="40% - Accent2 5 5 2 2 2 2" xfId="23876" xr:uid="{00000000-0005-0000-0000-0000744F0000}"/>
    <cellStyle name="40% - Accent2 5 5 2 2 2 2 2" xfId="23877" xr:uid="{00000000-0005-0000-0000-0000754F0000}"/>
    <cellStyle name="40% - Accent2 5 5 2 2 2 3" xfId="23878" xr:uid="{00000000-0005-0000-0000-0000764F0000}"/>
    <cellStyle name="40% - Accent2 5 5 2 2 3" xfId="23879" xr:uid="{00000000-0005-0000-0000-0000774F0000}"/>
    <cellStyle name="40% - Accent2 5 5 2 2 3 2" xfId="23880" xr:uid="{00000000-0005-0000-0000-0000784F0000}"/>
    <cellStyle name="40% - Accent2 5 5 2 2 4" xfId="23881" xr:uid="{00000000-0005-0000-0000-0000794F0000}"/>
    <cellStyle name="40% - Accent2 5 5 2 2 5" xfId="23882" xr:uid="{00000000-0005-0000-0000-00007A4F0000}"/>
    <cellStyle name="40% - Accent2 5 5 2 2 6" xfId="23883" xr:uid="{00000000-0005-0000-0000-00007B4F0000}"/>
    <cellStyle name="40% - Accent2 5 5 2 3" xfId="23884" xr:uid="{00000000-0005-0000-0000-00007C4F0000}"/>
    <cellStyle name="40% - Accent2 5 5 2 3 2" xfId="23885" xr:uid="{00000000-0005-0000-0000-00007D4F0000}"/>
    <cellStyle name="40% - Accent2 5 5 2 3 2 2" xfId="23886" xr:uid="{00000000-0005-0000-0000-00007E4F0000}"/>
    <cellStyle name="40% - Accent2 5 5 2 3 3" xfId="23887" xr:uid="{00000000-0005-0000-0000-00007F4F0000}"/>
    <cellStyle name="40% - Accent2 5 5 2 4" xfId="23888" xr:uid="{00000000-0005-0000-0000-0000804F0000}"/>
    <cellStyle name="40% - Accent2 5 5 2 4 2" xfId="23889" xr:uid="{00000000-0005-0000-0000-0000814F0000}"/>
    <cellStyle name="40% - Accent2 5 5 2 5" xfId="23890" xr:uid="{00000000-0005-0000-0000-0000824F0000}"/>
    <cellStyle name="40% - Accent2 5 5 2 5 2" xfId="23891" xr:uid="{00000000-0005-0000-0000-0000834F0000}"/>
    <cellStyle name="40% - Accent2 5 5 2 6" xfId="23892" xr:uid="{00000000-0005-0000-0000-0000844F0000}"/>
    <cellStyle name="40% - Accent2 5 5 2 7" xfId="23893" xr:uid="{00000000-0005-0000-0000-0000854F0000}"/>
    <cellStyle name="40% - Accent2 5 5 2 8" xfId="23894" xr:uid="{00000000-0005-0000-0000-0000864F0000}"/>
    <cellStyle name="40% - Accent2 5 5 3" xfId="23895" xr:uid="{00000000-0005-0000-0000-0000874F0000}"/>
    <cellStyle name="40% - Accent2 5 5 3 2" xfId="23896" xr:uid="{00000000-0005-0000-0000-0000884F0000}"/>
    <cellStyle name="40% - Accent2 5 5 3 2 2" xfId="23897" xr:uid="{00000000-0005-0000-0000-0000894F0000}"/>
    <cellStyle name="40% - Accent2 5 5 3 2 2 2" xfId="23898" xr:uid="{00000000-0005-0000-0000-00008A4F0000}"/>
    <cellStyle name="40% - Accent2 5 5 3 2 2 2 2" xfId="23899" xr:uid="{00000000-0005-0000-0000-00008B4F0000}"/>
    <cellStyle name="40% - Accent2 5 5 3 2 2 3" xfId="23900" xr:uid="{00000000-0005-0000-0000-00008C4F0000}"/>
    <cellStyle name="40% - Accent2 5 5 3 2 3" xfId="23901" xr:uid="{00000000-0005-0000-0000-00008D4F0000}"/>
    <cellStyle name="40% - Accent2 5 5 3 2 3 2" xfId="23902" xr:uid="{00000000-0005-0000-0000-00008E4F0000}"/>
    <cellStyle name="40% - Accent2 5 5 3 2 4" xfId="23903" xr:uid="{00000000-0005-0000-0000-00008F4F0000}"/>
    <cellStyle name="40% - Accent2 5 5 3 2 5" xfId="23904" xr:uid="{00000000-0005-0000-0000-0000904F0000}"/>
    <cellStyle name="40% - Accent2 5 5 3 2 6" xfId="23905" xr:uid="{00000000-0005-0000-0000-0000914F0000}"/>
    <cellStyle name="40% - Accent2 5 5 3 3" xfId="23906" xr:uid="{00000000-0005-0000-0000-0000924F0000}"/>
    <cellStyle name="40% - Accent2 5 5 3 3 2" xfId="23907" xr:uid="{00000000-0005-0000-0000-0000934F0000}"/>
    <cellStyle name="40% - Accent2 5 5 3 3 2 2" xfId="23908" xr:uid="{00000000-0005-0000-0000-0000944F0000}"/>
    <cellStyle name="40% - Accent2 5 5 3 3 3" xfId="23909" xr:uid="{00000000-0005-0000-0000-0000954F0000}"/>
    <cellStyle name="40% - Accent2 5 5 3 4" xfId="23910" xr:uid="{00000000-0005-0000-0000-0000964F0000}"/>
    <cellStyle name="40% - Accent2 5 5 3 4 2" xfId="23911" xr:uid="{00000000-0005-0000-0000-0000974F0000}"/>
    <cellStyle name="40% - Accent2 5 5 3 5" xfId="23912" xr:uid="{00000000-0005-0000-0000-0000984F0000}"/>
    <cellStyle name="40% - Accent2 5 5 3 6" xfId="23913" xr:uid="{00000000-0005-0000-0000-0000994F0000}"/>
    <cellStyle name="40% - Accent2 5 5 3 7" xfId="23914" xr:uid="{00000000-0005-0000-0000-00009A4F0000}"/>
    <cellStyle name="40% - Accent2 5 5 4" xfId="23915" xr:uid="{00000000-0005-0000-0000-00009B4F0000}"/>
    <cellStyle name="40% - Accent2 5 5 4 2" xfId="23916" xr:uid="{00000000-0005-0000-0000-00009C4F0000}"/>
    <cellStyle name="40% - Accent2 5 5 4 2 2" xfId="23917" xr:uid="{00000000-0005-0000-0000-00009D4F0000}"/>
    <cellStyle name="40% - Accent2 5 5 4 2 2 2" xfId="23918" xr:uid="{00000000-0005-0000-0000-00009E4F0000}"/>
    <cellStyle name="40% - Accent2 5 5 4 2 3" xfId="23919" xr:uid="{00000000-0005-0000-0000-00009F4F0000}"/>
    <cellStyle name="40% - Accent2 5 5 4 3" xfId="23920" xr:uid="{00000000-0005-0000-0000-0000A04F0000}"/>
    <cellStyle name="40% - Accent2 5 5 4 3 2" xfId="23921" xr:uid="{00000000-0005-0000-0000-0000A14F0000}"/>
    <cellStyle name="40% - Accent2 5 5 4 4" xfId="23922" xr:uid="{00000000-0005-0000-0000-0000A24F0000}"/>
    <cellStyle name="40% - Accent2 5 5 4 5" xfId="23923" xr:uid="{00000000-0005-0000-0000-0000A34F0000}"/>
    <cellStyle name="40% - Accent2 5 5 4 6" xfId="23924" xr:uid="{00000000-0005-0000-0000-0000A44F0000}"/>
    <cellStyle name="40% - Accent2 5 5 5" xfId="23925" xr:uid="{00000000-0005-0000-0000-0000A54F0000}"/>
    <cellStyle name="40% - Accent2 5 5 5 2" xfId="23926" xr:uid="{00000000-0005-0000-0000-0000A64F0000}"/>
    <cellStyle name="40% - Accent2 5 5 5 2 2" xfId="23927" xr:uid="{00000000-0005-0000-0000-0000A74F0000}"/>
    <cellStyle name="40% - Accent2 5 5 5 3" xfId="23928" xr:uid="{00000000-0005-0000-0000-0000A84F0000}"/>
    <cellStyle name="40% - Accent2 5 5 6" xfId="23929" xr:uid="{00000000-0005-0000-0000-0000A94F0000}"/>
    <cellStyle name="40% - Accent2 5 5 6 2" xfId="23930" xr:uid="{00000000-0005-0000-0000-0000AA4F0000}"/>
    <cellStyle name="40% - Accent2 5 5 6 2 2" xfId="23931" xr:uid="{00000000-0005-0000-0000-0000AB4F0000}"/>
    <cellStyle name="40% - Accent2 5 5 6 3" xfId="23932" xr:uid="{00000000-0005-0000-0000-0000AC4F0000}"/>
    <cellStyle name="40% - Accent2 5 5 7" xfId="23933" xr:uid="{00000000-0005-0000-0000-0000AD4F0000}"/>
    <cellStyle name="40% - Accent2 5 5 7 2" xfId="23934" xr:uid="{00000000-0005-0000-0000-0000AE4F0000}"/>
    <cellStyle name="40% - Accent2 5 5 8" xfId="23935" xr:uid="{00000000-0005-0000-0000-0000AF4F0000}"/>
    <cellStyle name="40% - Accent2 5 5 8 2" xfId="23936" xr:uid="{00000000-0005-0000-0000-0000B04F0000}"/>
    <cellStyle name="40% - Accent2 5 5 9" xfId="23937" xr:uid="{00000000-0005-0000-0000-0000B14F0000}"/>
    <cellStyle name="40% - Accent2 5 6" xfId="23938" xr:uid="{00000000-0005-0000-0000-0000B24F0000}"/>
    <cellStyle name="40% - Accent2 5 6 10" xfId="23939" xr:uid="{00000000-0005-0000-0000-0000B34F0000}"/>
    <cellStyle name="40% - Accent2 5 6 11" xfId="23940" xr:uid="{00000000-0005-0000-0000-0000B44F0000}"/>
    <cellStyle name="40% - Accent2 5 6 2" xfId="23941" xr:uid="{00000000-0005-0000-0000-0000B54F0000}"/>
    <cellStyle name="40% - Accent2 5 6 2 2" xfId="23942" xr:uid="{00000000-0005-0000-0000-0000B64F0000}"/>
    <cellStyle name="40% - Accent2 5 6 2 2 2" xfId="23943" xr:uid="{00000000-0005-0000-0000-0000B74F0000}"/>
    <cellStyle name="40% - Accent2 5 6 2 2 2 2" xfId="23944" xr:uid="{00000000-0005-0000-0000-0000B84F0000}"/>
    <cellStyle name="40% - Accent2 5 6 2 2 2 2 2" xfId="23945" xr:uid="{00000000-0005-0000-0000-0000B94F0000}"/>
    <cellStyle name="40% - Accent2 5 6 2 2 2 3" xfId="23946" xr:uid="{00000000-0005-0000-0000-0000BA4F0000}"/>
    <cellStyle name="40% - Accent2 5 6 2 2 3" xfId="23947" xr:uid="{00000000-0005-0000-0000-0000BB4F0000}"/>
    <cellStyle name="40% - Accent2 5 6 2 2 3 2" xfId="23948" xr:uid="{00000000-0005-0000-0000-0000BC4F0000}"/>
    <cellStyle name="40% - Accent2 5 6 2 2 4" xfId="23949" xr:uid="{00000000-0005-0000-0000-0000BD4F0000}"/>
    <cellStyle name="40% - Accent2 5 6 2 2 5" xfId="23950" xr:uid="{00000000-0005-0000-0000-0000BE4F0000}"/>
    <cellStyle name="40% - Accent2 5 6 2 2 6" xfId="23951" xr:uid="{00000000-0005-0000-0000-0000BF4F0000}"/>
    <cellStyle name="40% - Accent2 5 6 2 3" xfId="23952" xr:uid="{00000000-0005-0000-0000-0000C04F0000}"/>
    <cellStyle name="40% - Accent2 5 6 2 3 2" xfId="23953" xr:uid="{00000000-0005-0000-0000-0000C14F0000}"/>
    <cellStyle name="40% - Accent2 5 6 2 3 2 2" xfId="23954" xr:uid="{00000000-0005-0000-0000-0000C24F0000}"/>
    <cellStyle name="40% - Accent2 5 6 2 3 3" xfId="23955" xr:uid="{00000000-0005-0000-0000-0000C34F0000}"/>
    <cellStyle name="40% - Accent2 5 6 2 4" xfId="23956" xr:uid="{00000000-0005-0000-0000-0000C44F0000}"/>
    <cellStyle name="40% - Accent2 5 6 2 4 2" xfId="23957" xr:uid="{00000000-0005-0000-0000-0000C54F0000}"/>
    <cellStyle name="40% - Accent2 5 6 2 5" xfId="23958" xr:uid="{00000000-0005-0000-0000-0000C64F0000}"/>
    <cellStyle name="40% - Accent2 5 6 2 5 2" xfId="23959" xr:uid="{00000000-0005-0000-0000-0000C74F0000}"/>
    <cellStyle name="40% - Accent2 5 6 2 6" xfId="23960" xr:uid="{00000000-0005-0000-0000-0000C84F0000}"/>
    <cellStyle name="40% - Accent2 5 6 2 7" xfId="23961" xr:uid="{00000000-0005-0000-0000-0000C94F0000}"/>
    <cellStyle name="40% - Accent2 5 6 2 8" xfId="23962" xr:uid="{00000000-0005-0000-0000-0000CA4F0000}"/>
    <cellStyle name="40% - Accent2 5 6 3" xfId="23963" xr:uid="{00000000-0005-0000-0000-0000CB4F0000}"/>
    <cellStyle name="40% - Accent2 5 6 3 2" xfId="23964" xr:uid="{00000000-0005-0000-0000-0000CC4F0000}"/>
    <cellStyle name="40% - Accent2 5 6 3 2 2" xfId="23965" xr:uid="{00000000-0005-0000-0000-0000CD4F0000}"/>
    <cellStyle name="40% - Accent2 5 6 3 2 2 2" xfId="23966" xr:uid="{00000000-0005-0000-0000-0000CE4F0000}"/>
    <cellStyle name="40% - Accent2 5 6 3 2 2 2 2" xfId="23967" xr:uid="{00000000-0005-0000-0000-0000CF4F0000}"/>
    <cellStyle name="40% - Accent2 5 6 3 2 2 3" xfId="23968" xr:uid="{00000000-0005-0000-0000-0000D04F0000}"/>
    <cellStyle name="40% - Accent2 5 6 3 2 3" xfId="23969" xr:uid="{00000000-0005-0000-0000-0000D14F0000}"/>
    <cellStyle name="40% - Accent2 5 6 3 2 3 2" xfId="23970" xr:uid="{00000000-0005-0000-0000-0000D24F0000}"/>
    <cellStyle name="40% - Accent2 5 6 3 2 4" xfId="23971" xr:uid="{00000000-0005-0000-0000-0000D34F0000}"/>
    <cellStyle name="40% - Accent2 5 6 3 2 5" xfId="23972" xr:uid="{00000000-0005-0000-0000-0000D44F0000}"/>
    <cellStyle name="40% - Accent2 5 6 3 2 6" xfId="23973" xr:uid="{00000000-0005-0000-0000-0000D54F0000}"/>
    <cellStyle name="40% - Accent2 5 6 3 3" xfId="23974" xr:uid="{00000000-0005-0000-0000-0000D64F0000}"/>
    <cellStyle name="40% - Accent2 5 6 3 3 2" xfId="23975" xr:uid="{00000000-0005-0000-0000-0000D74F0000}"/>
    <cellStyle name="40% - Accent2 5 6 3 3 2 2" xfId="23976" xr:uid="{00000000-0005-0000-0000-0000D84F0000}"/>
    <cellStyle name="40% - Accent2 5 6 3 3 3" xfId="23977" xr:uid="{00000000-0005-0000-0000-0000D94F0000}"/>
    <cellStyle name="40% - Accent2 5 6 3 4" xfId="23978" xr:uid="{00000000-0005-0000-0000-0000DA4F0000}"/>
    <cellStyle name="40% - Accent2 5 6 3 4 2" xfId="23979" xr:uid="{00000000-0005-0000-0000-0000DB4F0000}"/>
    <cellStyle name="40% - Accent2 5 6 3 5" xfId="23980" xr:uid="{00000000-0005-0000-0000-0000DC4F0000}"/>
    <cellStyle name="40% - Accent2 5 6 3 6" xfId="23981" xr:uid="{00000000-0005-0000-0000-0000DD4F0000}"/>
    <cellStyle name="40% - Accent2 5 6 3 7" xfId="23982" xr:uid="{00000000-0005-0000-0000-0000DE4F0000}"/>
    <cellStyle name="40% - Accent2 5 6 4" xfId="23983" xr:uid="{00000000-0005-0000-0000-0000DF4F0000}"/>
    <cellStyle name="40% - Accent2 5 6 4 2" xfId="23984" xr:uid="{00000000-0005-0000-0000-0000E04F0000}"/>
    <cellStyle name="40% - Accent2 5 6 4 2 2" xfId="23985" xr:uid="{00000000-0005-0000-0000-0000E14F0000}"/>
    <cellStyle name="40% - Accent2 5 6 4 2 2 2" xfId="23986" xr:uid="{00000000-0005-0000-0000-0000E24F0000}"/>
    <cellStyle name="40% - Accent2 5 6 4 2 3" xfId="23987" xr:uid="{00000000-0005-0000-0000-0000E34F0000}"/>
    <cellStyle name="40% - Accent2 5 6 4 3" xfId="23988" xr:uid="{00000000-0005-0000-0000-0000E44F0000}"/>
    <cellStyle name="40% - Accent2 5 6 4 3 2" xfId="23989" xr:uid="{00000000-0005-0000-0000-0000E54F0000}"/>
    <cellStyle name="40% - Accent2 5 6 4 4" xfId="23990" xr:uid="{00000000-0005-0000-0000-0000E64F0000}"/>
    <cellStyle name="40% - Accent2 5 6 4 5" xfId="23991" xr:uid="{00000000-0005-0000-0000-0000E74F0000}"/>
    <cellStyle name="40% - Accent2 5 6 4 6" xfId="23992" xr:uid="{00000000-0005-0000-0000-0000E84F0000}"/>
    <cellStyle name="40% - Accent2 5 6 5" xfId="23993" xr:uid="{00000000-0005-0000-0000-0000E94F0000}"/>
    <cellStyle name="40% - Accent2 5 6 5 2" xfId="23994" xr:uid="{00000000-0005-0000-0000-0000EA4F0000}"/>
    <cellStyle name="40% - Accent2 5 6 5 2 2" xfId="23995" xr:uid="{00000000-0005-0000-0000-0000EB4F0000}"/>
    <cellStyle name="40% - Accent2 5 6 5 3" xfId="23996" xr:uid="{00000000-0005-0000-0000-0000EC4F0000}"/>
    <cellStyle name="40% - Accent2 5 6 6" xfId="23997" xr:uid="{00000000-0005-0000-0000-0000ED4F0000}"/>
    <cellStyle name="40% - Accent2 5 6 6 2" xfId="23998" xr:uid="{00000000-0005-0000-0000-0000EE4F0000}"/>
    <cellStyle name="40% - Accent2 5 6 6 2 2" xfId="23999" xr:uid="{00000000-0005-0000-0000-0000EF4F0000}"/>
    <cellStyle name="40% - Accent2 5 6 6 3" xfId="24000" xr:uid="{00000000-0005-0000-0000-0000F04F0000}"/>
    <cellStyle name="40% - Accent2 5 6 7" xfId="24001" xr:uid="{00000000-0005-0000-0000-0000F14F0000}"/>
    <cellStyle name="40% - Accent2 5 6 7 2" xfId="24002" xr:uid="{00000000-0005-0000-0000-0000F24F0000}"/>
    <cellStyle name="40% - Accent2 5 6 8" xfId="24003" xr:uid="{00000000-0005-0000-0000-0000F34F0000}"/>
    <cellStyle name="40% - Accent2 5 6 8 2" xfId="24004" xr:uid="{00000000-0005-0000-0000-0000F44F0000}"/>
    <cellStyle name="40% - Accent2 5 6 9" xfId="24005" xr:uid="{00000000-0005-0000-0000-0000F54F0000}"/>
    <cellStyle name="40% - Accent2 5 7" xfId="24006" xr:uid="{00000000-0005-0000-0000-0000F64F0000}"/>
    <cellStyle name="40% - Accent2 5 7 10" xfId="24007" xr:uid="{00000000-0005-0000-0000-0000F74F0000}"/>
    <cellStyle name="40% - Accent2 5 7 11" xfId="24008" xr:uid="{00000000-0005-0000-0000-0000F84F0000}"/>
    <cellStyle name="40% - Accent2 5 7 2" xfId="24009" xr:uid="{00000000-0005-0000-0000-0000F94F0000}"/>
    <cellStyle name="40% - Accent2 5 7 2 2" xfId="24010" xr:uid="{00000000-0005-0000-0000-0000FA4F0000}"/>
    <cellStyle name="40% - Accent2 5 7 2 2 2" xfId="24011" xr:uid="{00000000-0005-0000-0000-0000FB4F0000}"/>
    <cellStyle name="40% - Accent2 5 7 2 2 2 2" xfId="24012" xr:uid="{00000000-0005-0000-0000-0000FC4F0000}"/>
    <cellStyle name="40% - Accent2 5 7 2 2 2 2 2" xfId="24013" xr:uid="{00000000-0005-0000-0000-0000FD4F0000}"/>
    <cellStyle name="40% - Accent2 5 7 2 2 2 3" xfId="24014" xr:uid="{00000000-0005-0000-0000-0000FE4F0000}"/>
    <cellStyle name="40% - Accent2 5 7 2 2 3" xfId="24015" xr:uid="{00000000-0005-0000-0000-0000FF4F0000}"/>
    <cellStyle name="40% - Accent2 5 7 2 2 3 2" xfId="24016" xr:uid="{00000000-0005-0000-0000-000000500000}"/>
    <cellStyle name="40% - Accent2 5 7 2 2 4" xfId="24017" xr:uid="{00000000-0005-0000-0000-000001500000}"/>
    <cellStyle name="40% - Accent2 5 7 2 2 5" xfId="24018" xr:uid="{00000000-0005-0000-0000-000002500000}"/>
    <cellStyle name="40% - Accent2 5 7 2 2 6" xfId="24019" xr:uid="{00000000-0005-0000-0000-000003500000}"/>
    <cellStyle name="40% - Accent2 5 7 2 3" xfId="24020" xr:uid="{00000000-0005-0000-0000-000004500000}"/>
    <cellStyle name="40% - Accent2 5 7 2 3 2" xfId="24021" xr:uid="{00000000-0005-0000-0000-000005500000}"/>
    <cellStyle name="40% - Accent2 5 7 2 3 2 2" xfId="24022" xr:uid="{00000000-0005-0000-0000-000006500000}"/>
    <cellStyle name="40% - Accent2 5 7 2 3 3" xfId="24023" xr:uid="{00000000-0005-0000-0000-000007500000}"/>
    <cellStyle name="40% - Accent2 5 7 2 4" xfId="24024" xr:uid="{00000000-0005-0000-0000-000008500000}"/>
    <cellStyle name="40% - Accent2 5 7 2 4 2" xfId="24025" xr:uid="{00000000-0005-0000-0000-000009500000}"/>
    <cellStyle name="40% - Accent2 5 7 2 5" xfId="24026" xr:uid="{00000000-0005-0000-0000-00000A500000}"/>
    <cellStyle name="40% - Accent2 5 7 2 5 2" xfId="24027" xr:uid="{00000000-0005-0000-0000-00000B500000}"/>
    <cellStyle name="40% - Accent2 5 7 2 6" xfId="24028" xr:uid="{00000000-0005-0000-0000-00000C500000}"/>
    <cellStyle name="40% - Accent2 5 7 2 7" xfId="24029" xr:uid="{00000000-0005-0000-0000-00000D500000}"/>
    <cellStyle name="40% - Accent2 5 7 2 8" xfId="24030" xr:uid="{00000000-0005-0000-0000-00000E500000}"/>
    <cellStyle name="40% - Accent2 5 7 3" xfId="24031" xr:uid="{00000000-0005-0000-0000-00000F500000}"/>
    <cellStyle name="40% - Accent2 5 7 3 2" xfId="24032" xr:uid="{00000000-0005-0000-0000-000010500000}"/>
    <cellStyle name="40% - Accent2 5 7 3 2 2" xfId="24033" xr:uid="{00000000-0005-0000-0000-000011500000}"/>
    <cellStyle name="40% - Accent2 5 7 3 2 2 2" xfId="24034" xr:uid="{00000000-0005-0000-0000-000012500000}"/>
    <cellStyle name="40% - Accent2 5 7 3 2 2 2 2" xfId="24035" xr:uid="{00000000-0005-0000-0000-000013500000}"/>
    <cellStyle name="40% - Accent2 5 7 3 2 2 3" xfId="24036" xr:uid="{00000000-0005-0000-0000-000014500000}"/>
    <cellStyle name="40% - Accent2 5 7 3 2 3" xfId="24037" xr:uid="{00000000-0005-0000-0000-000015500000}"/>
    <cellStyle name="40% - Accent2 5 7 3 2 3 2" xfId="24038" xr:uid="{00000000-0005-0000-0000-000016500000}"/>
    <cellStyle name="40% - Accent2 5 7 3 2 4" xfId="24039" xr:uid="{00000000-0005-0000-0000-000017500000}"/>
    <cellStyle name="40% - Accent2 5 7 3 2 5" xfId="24040" xr:uid="{00000000-0005-0000-0000-000018500000}"/>
    <cellStyle name="40% - Accent2 5 7 3 2 6" xfId="24041" xr:uid="{00000000-0005-0000-0000-000019500000}"/>
    <cellStyle name="40% - Accent2 5 7 3 3" xfId="24042" xr:uid="{00000000-0005-0000-0000-00001A500000}"/>
    <cellStyle name="40% - Accent2 5 7 3 3 2" xfId="24043" xr:uid="{00000000-0005-0000-0000-00001B500000}"/>
    <cellStyle name="40% - Accent2 5 7 3 3 2 2" xfId="24044" xr:uid="{00000000-0005-0000-0000-00001C500000}"/>
    <cellStyle name="40% - Accent2 5 7 3 3 3" xfId="24045" xr:uid="{00000000-0005-0000-0000-00001D500000}"/>
    <cellStyle name="40% - Accent2 5 7 3 4" xfId="24046" xr:uid="{00000000-0005-0000-0000-00001E500000}"/>
    <cellStyle name="40% - Accent2 5 7 3 4 2" xfId="24047" xr:uid="{00000000-0005-0000-0000-00001F500000}"/>
    <cellStyle name="40% - Accent2 5 7 3 5" xfId="24048" xr:uid="{00000000-0005-0000-0000-000020500000}"/>
    <cellStyle name="40% - Accent2 5 7 3 6" xfId="24049" xr:uid="{00000000-0005-0000-0000-000021500000}"/>
    <cellStyle name="40% - Accent2 5 7 3 7" xfId="24050" xr:uid="{00000000-0005-0000-0000-000022500000}"/>
    <cellStyle name="40% - Accent2 5 7 4" xfId="24051" xr:uid="{00000000-0005-0000-0000-000023500000}"/>
    <cellStyle name="40% - Accent2 5 7 4 2" xfId="24052" xr:uid="{00000000-0005-0000-0000-000024500000}"/>
    <cellStyle name="40% - Accent2 5 7 4 2 2" xfId="24053" xr:uid="{00000000-0005-0000-0000-000025500000}"/>
    <cellStyle name="40% - Accent2 5 7 4 2 2 2" xfId="24054" xr:uid="{00000000-0005-0000-0000-000026500000}"/>
    <cellStyle name="40% - Accent2 5 7 4 2 3" xfId="24055" xr:uid="{00000000-0005-0000-0000-000027500000}"/>
    <cellStyle name="40% - Accent2 5 7 4 3" xfId="24056" xr:uid="{00000000-0005-0000-0000-000028500000}"/>
    <cellStyle name="40% - Accent2 5 7 4 3 2" xfId="24057" xr:uid="{00000000-0005-0000-0000-000029500000}"/>
    <cellStyle name="40% - Accent2 5 7 4 4" xfId="24058" xr:uid="{00000000-0005-0000-0000-00002A500000}"/>
    <cellStyle name="40% - Accent2 5 7 4 5" xfId="24059" xr:uid="{00000000-0005-0000-0000-00002B500000}"/>
    <cellStyle name="40% - Accent2 5 7 4 6" xfId="24060" xr:uid="{00000000-0005-0000-0000-00002C500000}"/>
    <cellStyle name="40% - Accent2 5 7 5" xfId="24061" xr:uid="{00000000-0005-0000-0000-00002D500000}"/>
    <cellStyle name="40% - Accent2 5 7 5 2" xfId="24062" xr:uid="{00000000-0005-0000-0000-00002E500000}"/>
    <cellStyle name="40% - Accent2 5 7 5 2 2" xfId="24063" xr:uid="{00000000-0005-0000-0000-00002F500000}"/>
    <cellStyle name="40% - Accent2 5 7 5 3" xfId="24064" xr:uid="{00000000-0005-0000-0000-000030500000}"/>
    <cellStyle name="40% - Accent2 5 7 6" xfId="24065" xr:uid="{00000000-0005-0000-0000-000031500000}"/>
    <cellStyle name="40% - Accent2 5 7 6 2" xfId="24066" xr:uid="{00000000-0005-0000-0000-000032500000}"/>
    <cellStyle name="40% - Accent2 5 7 6 2 2" xfId="24067" xr:uid="{00000000-0005-0000-0000-000033500000}"/>
    <cellStyle name="40% - Accent2 5 7 6 3" xfId="24068" xr:uid="{00000000-0005-0000-0000-000034500000}"/>
    <cellStyle name="40% - Accent2 5 7 7" xfId="24069" xr:uid="{00000000-0005-0000-0000-000035500000}"/>
    <cellStyle name="40% - Accent2 5 7 7 2" xfId="24070" xr:uid="{00000000-0005-0000-0000-000036500000}"/>
    <cellStyle name="40% - Accent2 5 7 8" xfId="24071" xr:uid="{00000000-0005-0000-0000-000037500000}"/>
    <cellStyle name="40% - Accent2 5 7 8 2" xfId="24072" xr:uid="{00000000-0005-0000-0000-000038500000}"/>
    <cellStyle name="40% - Accent2 5 7 9" xfId="24073" xr:uid="{00000000-0005-0000-0000-000039500000}"/>
    <cellStyle name="40% - Accent2 5 8" xfId="24074" xr:uid="{00000000-0005-0000-0000-00003A500000}"/>
    <cellStyle name="40% - Accent2 5 8 10" xfId="24075" xr:uid="{00000000-0005-0000-0000-00003B500000}"/>
    <cellStyle name="40% - Accent2 5 8 11" xfId="24076" xr:uid="{00000000-0005-0000-0000-00003C500000}"/>
    <cellStyle name="40% - Accent2 5 8 2" xfId="24077" xr:uid="{00000000-0005-0000-0000-00003D500000}"/>
    <cellStyle name="40% - Accent2 5 8 2 2" xfId="24078" xr:uid="{00000000-0005-0000-0000-00003E500000}"/>
    <cellStyle name="40% - Accent2 5 8 2 2 2" xfId="24079" xr:uid="{00000000-0005-0000-0000-00003F500000}"/>
    <cellStyle name="40% - Accent2 5 8 2 2 2 2" xfId="24080" xr:uid="{00000000-0005-0000-0000-000040500000}"/>
    <cellStyle name="40% - Accent2 5 8 2 2 2 2 2" xfId="24081" xr:uid="{00000000-0005-0000-0000-000041500000}"/>
    <cellStyle name="40% - Accent2 5 8 2 2 2 3" xfId="24082" xr:uid="{00000000-0005-0000-0000-000042500000}"/>
    <cellStyle name="40% - Accent2 5 8 2 2 3" xfId="24083" xr:uid="{00000000-0005-0000-0000-000043500000}"/>
    <cellStyle name="40% - Accent2 5 8 2 2 3 2" xfId="24084" xr:uid="{00000000-0005-0000-0000-000044500000}"/>
    <cellStyle name="40% - Accent2 5 8 2 2 4" xfId="24085" xr:uid="{00000000-0005-0000-0000-000045500000}"/>
    <cellStyle name="40% - Accent2 5 8 2 2 5" xfId="24086" xr:uid="{00000000-0005-0000-0000-000046500000}"/>
    <cellStyle name="40% - Accent2 5 8 2 2 6" xfId="24087" xr:uid="{00000000-0005-0000-0000-000047500000}"/>
    <cellStyle name="40% - Accent2 5 8 2 3" xfId="24088" xr:uid="{00000000-0005-0000-0000-000048500000}"/>
    <cellStyle name="40% - Accent2 5 8 2 3 2" xfId="24089" xr:uid="{00000000-0005-0000-0000-000049500000}"/>
    <cellStyle name="40% - Accent2 5 8 2 3 2 2" xfId="24090" xr:uid="{00000000-0005-0000-0000-00004A500000}"/>
    <cellStyle name="40% - Accent2 5 8 2 3 3" xfId="24091" xr:uid="{00000000-0005-0000-0000-00004B500000}"/>
    <cellStyle name="40% - Accent2 5 8 2 4" xfId="24092" xr:uid="{00000000-0005-0000-0000-00004C500000}"/>
    <cellStyle name="40% - Accent2 5 8 2 4 2" xfId="24093" xr:uid="{00000000-0005-0000-0000-00004D500000}"/>
    <cellStyle name="40% - Accent2 5 8 2 5" xfId="24094" xr:uid="{00000000-0005-0000-0000-00004E500000}"/>
    <cellStyle name="40% - Accent2 5 8 2 5 2" xfId="24095" xr:uid="{00000000-0005-0000-0000-00004F500000}"/>
    <cellStyle name="40% - Accent2 5 8 2 6" xfId="24096" xr:uid="{00000000-0005-0000-0000-000050500000}"/>
    <cellStyle name="40% - Accent2 5 8 2 7" xfId="24097" xr:uid="{00000000-0005-0000-0000-000051500000}"/>
    <cellStyle name="40% - Accent2 5 8 2 8" xfId="24098" xr:uid="{00000000-0005-0000-0000-000052500000}"/>
    <cellStyle name="40% - Accent2 5 8 3" xfId="24099" xr:uid="{00000000-0005-0000-0000-000053500000}"/>
    <cellStyle name="40% - Accent2 5 8 3 2" xfId="24100" xr:uid="{00000000-0005-0000-0000-000054500000}"/>
    <cellStyle name="40% - Accent2 5 8 3 2 2" xfId="24101" xr:uid="{00000000-0005-0000-0000-000055500000}"/>
    <cellStyle name="40% - Accent2 5 8 3 2 2 2" xfId="24102" xr:uid="{00000000-0005-0000-0000-000056500000}"/>
    <cellStyle name="40% - Accent2 5 8 3 2 2 2 2" xfId="24103" xr:uid="{00000000-0005-0000-0000-000057500000}"/>
    <cellStyle name="40% - Accent2 5 8 3 2 2 3" xfId="24104" xr:uid="{00000000-0005-0000-0000-000058500000}"/>
    <cellStyle name="40% - Accent2 5 8 3 2 3" xfId="24105" xr:uid="{00000000-0005-0000-0000-000059500000}"/>
    <cellStyle name="40% - Accent2 5 8 3 2 3 2" xfId="24106" xr:uid="{00000000-0005-0000-0000-00005A500000}"/>
    <cellStyle name="40% - Accent2 5 8 3 2 4" xfId="24107" xr:uid="{00000000-0005-0000-0000-00005B500000}"/>
    <cellStyle name="40% - Accent2 5 8 3 2 5" xfId="24108" xr:uid="{00000000-0005-0000-0000-00005C500000}"/>
    <cellStyle name="40% - Accent2 5 8 3 2 6" xfId="24109" xr:uid="{00000000-0005-0000-0000-00005D500000}"/>
    <cellStyle name="40% - Accent2 5 8 3 3" xfId="24110" xr:uid="{00000000-0005-0000-0000-00005E500000}"/>
    <cellStyle name="40% - Accent2 5 8 3 3 2" xfId="24111" xr:uid="{00000000-0005-0000-0000-00005F500000}"/>
    <cellStyle name="40% - Accent2 5 8 3 3 2 2" xfId="24112" xr:uid="{00000000-0005-0000-0000-000060500000}"/>
    <cellStyle name="40% - Accent2 5 8 3 3 3" xfId="24113" xr:uid="{00000000-0005-0000-0000-000061500000}"/>
    <cellStyle name="40% - Accent2 5 8 3 4" xfId="24114" xr:uid="{00000000-0005-0000-0000-000062500000}"/>
    <cellStyle name="40% - Accent2 5 8 3 4 2" xfId="24115" xr:uid="{00000000-0005-0000-0000-000063500000}"/>
    <cellStyle name="40% - Accent2 5 8 3 5" xfId="24116" xr:uid="{00000000-0005-0000-0000-000064500000}"/>
    <cellStyle name="40% - Accent2 5 8 3 6" xfId="24117" xr:uid="{00000000-0005-0000-0000-000065500000}"/>
    <cellStyle name="40% - Accent2 5 8 3 7" xfId="24118" xr:uid="{00000000-0005-0000-0000-000066500000}"/>
    <cellStyle name="40% - Accent2 5 8 4" xfId="24119" xr:uid="{00000000-0005-0000-0000-000067500000}"/>
    <cellStyle name="40% - Accent2 5 8 4 2" xfId="24120" xr:uid="{00000000-0005-0000-0000-000068500000}"/>
    <cellStyle name="40% - Accent2 5 8 4 2 2" xfId="24121" xr:uid="{00000000-0005-0000-0000-000069500000}"/>
    <cellStyle name="40% - Accent2 5 8 4 2 2 2" xfId="24122" xr:uid="{00000000-0005-0000-0000-00006A500000}"/>
    <cellStyle name="40% - Accent2 5 8 4 2 3" xfId="24123" xr:uid="{00000000-0005-0000-0000-00006B500000}"/>
    <cellStyle name="40% - Accent2 5 8 4 3" xfId="24124" xr:uid="{00000000-0005-0000-0000-00006C500000}"/>
    <cellStyle name="40% - Accent2 5 8 4 3 2" xfId="24125" xr:uid="{00000000-0005-0000-0000-00006D500000}"/>
    <cellStyle name="40% - Accent2 5 8 4 4" xfId="24126" xr:uid="{00000000-0005-0000-0000-00006E500000}"/>
    <cellStyle name="40% - Accent2 5 8 4 5" xfId="24127" xr:uid="{00000000-0005-0000-0000-00006F500000}"/>
    <cellStyle name="40% - Accent2 5 8 4 6" xfId="24128" xr:uid="{00000000-0005-0000-0000-000070500000}"/>
    <cellStyle name="40% - Accent2 5 8 5" xfId="24129" xr:uid="{00000000-0005-0000-0000-000071500000}"/>
    <cellStyle name="40% - Accent2 5 8 5 2" xfId="24130" xr:uid="{00000000-0005-0000-0000-000072500000}"/>
    <cellStyle name="40% - Accent2 5 8 5 2 2" xfId="24131" xr:uid="{00000000-0005-0000-0000-000073500000}"/>
    <cellStyle name="40% - Accent2 5 8 5 3" xfId="24132" xr:uid="{00000000-0005-0000-0000-000074500000}"/>
    <cellStyle name="40% - Accent2 5 8 6" xfId="24133" xr:uid="{00000000-0005-0000-0000-000075500000}"/>
    <cellStyle name="40% - Accent2 5 8 6 2" xfId="24134" xr:uid="{00000000-0005-0000-0000-000076500000}"/>
    <cellStyle name="40% - Accent2 5 8 6 2 2" xfId="24135" xr:uid="{00000000-0005-0000-0000-000077500000}"/>
    <cellStyle name="40% - Accent2 5 8 6 3" xfId="24136" xr:uid="{00000000-0005-0000-0000-000078500000}"/>
    <cellStyle name="40% - Accent2 5 8 7" xfId="24137" xr:uid="{00000000-0005-0000-0000-000079500000}"/>
    <cellStyle name="40% - Accent2 5 8 7 2" xfId="24138" xr:uid="{00000000-0005-0000-0000-00007A500000}"/>
    <cellStyle name="40% - Accent2 5 8 8" xfId="24139" xr:uid="{00000000-0005-0000-0000-00007B500000}"/>
    <cellStyle name="40% - Accent2 5 8 8 2" xfId="24140" xr:uid="{00000000-0005-0000-0000-00007C500000}"/>
    <cellStyle name="40% - Accent2 5 8 9" xfId="24141" xr:uid="{00000000-0005-0000-0000-00007D500000}"/>
    <cellStyle name="40% - Accent2 5 9" xfId="24142" xr:uid="{00000000-0005-0000-0000-00007E500000}"/>
    <cellStyle name="40% - Accent2 5 9 10" xfId="24143" xr:uid="{00000000-0005-0000-0000-00007F500000}"/>
    <cellStyle name="40% - Accent2 5 9 11" xfId="24144" xr:uid="{00000000-0005-0000-0000-000080500000}"/>
    <cellStyle name="40% - Accent2 5 9 2" xfId="24145" xr:uid="{00000000-0005-0000-0000-000081500000}"/>
    <cellStyle name="40% - Accent2 5 9 2 2" xfId="24146" xr:uid="{00000000-0005-0000-0000-000082500000}"/>
    <cellStyle name="40% - Accent2 5 9 2 2 2" xfId="24147" xr:uid="{00000000-0005-0000-0000-000083500000}"/>
    <cellStyle name="40% - Accent2 5 9 2 2 2 2" xfId="24148" xr:uid="{00000000-0005-0000-0000-000084500000}"/>
    <cellStyle name="40% - Accent2 5 9 2 2 2 2 2" xfId="24149" xr:uid="{00000000-0005-0000-0000-000085500000}"/>
    <cellStyle name="40% - Accent2 5 9 2 2 2 3" xfId="24150" xr:uid="{00000000-0005-0000-0000-000086500000}"/>
    <cellStyle name="40% - Accent2 5 9 2 2 3" xfId="24151" xr:uid="{00000000-0005-0000-0000-000087500000}"/>
    <cellStyle name="40% - Accent2 5 9 2 2 3 2" xfId="24152" xr:uid="{00000000-0005-0000-0000-000088500000}"/>
    <cellStyle name="40% - Accent2 5 9 2 2 4" xfId="24153" xr:uid="{00000000-0005-0000-0000-000089500000}"/>
    <cellStyle name="40% - Accent2 5 9 2 2 5" xfId="24154" xr:uid="{00000000-0005-0000-0000-00008A500000}"/>
    <cellStyle name="40% - Accent2 5 9 2 2 6" xfId="24155" xr:uid="{00000000-0005-0000-0000-00008B500000}"/>
    <cellStyle name="40% - Accent2 5 9 2 3" xfId="24156" xr:uid="{00000000-0005-0000-0000-00008C500000}"/>
    <cellStyle name="40% - Accent2 5 9 2 3 2" xfId="24157" xr:uid="{00000000-0005-0000-0000-00008D500000}"/>
    <cellStyle name="40% - Accent2 5 9 2 3 2 2" xfId="24158" xr:uid="{00000000-0005-0000-0000-00008E500000}"/>
    <cellStyle name="40% - Accent2 5 9 2 3 3" xfId="24159" xr:uid="{00000000-0005-0000-0000-00008F500000}"/>
    <cellStyle name="40% - Accent2 5 9 2 4" xfId="24160" xr:uid="{00000000-0005-0000-0000-000090500000}"/>
    <cellStyle name="40% - Accent2 5 9 2 4 2" xfId="24161" xr:uid="{00000000-0005-0000-0000-000091500000}"/>
    <cellStyle name="40% - Accent2 5 9 2 5" xfId="24162" xr:uid="{00000000-0005-0000-0000-000092500000}"/>
    <cellStyle name="40% - Accent2 5 9 2 6" xfId="24163" xr:uid="{00000000-0005-0000-0000-000093500000}"/>
    <cellStyle name="40% - Accent2 5 9 2 7" xfId="24164" xr:uid="{00000000-0005-0000-0000-000094500000}"/>
    <cellStyle name="40% - Accent2 5 9 3" xfId="24165" xr:uid="{00000000-0005-0000-0000-000095500000}"/>
    <cellStyle name="40% - Accent2 5 9 3 2" xfId="24166" xr:uid="{00000000-0005-0000-0000-000096500000}"/>
    <cellStyle name="40% - Accent2 5 9 3 2 2" xfId="24167" xr:uid="{00000000-0005-0000-0000-000097500000}"/>
    <cellStyle name="40% - Accent2 5 9 3 2 2 2" xfId="24168" xr:uid="{00000000-0005-0000-0000-000098500000}"/>
    <cellStyle name="40% - Accent2 5 9 3 2 2 2 2" xfId="24169" xr:uid="{00000000-0005-0000-0000-000099500000}"/>
    <cellStyle name="40% - Accent2 5 9 3 2 2 3" xfId="24170" xr:uid="{00000000-0005-0000-0000-00009A500000}"/>
    <cellStyle name="40% - Accent2 5 9 3 2 3" xfId="24171" xr:uid="{00000000-0005-0000-0000-00009B500000}"/>
    <cellStyle name="40% - Accent2 5 9 3 2 3 2" xfId="24172" xr:uid="{00000000-0005-0000-0000-00009C500000}"/>
    <cellStyle name="40% - Accent2 5 9 3 2 4" xfId="24173" xr:uid="{00000000-0005-0000-0000-00009D500000}"/>
    <cellStyle name="40% - Accent2 5 9 3 2 5" xfId="24174" xr:uid="{00000000-0005-0000-0000-00009E500000}"/>
    <cellStyle name="40% - Accent2 5 9 3 2 6" xfId="24175" xr:uid="{00000000-0005-0000-0000-00009F500000}"/>
    <cellStyle name="40% - Accent2 5 9 3 3" xfId="24176" xr:uid="{00000000-0005-0000-0000-0000A0500000}"/>
    <cellStyle name="40% - Accent2 5 9 3 3 2" xfId="24177" xr:uid="{00000000-0005-0000-0000-0000A1500000}"/>
    <cellStyle name="40% - Accent2 5 9 3 3 2 2" xfId="24178" xr:uid="{00000000-0005-0000-0000-0000A2500000}"/>
    <cellStyle name="40% - Accent2 5 9 3 3 3" xfId="24179" xr:uid="{00000000-0005-0000-0000-0000A3500000}"/>
    <cellStyle name="40% - Accent2 5 9 3 4" xfId="24180" xr:uid="{00000000-0005-0000-0000-0000A4500000}"/>
    <cellStyle name="40% - Accent2 5 9 3 4 2" xfId="24181" xr:uid="{00000000-0005-0000-0000-0000A5500000}"/>
    <cellStyle name="40% - Accent2 5 9 3 5" xfId="24182" xr:uid="{00000000-0005-0000-0000-0000A6500000}"/>
    <cellStyle name="40% - Accent2 5 9 3 6" xfId="24183" xr:uid="{00000000-0005-0000-0000-0000A7500000}"/>
    <cellStyle name="40% - Accent2 5 9 3 7" xfId="24184" xr:uid="{00000000-0005-0000-0000-0000A8500000}"/>
    <cellStyle name="40% - Accent2 5 9 4" xfId="24185" xr:uid="{00000000-0005-0000-0000-0000A9500000}"/>
    <cellStyle name="40% - Accent2 5 9 4 2" xfId="24186" xr:uid="{00000000-0005-0000-0000-0000AA500000}"/>
    <cellStyle name="40% - Accent2 5 9 4 2 2" xfId="24187" xr:uid="{00000000-0005-0000-0000-0000AB500000}"/>
    <cellStyle name="40% - Accent2 5 9 4 2 2 2" xfId="24188" xr:uid="{00000000-0005-0000-0000-0000AC500000}"/>
    <cellStyle name="40% - Accent2 5 9 4 2 3" xfId="24189" xr:uid="{00000000-0005-0000-0000-0000AD500000}"/>
    <cellStyle name="40% - Accent2 5 9 4 3" xfId="24190" xr:uid="{00000000-0005-0000-0000-0000AE500000}"/>
    <cellStyle name="40% - Accent2 5 9 4 3 2" xfId="24191" xr:uid="{00000000-0005-0000-0000-0000AF500000}"/>
    <cellStyle name="40% - Accent2 5 9 4 4" xfId="24192" xr:uid="{00000000-0005-0000-0000-0000B0500000}"/>
    <cellStyle name="40% - Accent2 5 9 4 5" xfId="24193" xr:uid="{00000000-0005-0000-0000-0000B1500000}"/>
    <cellStyle name="40% - Accent2 5 9 4 6" xfId="24194" xr:uid="{00000000-0005-0000-0000-0000B2500000}"/>
    <cellStyle name="40% - Accent2 5 9 5" xfId="24195" xr:uid="{00000000-0005-0000-0000-0000B3500000}"/>
    <cellStyle name="40% - Accent2 5 9 5 2" xfId="24196" xr:uid="{00000000-0005-0000-0000-0000B4500000}"/>
    <cellStyle name="40% - Accent2 5 9 5 2 2" xfId="24197" xr:uid="{00000000-0005-0000-0000-0000B5500000}"/>
    <cellStyle name="40% - Accent2 5 9 5 3" xfId="24198" xr:uid="{00000000-0005-0000-0000-0000B6500000}"/>
    <cellStyle name="40% - Accent2 5 9 6" xfId="24199" xr:uid="{00000000-0005-0000-0000-0000B7500000}"/>
    <cellStyle name="40% - Accent2 5 9 6 2" xfId="24200" xr:uid="{00000000-0005-0000-0000-0000B8500000}"/>
    <cellStyle name="40% - Accent2 5 9 6 2 2" xfId="24201" xr:uid="{00000000-0005-0000-0000-0000B9500000}"/>
    <cellStyle name="40% - Accent2 5 9 6 3" xfId="24202" xr:uid="{00000000-0005-0000-0000-0000BA500000}"/>
    <cellStyle name="40% - Accent2 5 9 7" xfId="24203" xr:uid="{00000000-0005-0000-0000-0000BB500000}"/>
    <cellStyle name="40% - Accent2 5 9 7 2" xfId="24204" xr:uid="{00000000-0005-0000-0000-0000BC500000}"/>
    <cellStyle name="40% - Accent2 5 9 8" xfId="24205" xr:uid="{00000000-0005-0000-0000-0000BD500000}"/>
    <cellStyle name="40% - Accent2 5 9 8 2" xfId="24206" xr:uid="{00000000-0005-0000-0000-0000BE500000}"/>
    <cellStyle name="40% - Accent2 5 9 9" xfId="24207" xr:uid="{00000000-0005-0000-0000-0000BF500000}"/>
    <cellStyle name="40% - Accent2 6" xfId="200" xr:uid="{00000000-0005-0000-0000-0000C0500000}"/>
    <cellStyle name="40% - Accent2 6 10" xfId="24208" xr:uid="{00000000-0005-0000-0000-0000C1500000}"/>
    <cellStyle name="40% - Accent2 6 11" xfId="24209" xr:uid="{00000000-0005-0000-0000-0000C2500000}"/>
    <cellStyle name="40% - Accent2 6 12" xfId="24210" xr:uid="{00000000-0005-0000-0000-0000C3500000}"/>
    <cellStyle name="40% - Accent2 6 2" xfId="24211" xr:uid="{00000000-0005-0000-0000-0000C4500000}"/>
    <cellStyle name="40% - Accent2 6 2 10" xfId="24212" xr:uid="{00000000-0005-0000-0000-0000C5500000}"/>
    <cellStyle name="40% - Accent2 6 2 2" xfId="24213" xr:uid="{00000000-0005-0000-0000-0000C6500000}"/>
    <cellStyle name="40% - Accent2 6 2 2 2" xfId="24214" xr:uid="{00000000-0005-0000-0000-0000C7500000}"/>
    <cellStyle name="40% - Accent2 6 2 2 2 2" xfId="24215" xr:uid="{00000000-0005-0000-0000-0000C8500000}"/>
    <cellStyle name="40% - Accent2 6 2 2 2 2 2" xfId="24216" xr:uid="{00000000-0005-0000-0000-0000C9500000}"/>
    <cellStyle name="40% - Accent2 6 2 2 2 2 2 2" xfId="24217" xr:uid="{00000000-0005-0000-0000-0000CA500000}"/>
    <cellStyle name="40% - Accent2 6 2 2 2 2 3" xfId="24218" xr:uid="{00000000-0005-0000-0000-0000CB500000}"/>
    <cellStyle name="40% - Accent2 6 2 2 2 3" xfId="24219" xr:uid="{00000000-0005-0000-0000-0000CC500000}"/>
    <cellStyle name="40% - Accent2 6 2 2 2 3 2" xfId="24220" xr:uid="{00000000-0005-0000-0000-0000CD500000}"/>
    <cellStyle name="40% - Accent2 6 2 2 2 4" xfId="24221" xr:uid="{00000000-0005-0000-0000-0000CE500000}"/>
    <cellStyle name="40% - Accent2 6 2 2 2 5" xfId="24222" xr:uid="{00000000-0005-0000-0000-0000CF500000}"/>
    <cellStyle name="40% - Accent2 6 2 2 2 6" xfId="24223" xr:uid="{00000000-0005-0000-0000-0000D0500000}"/>
    <cellStyle name="40% - Accent2 6 2 2 3" xfId="24224" xr:uid="{00000000-0005-0000-0000-0000D1500000}"/>
    <cellStyle name="40% - Accent2 6 2 2 3 2" xfId="24225" xr:uid="{00000000-0005-0000-0000-0000D2500000}"/>
    <cellStyle name="40% - Accent2 6 2 2 3 2 2" xfId="24226" xr:uid="{00000000-0005-0000-0000-0000D3500000}"/>
    <cellStyle name="40% - Accent2 6 2 2 3 3" xfId="24227" xr:uid="{00000000-0005-0000-0000-0000D4500000}"/>
    <cellStyle name="40% - Accent2 6 2 2 4" xfId="24228" xr:uid="{00000000-0005-0000-0000-0000D5500000}"/>
    <cellStyle name="40% - Accent2 6 2 2 4 2" xfId="24229" xr:uid="{00000000-0005-0000-0000-0000D6500000}"/>
    <cellStyle name="40% - Accent2 6 2 2 5" xfId="24230" xr:uid="{00000000-0005-0000-0000-0000D7500000}"/>
    <cellStyle name="40% - Accent2 6 2 2 6" xfId="24231" xr:uid="{00000000-0005-0000-0000-0000D8500000}"/>
    <cellStyle name="40% - Accent2 6 2 2 7" xfId="24232" xr:uid="{00000000-0005-0000-0000-0000D9500000}"/>
    <cellStyle name="40% - Accent2 6 2 3" xfId="24233" xr:uid="{00000000-0005-0000-0000-0000DA500000}"/>
    <cellStyle name="40% - Accent2 6 2 3 2" xfId="24234" xr:uid="{00000000-0005-0000-0000-0000DB500000}"/>
    <cellStyle name="40% - Accent2 6 2 3 2 2" xfId="24235" xr:uid="{00000000-0005-0000-0000-0000DC500000}"/>
    <cellStyle name="40% - Accent2 6 2 3 2 2 2" xfId="24236" xr:uid="{00000000-0005-0000-0000-0000DD500000}"/>
    <cellStyle name="40% - Accent2 6 2 3 2 3" xfId="24237" xr:uid="{00000000-0005-0000-0000-0000DE500000}"/>
    <cellStyle name="40% - Accent2 6 2 3 3" xfId="24238" xr:uid="{00000000-0005-0000-0000-0000DF500000}"/>
    <cellStyle name="40% - Accent2 6 2 3 3 2" xfId="24239" xr:uid="{00000000-0005-0000-0000-0000E0500000}"/>
    <cellStyle name="40% - Accent2 6 2 3 4" xfId="24240" xr:uid="{00000000-0005-0000-0000-0000E1500000}"/>
    <cellStyle name="40% - Accent2 6 2 3 5" xfId="24241" xr:uid="{00000000-0005-0000-0000-0000E2500000}"/>
    <cellStyle name="40% - Accent2 6 2 3 6" xfId="24242" xr:uid="{00000000-0005-0000-0000-0000E3500000}"/>
    <cellStyle name="40% - Accent2 6 2 4" xfId="24243" xr:uid="{00000000-0005-0000-0000-0000E4500000}"/>
    <cellStyle name="40% - Accent2 6 2 4 2" xfId="24244" xr:uid="{00000000-0005-0000-0000-0000E5500000}"/>
    <cellStyle name="40% - Accent2 6 2 4 2 2" xfId="24245" xr:uid="{00000000-0005-0000-0000-0000E6500000}"/>
    <cellStyle name="40% - Accent2 6 2 4 3" xfId="24246" xr:uid="{00000000-0005-0000-0000-0000E7500000}"/>
    <cellStyle name="40% - Accent2 6 2 5" xfId="24247" xr:uid="{00000000-0005-0000-0000-0000E8500000}"/>
    <cellStyle name="40% - Accent2 6 2 5 2" xfId="24248" xr:uid="{00000000-0005-0000-0000-0000E9500000}"/>
    <cellStyle name="40% - Accent2 6 2 5 2 2" xfId="24249" xr:uid="{00000000-0005-0000-0000-0000EA500000}"/>
    <cellStyle name="40% - Accent2 6 2 5 3" xfId="24250" xr:uid="{00000000-0005-0000-0000-0000EB500000}"/>
    <cellStyle name="40% - Accent2 6 2 6" xfId="24251" xr:uid="{00000000-0005-0000-0000-0000EC500000}"/>
    <cellStyle name="40% - Accent2 6 2 6 2" xfId="24252" xr:uid="{00000000-0005-0000-0000-0000ED500000}"/>
    <cellStyle name="40% - Accent2 6 2 7" xfId="24253" xr:uid="{00000000-0005-0000-0000-0000EE500000}"/>
    <cellStyle name="40% - Accent2 6 2 7 2" xfId="24254" xr:uid="{00000000-0005-0000-0000-0000EF500000}"/>
    <cellStyle name="40% - Accent2 6 2 8" xfId="24255" xr:uid="{00000000-0005-0000-0000-0000F0500000}"/>
    <cellStyle name="40% - Accent2 6 2 9" xfId="24256" xr:uid="{00000000-0005-0000-0000-0000F1500000}"/>
    <cellStyle name="40% - Accent2 6 3" xfId="24257" xr:uid="{00000000-0005-0000-0000-0000F2500000}"/>
    <cellStyle name="40% - Accent2 6 3 2" xfId="24258" xr:uid="{00000000-0005-0000-0000-0000F3500000}"/>
    <cellStyle name="40% - Accent2 6 3 2 2" xfId="24259" xr:uid="{00000000-0005-0000-0000-0000F4500000}"/>
    <cellStyle name="40% - Accent2 6 3 2 2 2" xfId="24260" xr:uid="{00000000-0005-0000-0000-0000F5500000}"/>
    <cellStyle name="40% - Accent2 6 3 2 2 2 2" xfId="24261" xr:uid="{00000000-0005-0000-0000-0000F6500000}"/>
    <cellStyle name="40% - Accent2 6 3 2 2 3" xfId="24262" xr:uid="{00000000-0005-0000-0000-0000F7500000}"/>
    <cellStyle name="40% - Accent2 6 3 2 3" xfId="24263" xr:uid="{00000000-0005-0000-0000-0000F8500000}"/>
    <cellStyle name="40% - Accent2 6 3 2 3 2" xfId="24264" xr:uid="{00000000-0005-0000-0000-0000F9500000}"/>
    <cellStyle name="40% - Accent2 6 3 2 4" xfId="24265" xr:uid="{00000000-0005-0000-0000-0000FA500000}"/>
    <cellStyle name="40% - Accent2 6 3 2 5" xfId="24266" xr:uid="{00000000-0005-0000-0000-0000FB500000}"/>
    <cellStyle name="40% - Accent2 6 3 2 6" xfId="24267" xr:uid="{00000000-0005-0000-0000-0000FC500000}"/>
    <cellStyle name="40% - Accent2 6 3 3" xfId="24268" xr:uid="{00000000-0005-0000-0000-0000FD500000}"/>
    <cellStyle name="40% - Accent2 6 3 3 2" xfId="24269" xr:uid="{00000000-0005-0000-0000-0000FE500000}"/>
    <cellStyle name="40% - Accent2 6 3 3 2 2" xfId="24270" xr:uid="{00000000-0005-0000-0000-0000FF500000}"/>
    <cellStyle name="40% - Accent2 6 3 3 3" xfId="24271" xr:uid="{00000000-0005-0000-0000-000000510000}"/>
    <cellStyle name="40% - Accent2 6 3 4" xfId="24272" xr:uid="{00000000-0005-0000-0000-000001510000}"/>
    <cellStyle name="40% - Accent2 6 3 4 2" xfId="24273" xr:uid="{00000000-0005-0000-0000-000002510000}"/>
    <cellStyle name="40% - Accent2 6 3 5" xfId="24274" xr:uid="{00000000-0005-0000-0000-000003510000}"/>
    <cellStyle name="40% - Accent2 6 3 6" xfId="24275" xr:uid="{00000000-0005-0000-0000-000004510000}"/>
    <cellStyle name="40% - Accent2 6 3 7" xfId="24276" xr:uid="{00000000-0005-0000-0000-000005510000}"/>
    <cellStyle name="40% - Accent2 6 4" xfId="24277" xr:uid="{00000000-0005-0000-0000-000006510000}"/>
    <cellStyle name="40% - Accent2 6 4 2" xfId="24278" xr:uid="{00000000-0005-0000-0000-000007510000}"/>
    <cellStyle name="40% - Accent2 6 4 2 2" xfId="24279" xr:uid="{00000000-0005-0000-0000-000008510000}"/>
    <cellStyle name="40% - Accent2 6 4 2 2 2" xfId="24280" xr:uid="{00000000-0005-0000-0000-000009510000}"/>
    <cellStyle name="40% - Accent2 6 4 2 2 2 2" xfId="24281" xr:uid="{00000000-0005-0000-0000-00000A510000}"/>
    <cellStyle name="40% - Accent2 6 4 2 2 3" xfId="24282" xr:uid="{00000000-0005-0000-0000-00000B510000}"/>
    <cellStyle name="40% - Accent2 6 4 2 3" xfId="24283" xr:uid="{00000000-0005-0000-0000-00000C510000}"/>
    <cellStyle name="40% - Accent2 6 4 2 3 2" xfId="24284" xr:uid="{00000000-0005-0000-0000-00000D510000}"/>
    <cellStyle name="40% - Accent2 6 4 2 4" xfId="24285" xr:uid="{00000000-0005-0000-0000-00000E510000}"/>
    <cellStyle name="40% - Accent2 6 4 2 5" xfId="24286" xr:uid="{00000000-0005-0000-0000-00000F510000}"/>
    <cellStyle name="40% - Accent2 6 4 2 6" xfId="24287" xr:uid="{00000000-0005-0000-0000-000010510000}"/>
    <cellStyle name="40% - Accent2 6 4 3" xfId="24288" xr:uid="{00000000-0005-0000-0000-000011510000}"/>
    <cellStyle name="40% - Accent2 6 4 3 2" xfId="24289" xr:uid="{00000000-0005-0000-0000-000012510000}"/>
    <cellStyle name="40% - Accent2 6 4 3 2 2" xfId="24290" xr:uid="{00000000-0005-0000-0000-000013510000}"/>
    <cellStyle name="40% - Accent2 6 4 3 3" xfId="24291" xr:uid="{00000000-0005-0000-0000-000014510000}"/>
    <cellStyle name="40% - Accent2 6 4 4" xfId="24292" xr:uid="{00000000-0005-0000-0000-000015510000}"/>
    <cellStyle name="40% - Accent2 6 4 4 2" xfId="24293" xr:uid="{00000000-0005-0000-0000-000016510000}"/>
    <cellStyle name="40% - Accent2 6 4 5" xfId="24294" xr:uid="{00000000-0005-0000-0000-000017510000}"/>
    <cellStyle name="40% - Accent2 6 4 6" xfId="24295" xr:uid="{00000000-0005-0000-0000-000018510000}"/>
    <cellStyle name="40% - Accent2 6 4 7" xfId="24296" xr:uid="{00000000-0005-0000-0000-000019510000}"/>
    <cellStyle name="40% - Accent2 6 5" xfId="24297" xr:uid="{00000000-0005-0000-0000-00001A510000}"/>
    <cellStyle name="40% - Accent2 6 5 2" xfId="24298" xr:uid="{00000000-0005-0000-0000-00001B510000}"/>
    <cellStyle name="40% - Accent2 6 5 2 2" xfId="24299" xr:uid="{00000000-0005-0000-0000-00001C510000}"/>
    <cellStyle name="40% - Accent2 6 5 2 2 2" xfId="24300" xr:uid="{00000000-0005-0000-0000-00001D510000}"/>
    <cellStyle name="40% - Accent2 6 5 2 3" xfId="24301" xr:uid="{00000000-0005-0000-0000-00001E510000}"/>
    <cellStyle name="40% - Accent2 6 5 3" xfId="24302" xr:uid="{00000000-0005-0000-0000-00001F510000}"/>
    <cellStyle name="40% - Accent2 6 5 3 2" xfId="24303" xr:uid="{00000000-0005-0000-0000-000020510000}"/>
    <cellStyle name="40% - Accent2 6 5 4" xfId="24304" xr:uid="{00000000-0005-0000-0000-000021510000}"/>
    <cellStyle name="40% - Accent2 6 5 5" xfId="24305" xr:uid="{00000000-0005-0000-0000-000022510000}"/>
    <cellStyle name="40% - Accent2 6 5 6" xfId="24306" xr:uid="{00000000-0005-0000-0000-000023510000}"/>
    <cellStyle name="40% - Accent2 6 6" xfId="24307" xr:uid="{00000000-0005-0000-0000-000024510000}"/>
    <cellStyle name="40% - Accent2 6 6 2" xfId="24308" xr:uid="{00000000-0005-0000-0000-000025510000}"/>
    <cellStyle name="40% - Accent2 6 6 2 2" xfId="24309" xr:uid="{00000000-0005-0000-0000-000026510000}"/>
    <cellStyle name="40% - Accent2 6 6 3" xfId="24310" xr:uid="{00000000-0005-0000-0000-000027510000}"/>
    <cellStyle name="40% - Accent2 6 7" xfId="24311" xr:uid="{00000000-0005-0000-0000-000028510000}"/>
    <cellStyle name="40% - Accent2 6 7 2" xfId="24312" xr:uid="{00000000-0005-0000-0000-000029510000}"/>
    <cellStyle name="40% - Accent2 6 7 2 2" xfId="24313" xr:uid="{00000000-0005-0000-0000-00002A510000}"/>
    <cellStyle name="40% - Accent2 6 7 3" xfId="24314" xr:uid="{00000000-0005-0000-0000-00002B510000}"/>
    <cellStyle name="40% - Accent2 6 8" xfId="24315" xr:uid="{00000000-0005-0000-0000-00002C510000}"/>
    <cellStyle name="40% - Accent2 6 8 2" xfId="24316" xr:uid="{00000000-0005-0000-0000-00002D510000}"/>
    <cellStyle name="40% - Accent2 6 9" xfId="24317" xr:uid="{00000000-0005-0000-0000-00002E510000}"/>
    <cellStyle name="40% - Accent2 6 9 2" xfId="24318" xr:uid="{00000000-0005-0000-0000-00002F510000}"/>
    <cellStyle name="40% - Accent2 7" xfId="24319" xr:uid="{00000000-0005-0000-0000-000030510000}"/>
    <cellStyle name="40% - Accent2 7 10" xfId="24320" xr:uid="{00000000-0005-0000-0000-000031510000}"/>
    <cellStyle name="40% - Accent2 7 11" xfId="24321" xr:uid="{00000000-0005-0000-0000-000032510000}"/>
    <cellStyle name="40% - Accent2 7 12" xfId="24322" xr:uid="{00000000-0005-0000-0000-000033510000}"/>
    <cellStyle name="40% - Accent2 7 2" xfId="24323" xr:uid="{00000000-0005-0000-0000-000034510000}"/>
    <cellStyle name="40% - Accent2 7 2 10" xfId="24324" xr:uid="{00000000-0005-0000-0000-000035510000}"/>
    <cellStyle name="40% - Accent2 7 2 2" xfId="24325" xr:uid="{00000000-0005-0000-0000-000036510000}"/>
    <cellStyle name="40% - Accent2 7 2 2 2" xfId="24326" xr:uid="{00000000-0005-0000-0000-000037510000}"/>
    <cellStyle name="40% - Accent2 7 2 2 2 2" xfId="24327" xr:uid="{00000000-0005-0000-0000-000038510000}"/>
    <cellStyle name="40% - Accent2 7 2 2 2 2 2" xfId="24328" xr:uid="{00000000-0005-0000-0000-000039510000}"/>
    <cellStyle name="40% - Accent2 7 2 2 2 2 2 2" xfId="24329" xr:uid="{00000000-0005-0000-0000-00003A510000}"/>
    <cellStyle name="40% - Accent2 7 2 2 2 2 3" xfId="24330" xr:uid="{00000000-0005-0000-0000-00003B510000}"/>
    <cellStyle name="40% - Accent2 7 2 2 2 3" xfId="24331" xr:uid="{00000000-0005-0000-0000-00003C510000}"/>
    <cellStyle name="40% - Accent2 7 2 2 2 3 2" xfId="24332" xr:uid="{00000000-0005-0000-0000-00003D510000}"/>
    <cellStyle name="40% - Accent2 7 2 2 2 4" xfId="24333" xr:uid="{00000000-0005-0000-0000-00003E510000}"/>
    <cellStyle name="40% - Accent2 7 2 2 2 5" xfId="24334" xr:uid="{00000000-0005-0000-0000-00003F510000}"/>
    <cellStyle name="40% - Accent2 7 2 2 2 6" xfId="24335" xr:uid="{00000000-0005-0000-0000-000040510000}"/>
    <cellStyle name="40% - Accent2 7 2 2 3" xfId="24336" xr:uid="{00000000-0005-0000-0000-000041510000}"/>
    <cellStyle name="40% - Accent2 7 2 2 3 2" xfId="24337" xr:uid="{00000000-0005-0000-0000-000042510000}"/>
    <cellStyle name="40% - Accent2 7 2 2 3 2 2" xfId="24338" xr:uid="{00000000-0005-0000-0000-000043510000}"/>
    <cellStyle name="40% - Accent2 7 2 2 3 3" xfId="24339" xr:uid="{00000000-0005-0000-0000-000044510000}"/>
    <cellStyle name="40% - Accent2 7 2 2 4" xfId="24340" xr:uid="{00000000-0005-0000-0000-000045510000}"/>
    <cellStyle name="40% - Accent2 7 2 2 4 2" xfId="24341" xr:uid="{00000000-0005-0000-0000-000046510000}"/>
    <cellStyle name="40% - Accent2 7 2 2 5" xfId="24342" xr:uid="{00000000-0005-0000-0000-000047510000}"/>
    <cellStyle name="40% - Accent2 7 2 2 6" xfId="24343" xr:uid="{00000000-0005-0000-0000-000048510000}"/>
    <cellStyle name="40% - Accent2 7 2 2 7" xfId="24344" xr:uid="{00000000-0005-0000-0000-000049510000}"/>
    <cellStyle name="40% - Accent2 7 2 3" xfId="24345" xr:uid="{00000000-0005-0000-0000-00004A510000}"/>
    <cellStyle name="40% - Accent2 7 2 3 2" xfId="24346" xr:uid="{00000000-0005-0000-0000-00004B510000}"/>
    <cellStyle name="40% - Accent2 7 2 3 2 2" xfId="24347" xr:uid="{00000000-0005-0000-0000-00004C510000}"/>
    <cellStyle name="40% - Accent2 7 2 3 2 2 2" xfId="24348" xr:uid="{00000000-0005-0000-0000-00004D510000}"/>
    <cellStyle name="40% - Accent2 7 2 3 2 3" xfId="24349" xr:uid="{00000000-0005-0000-0000-00004E510000}"/>
    <cellStyle name="40% - Accent2 7 2 3 3" xfId="24350" xr:uid="{00000000-0005-0000-0000-00004F510000}"/>
    <cellStyle name="40% - Accent2 7 2 3 3 2" xfId="24351" xr:uid="{00000000-0005-0000-0000-000050510000}"/>
    <cellStyle name="40% - Accent2 7 2 3 4" xfId="24352" xr:uid="{00000000-0005-0000-0000-000051510000}"/>
    <cellStyle name="40% - Accent2 7 2 3 5" xfId="24353" xr:uid="{00000000-0005-0000-0000-000052510000}"/>
    <cellStyle name="40% - Accent2 7 2 3 6" xfId="24354" xr:uid="{00000000-0005-0000-0000-000053510000}"/>
    <cellStyle name="40% - Accent2 7 2 4" xfId="24355" xr:uid="{00000000-0005-0000-0000-000054510000}"/>
    <cellStyle name="40% - Accent2 7 2 4 2" xfId="24356" xr:uid="{00000000-0005-0000-0000-000055510000}"/>
    <cellStyle name="40% - Accent2 7 2 4 2 2" xfId="24357" xr:uid="{00000000-0005-0000-0000-000056510000}"/>
    <cellStyle name="40% - Accent2 7 2 4 3" xfId="24358" xr:uid="{00000000-0005-0000-0000-000057510000}"/>
    <cellStyle name="40% - Accent2 7 2 5" xfId="24359" xr:uid="{00000000-0005-0000-0000-000058510000}"/>
    <cellStyle name="40% - Accent2 7 2 5 2" xfId="24360" xr:uid="{00000000-0005-0000-0000-000059510000}"/>
    <cellStyle name="40% - Accent2 7 2 5 2 2" xfId="24361" xr:uid="{00000000-0005-0000-0000-00005A510000}"/>
    <cellStyle name="40% - Accent2 7 2 5 3" xfId="24362" xr:uid="{00000000-0005-0000-0000-00005B510000}"/>
    <cellStyle name="40% - Accent2 7 2 6" xfId="24363" xr:uid="{00000000-0005-0000-0000-00005C510000}"/>
    <cellStyle name="40% - Accent2 7 2 6 2" xfId="24364" xr:uid="{00000000-0005-0000-0000-00005D510000}"/>
    <cellStyle name="40% - Accent2 7 2 7" xfId="24365" xr:uid="{00000000-0005-0000-0000-00005E510000}"/>
    <cellStyle name="40% - Accent2 7 2 7 2" xfId="24366" xr:uid="{00000000-0005-0000-0000-00005F510000}"/>
    <cellStyle name="40% - Accent2 7 2 8" xfId="24367" xr:uid="{00000000-0005-0000-0000-000060510000}"/>
    <cellStyle name="40% - Accent2 7 2 9" xfId="24368" xr:uid="{00000000-0005-0000-0000-000061510000}"/>
    <cellStyle name="40% - Accent2 7 3" xfId="24369" xr:uid="{00000000-0005-0000-0000-000062510000}"/>
    <cellStyle name="40% - Accent2 7 3 2" xfId="24370" xr:uid="{00000000-0005-0000-0000-000063510000}"/>
    <cellStyle name="40% - Accent2 7 3 2 2" xfId="24371" xr:uid="{00000000-0005-0000-0000-000064510000}"/>
    <cellStyle name="40% - Accent2 7 3 2 2 2" xfId="24372" xr:uid="{00000000-0005-0000-0000-000065510000}"/>
    <cellStyle name="40% - Accent2 7 3 2 2 2 2" xfId="24373" xr:uid="{00000000-0005-0000-0000-000066510000}"/>
    <cellStyle name="40% - Accent2 7 3 2 2 3" xfId="24374" xr:uid="{00000000-0005-0000-0000-000067510000}"/>
    <cellStyle name="40% - Accent2 7 3 2 3" xfId="24375" xr:uid="{00000000-0005-0000-0000-000068510000}"/>
    <cellStyle name="40% - Accent2 7 3 2 3 2" xfId="24376" xr:uid="{00000000-0005-0000-0000-000069510000}"/>
    <cellStyle name="40% - Accent2 7 3 2 4" xfId="24377" xr:uid="{00000000-0005-0000-0000-00006A510000}"/>
    <cellStyle name="40% - Accent2 7 3 2 5" xfId="24378" xr:uid="{00000000-0005-0000-0000-00006B510000}"/>
    <cellStyle name="40% - Accent2 7 3 2 6" xfId="24379" xr:uid="{00000000-0005-0000-0000-00006C510000}"/>
    <cellStyle name="40% - Accent2 7 3 3" xfId="24380" xr:uid="{00000000-0005-0000-0000-00006D510000}"/>
    <cellStyle name="40% - Accent2 7 3 3 2" xfId="24381" xr:uid="{00000000-0005-0000-0000-00006E510000}"/>
    <cellStyle name="40% - Accent2 7 3 3 2 2" xfId="24382" xr:uid="{00000000-0005-0000-0000-00006F510000}"/>
    <cellStyle name="40% - Accent2 7 3 3 3" xfId="24383" xr:uid="{00000000-0005-0000-0000-000070510000}"/>
    <cellStyle name="40% - Accent2 7 3 4" xfId="24384" xr:uid="{00000000-0005-0000-0000-000071510000}"/>
    <cellStyle name="40% - Accent2 7 3 4 2" xfId="24385" xr:uid="{00000000-0005-0000-0000-000072510000}"/>
    <cellStyle name="40% - Accent2 7 3 5" xfId="24386" xr:uid="{00000000-0005-0000-0000-000073510000}"/>
    <cellStyle name="40% - Accent2 7 3 6" xfId="24387" xr:uid="{00000000-0005-0000-0000-000074510000}"/>
    <cellStyle name="40% - Accent2 7 3 7" xfId="24388" xr:uid="{00000000-0005-0000-0000-000075510000}"/>
    <cellStyle name="40% - Accent2 7 4" xfId="24389" xr:uid="{00000000-0005-0000-0000-000076510000}"/>
    <cellStyle name="40% - Accent2 7 4 2" xfId="24390" xr:uid="{00000000-0005-0000-0000-000077510000}"/>
    <cellStyle name="40% - Accent2 7 4 2 2" xfId="24391" xr:uid="{00000000-0005-0000-0000-000078510000}"/>
    <cellStyle name="40% - Accent2 7 4 2 2 2" xfId="24392" xr:uid="{00000000-0005-0000-0000-000079510000}"/>
    <cellStyle name="40% - Accent2 7 4 2 2 2 2" xfId="24393" xr:uid="{00000000-0005-0000-0000-00007A510000}"/>
    <cellStyle name="40% - Accent2 7 4 2 2 3" xfId="24394" xr:uid="{00000000-0005-0000-0000-00007B510000}"/>
    <cellStyle name="40% - Accent2 7 4 2 3" xfId="24395" xr:uid="{00000000-0005-0000-0000-00007C510000}"/>
    <cellStyle name="40% - Accent2 7 4 2 3 2" xfId="24396" xr:uid="{00000000-0005-0000-0000-00007D510000}"/>
    <cellStyle name="40% - Accent2 7 4 2 4" xfId="24397" xr:uid="{00000000-0005-0000-0000-00007E510000}"/>
    <cellStyle name="40% - Accent2 7 4 2 5" xfId="24398" xr:uid="{00000000-0005-0000-0000-00007F510000}"/>
    <cellStyle name="40% - Accent2 7 4 2 6" xfId="24399" xr:uid="{00000000-0005-0000-0000-000080510000}"/>
    <cellStyle name="40% - Accent2 7 4 3" xfId="24400" xr:uid="{00000000-0005-0000-0000-000081510000}"/>
    <cellStyle name="40% - Accent2 7 4 3 2" xfId="24401" xr:uid="{00000000-0005-0000-0000-000082510000}"/>
    <cellStyle name="40% - Accent2 7 4 3 2 2" xfId="24402" xr:uid="{00000000-0005-0000-0000-000083510000}"/>
    <cellStyle name="40% - Accent2 7 4 3 3" xfId="24403" xr:uid="{00000000-0005-0000-0000-000084510000}"/>
    <cellStyle name="40% - Accent2 7 4 4" xfId="24404" xr:uid="{00000000-0005-0000-0000-000085510000}"/>
    <cellStyle name="40% - Accent2 7 4 4 2" xfId="24405" xr:uid="{00000000-0005-0000-0000-000086510000}"/>
    <cellStyle name="40% - Accent2 7 4 5" xfId="24406" xr:uid="{00000000-0005-0000-0000-000087510000}"/>
    <cellStyle name="40% - Accent2 7 4 6" xfId="24407" xr:uid="{00000000-0005-0000-0000-000088510000}"/>
    <cellStyle name="40% - Accent2 7 4 7" xfId="24408" xr:uid="{00000000-0005-0000-0000-000089510000}"/>
    <cellStyle name="40% - Accent2 7 5" xfId="24409" xr:uid="{00000000-0005-0000-0000-00008A510000}"/>
    <cellStyle name="40% - Accent2 7 5 2" xfId="24410" xr:uid="{00000000-0005-0000-0000-00008B510000}"/>
    <cellStyle name="40% - Accent2 7 5 2 2" xfId="24411" xr:uid="{00000000-0005-0000-0000-00008C510000}"/>
    <cellStyle name="40% - Accent2 7 5 2 2 2" xfId="24412" xr:uid="{00000000-0005-0000-0000-00008D510000}"/>
    <cellStyle name="40% - Accent2 7 5 2 3" xfId="24413" xr:uid="{00000000-0005-0000-0000-00008E510000}"/>
    <cellStyle name="40% - Accent2 7 5 3" xfId="24414" xr:uid="{00000000-0005-0000-0000-00008F510000}"/>
    <cellStyle name="40% - Accent2 7 5 3 2" xfId="24415" xr:uid="{00000000-0005-0000-0000-000090510000}"/>
    <cellStyle name="40% - Accent2 7 5 4" xfId="24416" xr:uid="{00000000-0005-0000-0000-000091510000}"/>
    <cellStyle name="40% - Accent2 7 5 5" xfId="24417" xr:uid="{00000000-0005-0000-0000-000092510000}"/>
    <cellStyle name="40% - Accent2 7 5 6" xfId="24418" xr:uid="{00000000-0005-0000-0000-000093510000}"/>
    <cellStyle name="40% - Accent2 7 6" xfId="24419" xr:uid="{00000000-0005-0000-0000-000094510000}"/>
    <cellStyle name="40% - Accent2 7 6 2" xfId="24420" xr:uid="{00000000-0005-0000-0000-000095510000}"/>
    <cellStyle name="40% - Accent2 7 6 2 2" xfId="24421" xr:uid="{00000000-0005-0000-0000-000096510000}"/>
    <cellStyle name="40% - Accent2 7 6 3" xfId="24422" xr:uid="{00000000-0005-0000-0000-000097510000}"/>
    <cellStyle name="40% - Accent2 7 7" xfId="24423" xr:uid="{00000000-0005-0000-0000-000098510000}"/>
    <cellStyle name="40% - Accent2 7 7 2" xfId="24424" xr:uid="{00000000-0005-0000-0000-000099510000}"/>
    <cellStyle name="40% - Accent2 7 7 2 2" xfId="24425" xr:uid="{00000000-0005-0000-0000-00009A510000}"/>
    <cellStyle name="40% - Accent2 7 7 3" xfId="24426" xr:uid="{00000000-0005-0000-0000-00009B510000}"/>
    <cellStyle name="40% - Accent2 7 8" xfId="24427" xr:uid="{00000000-0005-0000-0000-00009C510000}"/>
    <cellStyle name="40% - Accent2 7 8 2" xfId="24428" xr:uid="{00000000-0005-0000-0000-00009D510000}"/>
    <cellStyle name="40% - Accent2 7 9" xfId="24429" xr:uid="{00000000-0005-0000-0000-00009E510000}"/>
    <cellStyle name="40% - Accent2 7 9 2" xfId="24430" xr:uid="{00000000-0005-0000-0000-00009F510000}"/>
    <cellStyle name="40% - Accent2 8" xfId="24431" xr:uid="{00000000-0005-0000-0000-0000A0510000}"/>
    <cellStyle name="40% - Accent2 8 10" xfId="24432" xr:uid="{00000000-0005-0000-0000-0000A1510000}"/>
    <cellStyle name="40% - Accent2 8 11" xfId="24433" xr:uid="{00000000-0005-0000-0000-0000A2510000}"/>
    <cellStyle name="40% - Accent2 8 12" xfId="24434" xr:uid="{00000000-0005-0000-0000-0000A3510000}"/>
    <cellStyle name="40% - Accent2 8 2" xfId="24435" xr:uid="{00000000-0005-0000-0000-0000A4510000}"/>
    <cellStyle name="40% - Accent2 8 2 10" xfId="24436" xr:uid="{00000000-0005-0000-0000-0000A5510000}"/>
    <cellStyle name="40% - Accent2 8 2 2" xfId="24437" xr:uid="{00000000-0005-0000-0000-0000A6510000}"/>
    <cellStyle name="40% - Accent2 8 2 2 2" xfId="24438" xr:uid="{00000000-0005-0000-0000-0000A7510000}"/>
    <cellStyle name="40% - Accent2 8 2 2 2 2" xfId="24439" xr:uid="{00000000-0005-0000-0000-0000A8510000}"/>
    <cellStyle name="40% - Accent2 8 2 2 2 2 2" xfId="24440" xr:uid="{00000000-0005-0000-0000-0000A9510000}"/>
    <cellStyle name="40% - Accent2 8 2 2 2 2 2 2" xfId="24441" xr:uid="{00000000-0005-0000-0000-0000AA510000}"/>
    <cellStyle name="40% - Accent2 8 2 2 2 2 3" xfId="24442" xr:uid="{00000000-0005-0000-0000-0000AB510000}"/>
    <cellStyle name="40% - Accent2 8 2 2 2 3" xfId="24443" xr:uid="{00000000-0005-0000-0000-0000AC510000}"/>
    <cellStyle name="40% - Accent2 8 2 2 2 3 2" xfId="24444" xr:uid="{00000000-0005-0000-0000-0000AD510000}"/>
    <cellStyle name="40% - Accent2 8 2 2 2 4" xfId="24445" xr:uid="{00000000-0005-0000-0000-0000AE510000}"/>
    <cellStyle name="40% - Accent2 8 2 2 2 5" xfId="24446" xr:uid="{00000000-0005-0000-0000-0000AF510000}"/>
    <cellStyle name="40% - Accent2 8 2 2 2 6" xfId="24447" xr:uid="{00000000-0005-0000-0000-0000B0510000}"/>
    <cellStyle name="40% - Accent2 8 2 2 3" xfId="24448" xr:uid="{00000000-0005-0000-0000-0000B1510000}"/>
    <cellStyle name="40% - Accent2 8 2 2 3 2" xfId="24449" xr:uid="{00000000-0005-0000-0000-0000B2510000}"/>
    <cellStyle name="40% - Accent2 8 2 2 3 2 2" xfId="24450" xr:uid="{00000000-0005-0000-0000-0000B3510000}"/>
    <cellStyle name="40% - Accent2 8 2 2 3 3" xfId="24451" xr:uid="{00000000-0005-0000-0000-0000B4510000}"/>
    <cellStyle name="40% - Accent2 8 2 2 4" xfId="24452" xr:uid="{00000000-0005-0000-0000-0000B5510000}"/>
    <cellStyle name="40% - Accent2 8 2 2 4 2" xfId="24453" xr:uid="{00000000-0005-0000-0000-0000B6510000}"/>
    <cellStyle name="40% - Accent2 8 2 2 5" xfId="24454" xr:uid="{00000000-0005-0000-0000-0000B7510000}"/>
    <cellStyle name="40% - Accent2 8 2 2 6" xfId="24455" xr:uid="{00000000-0005-0000-0000-0000B8510000}"/>
    <cellStyle name="40% - Accent2 8 2 2 7" xfId="24456" xr:uid="{00000000-0005-0000-0000-0000B9510000}"/>
    <cellStyle name="40% - Accent2 8 2 3" xfId="24457" xr:uid="{00000000-0005-0000-0000-0000BA510000}"/>
    <cellStyle name="40% - Accent2 8 2 3 2" xfId="24458" xr:uid="{00000000-0005-0000-0000-0000BB510000}"/>
    <cellStyle name="40% - Accent2 8 2 3 2 2" xfId="24459" xr:uid="{00000000-0005-0000-0000-0000BC510000}"/>
    <cellStyle name="40% - Accent2 8 2 3 2 2 2" xfId="24460" xr:uid="{00000000-0005-0000-0000-0000BD510000}"/>
    <cellStyle name="40% - Accent2 8 2 3 2 3" xfId="24461" xr:uid="{00000000-0005-0000-0000-0000BE510000}"/>
    <cellStyle name="40% - Accent2 8 2 3 3" xfId="24462" xr:uid="{00000000-0005-0000-0000-0000BF510000}"/>
    <cellStyle name="40% - Accent2 8 2 3 3 2" xfId="24463" xr:uid="{00000000-0005-0000-0000-0000C0510000}"/>
    <cellStyle name="40% - Accent2 8 2 3 4" xfId="24464" xr:uid="{00000000-0005-0000-0000-0000C1510000}"/>
    <cellStyle name="40% - Accent2 8 2 3 5" xfId="24465" xr:uid="{00000000-0005-0000-0000-0000C2510000}"/>
    <cellStyle name="40% - Accent2 8 2 3 6" xfId="24466" xr:uid="{00000000-0005-0000-0000-0000C3510000}"/>
    <cellStyle name="40% - Accent2 8 2 4" xfId="24467" xr:uid="{00000000-0005-0000-0000-0000C4510000}"/>
    <cellStyle name="40% - Accent2 8 2 4 2" xfId="24468" xr:uid="{00000000-0005-0000-0000-0000C5510000}"/>
    <cellStyle name="40% - Accent2 8 2 4 2 2" xfId="24469" xr:uid="{00000000-0005-0000-0000-0000C6510000}"/>
    <cellStyle name="40% - Accent2 8 2 4 3" xfId="24470" xr:uid="{00000000-0005-0000-0000-0000C7510000}"/>
    <cellStyle name="40% - Accent2 8 2 5" xfId="24471" xr:uid="{00000000-0005-0000-0000-0000C8510000}"/>
    <cellStyle name="40% - Accent2 8 2 5 2" xfId="24472" xr:uid="{00000000-0005-0000-0000-0000C9510000}"/>
    <cellStyle name="40% - Accent2 8 2 5 2 2" xfId="24473" xr:uid="{00000000-0005-0000-0000-0000CA510000}"/>
    <cellStyle name="40% - Accent2 8 2 5 3" xfId="24474" xr:uid="{00000000-0005-0000-0000-0000CB510000}"/>
    <cellStyle name="40% - Accent2 8 2 6" xfId="24475" xr:uid="{00000000-0005-0000-0000-0000CC510000}"/>
    <cellStyle name="40% - Accent2 8 2 6 2" xfId="24476" xr:uid="{00000000-0005-0000-0000-0000CD510000}"/>
    <cellStyle name="40% - Accent2 8 2 7" xfId="24477" xr:uid="{00000000-0005-0000-0000-0000CE510000}"/>
    <cellStyle name="40% - Accent2 8 2 7 2" xfId="24478" xr:uid="{00000000-0005-0000-0000-0000CF510000}"/>
    <cellStyle name="40% - Accent2 8 2 8" xfId="24479" xr:uid="{00000000-0005-0000-0000-0000D0510000}"/>
    <cellStyle name="40% - Accent2 8 2 9" xfId="24480" xr:uid="{00000000-0005-0000-0000-0000D1510000}"/>
    <cellStyle name="40% - Accent2 8 3" xfId="24481" xr:uid="{00000000-0005-0000-0000-0000D2510000}"/>
    <cellStyle name="40% - Accent2 8 3 2" xfId="24482" xr:uid="{00000000-0005-0000-0000-0000D3510000}"/>
    <cellStyle name="40% - Accent2 8 3 2 2" xfId="24483" xr:uid="{00000000-0005-0000-0000-0000D4510000}"/>
    <cellStyle name="40% - Accent2 8 3 2 2 2" xfId="24484" xr:uid="{00000000-0005-0000-0000-0000D5510000}"/>
    <cellStyle name="40% - Accent2 8 3 2 2 2 2" xfId="24485" xr:uid="{00000000-0005-0000-0000-0000D6510000}"/>
    <cellStyle name="40% - Accent2 8 3 2 2 3" xfId="24486" xr:uid="{00000000-0005-0000-0000-0000D7510000}"/>
    <cellStyle name="40% - Accent2 8 3 2 3" xfId="24487" xr:uid="{00000000-0005-0000-0000-0000D8510000}"/>
    <cellStyle name="40% - Accent2 8 3 2 3 2" xfId="24488" xr:uid="{00000000-0005-0000-0000-0000D9510000}"/>
    <cellStyle name="40% - Accent2 8 3 2 4" xfId="24489" xr:uid="{00000000-0005-0000-0000-0000DA510000}"/>
    <cellStyle name="40% - Accent2 8 3 2 5" xfId="24490" xr:uid="{00000000-0005-0000-0000-0000DB510000}"/>
    <cellStyle name="40% - Accent2 8 3 2 6" xfId="24491" xr:uid="{00000000-0005-0000-0000-0000DC510000}"/>
    <cellStyle name="40% - Accent2 8 3 3" xfId="24492" xr:uid="{00000000-0005-0000-0000-0000DD510000}"/>
    <cellStyle name="40% - Accent2 8 3 3 2" xfId="24493" xr:uid="{00000000-0005-0000-0000-0000DE510000}"/>
    <cellStyle name="40% - Accent2 8 3 3 2 2" xfId="24494" xr:uid="{00000000-0005-0000-0000-0000DF510000}"/>
    <cellStyle name="40% - Accent2 8 3 3 3" xfId="24495" xr:uid="{00000000-0005-0000-0000-0000E0510000}"/>
    <cellStyle name="40% - Accent2 8 3 4" xfId="24496" xr:uid="{00000000-0005-0000-0000-0000E1510000}"/>
    <cellStyle name="40% - Accent2 8 3 4 2" xfId="24497" xr:uid="{00000000-0005-0000-0000-0000E2510000}"/>
    <cellStyle name="40% - Accent2 8 3 5" xfId="24498" xr:uid="{00000000-0005-0000-0000-0000E3510000}"/>
    <cellStyle name="40% - Accent2 8 3 6" xfId="24499" xr:uid="{00000000-0005-0000-0000-0000E4510000}"/>
    <cellStyle name="40% - Accent2 8 3 7" xfId="24500" xr:uid="{00000000-0005-0000-0000-0000E5510000}"/>
    <cellStyle name="40% - Accent2 8 4" xfId="24501" xr:uid="{00000000-0005-0000-0000-0000E6510000}"/>
    <cellStyle name="40% - Accent2 8 4 2" xfId="24502" xr:uid="{00000000-0005-0000-0000-0000E7510000}"/>
    <cellStyle name="40% - Accent2 8 4 2 2" xfId="24503" xr:uid="{00000000-0005-0000-0000-0000E8510000}"/>
    <cellStyle name="40% - Accent2 8 4 2 2 2" xfId="24504" xr:uid="{00000000-0005-0000-0000-0000E9510000}"/>
    <cellStyle name="40% - Accent2 8 4 2 2 2 2" xfId="24505" xr:uid="{00000000-0005-0000-0000-0000EA510000}"/>
    <cellStyle name="40% - Accent2 8 4 2 2 3" xfId="24506" xr:uid="{00000000-0005-0000-0000-0000EB510000}"/>
    <cellStyle name="40% - Accent2 8 4 2 3" xfId="24507" xr:uid="{00000000-0005-0000-0000-0000EC510000}"/>
    <cellStyle name="40% - Accent2 8 4 2 3 2" xfId="24508" xr:uid="{00000000-0005-0000-0000-0000ED510000}"/>
    <cellStyle name="40% - Accent2 8 4 2 4" xfId="24509" xr:uid="{00000000-0005-0000-0000-0000EE510000}"/>
    <cellStyle name="40% - Accent2 8 4 2 5" xfId="24510" xr:uid="{00000000-0005-0000-0000-0000EF510000}"/>
    <cellStyle name="40% - Accent2 8 4 2 6" xfId="24511" xr:uid="{00000000-0005-0000-0000-0000F0510000}"/>
    <cellStyle name="40% - Accent2 8 4 3" xfId="24512" xr:uid="{00000000-0005-0000-0000-0000F1510000}"/>
    <cellStyle name="40% - Accent2 8 4 3 2" xfId="24513" xr:uid="{00000000-0005-0000-0000-0000F2510000}"/>
    <cellStyle name="40% - Accent2 8 4 3 2 2" xfId="24514" xr:uid="{00000000-0005-0000-0000-0000F3510000}"/>
    <cellStyle name="40% - Accent2 8 4 3 3" xfId="24515" xr:uid="{00000000-0005-0000-0000-0000F4510000}"/>
    <cellStyle name="40% - Accent2 8 4 4" xfId="24516" xr:uid="{00000000-0005-0000-0000-0000F5510000}"/>
    <cellStyle name="40% - Accent2 8 4 4 2" xfId="24517" xr:uid="{00000000-0005-0000-0000-0000F6510000}"/>
    <cellStyle name="40% - Accent2 8 4 5" xfId="24518" xr:uid="{00000000-0005-0000-0000-0000F7510000}"/>
    <cellStyle name="40% - Accent2 8 4 6" xfId="24519" xr:uid="{00000000-0005-0000-0000-0000F8510000}"/>
    <cellStyle name="40% - Accent2 8 4 7" xfId="24520" xr:uid="{00000000-0005-0000-0000-0000F9510000}"/>
    <cellStyle name="40% - Accent2 8 5" xfId="24521" xr:uid="{00000000-0005-0000-0000-0000FA510000}"/>
    <cellStyle name="40% - Accent2 8 5 2" xfId="24522" xr:uid="{00000000-0005-0000-0000-0000FB510000}"/>
    <cellStyle name="40% - Accent2 8 5 2 2" xfId="24523" xr:uid="{00000000-0005-0000-0000-0000FC510000}"/>
    <cellStyle name="40% - Accent2 8 5 2 2 2" xfId="24524" xr:uid="{00000000-0005-0000-0000-0000FD510000}"/>
    <cellStyle name="40% - Accent2 8 5 2 3" xfId="24525" xr:uid="{00000000-0005-0000-0000-0000FE510000}"/>
    <cellStyle name="40% - Accent2 8 5 3" xfId="24526" xr:uid="{00000000-0005-0000-0000-0000FF510000}"/>
    <cellStyle name="40% - Accent2 8 5 3 2" xfId="24527" xr:uid="{00000000-0005-0000-0000-000000520000}"/>
    <cellStyle name="40% - Accent2 8 5 4" xfId="24528" xr:uid="{00000000-0005-0000-0000-000001520000}"/>
    <cellStyle name="40% - Accent2 8 5 5" xfId="24529" xr:uid="{00000000-0005-0000-0000-000002520000}"/>
    <cellStyle name="40% - Accent2 8 5 6" xfId="24530" xr:uid="{00000000-0005-0000-0000-000003520000}"/>
    <cellStyle name="40% - Accent2 8 6" xfId="24531" xr:uid="{00000000-0005-0000-0000-000004520000}"/>
    <cellStyle name="40% - Accent2 8 6 2" xfId="24532" xr:uid="{00000000-0005-0000-0000-000005520000}"/>
    <cellStyle name="40% - Accent2 8 6 2 2" xfId="24533" xr:uid="{00000000-0005-0000-0000-000006520000}"/>
    <cellStyle name="40% - Accent2 8 6 3" xfId="24534" xr:uid="{00000000-0005-0000-0000-000007520000}"/>
    <cellStyle name="40% - Accent2 8 7" xfId="24535" xr:uid="{00000000-0005-0000-0000-000008520000}"/>
    <cellStyle name="40% - Accent2 8 7 2" xfId="24536" xr:uid="{00000000-0005-0000-0000-000009520000}"/>
    <cellStyle name="40% - Accent2 8 7 2 2" xfId="24537" xr:uid="{00000000-0005-0000-0000-00000A520000}"/>
    <cellStyle name="40% - Accent2 8 7 3" xfId="24538" xr:uid="{00000000-0005-0000-0000-00000B520000}"/>
    <cellStyle name="40% - Accent2 8 8" xfId="24539" xr:uid="{00000000-0005-0000-0000-00000C520000}"/>
    <cellStyle name="40% - Accent2 8 8 2" xfId="24540" xr:uid="{00000000-0005-0000-0000-00000D520000}"/>
    <cellStyle name="40% - Accent2 8 9" xfId="24541" xr:uid="{00000000-0005-0000-0000-00000E520000}"/>
    <cellStyle name="40% - Accent2 8 9 2" xfId="24542" xr:uid="{00000000-0005-0000-0000-00000F520000}"/>
    <cellStyle name="40% - Accent2 9" xfId="24543" xr:uid="{00000000-0005-0000-0000-000010520000}"/>
    <cellStyle name="40% - Accent2 9 10" xfId="24544" xr:uid="{00000000-0005-0000-0000-000011520000}"/>
    <cellStyle name="40% - Accent2 9 11" xfId="24545" xr:uid="{00000000-0005-0000-0000-000012520000}"/>
    <cellStyle name="40% - Accent2 9 12" xfId="24546" xr:uid="{00000000-0005-0000-0000-000013520000}"/>
    <cellStyle name="40% - Accent2 9 2" xfId="24547" xr:uid="{00000000-0005-0000-0000-000014520000}"/>
    <cellStyle name="40% - Accent2 9 2 10" xfId="24548" xr:uid="{00000000-0005-0000-0000-000015520000}"/>
    <cellStyle name="40% - Accent2 9 2 2" xfId="24549" xr:uid="{00000000-0005-0000-0000-000016520000}"/>
    <cellStyle name="40% - Accent2 9 2 2 2" xfId="24550" xr:uid="{00000000-0005-0000-0000-000017520000}"/>
    <cellStyle name="40% - Accent2 9 2 2 2 2" xfId="24551" xr:uid="{00000000-0005-0000-0000-000018520000}"/>
    <cellStyle name="40% - Accent2 9 2 2 2 2 2" xfId="24552" xr:uid="{00000000-0005-0000-0000-000019520000}"/>
    <cellStyle name="40% - Accent2 9 2 2 2 2 2 2" xfId="24553" xr:uid="{00000000-0005-0000-0000-00001A520000}"/>
    <cellStyle name="40% - Accent2 9 2 2 2 2 3" xfId="24554" xr:uid="{00000000-0005-0000-0000-00001B520000}"/>
    <cellStyle name="40% - Accent2 9 2 2 2 3" xfId="24555" xr:uid="{00000000-0005-0000-0000-00001C520000}"/>
    <cellStyle name="40% - Accent2 9 2 2 2 3 2" xfId="24556" xr:uid="{00000000-0005-0000-0000-00001D520000}"/>
    <cellStyle name="40% - Accent2 9 2 2 2 4" xfId="24557" xr:uid="{00000000-0005-0000-0000-00001E520000}"/>
    <cellStyle name="40% - Accent2 9 2 2 2 5" xfId="24558" xr:uid="{00000000-0005-0000-0000-00001F520000}"/>
    <cellStyle name="40% - Accent2 9 2 2 2 6" xfId="24559" xr:uid="{00000000-0005-0000-0000-000020520000}"/>
    <cellStyle name="40% - Accent2 9 2 2 3" xfId="24560" xr:uid="{00000000-0005-0000-0000-000021520000}"/>
    <cellStyle name="40% - Accent2 9 2 2 3 2" xfId="24561" xr:uid="{00000000-0005-0000-0000-000022520000}"/>
    <cellStyle name="40% - Accent2 9 2 2 3 2 2" xfId="24562" xr:uid="{00000000-0005-0000-0000-000023520000}"/>
    <cellStyle name="40% - Accent2 9 2 2 3 3" xfId="24563" xr:uid="{00000000-0005-0000-0000-000024520000}"/>
    <cellStyle name="40% - Accent2 9 2 2 4" xfId="24564" xr:uid="{00000000-0005-0000-0000-000025520000}"/>
    <cellStyle name="40% - Accent2 9 2 2 4 2" xfId="24565" xr:uid="{00000000-0005-0000-0000-000026520000}"/>
    <cellStyle name="40% - Accent2 9 2 2 5" xfId="24566" xr:uid="{00000000-0005-0000-0000-000027520000}"/>
    <cellStyle name="40% - Accent2 9 2 2 6" xfId="24567" xr:uid="{00000000-0005-0000-0000-000028520000}"/>
    <cellStyle name="40% - Accent2 9 2 2 7" xfId="24568" xr:uid="{00000000-0005-0000-0000-000029520000}"/>
    <cellStyle name="40% - Accent2 9 2 3" xfId="24569" xr:uid="{00000000-0005-0000-0000-00002A520000}"/>
    <cellStyle name="40% - Accent2 9 2 3 2" xfId="24570" xr:uid="{00000000-0005-0000-0000-00002B520000}"/>
    <cellStyle name="40% - Accent2 9 2 3 2 2" xfId="24571" xr:uid="{00000000-0005-0000-0000-00002C520000}"/>
    <cellStyle name="40% - Accent2 9 2 3 2 2 2" xfId="24572" xr:uid="{00000000-0005-0000-0000-00002D520000}"/>
    <cellStyle name="40% - Accent2 9 2 3 2 3" xfId="24573" xr:uid="{00000000-0005-0000-0000-00002E520000}"/>
    <cellStyle name="40% - Accent2 9 2 3 3" xfId="24574" xr:uid="{00000000-0005-0000-0000-00002F520000}"/>
    <cellStyle name="40% - Accent2 9 2 3 3 2" xfId="24575" xr:uid="{00000000-0005-0000-0000-000030520000}"/>
    <cellStyle name="40% - Accent2 9 2 3 4" xfId="24576" xr:uid="{00000000-0005-0000-0000-000031520000}"/>
    <cellStyle name="40% - Accent2 9 2 3 5" xfId="24577" xr:uid="{00000000-0005-0000-0000-000032520000}"/>
    <cellStyle name="40% - Accent2 9 2 3 6" xfId="24578" xr:uid="{00000000-0005-0000-0000-000033520000}"/>
    <cellStyle name="40% - Accent2 9 2 4" xfId="24579" xr:uid="{00000000-0005-0000-0000-000034520000}"/>
    <cellStyle name="40% - Accent2 9 2 4 2" xfId="24580" xr:uid="{00000000-0005-0000-0000-000035520000}"/>
    <cellStyle name="40% - Accent2 9 2 4 2 2" xfId="24581" xr:uid="{00000000-0005-0000-0000-000036520000}"/>
    <cellStyle name="40% - Accent2 9 2 4 3" xfId="24582" xr:uid="{00000000-0005-0000-0000-000037520000}"/>
    <cellStyle name="40% - Accent2 9 2 5" xfId="24583" xr:uid="{00000000-0005-0000-0000-000038520000}"/>
    <cellStyle name="40% - Accent2 9 2 5 2" xfId="24584" xr:uid="{00000000-0005-0000-0000-000039520000}"/>
    <cellStyle name="40% - Accent2 9 2 5 2 2" xfId="24585" xr:uid="{00000000-0005-0000-0000-00003A520000}"/>
    <cellStyle name="40% - Accent2 9 2 5 3" xfId="24586" xr:uid="{00000000-0005-0000-0000-00003B520000}"/>
    <cellStyle name="40% - Accent2 9 2 6" xfId="24587" xr:uid="{00000000-0005-0000-0000-00003C520000}"/>
    <cellStyle name="40% - Accent2 9 2 6 2" xfId="24588" xr:uid="{00000000-0005-0000-0000-00003D520000}"/>
    <cellStyle name="40% - Accent2 9 2 7" xfId="24589" xr:uid="{00000000-0005-0000-0000-00003E520000}"/>
    <cellStyle name="40% - Accent2 9 2 7 2" xfId="24590" xr:uid="{00000000-0005-0000-0000-00003F520000}"/>
    <cellStyle name="40% - Accent2 9 2 8" xfId="24591" xr:uid="{00000000-0005-0000-0000-000040520000}"/>
    <cellStyle name="40% - Accent2 9 2 9" xfId="24592" xr:uid="{00000000-0005-0000-0000-000041520000}"/>
    <cellStyle name="40% - Accent2 9 3" xfId="24593" xr:uid="{00000000-0005-0000-0000-000042520000}"/>
    <cellStyle name="40% - Accent2 9 3 2" xfId="24594" xr:uid="{00000000-0005-0000-0000-000043520000}"/>
    <cellStyle name="40% - Accent2 9 3 2 2" xfId="24595" xr:uid="{00000000-0005-0000-0000-000044520000}"/>
    <cellStyle name="40% - Accent2 9 3 2 2 2" xfId="24596" xr:uid="{00000000-0005-0000-0000-000045520000}"/>
    <cellStyle name="40% - Accent2 9 3 2 2 2 2" xfId="24597" xr:uid="{00000000-0005-0000-0000-000046520000}"/>
    <cellStyle name="40% - Accent2 9 3 2 2 3" xfId="24598" xr:uid="{00000000-0005-0000-0000-000047520000}"/>
    <cellStyle name="40% - Accent2 9 3 2 3" xfId="24599" xr:uid="{00000000-0005-0000-0000-000048520000}"/>
    <cellStyle name="40% - Accent2 9 3 2 3 2" xfId="24600" xr:uid="{00000000-0005-0000-0000-000049520000}"/>
    <cellStyle name="40% - Accent2 9 3 2 4" xfId="24601" xr:uid="{00000000-0005-0000-0000-00004A520000}"/>
    <cellStyle name="40% - Accent2 9 3 2 5" xfId="24602" xr:uid="{00000000-0005-0000-0000-00004B520000}"/>
    <cellStyle name="40% - Accent2 9 3 2 6" xfId="24603" xr:uid="{00000000-0005-0000-0000-00004C520000}"/>
    <cellStyle name="40% - Accent2 9 3 3" xfId="24604" xr:uid="{00000000-0005-0000-0000-00004D520000}"/>
    <cellStyle name="40% - Accent2 9 3 3 2" xfId="24605" xr:uid="{00000000-0005-0000-0000-00004E520000}"/>
    <cellStyle name="40% - Accent2 9 3 3 2 2" xfId="24606" xr:uid="{00000000-0005-0000-0000-00004F520000}"/>
    <cellStyle name="40% - Accent2 9 3 3 3" xfId="24607" xr:uid="{00000000-0005-0000-0000-000050520000}"/>
    <cellStyle name="40% - Accent2 9 3 4" xfId="24608" xr:uid="{00000000-0005-0000-0000-000051520000}"/>
    <cellStyle name="40% - Accent2 9 3 4 2" xfId="24609" xr:uid="{00000000-0005-0000-0000-000052520000}"/>
    <cellStyle name="40% - Accent2 9 3 5" xfId="24610" xr:uid="{00000000-0005-0000-0000-000053520000}"/>
    <cellStyle name="40% - Accent2 9 3 6" xfId="24611" xr:uid="{00000000-0005-0000-0000-000054520000}"/>
    <cellStyle name="40% - Accent2 9 3 7" xfId="24612" xr:uid="{00000000-0005-0000-0000-000055520000}"/>
    <cellStyle name="40% - Accent2 9 4" xfId="24613" xr:uid="{00000000-0005-0000-0000-000056520000}"/>
    <cellStyle name="40% - Accent2 9 4 2" xfId="24614" xr:uid="{00000000-0005-0000-0000-000057520000}"/>
    <cellStyle name="40% - Accent2 9 4 2 2" xfId="24615" xr:uid="{00000000-0005-0000-0000-000058520000}"/>
    <cellStyle name="40% - Accent2 9 4 2 2 2" xfId="24616" xr:uid="{00000000-0005-0000-0000-000059520000}"/>
    <cellStyle name="40% - Accent2 9 4 2 2 2 2" xfId="24617" xr:uid="{00000000-0005-0000-0000-00005A520000}"/>
    <cellStyle name="40% - Accent2 9 4 2 2 3" xfId="24618" xr:uid="{00000000-0005-0000-0000-00005B520000}"/>
    <cellStyle name="40% - Accent2 9 4 2 3" xfId="24619" xr:uid="{00000000-0005-0000-0000-00005C520000}"/>
    <cellStyle name="40% - Accent2 9 4 2 3 2" xfId="24620" xr:uid="{00000000-0005-0000-0000-00005D520000}"/>
    <cellStyle name="40% - Accent2 9 4 2 4" xfId="24621" xr:uid="{00000000-0005-0000-0000-00005E520000}"/>
    <cellStyle name="40% - Accent2 9 4 2 5" xfId="24622" xr:uid="{00000000-0005-0000-0000-00005F520000}"/>
    <cellStyle name="40% - Accent2 9 4 2 6" xfId="24623" xr:uid="{00000000-0005-0000-0000-000060520000}"/>
    <cellStyle name="40% - Accent2 9 4 3" xfId="24624" xr:uid="{00000000-0005-0000-0000-000061520000}"/>
    <cellStyle name="40% - Accent2 9 4 3 2" xfId="24625" xr:uid="{00000000-0005-0000-0000-000062520000}"/>
    <cellStyle name="40% - Accent2 9 4 3 2 2" xfId="24626" xr:uid="{00000000-0005-0000-0000-000063520000}"/>
    <cellStyle name="40% - Accent2 9 4 3 3" xfId="24627" xr:uid="{00000000-0005-0000-0000-000064520000}"/>
    <cellStyle name="40% - Accent2 9 4 4" xfId="24628" xr:uid="{00000000-0005-0000-0000-000065520000}"/>
    <cellStyle name="40% - Accent2 9 4 4 2" xfId="24629" xr:uid="{00000000-0005-0000-0000-000066520000}"/>
    <cellStyle name="40% - Accent2 9 4 5" xfId="24630" xr:uid="{00000000-0005-0000-0000-000067520000}"/>
    <cellStyle name="40% - Accent2 9 4 6" xfId="24631" xr:uid="{00000000-0005-0000-0000-000068520000}"/>
    <cellStyle name="40% - Accent2 9 4 7" xfId="24632" xr:uid="{00000000-0005-0000-0000-000069520000}"/>
    <cellStyle name="40% - Accent2 9 5" xfId="24633" xr:uid="{00000000-0005-0000-0000-00006A520000}"/>
    <cellStyle name="40% - Accent2 9 5 2" xfId="24634" xr:uid="{00000000-0005-0000-0000-00006B520000}"/>
    <cellStyle name="40% - Accent2 9 5 2 2" xfId="24635" xr:uid="{00000000-0005-0000-0000-00006C520000}"/>
    <cellStyle name="40% - Accent2 9 5 2 2 2" xfId="24636" xr:uid="{00000000-0005-0000-0000-00006D520000}"/>
    <cellStyle name="40% - Accent2 9 5 2 3" xfId="24637" xr:uid="{00000000-0005-0000-0000-00006E520000}"/>
    <cellStyle name="40% - Accent2 9 5 3" xfId="24638" xr:uid="{00000000-0005-0000-0000-00006F520000}"/>
    <cellStyle name="40% - Accent2 9 5 3 2" xfId="24639" xr:uid="{00000000-0005-0000-0000-000070520000}"/>
    <cellStyle name="40% - Accent2 9 5 4" xfId="24640" xr:uid="{00000000-0005-0000-0000-000071520000}"/>
    <cellStyle name="40% - Accent2 9 5 5" xfId="24641" xr:uid="{00000000-0005-0000-0000-000072520000}"/>
    <cellStyle name="40% - Accent2 9 5 6" xfId="24642" xr:uid="{00000000-0005-0000-0000-000073520000}"/>
    <cellStyle name="40% - Accent2 9 6" xfId="24643" xr:uid="{00000000-0005-0000-0000-000074520000}"/>
    <cellStyle name="40% - Accent2 9 6 2" xfId="24644" xr:uid="{00000000-0005-0000-0000-000075520000}"/>
    <cellStyle name="40% - Accent2 9 6 2 2" xfId="24645" xr:uid="{00000000-0005-0000-0000-000076520000}"/>
    <cellStyle name="40% - Accent2 9 6 3" xfId="24646" xr:uid="{00000000-0005-0000-0000-000077520000}"/>
    <cellStyle name="40% - Accent2 9 7" xfId="24647" xr:uid="{00000000-0005-0000-0000-000078520000}"/>
    <cellStyle name="40% - Accent2 9 7 2" xfId="24648" xr:uid="{00000000-0005-0000-0000-000079520000}"/>
    <cellStyle name="40% - Accent2 9 7 2 2" xfId="24649" xr:uid="{00000000-0005-0000-0000-00007A520000}"/>
    <cellStyle name="40% - Accent2 9 7 3" xfId="24650" xr:uid="{00000000-0005-0000-0000-00007B520000}"/>
    <cellStyle name="40% - Accent2 9 8" xfId="24651" xr:uid="{00000000-0005-0000-0000-00007C520000}"/>
    <cellStyle name="40% - Accent2 9 8 2" xfId="24652" xr:uid="{00000000-0005-0000-0000-00007D520000}"/>
    <cellStyle name="40% - Accent2 9 9" xfId="24653" xr:uid="{00000000-0005-0000-0000-00007E520000}"/>
    <cellStyle name="40% - Accent2 9 9 2" xfId="24654" xr:uid="{00000000-0005-0000-0000-00007F520000}"/>
    <cellStyle name="40% - Accent3" xfId="128" builtinId="39" customBuiltin="1"/>
    <cellStyle name="40% - Accent3 10" xfId="24655" xr:uid="{00000000-0005-0000-0000-000080520000}"/>
    <cellStyle name="40% - Accent3 10 10" xfId="24656" xr:uid="{00000000-0005-0000-0000-000081520000}"/>
    <cellStyle name="40% - Accent3 10 11" xfId="24657" xr:uid="{00000000-0005-0000-0000-000082520000}"/>
    <cellStyle name="40% - Accent3 10 2" xfId="24658" xr:uid="{00000000-0005-0000-0000-000083520000}"/>
    <cellStyle name="40% - Accent3 10 2 2" xfId="24659" xr:uid="{00000000-0005-0000-0000-000084520000}"/>
    <cellStyle name="40% - Accent3 10 2 2 2" xfId="24660" xr:uid="{00000000-0005-0000-0000-000085520000}"/>
    <cellStyle name="40% - Accent3 10 2 2 2 2" xfId="24661" xr:uid="{00000000-0005-0000-0000-000086520000}"/>
    <cellStyle name="40% - Accent3 10 2 2 2 2 2" xfId="24662" xr:uid="{00000000-0005-0000-0000-000087520000}"/>
    <cellStyle name="40% - Accent3 10 2 2 2 3" xfId="24663" xr:uid="{00000000-0005-0000-0000-000088520000}"/>
    <cellStyle name="40% - Accent3 10 2 2 3" xfId="24664" xr:uid="{00000000-0005-0000-0000-000089520000}"/>
    <cellStyle name="40% - Accent3 10 2 2 3 2" xfId="24665" xr:uid="{00000000-0005-0000-0000-00008A520000}"/>
    <cellStyle name="40% - Accent3 10 2 2 4" xfId="24666" xr:uid="{00000000-0005-0000-0000-00008B520000}"/>
    <cellStyle name="40% - Accent3 10 2 2 5" xfId="24667" xr:uid="{00000000-0005-0000-0000-00008C520000}"/>
    <cellStyle name="40% - Accent3 10 2 2 6" xfId="24668" xr:uid="{00000000-0005-0000-0000-00008D520000}"/>
    <cellStyle name="40% - Accent3 10 2 3" xfId="24669" xr:uid="{00000000-0005-0000-0000-00008E520000}"/>
    <cellStyle name="40% - Accent3 10 2 3 2" xfId="24670" xr:uid="{00000000-0005-0000-0000-00008F520000}"/>
    <cellStyle name="40% - Accent3 10 2 3 2 2" xfId="24671" xr:uid="{00000000-0005-0000-0000-000090520000}"/>
    <cellStyle name="40% - Accent3 10 2 3 3" xfId="24672" xr:uid="{00000000-0005-0000-0000-000091520000}"/>
    <cellStyle name="40% - Accent3 10 2 4" xfId="24673" xr:uid="{00000000-0005-0000-0000-000092520000}"/>
    <cellStyle name="40% - Accent3 10 2 4 2" xfId="24674" xr:uid="{00000000-0005-0000-0000-000093520000}"/>
    <cellStyle name="40% - Accent3 10 2 5" xfId="24675" xr:uid="{00000000-0005-0000-0000-000094520000}"/>
    <cellStyle name="40% - Accent3 10 2 5 2" xfId="24676" xr:uid="{00000000-0005-0000-0000-000095520000}"/>
    <cellStyle name="40% - Accent3 10 2 6" xfId="24677" xr:uid="{00000000-0005-0000-0000-000096520000}"/>
    <cellStyle name="40% - Accent3 10 2 7" xfId="24678" xr:uid="{00000000-0005-0000-0000-000097520000}"/>
    <cellStyle name="40% - Accent3 10 2 8" xfId="24679" xr:uid="{00000000-0005-0000-0000-000098520000}"/>
    <cellStyle name="40% - Accent3 10 3" xfId="24680" xr:uid="{00000000-0005-0000-0000-000099520000}"/>
    <cellStyle name="40% - Accent3 10 3 2" xfId="24681" xr:uid="{00000000-0005-0000-0000-00009A520000}"/>
    <cellStyle name="40% - Accent3 10 3 2 2" xfId="24682" xr:uid="{00000000-0005-0000-0000-00009B520000}"/>
    <cellStyle name="40% - Accent3 10 3 2 2 2" xfId="24683" xr:uid="{00000000-0005-0000-0000-00009C520000}"/>
    <cellStyle name="40% - Accent3 10 3 2 2 2 2" xfId="24684" xr:uid="{00000000-0005-0000-0000-00009D520000}"/>
    <cellStyle name="40% - Accent3 10 3 2 2 3" xfId="24685" xr:uid="{00000000-0005-0000-0000-00009E520000}"/>
    <cellStyle name="40% - Accent3 10 3 2 3" xfId="24686" xr:uid="{00000000-0005-0000-0000-00009F520000}"/>
    <cellStyle name="40% - Accent3 10 3 2 3 2" xfId="24687" xr:uid="{00000000-0005-0000-0000-0000A0520000}"/>
    <cellStyle name="40% - Accent3 10 3 2 4" xfId="24688" xr:uid="{00000000-0005-0000-0000-0000A1520000}"/>
    <cellStyle name="40% - Accent3 10 3 2 5" xfId="24689" xr:uid="{00000000-0005-0000-0000-0000A2520000}"/>
    <cellStyle name="40% - Accent3 10 3 2 6" xfId="24690" xr:uid="{00000000-0005-0000-0000-0000A3520000}"/>
    <cellStyle name="40% - Accent3 10 3 3" xfId="24691" xr:uid="{00000000-0005-0000-0000-0000A4520000}"/>
    <cellStyle name="40% - Accent3 10 3 3 2" xfId="24692" xr:uid="{00000000-0005-0000-0000-0000A5520000}"/>
    <cellStyle name="40% - Accent3 10 3 3 2 2" xfId="24693" xr:uid="{00000000-0005-0000-0000-0000A6520000}"/>
    <cellStyle name="40% - Accent3 10 3 3 3" xfId="24694" xr:uid="{00000000-0005-0000-0000-0000A7520000}"/>
    <cellStyle name="40% - Accent3 10 3 4" xfId="24695" xr:uid="{00000000-0005-0000-0000-0000A8520000}"/>
    <cellStyle name="40% - Accent3 10 3 4 2" xfId="24696" xr:uid="{00000000-0005-0000-0000-0000A9520000}"/>
    <cellStyle name="40% - Accent3 10 3 5" xfId="24697" xr:uid="{00000000-0005-0000-0000-0000AA520000}"/>
    <cellStyle name="40% - Accent3 10 3 6" xfId="24698" xr:uid="{00000000-0005-0000-0000-0000AB520000}"/>
    <cellStyle name="40% - Accent3 10 3 7" xfId="24699" xr:uid="{00000000-0005-0000-0000-0000AC520000}"/>
    <cellStyle name="40% - Accent3 10 4" xfId="24700" xr:uid="{00000000-0005-0000-0000-0000AD520000}"/>
    <cellStyle name="40% - Accent3 10 4 2" xfId="24701" xr:uid="{00000000-0005-0000-0000-0000AE520000}"/>
    <cellStyle name="40% - Accent3 10 4 2 2" xfId="24702" xr:uid="{00000000-0005-0000-0000-0000AF520000}"/>
    <cellStyle name="40% - Accent3 10 4 2 2 2" xfId="24703" xr:uid="{00000000-0005-0000-0000-0000B0520000}"/>
    <cellStyle name="40% - Accent3 10 4 2 3" xfId="24704" xr:uid="{00000000-0005-0000-0000-0000B1520000}"/>
    <cellStyle name="40% - Accent3 10 4 3" xfId="24705" xr:uid="{00000000-0005-0000-0000-0000B2520000}"/>
    <cellStyle name="40% - Accent3 10 4 3 2" xfId="24706" xr:uid="{00000000-0005-0000-0000-0000B3520000}"/>
    <cellStyle name="40% - Accent3 10 4 4" xfId="24707" xr:uid="{00000000-0005-0000-0000-0000B4520000}"/>
    <cellStyle name="40% - Accent3 10 4 5" xfId="24708" xr:uid="{00000000-0005-0000-0000-0000B5520000}"/>
    <cellStyle name="40% - Accent3 10 4 6" xfId="24709" xr:uid="{00000000-0005-0000-0000-0000B6520000}"/>
    <cellStyle name="40% - Accent3 10 5" xfId="24710" xr:uid="{00000000-0005-0000-0000-0000B7520000}"/>
    <cellStyle name="40% - Accent3 10 5 2" xfId="24711" xr:uid="{00000000-0005-0000-0000-0000B8520000}"/>
    <cellStyle name="40% - Accent3 10 5 2 2" xfId="24712" xr:uid="{00000000-0005-0000-0000-0000B9520000}"/>
    <cellStyle name="40% - Accent3 10 5 3" xfId="24713" xr:uid="{00000000-0005-0000-0000-0000BA520000}"/>
    <cellStyle name="40% - Accent3 10 6" xfId="24714" xr:uid="{00000000-0005-0000-0000-0000BB520000}"/>
    <cellStyle name="40% - Accent3 10 6 2" xfId="24715" xr:uid="{00000000-0005-0000-0000-0000BC520000}"/>
    <cellStyle name="40% - Accent3 10 6 2 2" xfId="24716" xr:uid="{00000000-0005-0000-0000-0000BD520000}"/>
    <cellStyle name="40% - Accent3 10 6 3" xfId="24717" xr:uid="{00000000-0005-0000-0000-0000BE520000}"/>
    <cellStyle name="40% - Accent3 10 7" xfId="24718" xr:uid="{00000000-0005-0000-0000-0000BF520000}"/>
    <cellStyle name="40% - Accent3 10 7 2" xfId="24719" xr:uid="{00000000-0005-0000-0000-0000C0520000}"/>
    <cellStyle name="40% - Accent3 10 8" xfId="24720" xr:uid="{00000000-0005-0000-0000-0000C1520000}"/>
    <cellStyle name="40% - Accent3 10 8 2" xfId="24721" xr:uid="{00000000-0005-0000-0000-0000C2520000}"/>
    <cellStyle name="40% - Accent3 10 9" xfId="24722" xr:uid="{00000000-0005-0000-0000-0000C3520000}"/>
    <cellStyle name="40% - Accent3 11" xfId="24723" xr:uid="{00000000-0005-0000-0000-0000C4520000}"/>
    <cellStyle name="40% - Accent3 11 10" xfId="24724" xr:uid="{00000000-0005-0000-0000-0000C5520000}"/>
    <cellStyle name="40% - Accent3 11 11" xfId="24725" xr:uid="{00000000-0005-0000-0000-0000C6520000}"/>
    <cellStyle name="40% - Accent3 11 2" xfId="24726" xr:uid="{00000000-0005-0000-0000-0000C7520000}"/>
    <cellStyle name="40% - Accent3 11 2 2" xfId="24727" xr:uid="{00000000-0005-0000-0000-0000C8520000}"/>
    <cellStyle name="40% - Accent3 11 2 2 2" xfId="24728" xr:uid="{00000000-0005-0000-0000-0000C9520000}"/>
    <cellStyle name="40% - Accent3 11 2 2 2 2" xfId="24729" xr:uid="{00000000-0005-0000-0000-0000CA520000}"/>
    <cellStyle name="40% - Accent3 11 2 2 2 2 2" xfId="24730" xr:uid="{00000000-0005-0000-0000-0000CB520000}"/>
    <cellStyle name="40% - Accent3 11 2 2 2 3" xfId="24731" xr:uid="{00000000-0005-0000-0000-0000CC520000}"/>
    <cellStyle name="40% - Accent3 11 2 2 3" xfId="24732" xr:uid="{00000000-0005-0000-0000-0000CD520000}"/>
    <cellStyle name="40% - Accent3 11 2 2 3 2" xfId="24733" xr:uid="{00000000-0005-0000-0000-0000CE520000}"/>
    <cellStyle name="40% - Accent3 11 2 2 4" xfId="24734" xr:uid="{00000000-0005-0000-0000-0000CF520000}"/>
    <cellStyle name="40% - Accent3 11 2 2 5" xfId="24735" xr:uid="{00000000-0005-0000-0000-0000D0520000}"/>
    <cellStyle name="40% - Accent3 11 2 2 6" xfId="24736" xr:uid="{00000000-0005-0000-0000-0000D1520000}"/>
    <cellStyle name="40% - Accent3 11 2 3" xfId="24737" xr:uid="{00000000-0005-0000-0000-0000D2520000}"/>
    <cellStyle name="40% - Accent3 11 2 3 2" xfId="24738" xr:uid="{00000000-0005-0000-0000-0000D3520000}"/>
    <cellStyle name="40% - Accent3 11 2 3 2 2" xfId="24739" xr:uid="{00000000-0005-0000-0000-0000D4520000}"/>
    <cellStyle name="40% - Accent3 11 2 3 3" xfId="24740" xr:uid="{00000000-0005-0000-0000-0000D5520000}"/>
    <cellStyle name="40% - Accent3 11 2 4" xfId="24741" xr:uid="{00000000-0005-0000-0000-0000D6520000}"/>
    <cellStyle name="40% - Accent3 11 2 4 2" xfId="24742" xr:uid="{00000000-0005-0000-0000-0000D7520000}"/>
    <cellStyle name="40% - Accent3 11 2 5" xfId="24743" xr:uid="{00000000-0005-0000-0000-0000D8520000}"/>
    <cellStyle name="40% - Accent3 11 2 5 2" xfId="24744" xr:uid="{00000000-0005-0000-0000-0000D9520000}"/>
    <cellStyle name="40% - Accent3 11 2 6" xfId="24745" xr:uid="{00000000-0005-0000-0000-0000DA520000}"/>
    <cellStyle name="40% - Accent3 11 2 7" xfId="24746" xr:uid="{00000000-0005-0000-0000-0000DB520000}"/>
    <cellStyle name="40% - Accent3 11 2 8" xfId="24747" xr:uid="{00000000-0005-0000-0000-0000DC520000}"/>
    <cellStyle name="40% - Accent3 11 3" xfId="24748" xr:uid="{00000000-0005-0000-0000-0000DD520000}"/>
    <cellStyle name="40% - Accent3 11 3 2" xfId="24749" xr:uid="{00000000-0005-0000-0000-0000DE520000}"/>
    <cellStyle name="40% - Accent3 11 3 2 2" xfId="24750" xr:uid="{00000000-0005-0000-0000-0000DF520000}"/>
    <cellStyle name="40% - Accent3 11 3 2 2 2" xfId="24751" xr:uid="{00000000-0005-0000-0000-0000E0520000}"/>
    <cellStyle name="40% - Accent3 11 3 2 2 2 2" xfId="24752" xr:uid="{00000000-0005-0000-0000-0000E1520000}"/>
    <cellStyle name="40% - Accent3 11 3 2 2 3" xfId="24753" xr:uid="{00000000-0005-0000-0000-0000E2520000}"/>
    <cellStyle name="40% - Accent3 11 3 2 3" xfId="24754" xr:uid="{00000000-0005-0000-0000-0000E3520000}"/>
    <cellStyle name="40% - Accent3 11 3 2 3 2" xfId="24755" xr:uid="{00000000-0005-0000-0000-0000E4520000}"/>
    <cellStyle name="40% - Accent3 11 3 2 4" xfId="24756" xr:uid="{00000000-0005-0000-0000-0000E5520000}"/>
    <cellStyle name="40% - Accent3 11 3 2 5" xfId="24757" xr:uid="{00000000-0005-0000-0000-0000E6520000}"/>
    <cellStyle name="40% - Accent3 11 3 2 6" xfId="24758" xr:uid="{00000000-0005-0000-0000-0000E7520000}"/>
    <cellStyle name="40% - Accent3 11 3 3" xfId="24759" xr:uid="{00000000-0005-0000-0000-0000E8520000}"/>
    <cellStyle name="40% - Accent3 11 3 3 2" xfId="24760" xr:uid="{00000000-0005-0000-0000-0000E9520000}"/>
    <cellStyle name="40% - Accent3 11 3 3 2 2" xfId="24761" xr:uid="{00000000-0005-0000-0000-0000EA520000}"/>
    <cellStyle name="40% - Accent3 11 3 3 3" xfId="24762" xr:uid="{00000000-0005-0000-0000-0000EB520000}"/>
    <cellStyle name="40% - Accent3 11 3 4" xfId="24763" xr:uid="{00000000-0005-0000-0000-0000EC520000}"/>
    <cellStyle name="40% - Accent3 11 3 4 2" xfId="24764" xr:uid="{00000000-0005-0000-0000-0000ED520000}"/>
    <cellStyle name="40% - Accent3 11 3 5" xfId="24765" xr:uid="{00000000-0005-0000-0000-0000EE520000}"/>
    <cellStyle name="40% - Accent3 11 3 6" xfId="24766" xr:uid="{00000000-0005-0000-0000-0000EF520000}"/>
    <cellStyle name="40% - Accent3 11 3 7" xfId="24767" xr:uid="{00000000-0005-0000-0000-0000F0520000}"/>
    <cellStyle name="40% - Accent3 11 4" xfId="24768" xr:uid="{00000000-0005-0000-0000-0000F1520000}"/>
    <cellStyle name="40% - Accent3 11 4 2" xfId="24769" xr:uid="{00000000-0005-0000-0000-0000F2520000}"/>
    <cellStyle name="40% - Accent3 11 4 2 2" xfId="24770" xr:uid="{00000000-0005-0000-0000-0000F3520000}"/>
    <cellStyle name="40% - Accent3 11 4 2 2 2" xfId="24771" xr:uid="{00000000-0005-0000-0000-0000F4520000}"/>
    <cellStyle name="40% - Accent3 11 4 2 3" xfId="24772" xr:uid="{00000000-0005-0000-0000-0000F5520000}"/>
    <cellStyle name="40% - Accent3 11 4 3" xfId="24773" xr:uid="{00000000-0005-0000-0000-0000F6520000}"/>
    <cellStyle name="40% - Accent3 11 4 3 2" xfId="24774" xr:uid="{00000000-0005-0000-0000-0000F7520000}"/>
    <cellStyle name="40% - Accent3 11 4 4" xfId="24775" xr:uid="{00000000-0005-0000-0000-0000F8520000}"/>
    <cellStyle name="40% - Accent3 11 4 5" xfId="24776" xr:uid="{00000000-0005-0000-0000-0000F9520000}"/>
    <cellStyle name="40% - Accent3 11 4 6" xfId="24777" xr:uid="{00000000-0005-0000-0000-0000FA520000}"/>
    <cellStyle name="40% - Accent3 11 5" xfId="24778" xr:uid="{00000000-0005-0000-0000-0000FB520000}"/>
    <cellStyle name="40% - Accent3 11 5 2" xfId="24779" xr:uid="{00000000-0005-0000-0000-0000FC520000}"/>
    <cellStyle name="40% - Accent3 11 5 2 2" xfId="24780" xr:uid="{00000000-0005-0000-0000-0000FD520000}"/>
    <cellStyle name="40% - Accent3 11 5 3" xfId="24781" xr:uid="{00000000-0005-0000-0000-0000FE520000}"/>
    <cellStyle name="40% - Accent3 11 6" xfId="24782" xr:uid="{00000000-0005-0000-0000-0000FF520000}"/>
    <cellStyle name="40% - Accent3 11 6 2" xfId="24783" xr:uid="{00000000-0005-0000-0000-000000530000}"/>
    <cellStyle name="40% - Accent3 11 6 2 2" xfId="24784" xr:uid="{00000000-0005-0000-0000-000001530000}"/>
    <cellStyle name="40% - Accent3 11 6 3" xfId="24785" xr:uid="{00000000-0005-0000-0000-000002530000}"/>
    <cellStyle name="40% - Accent3 11 7" xfId="24786" xr:uid="{00000000-0005-0000-0000-000003530000}"/>
    <cellStyle name="40% - Accent3 11 7 2" xfId="24787" xr:uid="{00000000-0005-0000-0000-000004530000}"/>
    <cellStyle name="40% - Accent3 11 8" xfId="24788" xr:uid="{00000000-0005-0000-0000-000005530000}"/>
    <cellStyle name="40% - Accent3 11 8 2" xfId="24789" xr:uid="{00000000-0005-0000-0000-000006530000}"/>
    <cellStyle name="40% - Accent3 11 9" xfId="24790" xr:uid="{00000000-0005-0000-0000-000007530000}"/>
    <cellStyle name="40% - Accent3 12" xfId="24791" xr:uid="{00000000-0005-0000-0000-000008530000}"/>
    <cellStyle name="40% - Accent3 12 2" xfId="24792" xr:uid="{00000000-0005-0000-0000-000009530000}"/>
    <cellStyle name="40% - Accent3 12 2 2" xfId="24793" xr:uid="{00000000-0005-0000-0000-00000A530000}"/>
    <cellStyle name="40% - Accent3 12 2 2 2" xfId="24794" xr:uid="{00000000-0005-0000-0000-00000B530000}"/>
    <cellStyle name="40% - Accent3 12 2 2 2 2" xfId="24795" xr:uid="{00000000-0005-0000-0000-00000C530000}"/>
    <cellStyle name="40% - Accent3 12 2 2 2 2 2" xfId="24796" xr:uid="{00000000-0005-0000-0000-00000D530000}"/>
    <cellStyle name="40% - Accent3 12 2 2 2 3" xfId="24797" xr:uid="{00000000-0005-0000-0000-00000E530000}"/>
    <cellStyle name="40% - Accent3 12 2 2 3" xfId="24798" xr:uid="{00000000-0005-0000-0000-00000F530000}"/>
    <cellStyle name="40% - Accent3 12 2 2 3 2" xfId="24799" xr:uid="{00000000-0005-0000-0000-000010530000}"/>
    <cellStyle name="40% - Accent3 12 2 2 4" xfId="24800" xr:uid="{00000000-0005-0000-0000-000011530000}"/>
    <cellStyle name="40% - Accent3 12 2 2 5" xfId="24801" xr:uid="{00000000-0005-0000-0000-000012530000}"/>
    <cellStyle name="40% - Accent3 12 2 2 6" xfId="24802" xr:uid="{00000000-0005-0000-0000-000013530000}"/>
    <cellStyle name="40% - Accent3 12 2 3" xfId="24803" xr:uid="{00000000-0005-0000-0000-000014530000}"/>
    <cellStyle name="40% - Accent3 12 2 3 2" xfId="24804" xr:uid="{00000000-0005-0000-0000-000015530000}"/>
    <cellStyle name="40% - Accent3 12 2 3 2 2" xfId="24805" xr:uid="{00000000-0005-0000-0000-000016530000}"/>
    <cellStyle name="40% - Accent3 12 2 3 3" xfId="24806" xr:uid="{00000000-0005-0000-0000-000017530000}"/>
    <cellStyle name="40% - Accent3 12 2 4" xfId="24807" xr:uid="{00000000-0005-0000-0000-000018530000}"/>
    <cellStyle name="40% - Accent3 12 2 4 2" xfId="24808" xr:uid="{00000000-0005-0000-0000-000019530000}"/>
    <cellStyle name="40% - Accent3 12 2 5" xfId="24809" xr:uid="{00000000-0005-0000-0000-00001A530000}"/>
    <cellStyle name="40% - Accent3 12 2 6" xfId="24810" xr:uid="{00000000-0005-0000-0000-00001B530000}"/>
    <cellStyle name="40% - Accent3 12 2 7" xfId="24811" xr:uid="{00000000-0005-0000-0000-00001C530000}"/>
    <cellStyle name="40% - Accent3 12 3" xfId="24812" xr:uid="{00000000-0005-0000-0000-00001D530000}"/>
    <cellStyle name="40% - Accent3 12 3 2" xfId="24813" xr:uid="{00000000-0005-0000-0000-00001E530000}"/>
    <cellStyle name="40% - Accent3 12 3 2 2" xfId="24814" xr:uid="{00000000-0005-0000-0000-00001F530000}"/>
    <cellStyle name="40% - Accent3 12 3 2 2 2" xfId="24815" xr:uid="{00000000-0005-0000-0000-000020530000}"/>
    <cellStyle name="40% - Accent3 12 3 2 2 2 2" xfId="24816" xr:uid="{00000000-0005-0000-0000-000021530000}"/>
    <cellStyle name="40% - Accent3 12 3 2 2 3" xfId="24817" xr:uid="{00000000-0005-0000-0000-000022530000}"/>
    <cellStyle name="40% - Accent3 12 3 2 3" xfId="24818" xr:uid="{00000000-0005-0000-0000-000023530000}"/>
    <cellStyle name="40% - Accent3 12 3 2 3 2" xfId="24819" xr:uid="{00000000-0005-0000-0000-000024530000}"/>
    <cellStyle name="40% - Accent3 12 3 2 4" xfId="24820" xr:uid="{00000000-0005-0000-0000-000025530000}"/>
    <cellStyle name="40% - Accent3 12 3 2 5" xfId="24821" xr:uid="{00000000-0005-0000-0000-000026530000}"/>
    <cellStyle name="40% - Accent3 12 3 2 6" xfId="24822" xr:uid="{00000000-0005-0000-0000-000027530000}"/>
    <cellStyle name="40% - Accent3 12 3 3" xfId="24823" xr:uid="{00000000-0005-0000-0000-000028530000}"/>
    <cellStyle name="40% - Accent3 12 3 3 2" xfId="24824" xr:uid="{00000000-0005-0000-0000-000029530000}"/>
    <cellStyle name="40% - Accent3 12 3 3 2 2" xfId="24825" xr:uid="{00000000-0005-0000-0000-00002A530000}"/>
    <cellStyle name="40% - Accent3 12 3 3 3" xfId="24826" xr:uid="{00000000-0005-0000-0000-00002B530000}"/>
    <cellStyle name="40% - Accent3 12 3 4" xfId="24827" xr:uid="{00000000-0005-0000-0000-00002C530000}"/>
    <cellStyle name="40% - Accent3 12 3 4 2" xfId="24828" xr:uid="{00000000-0005-0000-0000-00002D530000}"/>
    <cellStyle name="40% - Accent3 12 3 5" xfId="24829" xr:uid="{00000000-0005-0000-0000-00002E530000}"/>
    <cellStyle name="40% - Accent3 12 3 6" xfId="24830" xr:uid="{00000000-0005-0000-0000-00002F530000}"/>
    <cellStyle name="40% - Accent3 12 3 7" xfId="24831" xr:uid="{00000000-0005-0000-0000-000030530000}"/>
    <cellStyle name="40% - Accent3 12 4" xfId="24832" xr:uid="{00000000-0005-0000-0000-000031530000}"/>
    <cellStyle name="40% - Accent3 12 5" xfId="24833" xr:uid="{00000000-0005-0000-0000-000032530000}"/>
    <cellStyle name="40% - Accent3 12 6" xfId="24834" xr:uid="{00000000-0005-0000-0000-000033530000}"/>
    <cellStyle name="40% - Accent3 12 6 2" xfId="24835" xr:uid="{00000000-0005-0000-0000-000034530000}"/>
    <cellStyle name="40% - Accent3 12 7" xfId="24836" xr:uid="{00000000-0005-0000-0000-000035530000}"/>
    <cellStyle name="40% - Accent3 12 8" xfId="24837" xr:uid="{00000000-0005-0000-0000-000036530000}"/>
    <cellStyle name="40% - Accent3 13" xfId="24838" xr:uid="{00000000-0005-0000-0000-000037530000}"/>
    <cellStyle name="40% - Accent3 13 2" xfId="24839" xr:uid="{00000000-0005-0000-0000-000038530000}"/>
    <cellStyle name="40% - Accent3 13 2 2" xfId="24840" xr:uid="{00000000-0005-0000-0000-000039530000}"/>
    <cellStyle name="40% - Accent3 13 2 2 2" xfId="24841" xr:uid="{00000000-0005-0000-0000-00003A530000}"/>
    <cellStyle name="40% - Accent3 13 2 3" xfId="24842" xr:uid="{00000000-0005-0000-0000-00003B530000}"/>
    <cellStyle name="40% - Accent3 13 3" xfId="24843" xr:uid="{00000000-0005-0000-0000-00003C530000}"/>
    <cellStyle name="40% - Accent3 13 3 2" xfId="24844" xr:uid="{00000000-0005-0000-0000-00003D530000}"/>
    <cellStyle name="40% - Accent3 13 4" xfId="24845" xr:uid="{00000000-0005-0000-0000-00003E530000}"/>
    <cellStyle name="40% - Accent3 13 5" xfId="24846" xr:uid="{00000000-0005-0000-0000-00003F530000}"/>
    <cellStyle name="40% - Accent3 13 6" xfId="24847" xr:uid="{00000000-0005-0000-0000-000040530000}"/>
    <cellStyle name="40% - Accent3 14" xfId="24848" xr:uid="{00000000-0005-0000-0000-000041530000}"/>
    <cellStyle name="40% - Accent3 14 2" xfId="24849" xr:uid="{00000000-0005-0000-0000-000042530000}"/>
    <cellStyle name="40% - Accent3 14 2 2" xfId="24850" xr:uid="{00000000-0005-0000-0000-000043530000}"/>
    <cellStyle name="40% - Accent3 14 2 2 2" xfId="24851" xr:uid="{00000000-0005-0000-0000-000044530000}"/>
    <cellStyle name="40% - Accent3 14 2 3" xfId="24852" xr:uid="{00000000-0005-0000-0000-000045530000}"/>
    <cellStyle name="40% - Accent3 14 3" xfId="24853" xr:uid="{00000000-0005-0000-0000-000046530000}"/>
    <cellStyle name="40% - Accent3 14 3 2" xfId="24854" xr:uid="{00000000-0005-0000-0000-000047530000}"/>
    <cellStyle name="40% - Accent3 14 4" xfId="24855" xr:uid="{00000000-0005-0000-0000-000048530000}"/>
    <cellStyle name="40% - Accent3 15" xfId="24856" xr:uid="{00000000-0005-0000-0000-000049530000}"/>
    <cellStyle name="40% - Accent3 15 2" xfId="24857" xr:uid="{00000000-0005-0000-0000-00004A530000}"/>
    <cellStyle name="40% - Accent3 15 2 2" xfId="24858" xr:uid="{00000000-0005-0000-0000-00004B530000}"/>
    <cellStyle name="40% - Accent3 15 2 2 2" xfId="24859" xr:uid="{00000000-0005-0000-0000-00004C530000}"/>
    <cellStyle name="40% - Accent3 15 2 3" xfId="24860" xr:uid="{00000000-0005-0000-0000-00004D530000}"/>
    <cellStyle name="40% - Accent3 15 3" xfId="24861" xr:uid="{00000000-0005-0000-0000-00004E530000}"/>
    <cellStyle name="40% - Accent3 15 3 2" xfId="24862" xr:uid="{00000000-0005-0000-0000-00004F530000}"/>
    <cellStyle name="40% - Accent3 15 4" xfId="24863" xr:uid="{00000000-0005-0000-0000-000050530000}"/>
    <cellStyle name="40% - Accent3 16" xfId="24864" xr:uid="{00000000-0005-0000-0000-000051530000}"/>
    <cellStyle name="40% - Accent3 16 2" xfId="24865" xr:uid="{00000000-0005-0000-0000-000052530000}"/>
    <cellStyle name="40% - Accent3 16 2 2" xfId="24866" xr:uid="{00000000-0005-0000-0000-000053530000}"/>
    <cellStyle name="40% - Accent3 16 3" xfId="24867" xr:uid="{00000000-0005-0000-0000-000054530000}"/>
    <cellStyle name="40% - Accent3 17" xfId="24868" xr:uid="{00000000-0005-0000-0000-000055530000}"/>
    <cellStyle name="40% - Accent3 18" xfId="24869" xr:uid="{00000000-0005-0000-0000-000056530000}"/>
    <cellStyle name="40% - Accent3 19" xfId="24870" xr:uid="{00000000-0005-0000-0000-000057530000}"/>
    <cellStyle name="40% - Accent3 2" xfId="201" xr:uid="{00000000-0005-0000-0000-000058530000}"/>
    <cellStyle name="40% - Accent3 2 2" xfId="24871" xr:uid="{00000000-0005-0000-0000-000059530000}"/>
    <cellStyle name="40% - Accent3 2 2 10" xfId="24872" xr:uid="{00000000-0005-0000-0000-00005A530000}"/>
    <cellStyle name="40% - Accent3 2 2 10 2" xfId="24873" xr:uid="{00000000-0005-0000-0000-00005B530000}"/>
    <cellStyle name="40% - Accent3 2 2 10 2 2" xfId="24874" xr:uid="{00000000-0005-0000-0000-00005C530000}"/>
    <cellStyle name="40% - Accent3 2 2 10 3" xfId="24875" xr:uid="{00000000-0005-0000-0000-00005D530000}"/>
    <cellStyle name="40% - Accent3 2 2 11" xfId="24876" xr:uid="{00000000-0005-0000-0000-00005E530000}"/>
    <cellStyle name="40% - Accent3 2 2 11 2" xfId="24877" xr:uid="{00000000-0005-0000-0000-00005F530000}"/>
    <cellStyle name="40% - Accent3 2 2 11 2 2" xfId="24878" xr:uid="{00000000-0005-0000-0000-000060530000}"/>
    <cellStyle name="40% - Accent3 2 2 11 3" xfId="24879" xr:uid="{00000000-0005-0000-0000-000061530000}"/>
    <cellStyle name="40% - Accent3 2 2 12" xfId="24880" xr:uid="{00000000-0005-0000-0000-000062530000}"/>
    <cellStyle name="40% - Accent3 2 2 12 2" xfId="24881" xr:uid="{00000000-0005-0000-0000-000063530000}"/>
    <cellStyle name="40% - Accent3 2 2 12 2 2" xfId="24882" xr:uid="{00000000-0005-0000-0000-000064530000}"/>
    <cellStyle name="40% - Accent3 2 2 12 3" xfId="24883" xr:uid="{00000000-0005-0000-0000-000065530000}"/>
    <cellStyle name="40% - Accent3 2 2 13" xfId="24884" xr:uid="{00000000-0005-0000-0000-000066530000}"/>
    <cellStyle name="40% - Accent3 2 2 13 2" xfId="24885" xr:uid="{00000000-0005-0000-0000-000067530000}"/>
    <cellStyle name="40% - Accent3 2 2 14" xfId="24886" xr:uid="{00000000-0005-0000-0000-000068530000}"/>
    <cellStyle name="40% - Accent3 2 2 15" xfId="24887" xr:uid="{00000000-0005-0000-0000-000069530000}"/>
    <cellStyle name="40% - Accent3 2 2 16" xfId="24888" xr:uid="{00000000-0005-0000-0000-00006A530000}"/>
    <cellStyle name="40% - Accent3 2 2 2" xfId="24889" xr:uid="{00000000-0005-0000-0000-00006B530000}"/>
    <cellStyle name="40% - Accent3 2 2 2 10" xfId="24890" xr:uid="{00000000-0005-0000-0000-00006C530000}"/>
    <cellStyle name="40% - Accent3 2 2 2 11" xfId="24891" xr:uid="{00000000-0005-0000-0000-00006D530000}"/>
    <cellStyle name="40% - Accent3 2 2 2 2" xfId="24892" xr:uid="{00000000-0005-0000-0000-00006E530000}"/>
    <cellStyle name="40% - Accent3 2 2 2 2 2" xfId="24893" xr:uid="{00000000-0005-0000-0000-00006F530000}"/>
    <cellStyle name="40% - Accent3 2 2 2 2 2 2" xfId="24894" xr:uid="{00000000-0005-0000-0000-000070530000}"/>
    <cellStyle name="40% - Accent3 2 2 2 2 2 2 2" xfId="24895" xr:uid="{00000000-0005-0000-0000-000071530000}"/>
    <cellStyle name="40% - Accent3 2 2 2 2 2 2 2 2" xfId="24896" xr:uid="{00000000-0005-0000-0000-000072530000}"/>
    <cellStyle name="40% - Accent3 2 2 2 2 2 2 3" xfId="24897" xr:uid="{00000000-0005-0000-0000-000073530000}"/>
    <cellStyle name="40% - Accent3 2 2 2 2 2 3" xfId="24898" xr:uid="{00000000-0005-0000-0000-000074530000}"/>
    <cellStyle name="40% - Accent3 2 2 2 2 2 3 2" xfId="24899" xr:uid="{00000000-0005-0000-0000-000075530000}"/>
    <cellStyle name="40% - Accent3 2 2 2 2 2 4" xfId="24900" xr:uid="{00000000-0005-0000-0000-000076530000}"/>
    <cellStyle name="40% - Accent3 2 2 2 2 2 5" xfId="24901" xr:uid="{00000000-0005-0000-0000-000077530000}"/>
    <cellStyle name="40% - Accent3 2 2 2 2 2 6" xfId="24902" xr:uid="{00000000-0005-0000-0000-000078530000}"/>
    <cellStyle name="40% - Accent3 2 2 2 2 3" xfId="24903" xr:uid="{00000000-0005-0000-0000-000079530000}"/>
    <cellStyle name="40% - Accent3 2 2 2 2 3 2" xfId="24904" xr:uid="{00000000-0005-0000-0000-00007A530000}"/>
    <cellStyle name="40% - Accent3 2 2 2 2 3 2 2" xfId="24905" xr:uid="{00000000-0005-0000-0000-00007B530000}"/>
    <cellStyle name="40% - Accent3 2 2 2 2 3 3" xfId="24906" xr:uid="{00000000-0005-0000-0000-00007C530000}"/>
    <cellStyle name="40% - Accent3 2 2 2 2 4" xfId="24907" xr:uid="{00000000-0005-0000-0000-00007D530000}"/>
    <cellStyle name="40% - Accent3 2 2 2 2 4 2" xfId="24908" xr:uid="{00000000-0005-0000-0000-00007E530000}"/>
    <cellStyle name="40% - Accent3 2 2 2 2 5" xfId="24909" xr:uid="{00000000-0005-0000-0000-00007F530000}"/>
    <cellStyle name="40% - Accent3 2 2 2 2 5 2" xfId="24910" xr:uid="{00000000-0005-0000-0000-000080530000}"/>
    <cellStyle name="40% - Accent3 2 2 2 2 6" xfId="24911" xr:uid="{00000000-0005-0000-0000-000081530000}"/>
    <cellStyle name="40% - Accent3 2 2 2 2 7" xfId="24912" xr:uid="{00000000-0005-0000-0000-000082530000}"/>
    <cellStyle name="40% - Accent3 2 2 2 2 8" xfId="24913" xr:uid="{00000000-0005-0000-0000-000083530000}"/>
    <cellStyle name="40% - Accent3 2 2 2 3" xfId="24914" xr:uid="{00000000-0005-0000-0000-000084530000}"/>
    <cellStyle name="40% - Accent3 2 2 2 3 2" xfId="24915" xr:uid="{00000000-0005-0000-0000-000085530000}"/>
    <cellStyle name="40% - Accent3 2 2 2 3 2 2" xfId="24916" xr:uid="{00000000-0005-0000-0000-000086530000}"/>
    <cellStyle name="40% - Accent3 2 2 2 3 2 2 2" xfId="24917" xr:uid="{00000000-0005-0000-0000-000087530000}"/>
    <cellStyle name="40% - Accent3 2 2 2 3 2 2 2 2" xfId="24918" xr:uid="{00000000-0005-0000-0000-000088530000}"/>
    <cellStyle name="40% - Accent3 2 2 2 3 2 2 3" xfId="24919" xr:uid="{00000000-0005-0000-0000-000089530000}"/>
    <cellStyle name="40% - Accent3 2 2 2 3 2 3" xfId="24920" xr:uid="{00000000-0005-0000-0000-00008A530000}"/>
    <cellStyle name="40% - Accent3 2 2 2 3 2 3 2" xfId="24921" xr:uid="{00000000-0005-0000-0000-00008B530000}"/>
    <cellStyle name="40% - Accent3 2 2 2 3 2 4" xfId="24922" xr:uid="{00000000-0005-0000-0000-00008C530000}"/>
    <cellStyle name="40% - Accent3 2 2 2 3 2 5" xfId="24923" xr:uid="{00000000-0005-0000-0000-00008D530000}"/>
    <cellStyle name="40% - Accent3 2 2 2 3 2 6" xfId="24924" xr:uid="{00000000-0005-0000-0000-00008E530000}"/>
    <cellStyle name="40% - Accent3 2 2 2 3 3" xfId="24925" xr:uid="{00000000-0005-0000-0000-00008F530000}"/>
    <cellStyle name="40% - Accent3 2 2 2 3 3 2" xfId="24926" xr:uid="{00000000-0005-0000-0000-000090530000}"/>
    <cellStyle name="40% - Accent3 2 2 2 3 3 2 2" xfId="24927" xr:uid="{00000000-0005-0000-0000-000091530000}"/>
    <cellStyle name="40% - Accent3 2 2 2 3 3 3" xfId="24928" xr:uid="{00000000-0005-0000-0000-000092530000}"/>
    <cellStyle name="40% - Accent3 2 2 2 3 4" xfId="24929" xr:uid="{00000000-0005-0000-0000-000093530000}"/>
    <cellStyle name="40% - Accent3 2 2 2 3 4 2" xfId="24930" xr:uid="{00000000-0005-0000-0000-000094530000}"/>
    <cellStyle name="40% - Accent3 2 2 2 3 5" xfId="24931" xr:uid="{00000000-0005-0000-0000-000095530000}"/>
    <cellStyle name="40% - Accent3 2 2 2 3 6" xfId="24932" xr:uid="{00000000-0005-0000-0000-000096530000}"/>
    <cellStyle name="40% - Accent3 2 2 2 3 7" xfId="24933" xr:uid="{00000000-0005-0000-0000-000097530000}"/>
    <cellStyle name="40% - Accent3 2 2 2 4" xfId="24934" xr:uid="{00000000-0005-0000-0000-000098530000}"/>
    <cellStyle name="40% - Accent3 2 2 2 4 2" xfId="24935" xr:uid="{00000000-0005-0000-0000-000099530000}"/>
    <cellStyle name="40% - Accent3 2 2 2 4 2 2" xfId="24936" xr:uid="{00000000-0005-0000-0000-00009A530000}"/>
    <cellStyle name="40% - Accent3 2 2 2 4 2 2 2" xfId="24937" xr:uid="{00000000-0005-0000-0000-00009B530000}"/>
    <cellStyle name="40% - Accent3 2 2 2 4 2 3" xfId="24938" xr:uid="{00000000-0005-0000-0000-00009C530000}"/>
    <cellStyle name="40% - Accent3 2 2 2 4 3" xfId="24939" xr:uid="{00000000-0005-0000-0000-00009D530000}"/>
    <cellStyle name="40% - Accent3 2 2 2 4 3 2" xfId="24940" xr:uid="{00000000-0005-0000-0000-00009E530000}"/>
    <cellStyle name="40% - Accent3 2 2 2 4 4" xfId="24941" xr:uid="{00000000-0005-0000-0000-00009F530000}"/>
    <cellStyle name="40% - Accent3 2 2 2 4 5" xfId="24942" xr:uid="{00000000-0005-0000-0000-0000A0530000}"/>
    <cellStyle name="40% - Accent3 2 2 2 4 6" xfId="24943" xr:uid="{00000000-0005-0000-0000-0000A1530000}"/>
    <cellStyle name="40% - Accent3 2 2 2 5" xfId="24944" xr:uid="{00000000-0005-0000-0000-0000A2530000}"/>
    <cellStyle name="40% - Accent3 2 2 2 5 2" xfId="24945" xr:uid="{00000000-0005-0000-0000-0000A3530000}"/>
    <cellStyle name="40% - Accent3 2 2 2 5 2 2" xfId="24946" xr:uid="{00000000-0005-0000-0000-0000A4530000}"/>
    <cellStyle name="40% - Accent3 2 2 2 5 3" xfId="24947" xr:uid="{00000000-0005-0000-0000-0000A5530000}"/>
    <cellStyle name="40% - Accent3 2 2 2 6" xfId="24948" xr:uid="{00000000-0005-0000-0000-0000A6530000}"/>
    <cellStyle name="40% - Accent3 2 2 2 6 2" xfId="24949" xr:uid="{00000000-0005-0000-0000-0000A7530000}"/>
    <cellStyle name="40% - Accent3 2 2 2 6 2 2" xfId="24950" xr:uid="{00000000-0005-0000-0000-0000A8530000}"/>
    <cellStyle name="40% - Accent3 2 2 2 6 3" xfId="24951" xr:uid="{00000000-0005-0000-0000-0000A9530000}"/>
    <cellStyle name="40% - Accent3 2 2 2 7" xfId="24952" xr:uid="{00000000-0005-0000-0000-0000AA530000}"/>
    <cellStyle name="40% - Accent3 2 2 2 7 2" xfId="24953" xr:uid="{00000000-0005-0000-0000-0000AB530000}"/>
    <cellStyle name="40% - Accent3 2 2 2 8" xfId="24954" xr:uid="{00000000-0005-0000-0000-0000AC530000}"/>
    <cellStyle name="40% - Accent3 2 2 2 8 2" xfId="24955" xr:uid="{00000000-0005-0000-0000-0000AD530000}"/>
    <cellStyle name="40% - Accent3 2 2 2 9" xfId="24956" xr:uid="{00000000-0005-0000-0000-0000AE530000}"/>
    <cellStyle name="40% - Accent3 2 2 3" xfId="24957" xr:uid="{00000000-0005-0000-0000-0000AF530000}"/>
    <cellStyle name="40% - Accent3 2 2 3 10" xfId="24958" xr:uid="{00000000-0005-0000-0000-0000B0530000}"/>
    <cellStyle name="40% - Accent3 2 2 3 11" xfId="24959" xr:uid="{00000000-0005-0000-0000-0000B1530000}"/>
    <cellStyle name="40% - Accent3 2 2 3 2" xfId="24960" xr:uid="{00000000-0005-0000-0000-0000B2530000}"/>
    <cellStyle name="40% - Accent3 2 2 3 2 2" xfId="24961" xr:uid="{00000000-0005-0000-0000-0000B3530000}"/>
    <cellStyle name="40% - Accent3 2 2 3 2 2 2" xfId="24962" xr:uid="{00000000-0005-0000-0000-0000B4530000}"/>
    <cellStyle name="40% - Accent3 2 2 3 2 2 2 2" xfId="24963" xr:uid="{00000000-0005-0000-0000-0000B5530000}"/>
    <cellStyle name="40% - Accent3 2 2 3 2 2 2 2 2" xfId="24964" xr:uid="{00000000-0005-0000-0000-0000B6530000}"/>
    <cellStyle name="40% - Accent3 2 2 3 2 2 2 3" xfId="24965" xr:uid="{00000000-0005-0000-0000-0000B7530000}"/>
    <cellStyle name="40% - Accent3 2 2 3 2 2 3" xfId="24966" xr:uid="{00000000-0005-0000-0000-0000B8530000}"/>
    <cellStyle name="40% - Accent3 2 2 3 2 2 3 2" xfId="24967" xr:uid="{00000000-0005-0000-0000-0000B9530000}"/>
    <cellStyle name="40% - Accent3 2 2 3 2 2 4" xfId="24968" xr:uid="{00000000-0005-0000-0000-0000BA530000}"/>
    <cellStyle name="40% - Accent3 2 2 3 2 2 5" xfId="24969" xr:uid="{00000000-0005-0000-0000-0000BB530000}"/>
    <cellStyle name="40% - Accent3 2 2 3 2 2 6" xfId="24970" xr:uid="{00000000-0005-0000-0000-0000BC530000}"/>
    <cellStyle name="40% - Accent3 2 2 3 2 3" xfId="24971" xr:uid="{00000000-0005-0000-0000-0000BD530000}"/>
    <cellStyle name="40% - Accent3 2 2 3 2 3 2" xfId="24972" xr:uid="{00000000-0005-0000-0000-0000BE530000}"/>
    <cellStyle name="40% - Accent3 2 2 3 2 3 2 2" xfId="24973" xr:uid="{00000000-0005-0000-0000-0000BF530000}"/>
    <cellStyle name="40% - Accent3 2 2 3 2 3 3" xfId="24974" xr:uid="{00000000-0005-0000-0000-0000C0530000}"/>
    <cellStyle name="40% - Accent3 2 2 3 2 4" xfId="24975" xr:uid="{00000000-0005-0000-0000-0000C1530000}"/>
    <cellStyle name="40% - Accent3 2 2 3 2 4 2" xfId="24976" xr:uid="{00000000-0005-0000-0000-0000C2530000}"/>
    <cellStyle name="40% - Accent3 2 2 3 2 5" xfId="24977" xr:uid="{00000000-0005-0000-0000-0000C3530000}"/>
    <cellStyle name="40% - Accent3 2 2 3 2 5 2" xfId="24978" xr:uid="{00000000-0005-0000-0000-0000C4530000}"/>
    <cellStyle name="40% - Accent3 2 2 3 2 6" xfId="24979" xr:uid="{00000000-0005-0000-0000-0000C5530000}"/>
    <cellStyle name="40% - Accent3 2 2 3 2 7" xfId="24980" xr:uid="{00000000-0005-0000-0000-0000C6530000}"/>
    <cellStyle name="40% - Accent3 2 2 3 2 8" xfId="24981" xr:uid="{00000000-0005-0000-0000-0000C7530000}"/>
    <cellStyle name="40% - Accent3 2 2 3 3" xfId="24982" xr:uid="{00000000-0005-0000-0000-0000C8530000}"/>
    <cellStyle name="40% - Accent3 2 2 3 3 2" xfId="24983" xr:uid="{00000000-0005-0000-0000-0000C9530000}"/>
    <cellStyle name="40% - Accent3 2 2 3 3 2 2" xfId="24984" xr:uid="{00000000-0005-0000-0000-0000CA530000}"/>
    <cellStyle name="40% - Accent3 2 2 3 3 2 2 2" xfId="24985" xr:uid="{00000000-0005-0000-0000-0000CB530000}"/>
    <cellStyle name="40% - Accent3 2 2 3 3 2 2 2 2" xfId="24986" xr:uid="{00000000-0005-0000-0000-0000CC530000}"/>
    <cellStyle name="40% - Accent3 2 2 3 3 2 2 3" xfId="24987" xr:uid="{00000000-0005-0000-0000-0000CD530000}"/>
    <cellStyle name="40% - Accent3 2 2 3 3 2 3" xfId="24988" xr:uid="{00000000-0005-0000-0000-0000CE530000}"/>
    <cellStyle name="40% - Accent3 2 2 3 3 2 3 2" xfId="24989" xr:uid="{00000000-0005-0000-0000-0000CF530000}"/>
    <cellStyle name="40% - Accent3 2 2 3 3 2 4" xfId="24990" xr:uid="{00000000-0005-0000-0000-0000D0530000}"/>
    <cellStyle name="40% - Accent3 2 2 3 3 2 5" xfId="24991" xr:uid="{00000000-0005-0000-0000-0000D1530000}"/>
    <cellStyle name="40% - Accent3 2 2 3 3 2 6" xfId="24992" xr:uid="{00000000-0005-0000-0000-0000D2530000}"/>
    <cellStyle name="40% - Accent3 2 2 3 3 3" xfId="24993" xr:uid="{00000000-0005-0000-0000-0000D3530000}"/>
    <cellStyle name="40% - Accent3 2 2 3 3 3 2" xfId="24994" xr:uid="{00000000-0005-0000-0000-0000D4530000}"/>
    <cellStyle name="40% - Accent3 2 2 3 3 3 2 2" xfId="24995" xr:uid="{00000000-0005-0000-0000-0000D5530000}"/>
    <cellStyle name="40% - Accent3 2 2 3 3 3 3" xfId="24996" xr:uid="{00000000-0005-0000-0000-0000D6530000}"/>
    <cellStyle name="40% - Accent3 2 2 3 3 4" xfId="24997" xr:uid="{00000000-0005-0000-0000-0000D7530000}"/>
    <cellStyle name="40% - Accent3 2 2 3 3 4 2" xfId="24998" xr:uid="{00000000-0005-0000-0000-0000D8530000}"/>
    <cellStyle name="40% - Accent3 2 2 3 3 5" xfId="24999" xr:uid="{00000000-0005-0000-0000-0000D9530000}"/>
    <cellStyle name="40% - Accent3 2 2 3 3 6" xfId="25000" xr:uid="{00000000-0005-0000-0000-0000DA530000}"/>
    <cellStyle name="40% - Accent3 2 2 3 3 7" xfId="25001" xr:uid="{00000000-0005-0000-0000-0000DB530000}"/>
    <cellStyle name="40% - Accent3 2 2 3 4" xfId="25002" xr:uid="{00000000-0005-0000-0000-0000DC530000}"/>
    <cellStyle name="40% - Accent3 2 2 3 4 2" xfId="25003" xr:uid="{00000000-0005-0000-0000-0000DD530000}"/>
    <cellStyle name="40% - Accent3 2 2 3 4 2 2" xfId="25004" xr:uid="{00000000-0005-0000-0000-0000DE530000}"/>
    <cellStyle name="40% - Accent3 2 2 3 4 2 2 2" xfId="25005" xr:uid="{00000000-0005-0000-0000-0000DF530000}"/>
    <cellStyle name="40% - Accent3 2 2 3 4 2 3" xfId="25006" xr:uid="{00000000-0005-0000-0000-0000E0530000}"/>
    <cellStyle name="40% - Accent3 2 2 3 4 3" xfId="25007" xr:uid="{00000000-0005-0000-0000-0000E1530000}"/>
    <cellStyle name="40% - Accent3 2 2 3 4 3 2" xfId="25008" xr:uid="{00000000-0005-0000-0000-0000E2530000}"/>
    <cellStyle name="40% - Accent3 2 2 3 4 4" xfId="25009" xr:uid="{00000000-0005-0000-0000-0000E3530000}"/>
    <cellStyle name="40% - Accent3 2 2 3 4 5" xfId="25010" xr:uid="{00000000-0005-0000-0000-0000E4530000}"/>
    <cellStyle name="40% - Accent3 2 2 3 4 6" xfId="25011" xr:uid="{00000000-0005-0000-0000-0000E5530000}"/>
    <cellStyle name="40% - Accent3 2 2 3 5" xfId="25012" xr:uid="{00000000-0005-0000-0000-0000E6530000}"/>
    <cellStyle name="40% - Accent3 2 2 3 5 2" xfId="25013" xr:uid="{00000000-0005-0000-0000-0000E7530000}"/>
    <cellStyle name="40% - Accent3 2 2 3 5 2 2" xfId="25014" xr:uid="{00000000-0005-0000-0000-0000E8530000}"/>
    <cellStyle name="40% - Accent3 2 2 3 5 3" xfId="25015" xr:uid="{00000000-0005-0000-0000-0000E9530000}"/>
    <cellStyle name="40% - Accent3 2 2 3 6" xfId="25016" xr:uid="{00000000-0005-0000-0000-0000EA530000}"/>
    <cellStyle name="40% - Accent3 2 2 3 6 2" xfId="25017" xr:uid="{00000000-0005-0000-0000-0000EB530000}"/>
    <cellStyle name="40% - Accent3 2 2 3 6 2 2" xfId="25018" xr:uid="{00000000-0005-0000-0000-0000EC530000}"/>
    <cellStyle name="40% - Accent3 2 2 3 6 3" xfId="25019" xr:uid="{00000000-0005-0000-0000-0000ED530000}"/>
    <cellStyle name="40% - Accent3 2 2 3 7" xfId="25020" xr:uid="{00000000-0005-0000-0000-0000EE530000}"/>
    <cellStyle name="40% - Accent3 2 2 3 7 2" xfId="25021" xr:uid="{00000000-0005-0000-0000-0000EF530000}"/>
    <cellStyle name="40% - Accent3 2 2 3 8" xfId="25022" xr:uid="{00000000-0005-0000-0000-0000F0530000}"/>
    <cellStyle name="40% - Accent3 2 2 3 8 2" xfId="25023" xr:uid="{00000000-0005-0000-0000-0000F1530000}"/>
    <cellStyle name="40% - Accent3 2 2 3 9" xfId="25024" xr:uid="{00000000-0005-0000-0000-0000F2530000}"/>
    <cellStyle name="40% - Accent3 2 2 4" xfId="25025" xr:uid="{00000000-0005-0000-0000-0000F3530000}"/>
    <cellStyle name="40% - Accent3 2 2 4 10" xfId="25026" xr:uid="{00000000-0005-0000-0000-0000F4530000}"/>
    <cellStyle name="40% - Accent3 2 2 4 11" xfId="25027" xr:uid="{00000000-0005-0000-0000-0000F5530000}"/>
    <cellStyle name="40% - Accent3 2 2 4 2" xfId="25028" xr:uid="{00000000-0005-0000-0000-0000F6530000}"/>
    <cellStyle name="40% - Accent3 2 2 4 2 2" xfId="25029" xr:uid="{00000000-0005-0000-0000-0000F7530000}"/>
    <cellStyle name="40% - Accent3 2 2 4 2 2 2" xfId="25030" xr:uid="{00000000-0005-0000-0000-0000F8530000}"/>
    <cellStyle name="40% - Accent3 2 2 4 2 2 2 2" xfId="25031" xr:uid="{00000000-0005-0000-0000-0000F9530000}"/>
    <cellStyle name="40% - Accent3 2 2 4 2 2 2 2 2" xfId="25032" xr:uid="{00000000-0005-0000-0000-0000FA530000}"/>
    <cellStyle name="40% - Accent3 2 2 4 2 2 2 3" xfId="25033" xr:uid="{00000000-0005-0000-0000-0000FB530000}"/>
    <cellStyle name="40% - Accent3 2 2 4 2 2 3" xfId="25034" xr:uid="{00000000-0005-0000-0000-0000FC530000}"/>
    <cellStyle name="40% - Accent3 2 2 4 2 2 3 2" xfId="25035" xr:uid="{00000000-0005-0000-0000-0000FD530000}"/>
    <cellStyle name="40% - Accent3 2 2 4 2 2 4" xfId="25036" xr:uid="{00000000-0005-0000-0000-0000FE530000}"/>
    <cellStyle name="40% - Accent3 2 2 4 2 2 5" xfId="25037" xr:uid="{00000000-0005-0000-0000-0000FF530000}"/>
    <cellStyle name="40% - Accent3 2 2 4 2 2 6" xfId="25038" xr:uid="{00000000-0005-0000-0000-000000540000}"/>
    <cellStyle name="40% - Accent3 2 2 4 2 3" xfId="25039" xr:uid="{00000000-0005-0000-0000-000001540000}"/>
    <cellStyle name="40% - Accent3 2 2 4 2 3 2" xfId="25040" xr:uid="{00000000-0005-0000-0000-000002540000}"/>
    <cellStyle name="40% - Accent3 2 2 4 2 3 2 2" xfId="25041" xr:uid="{00000000-0005-0000-0000-000003540000}"/>
    <cellStyle name="40% - Accent3 2 2 4 2 3 3" xfId="25042" xr:uid="{00000000-0005-0000-0000-000004540000}"/>
    <cellStyle name="40% - Accent3 2 2 4 2 4" xfId="25043" xr:uid="{00000000-0005-0000-0000-000005540000}"/>
    <cellStyle name="40% - Accent3 2 2 4 2 4 2" xfId="25044" xr:uid="{00000000-0005-0000-0000-000006540000}"/>
    <cellStyle name="40% - Accent3 2 2 4 2 5" xfId="25045" xr:uid="{00000000-0005-0000-0000-000007540000}"/>
    <cellStyle name="40% - Accent3 2 2 4 2 5 2" xfId="25046" xr:uid="{00000000-0005-0000-0000-000008540000}"/>
    <cellStyle name="40% - Accent3 2 2 4 2 6" xfId="25047" xr:uid="{00000000-0005-0000-0000-000009540000}"/>
    <cellStyle name="40% - Accent3 2 2 4 2 7" xfId="25048" xr:uid="{00000000-0005-0000-0000-00000A540000}"/>
    <cellStyle name="40% - Accent3 2 2 4 2 8" xfId="25049" xr:uid="{00000000-0005-0000-0000-00000B540000}"/>
    <cellStyle name="40% - Accent3 2 2 4 3" xfId="25050" xr:uid="{00000000-0005-0000-0000-00000C540000}"/>
    <cellStyle name="40% - Accent3 2 2 4 3 2" xfId="25051" xr:uid="{00000000-0005-0000-0000-00000D540000}"/>
    <cellStyle name="40% - Accent3 2 2 4 3 2 2" xfId="25052" xr:uid="{00000000-0005-0000-0000-00000E540000}"/>
    <cellStyle name="40% - Accent3 2 2 4 3 2 2 2" xfId="25053" xr:uid="{00000000-0005-0000-0000-00000F540000}"/>
    <cellStyle name="40% - Accent3 2 2 4 3 2 2 2 2" xfId="25054" xr:uid="{00000000-0005-0000-0000-000010540000}"/>
    <cellStyle name="40% - Accent3 2 2 4 3 2 2 3" xfId="25055" xr:uid="{00000000-0005-0000-0000-000011540000}"/>
    <cellStyle name="40% - Accent3 2 2 4 3 2 3" xfId="25056" xr:uid="{00000000-0005-0000-0000-000012540000}"/>
    <cellStyle name="40% - Accent3 2 2 4 3 2 3 2" xfId="25057" xr:uid="{00000000-0005-0000-0000-000013540000}"/>
    <cellStyle name="40% - Accent3 2 2 4 3 2 4" xfId="25058" xr:uid="{00000000-0005-0000-0000-000014540000}"/>
    <cellStyle name="40% - Accent3 2 2 4 3 2 5" xfId="25059" xr:uid="{00000000-0005-0000-0000-000015540000}"/>
    <cellStyle name="40% - Accent3 2 2 4 3 2 6" xfId="25060" xr:uid="{00000000-0005-0000-0000-000016540000}"/>
    <cellStyle name="40% - Accent3 2 2 4 3 3" xfId="25061" xr:uid="{00000000-0005-0000-0000-000017540000}"/>
    <cellStyle name="40% - Accent3 2 2 4 3 3 2" xfId="25062" xr:uid="{00000000-0005-0000-0000-000018540000}"/>
    <cellStyle name="40% - Accent3 2 2 4 3 3 2 2" xfId="25063" xr:uid="{00000000-0005-0000-0000-000019540000}"/>
    <cellStyle name="40% - Accent3 2 2 4 3 3 3" xfId="25064" xr:uid="{00000000-0005-0000-0000-00001A540000}"/>
    <cellStyle name="40% - Accent3 2 2 4 3 4" xfId="25065" xr:uid="{00000000-0005-0000-0000-00001B540000}"/>
    <cellStyle name="40% - Accent3 2 2 4 3 4 2" xfId="25066" xr:uid="{00000000-0005-0000-0000-00001C540000}"/>
    <cellStyle name="40% - Accent3 2 2 4 3 5" xfId="25067" xr:uid="{00000000-0005-0000-0000-00001D540000}"/>
    <cellStyle name="40% - Accent3 2 2 4 3 6" xfId="25068" xr:uid="{00000000-0005-0000-0000-00001E540000}"/>
    <cellStyle name="40% - Accent3 2 2 4 3 7" xfId="25069" xr:uid="{00000000-0005-0000-0000-00001F540000}"/>
    <cellStyle name="40% - Accent3 2 2 4 4" xfId="25070" xr:uid="{00000000-0005-0000-0000-000020540000}"/>
    <cellStyle name="40% - Accent3 2 2 4 4 2" xfId="25071" xr:uid="{00000000-0005-0000-0000-000021540000}"/>
    <cellStyle name="40% - Accent3 2 2 4 4 2 2" xfId="25072" xr:uid="{00000000-0005-0000-0000-000022540000}"/>
    <cellStyle name="40% - Accent3 2 2 4 4 2 2 2" xfId="25073" xr:uid="{00000000-0005-0000-0000-000023540000}"/>
    <cellStyle name="40% - Accent3 2 2 4 4 2 3" xfId="25074" xr:uid="{00000000-0005-0000-0000-000024540000}"/>
    <cellStyle name="40% - Accent3 2 2 4 4 3" xfId="25075" xr:uid="{00000000-0005-0000-0000-000025540000}"/>
    <cellStyle name="40% - Accent3 2 2 4 4 3 2" xfId="25076" xr:uid="{00000000-0005-0000-0000-000026540000}"/>
    <cellStyle name="40% - Accent3 2 2 4 4 4" xfId="25077" xr:uid="{00000000-0005-0000-0000-000027540000}"/>
    <cellStyle name="40% - Accent3 2 2 4 4 5" xfId="25078" xr:uid="{00000000-0005-0000-0000-000028540000}"/>
    <cellStyle name="40% - Accent3 2 2 4 4 6" xfId="25079" xr:uid="{00000000-0005-0000-0000-000029540000}"/>
    <cellStyle name="40% - Accent3 2 2 4 5" xfId="25080" xr:uid="{00000000-0005-0000-0000-00002A540000}"/>
    <cellStyle name="40% - Accent3 2 2 4 5 2" xfId="25081" xr:uid="{00000000-0005-0000-0000-00002B540000}"/>
    <cellStyle name="40% - Accent3 2 2 4 5 2 2" xfId="25082" xr:uid="{00000000-0005-0000-0000-00002C540000}"/>
    <cellStyle name="40% - Accent3 2 2 4 5 3" xfId="25083" xr:uid="{00000000-0005-0000-0000-00002D540000}"/>
    <cellStyle name="40% - Accent3 2 2 4 6" xfId="25084" xr:uid="{00000000-0005-0000-0000-00002E540000}"/>
    <cellStyle name="40% - Accent3 2 2 4 6 2" xfId="25085" xr:uid="{00000000-0005-0000-0000-00002F540000}"/>
    <cellStyle name="40% - Accent3 2 2 4 6 2 2" xfId="25086" xr:uid="{00000000-0005-0000-0000-000030540000}"/>
    <cellStyle name="40% - Accent3 2 2 4 6 3" xfId="25087" xr:uid="{00000000-0005-0000-0000-000031540000}"/>
    <cellStyle name="40% - Accent3 2 2 4 7" xfId="25088" xr:uid="{00000000-0005-0000-0000-000032540000}"/>
    <cellStyle name="40% - Accent3 2 2 4 7 2" xfId="25089" xr:uid="{00000000-0005-0000-0000-000033540000}"/>
    <cellStyle name="40% - Accent3 2 2 4 8" xfId="25090" xr:uid="{00000000-0005-0000-0000-000034540000}"/>
    <cellStyle name="40% - Accent3 2 2 4 8 2" xfId="25091" xr:uid="{00000000-0005-0000-0000-000035540000}"/>
    <cellStyle name="40% - Accent3 2 2 4 9" xfId="25092" xr:uid="{00000000-0005-0000-0000-000036540000}"/>
    <cellStyle name="40% - Accent3 2 2 5" xfId="25093" xr:uid="{00000000-0005-0000-0000-000037540000}"/>
    <cellStyle name="40% - Accent3 2 2 5 10" xfId="25094" xr:uid="{00000000-0005-0000-0000-000038540000}"/>
    <cellStyle name="40% - Accent3 2 2 5 11" xfId="25095" xr:uid="{00000000-0005-0000-0000-000039540000}"/>
    <cellStyle name="40% - Accent3 2 2 5 2" xfId="25096" xr:uid="{00000000-0005-0000-0000-00003A540000}"/>
    <cellStyle name="40% - Accent3 2 2 5 2 2" xfId="25097" xr:uid="{00000000-0005-0000-0000-00003B540000}"/>
    <cellStyle name="40% - Accent3 2 2 5 2 2 2" xfId="25098" xr:uid="{00000000-0005-0000-0000-00003C540000}"/>
    <cellStyle name="40% - Accent3 2 2 5 2 2 2 2" xfId="25099" xr:uid="{00000000-0005-0000-0000-00003D540000}"/>
    <cellStyle name="40% - Accent3 2 2 5 2 2 2 2 2" xfId="25100" xr:uid="{00000000-0005-0000-0000-00003E540000}"/>
    <cellStyle name="40% - Accent3 2 2 5 2 2 2 3" xfId="25101" xr:uid="{00000000-0005-0000-0000-00003F540000}"/>
    <cellStyle name="40% - Accent3 2 2 5 2 2 3" xfId="25102" xr:uid="{00000000-0005-0000-0000-000040540000}"/>
    <cellStyle name="40% - Accent3 2 2 5 2 2 3 2" xfId="25103" xr:uid="{00000000-0005-0000-0000-000041540000}"/>
    <cellStyle name="40% - Accent3 2 2 5 2 2 4" xfId="25104" xr:uid="{00000000-0005-0000-0000-000042540000}"/>
    <cellStyle name="40% - Accent3 2 2 5 2 2 5" xfId="25105" xr:uid="{00000000-0005-0000-0000-000043540000}"/>
    <cellStyle name="40% - Accent3 2 2 5 2 2 6" xfId="25106" xr:uid="{00000000-0005-0000-0000-000044540000}"/>
    <cellStyle name="40% - Accent3 2 2 5 2 3" xfId="25107" xr:uid="{00000000-0005-0000-0000-000045540000}"/>
    <cellStyle name="40% - Accent3 2 2 5 2 3 2" xfId="25108" xr:uid="{00000000-0005-0000-0000-000046540000}"/>
    <cellStyle name="40% - Accent3 2 2 5 2 3 2 2" xfId="25109" xr:uid="{00000000-0005-0000-0000-000047540000}"/>
    <cellStyle name="40% - Accent3 2 2 5 2 3 3" xfId="25110" xr:uid="{00000000-0005-0000-0000-000048540000}"/>
    <cellStyle name="40% - Accent3 2 2 5 2 4" xfId="25111" xr:uid="{00000000-0005-0000-0000-000049540000}"/>
    <cellStyle name="40% - Accent3 2 2 5 2 4 2" xfId="25112" xr:uid="{00000000-0005-0000-0000-00004A540000}"/>
    <cellStyle name="40% - Accent3 2 2 5 2 5" xfId="25113" xr:uid="{00000000-0005-0000-0000-00004B540000}"/>
    <cellStyle name="40% - Accent3 2 2 5 2 5 2" xfId="25114" xr:uid="{00000000-0005-0000-0000-00004C540000}"/>
    <cellStyle name="40% - Accent3 2 2 5 2 6" xfId="25115" xr:uid="{00000000-0005-0000-0000-00004D540000}"/>
    <cellStyle name="40% - Accent3 2 2 5 2 7" xfId="25116" xr:uid="{00000000-0005-0000-0000-00004E540000}"/>
    <cellStyle name="40% - Accent3 2 2 5 2 8" xfId="25117" xr:uid="{00000000-0005-0000-0000-00004F540000}"/>
    <cellStyle name="40% - Accent3 2 2 5 3" xfId="25118" xr:uid="{00000000-0005-0000-0000-000050540000}"/>
    <cellStyle name="40% - Accent3 2 2 5 3 2" xfId="25119" xr:uid="{00000000-0005-0000-0000-000051540000}"/>
    <cellStyle name="40% - Accent3 2 2 5 3 2 2" xfId="25120" xr:uid="{00000000-0005-0000-0000-000052540000}"/>
    <cellStyle name="40% - Accent3 2 2 5 3 2 2 2" xfId="25121" xr:uid="{00000000-0005-0000-0000-000053540000}"/>
    <cellStyle name="40% - Accent3 2 2 5 3 2 2 2 2" xfId="25122" xr:uid="{00000000-0005-0000-0000-000054540000}"/>
    <cellStyle name="40% - Accent3 2 2 5 3 2 2 3" xfId="25123" xr:uid="{00000000-0005-0000-0000-000055540000}"/>
    <cellStyle name="40% - Accent3 2 2 5 3 2 3" xfId="25124" xr:uid="{00000000-0005-0000-0000-000056540000}"/>
    <cellStyle name="40% - Accent3 2 2 5 3 2 3 2" xfId="25125" xr:uid="{00000000-0005-0000-0000-000057540000}"/>
    <cellStyle name="40% - Accent3 2 2 5 3 2 4" xfId="25126" xr:uid="{00000000-0005-0000-0000-000058540000}"/>
    <cellStyle name="40% - Accent3 2 2 5 3 2 5" xfId="25127" xr:uid="{00000000-0005-0000-0000-000059540000}"/>
    <cellStyle name="40% - Accent3 2 2 5 3 2 6" xfId="25128" xr:uid="{00000000-0005-0000-0000-00005A540000}"/>
    <cellStyle name="40% - Accent3 2 2 5 3 3" xfId="25129" xr:uid="{00000000-0005-0000-0000-00005B540000}"/>
    <cellStyle name="40% - Accent3 2 2 5 3 3 2" xfId="25130" xr:uid="{00000000-0005-0000-0000-00005C540000}"/>
    <cellStyle name="40% - Accent3 2 2 5 3 3 2 2" xfId="25131" xr:uid="{00000000-0005-0000-0000-00005D540000}"/>
    <cellStyle name="40% - Accent3 2 2 5 3 3 3" xfId="25132" xr:uid="{00000000-0005-0000-0000-00005E540000}"/>
    <cellStyle name="40% - Accent3 2 2 5 3 4" xfId="25133" xr:uid="{00000000-0005-0000-0000-00005F540000}"/>
    <cellStyle name="40% - Accent3 2 2 5 3 4 2" xfId="25134" xr:uid="{00000000-0005-0000-0000-000060540000}"/>
    <cellStyle name="40% - Accent3 2 2 5 3 5" xfId="25135" xr:uid="{00000000-0005-0000-0000-000061540000}"/>
    <cellStyle name="40% - Accent3 2 2 5 3 6" xfId="25136" xr:uid="{00000000-0005-0000-0000-000062540000}"/>
    <cellStyle name="40% - Accent3 2 2 5 3 7" xfId="25137" xr:uid="{00000000-0005-0000-0000-000063540000}"/>
    <cellStyle name="40% - Accent3 2 2 5 4" xfId="25138" xr:uid="{00000000-0005-0000-0000-000064540000}"/>
    <cellStyle name="40% - Accent3 2 2 5 4 2" xfId="25139" xr:uid="{00000000-0005-0000-0000-000065540000}"/>
    <cellStyle name="40% - Accent3 2 2 5 4 2 2" xfId="25140" xr:uid="{00000000-0005-0000-0000-000066540000}"/>
    <cellStyle name="40% - Accent3 2 2 5 4 2 2 2" xfId="25141" xr:uid="{00000000-0005-0000-0000-000067540000}"/>
    <cellStyle name="40% - Accent3 2 2 5 4 2 3" xfId="25142" xr:uid="{00000000-0005-0000-0000-000068540000}"/>
    <cellStyle name="40% - Accent3 2 2 5 4 3" xfId="25143" xr:uid="{00000000-0005-0000-0000-000069540000}"/>
    <cellStyle name="40% - Accent3 2 2 5 4 3 2" xfId="25144" xr:uid="{00000000-0005-0000-0000-00006A540000}"/>
    <cellStyle name="40% - Accent3 2 2 5 4 4" xfId="25145" xr:uid="{00000000-0005-0000-0000-00006B540000}"/>
    <cellStyle name="40% - Accent3 2 2 5 4 5" xfId="25146" xr:uid="{00000000-0005-0000-0000-00006C540000}"/>
    <cellStyle name="40% - Accent3 2 2 5 4 6" xfId="25147" xr:uid="{00000000-0005-0000-0000-00006D540000}"/>
    <cellStyle name="40% - Accent3 2 2 5 5" xfId="25148" xr:uid="{00000000-0005-0000-0000-00006E540000}"/>
    <cellStyle name="40% - Accent3 2 2 5 5 2" xfId="25149" xr:uid="{00000000-0005-0000-0000-00006F540000}"/>
    <cellStyle name="40% - Accent3 2 2 5 5 2 2" xfId="25150" xr:uid="{00000000-0005-0000-0000-000070540000}"/>
    <cellStyle name="40% - Accent3 2 2 5 5 3" xfId="25151" xr:uid="{00000000-0005-0000-0000-000071540000}"/>
    <cellStyle name="40% - Accent3 2 2 5 6" xfId="25152" xr:uid="{00000000-0005-0000-0000-000072540000}"/>
    <cellStyle name="40% - Accent3 2 2 5 6 2" xfId="25153" xr:uid="{00000000-0005-0000-0000-000073540000}"/>
    <cellStyle name="40% - Accent3 2 2 5 6 2 2" xfId="25154" xr:uid="{00000000-0005-0000-0000-000074540000}"/>
    <cellStyle name="40% - Accent3 2 2 5 6 3" xfId="25155" xr:uid="{00000000-0005-0000-0000-000075540000}"/>
    <cellStyle name="40% - Accent3 2 2 5 7" xfId="25156" xr:uid="{00000000-0005-0000-0000-000076540000}"/>
    <cellStyle name="40% - Accent3 2 2 5 7 2" xfId="25157" xr:uid="{00000000-0005-0000-0000-000077540000}"/>
    <cellStyle name="40% - Accent3 2 2 5 8" xfId="25158" xr:uid="{00000000-0005-0000-0000-000078540000}"/>
    <cellStyle name="40% - Accent3 2 2 5 8 2" xfId="25159" xr:uid="{00000000-0005-0000-0000-000079540000}"/>
    <cellStyle name="40% - Accent3 2 2 5 9" xfId="25160" xr:uid="{00000000-0005-0000-0000-00007A540000}"/>
    <cellStyle name="40% - Accent3 2 2 6" xfId="25161" xr:uid="{00000000-0005-0000-0000-00007B540000}"/>
    <cellStyle name="40% - Accent3 2 2 6 10" xfId="25162" xr:uid="{00000000-0005-0000-0000-00007C540000}"/>
    <cellStyle name="40% - Accent3 2 2 6 11" xfId="25163" xr:uid="{00000000-0005-0000-0000-00007D540000}"/>
    <cellStyle name="40% - Accent3 2 2 6 2" xfId="25164" xr:uid="{00000000-0005-0000-0000-00007E540000}"/>
    <cellStyle name="40% - Accent3 2 2 6 2 2" xfId="25165" xr:uid="{00000000-0005-0000-0000-00007F540000}"/>
    <cellStyle name="40% - Accent3 2 2 6 2 2 2" xfId="25166" xr:uid="{00000000-0005-0000-0000-000080540000}"/>
    <cellStyle name="40% - Accent3 2 2 6 2 2 2 2" xfId="25167" xr:uid="{00000000-0005-0000-0000-000081540000}"/>
    <cellStyle name="40% - Accent3 2 2 6 2 2 2 2 2" xfId="25168" xr:uid="{00000000-0005-0000-0000-000082540000}"/>
    <cellStyle name="40% - Accent3 2 2 6 2 2 2 3" xfId="25169" xr:uid="{00000000-0005-0000-0000-000083540000}"/>
    <cellStyle name="40% - Accent3 2 2 6 2 2 3" xfId="25170" xr:uid="{00000000-0005-0000-0000-000084540000}"/>
    <cellStyle name="40% - Accent3 2 2 6 2 2 3 2" xfId="25171" xr:uid="{00000000-0005-0000-0000-000085540000}"/>
    <cellStyle name="40% - Accent3 2 2 6 2 2 4" xfId="25172" xr:uid="{00000000-0005-0000-0000-000086540000}"/>
    <cellStyle name="40% - Accent3 2 2 6 2 2 5" xfId="25173" xr:uid="{00000000-0005-0000-0000-000087540000}"/>
    <cellStyle name="40% - Accent3 2 2 6 2 2 6" xfId="25174" xr:uid="{00000000-0005-0000-0000-000088540000}"/>
    <cellStyle name="40% - Accent3 2 2 6 2 3" xfId="25175" xr:uid="{00000000-0005-0000-0000-000089540000}"/>
    <cellStyle name="40% - Accent3 2 2 6 2 3 2" xfId="25176" xr:uid="{00000000-0005-0000-0000-00008A540000}"/>
    <cellStyle name="40% - Accent3 2 2 6 2 3 2 2" xfId="25177" xr:uid="{00000000-0005-0000-0000-00008B540000}"/>
    <cellStyle name="40% - Accent3 2 2 6 2 3 3" xfId="25178" xr:uid="{00000000-0005-0000-0000-00008C540000}"/>
    <cellStyle name="40% - Accent3 2 2 6 2 4" xfId="25179" xr:uid="{00000000-0005-0000-0000-00008D540000}"/>
    <cellStyle name="40% - Accent3 2 2 6 2 4 2" xfId="25180" xr:uid="{00000000-0005-0000-0000-00008E540000}"/>
    <cellStyle name="40% - Accent3 2 2 6 2 5" xfId="25181" xr:uid="{00000000-0005-0000-0000-00008F540000}"/>
    <cellStyle name="40% - Accent3 2 2 6 2 5 2" xfId="25182" xr:uid="{00000000-0005-0000-0000-000090540000}"/>
    <cellStyle name="40% - Accent3 2 2 6 2 6" xfId="25183" xr:uid="{00000000-0005-0000-0000-000091540000}"/>
    <cellStyle name="40% - Accent3 2 2 6 2 7" xfId="25184" xr:uid="{00000000-0005-0000-0000-000092540000}"/>
    <cellStyle name="40% - Accent3 2 2 6 2 8" xfId="25185" xr:uid="{00000000-0005-0000-0000-000093540000}"/>
    <cellStyle name="40% - Accent3 2 2 6 3" xfId="25186" xr:uid="{00000000-0005-0000-0000-000094540000}"/>
    <cellStyle name="40% - Accent3 2 2 6 3 2" xfId="25187" xr:uid="{00000000-0005-0000-0000-000095540000}"/>
    <cellStyle name="40% - Accent3 2 2 6 3 2 2" xfId="25188" xr:uid="{00000000-0005-0000-0000-000096540000}"/>
    <cellStyle name="40% - Accent3 2 2 6 3 2 2 2" xfId="25189" xr:uid="{00000000-0005-0000-0000-000097540000}"/>
    <cellStyle name="40% - Accent3 2 2 6 3 2 2 2 2" xfId="25190" xr:uid="{00000000-0005-0000-0000-000098540000}"/>
    <cellStyle name="40% - Accent3 2 2 6 3 2 2 3" xfId="25191" xr:uid="{00000000-0005-0000-0000-000099540000}"/>
    <cellStyle name="40% - Accent3 2 2 6 3 2 3" xfId="25192" xr:uid="{00000000-0005-0000-0000-00009A540000}"/>
    <cellStyle name="40% - Accent3 2 2 6 3 2 3 2" xfId="25193" xr:uid="{00000000-0005-0000-0000-00009B540000}"/>
    <cellStyle name="40% - Accent3 2 2 6 3 2 4" xfId="25194" xr:uid="{00000000-0005-0000-0000-00009C540000}"/>
    <cellStyle name="40% - Accent3 2 2 6 3 2 5" xfId="25195" xr:uid="{00000000-0005-0000-0000-00009D540000}"/>
    <cellStyle name="40% - Accent3 2 2 6 3 2 6" xfId="25196" xr:uid="{00000000-0005-0000-0000-00009E540000}"/>
    <cellStyle name="40% - Accent3 2 2 6 3 3" xfId="25197" xr:uid="{00000000-0005-0000-0000-00009F540000}"/>
    <cellStyle name="40% - Accent3 2 2 6 3 3 2" xfId="25198" xr:uid="{00000000-0005-0000-0000-0000A0540000}"/>
    <cellStyle name="40% - Accent3 2 2 6 3 3 2 2" xfId="25199" xr:uid="{00000000-0005-0000-0000-0000A1540000}"/>
    <cellStyle name="40% - Accent3 2 2 6 3 3 3" xfId="25200" xr:uid="{00000000-0005-0000-0000-0000A2540000}"/>
    <cellStyle name="40% - Accent3 2 2 6 3 4" xfId="25201" xr:uid="{00000000-0005-0000-0000-0000A3540000}"/>
    <cellStyle name="40% - Accent3 2 2 6 3 4 2" xfId="25202" xr:uid="{00000000-0005-0000-0000-0000A4540000}"/>
    <cellStyle name="40% - Accent3 2 2 6 3 5" xfId="25203" xr:uid="{00000000-0005-0000-0000-0000A5540000}"/>
    <cellStyle name="40% - Accent3 2 2 6 3 6" xfId="25204" xr:uid="{00000000-0005-0000-0000-0000A6540000}"/>
    <cellStyle name="40% - Accent3 2 2 6 3 7" xfId="25205" xr:uid="{00000000-0005-0000-0000-0000A7540000}"/>
    <cellStyle name="40% - Accent3 2 2 6 4" xfId="25206" xr:uid="{00000000-0005-0000-0000-0000A8540000}"/>
    <cellStyle name="40% - Accent3 2 2 6 4 2" xfId="25207" xr:uid="{00000000-0005-0000-0000-0000A9540000}"/>
    <cellStyle name="40% - Accent3 2 2 6 4 2 2" xfId="25208" xr:uid="{00000000-0005-0000-0000-0000AA540000}"/>
    <cellStyle name="40% - Accent3 2 2 6 4 2 2 2" xfId="25209" xr:uid="{00000000-0005-0000-0000-0000AB540000}"/>
    <cellStyle name="40% - Accent3 2 2 6 4 2 3" xfId="25210" xr:uid="{00000000-0005-0000-0000-0000AC540000}"/>
    <cellStyle name="40% - Accent3 2 2 6 4 3" xfId="25211" xr:uid="{00000000-0005-0000-0000-0000AD540000}"/>
    <cellStyle name="40% - Accent3 2 2 6 4 3 2" xfId="25212" xr:uid="{00000000-0005-0000-0000-0000AE540000}"/>
    <cellStyle name="40% - Accent3 2 2 6 4 4" xfId="25213" xr:uid="{00000000-0005-0000-0000-0000AF540000}"/>
    <cellStyle name="40% - Accent3 2 2 6 4 5" xfId="25214" xr:uid="{00000000-0005-0000-0000-0000B0540000}"/>
    <cellStyle name="40% - Accent3 2 2 6 4 6" xfId="25215" xr:uid="{00000000-0005-0000-0000-0000B1540000}"/>
    <cellStyle name="40% - Accent3 2 2 6 5" xfId="25216" xr:uid="{00000000-0005-0000-0000-0000B2540000}"/>
    <cellStyle name="40% - Accent3 2 2 6 5 2" xfId="25217" xr:uid="{00000000-0005-0000-0000-0000B3540000}"/>
    <cellStyle name="40% - Accent3 2 2 6 5 2 2" xfId="25218" xr:uid="{00000000-0005-0000-0000-0000B4540000}"/>
    <cellStyle name="40% - Accent3 2 2 6 5 3" xfId="25219" xr:uid="{00000000-0005-0000-0000-0000B5540000}"/>
    <cellStyle name="40% - Accent3 2 2 6 6" xfId="25220" xr:uid="{00000000-0005-0000-0000-0000B6540000}"/>
    <cellStyle name="40% - Accent3 2 2 6 6 2" xfId="25221" xr:uid="{00000000-0005-0000-0000-0000B7540000}"/>
    <cellStyle name="40% - Accent3 2 2 6 6 2 2" xfId="25222" xr:uid="{00000000-0005-0000-0000-0000B8540000}"/>
    <cellStyle name="40% - Accent3 2 2 6 6 3" xfId="25223" xr:uid="{00000000-0005-0000-0000-0000B9540000}"/>
    <cellStyle name="40% - Accent3 2 2 6 7" xfId="25224" xr:uid="{00000000-0005-0000-0000-0000BA540000}"/>
    <cellStyle name="40% - Accent3 2 2 6 7 2" xfId="25225" xr:uid="{00000000-0005-0000-0000-0000BB540000}"/>
    <cellStyle name="40% - Accent3 2 2 6 8" xfId="25226" xr:uid="{00000000-0005-0000-0000-0000BC540000}"/>
    <cellStyle name="40% - Accent3 2 2 6 8 2" xfId="25227" xr:uid="{00000000-0005-0000-0000-0000BD540000}"/>
    <cellStyle name="40% - Accent3 2 2 6 9" xfId="25228" xr:uid="{00000000-0005-0000-0000-0000BE540000}"/>
    <cellStyle name="40% - Accent3 2 2 7" xfId="25229" xr:uid="{00000000-0005-0000-0000-0000BF540000}"/>
    <cellStyle name="40% - Accent3 2 2 7 2" xfId="25230" xr:uid="{00000000-0005-0000-0000-0000C0540000}"/>
    <cellStyle name="40% - Accent3 2 2 7 2 2" xfId="25231" xr:uid="{00000000-0005-0000-0000-0000C1540000}"/>
    <cellStyle name="40% - Accent3 2 2 7 2 2 2" xfId="25232" xr:uid="{00000000-0005-0000-0000-0000C2540000}"/>
    <cellStyle name="40% - Accent3 2 2 7 2 2 2 2" xfId="25233" xr:uid="{00000000-0005-0000-0000-0000C3540000}"/>
    <cellStyle name="40% - Accent3 2 2 7 2 2 3" xfId="25234" xr:uid="{00000000-0005-0000-0000-0000C4540000}"/>
    <cellStyle name="40% - Accent3 2 2 7 2 3" xfId="25235" xr:uid="{00000000-0005-0000-0000-0000C5540000}"/>
    <cellStyle name="40% - Accent3 2 2 7 2 3 2" xfId="25236" xr:uid="{00000000-0005-0000-0000-0000C6540000}"/>
    <cellStyle name="40% - Accent3 2 2 7 2 4" xfId="25237" xr:uid="{00000000-0005-0000-0000-0000C7540000}"/>
    <cellStyle name="40% - Accent3 2 2 7 2 5" xfId="25238" xr:uid="{00000000-0005-0000-0000-0000C8540000}"/>
    <cellStyle name="40% - Accent3 2 2 7 2 6" xfId="25239" xr:uid="{00000000-0005-0000-0000-0000C9540000}"/>
    <cellStyle name="40% - Accent3 2 2 7 3" xfId="25240" xr:uid="{00000000-0005-0000-0000-0000CA540000}"/>
    <cellStyle name="40% - Accent3 2 2 7 3 2" xfId="25241" xr:uid="{00000000-0005-0000-0000-0000CB540000}"/>
    <cellStyle name="40% - Accent3 2 2 7 3 2 2" xfId="25242" xr:uid="{00000000-0005-0000-0000-0000CC540000}"/>
    <cellStyle name="40% - Accent3 2 2 7 3 3" xfId="25243" xr:uid="{00000000-0005-0000-0000-0000CD540000}"/>
    <cellStyle name="40% - Accent3 2 2 7 4" xfId="25244" xr:uid="{00000000-0005-0000-0000-0000CE540000}"/>
    <cellStyle name="40% - Accent3 2 2 7 4 2" xfId="25245" xr:uid="{00000000-0005-0000-0000-0000CF540000}"/>
    <cellStyle name="40% - Accent3 2 2 7 5" xfId="25246" xr:uid="{00000000-0005-0000-0000-0000D0540000}"/>
    <cellStyle name="40% - Accent3 2 2 7 5 2" xfId="25247" xr:uid="{00000000-0005-0000-0000-0000D1540000}"/>
    <cellStyle name="40% - Accent3 2 2 7 6" xfId="25248" xr:uid="{00000000-0005-0000-0000-0000D2540000}"/>
    <cellStyle name="40% - Accent3 2 2 7 7" xfId="25249" xr:uid="{00000000-0005-0000-0000-0000D3540000}"/>
    <cellStyle name="40% - Accent3 2 2 7 8" xfId="25250" xr:uid="{00000000-0005-0000-0000-0000D4540000}"/>
    <cellStyle name="40% - Accent3 2 2 8" xfId="25251" xr:uid="{00000000-0005-0000-0000-0000D5540000}"/>
    <cellStyle name="40% - Accent3 2 2 8 2" xfId="25252" xr:uid="{00000000-0005-0000-0000-0000D6540000}"/>
    <cellStyle name="40% - Accent3 2 2 8 2 2" xfId="25253" xr:uid="{00000000-0005-0000-0000-0000D7540000}"/>
    <cellStyle name="40% - Accent3 2 2 8 2 2 2" xfId="25254" xr:uid="{00000000-0005-0000-0000-0000D8540000}"/>
    <cellStyle name="40% - Accent3 2 2 8 2 2 2 2" xfId="25255" xr:uid="{00000000-0005-0000-0000-0000D9540000}"/>
    <cellStyle name="40% - Accent3 2 2 8 2 2 3" xfId="25256" xr:uid="{00000000-0005-0000-0000-0000DA540000}"/>
    <cellStyle name="40% - Accent3 2 2 8 2 3" xfId="25257" xr:uid="{00000000-0005-0000-0000-0000DB540000}"/>
    <cellStyle name="40% - Accent3 2 2 8 2 3 2" xfId="25258" xr:uid="{00000000-0005-0000-0000-0000DC540000}"/>
    <cellStyle name="40% - Accent3 2 2 8 2 4" xfId="25259" xr:uid="{00000000-0005-0000-0000-0000DD540000}"/>
    <cellStyle name="40% - Accent3 2 2 8 2 5" xfId="25260" xr:uid="{00000000-0005-0000-0000-0000DE540000}"/>
    <cellStyle name="40% - Accent3 2 2 8 2 6" xfId="25261" xr:uid="{00000000-0005-0000-0000-0000DF540000}"/>
    <cellStyle name="40% - Accent3 2 2 8 3" xfId="25262" xr:uid="{00000000-0005-0000-0000-0000E0540000}"/>
    <cellStyle name="40% - Accent3 2 2 8 3 2" xfId="25263" xr:uid="{00000000-0005-0000-0000-0000E1540000}"/>
    <cellStyle name="40% - Accent3 2 2 8 3 2 2" xfId="25264" xr:uid="{00000000-0005-0000-0000-0000E2540000}"/>
    <cellStyle name="40% - Accent3 2 2 8 3 3" xfId="25265" xr:uid="{00000000-0005-0000-0000-0000E3540000}"/>
    <cellStyle name="40% - Accent3 2 2 8 4" xfId="25266" xr:uid="{00000000-0005-0000-0000-0000E4540000}"/>
    <cellStyle name="40% - Accent3 2 2 8 4 2" xfId="25267" xr:uid="{00000000-0005-0000-0000-0000E5540000}"/>
    <cellStyle name="40% - Accent3 2 2 8 5" xfId="25268" xr:uid="{00000000-0005-0000-0000-0000E6540000}"/>
    <cellStyle name="40% - Accent3 2 2 8 6" xfId="25269" xr:uid="{00000000-0005-0000-0000-0000E7540000}"/>
    <cellStyle name="40% - Accent3 2 2 8 7" xfId="25270" xr:uid="{00000000-0005-0000-0000-0000E8540000}"/>
    <cellStyle name="40% - Accent3 2 2 9" xfId="25271" xr:uid="{00000000-0005-0000-0000-0000E9540000}"/>
    <cellStyle name="40% - Accent3 2 2 9 2" xfId="25272" xr:uid="{00000000-0005-0000-0000-0000EA540000}"/>
    <cellStyle name="40% - Accent3 2 2 9 2 2" xfId="25273" xr:uid="{00000000-0005-0000-0000-0000EB540000}"/>
    <cellStyle name="40% - Accent3 2 2 9 2 2 2" xfId="25274" xr:uid="{00000000-0005-0000-0000-0000EC540000}"/>
    <cellStyle name="40% - Accent3 2 2 9 2 3" xfId="25275" xr:uid="{00000000-0005-0000-0000-0000ED540000}"/>
    <cellStyle name="40% - Accent3 2 2 9 3" xfId="25276" xr:uid="{00000000-0005-0000-0000-0000EE540000}"/>
    <cellStyle name="40% - Accent3 2 2 9 3 2" xfId="25277" xr:uid="{00000000-0005-0000-0000-0000EF540000}"/>
    <cellStyle name="40% - Accent3 2 2 9 4" xfId="25278" xr:uid="{00000000-0005-0000-0000-0000F0540000}"/>
    <cellStyle name="40% - Accent3 2 2 9 5" xfId="25279" xr:uid="{00000000-0005-0000-0000-0000F1540000}"/>
    <cellStyle name="40% - Accent3 2 2 9 6" xfId="25280" xr:uid="{00000000-0005-0000-0000-0000F2540000}"/>
    <cellStyle name="40% - Accent3 2 3" xfId="25281" xr:uid="{00000000-0005-0000-0000-0000F3540000}"/>
    <cellStyle name="40% - Accent3 2 3 2" xfId="25282" xr:uid="{00000000-0005-0000-0000-0000F4540000}"/>
    <cellStyle name="40% - Accent3 2 3 2 2" xfId="25283" xr:uid="{00000000-0005-0000-0000-0000F5540000}"/>
    <cellStyle name="40% - Accent3 2 3 2 2 2" xfId="25284" xr:uid="{00000000-0005-0000-0000-0000F6540000}"/>
    <cellStyle name="40% - Accent3 2 3 2 2 2 2" xfId="25285" xr:uid="{00000000-0005-0000-0000-0000F7540000}"/>
    <cellStyle name="40% - Accent3 2 3 2 2 3" xfId="25286" xr:uid="{00000000-0005-0000-0000-0000F8540000}"/>
    <cellStyle name="40% - Accent3 2 3 2 3" xfId="25287" xr:uid="{00000000-0005-0000-0000-0000F9540000}"/>
    <cellStyle name="40% - Accent3 2 3 2 3 2" xfId="25288" xr:uid="{00000000-0005-0000-0000-0000FA540000}"/>
    <cellStyle name="40% - Accent3 2 3 2 4" xfId="25289" xr:uid="{00000000-0005-0000-0000-0000FB540000}"/>
    <cellStyle name="40% - Accent3 2 3 3" xfId="25290" xr:uid="{00000000-0005-0000-0000-0000FC540000}"/>
    <cellStyle name="40% - Accent3 2 3 3 2" xfId="25291" xr:uid="{00000000-0005-0000-0000-0000FD540000}"/>
    <cellStyle name="40% - Accent3 2 3 3 2 2" xfId="25292" xr:uid="{00000000-0005-0000-0000-0000FE540000}"/>
    <cellStyle name="40% - Accent3 2 3 3 2 2 2" xfId="25293" xr:uid="{00000000-0005-0000-0000-0000FF540000}"/>
    <cellStyle name="40% - Accent3 2 3 3 2 3" xfId="25294" xr:uid="{00000000-0005-0000-0000-000000550000}"/>
    <cellStyle name="40% - Accent3 2 3 3 3" xfId="25295" xr:uid="{00000000-0005-0000-0000-000001550000}"/>
    <cellStyle name="40% - Accent3 2 3 3 3 2" xfId="25296" xr:uid="{00000000-0005-0000-0000-000002550000}"/>
    <cellStyle name="40% - Accent3 2 3 3 4" xfId="25297" xr:uid="{00000000-0005-0000-0000-000003550000}"/>
    <cellStyle name="40% - Accent3 2 3 4" xfId="25298" xr:uid="{00000000-0005-0000-0000-000004550000}"/>
    <cellStyle name="40% - Accent3 2 3 4 2" xfId="25299" xr:uid="{00000000-0005-0000-0000-000005550000}"/>
    <cellStyle name="40% - Accent3 2 3 4 2 2" xfId="25300" xr:uid="{00000000-0005-0000-0000-000006550000}"/>
    <cellStyle name="40% - Accent3 2 3 4 2 2 2" xfId="25301" xr:uid="{00000000-0005-0000-0000-000007550000}"/>
    <cellStyle name="40% - Accent3 2 3 4 2 3" xfId="25302" xr:uid="{00000000-0005-0000-0000-000008550000}"/>
    <cellStyle name="40% - Accent3 2 3 4 3" xfId="25303" xr:uid="{00000000-0005-0000-0000-000009550000}"/>
    <cellStyle name="40% - Accent3 2 3 4 3 2" xfId="25304" xr:uid="{00000000-0005-0000-0000-00000A550000}"/>
    <cellStyle name="40% - Accent3 2 3 4 4" xfId="25305" xr:uid="{00000000-0005-0000-0000-00000B550000}"/>
    <cellStyle name="40% - Accent3 2 4" xfId="25306" xr:uid="{00000000-0005-0000-0000-00000C550000}"/>
    <cellStyle name="40% - Accent3 2 4 2" xfId="25307" xr:uid="{00000000-0005-0000-0000-00000D550000}"/>
    <cellStyle name="40% - Accent3 2 5" xfId="25308" xr:uid="{00000000-0005-0000-0000-00000E550000}"/>
    <cellStyle name="40% - Accent3 2 5 2" xfId="25309" xr:uid="{00000000-0005-0000-0000-00000F550000}"/>
    <cellStyle name="40% - Accent3 2 6" xfId="25310" xr:uid="{00000000-0005-0000-0000-000010550000}"/>
    <cellStyle name="40% - Accent3 2 6 2" xfId="25311" xr:uid="{00000000-0005-0000-0000-000011550000}"/>
    <cellStyle name="40% - Accent3 2 7" xfId="25312" xr:uid="{00000000-0005-0000-0000-000012550000}"/>
    <cellStyle name="40% - Accent3 2 7 2" xfId="25313" xr:uid="{00000000-0005-0000-0000-000013550000}"/>
    <cellStyle name="40% - Accent3 2 7 2 2" xfId="25314" xr:uid="{00000000-0005-0000-0000-000014550000}"/>
    <cellStyle name="40% - Accent3 2 7 3" xfId="25315" xr:uid="{00000000-0005-0000-0000-000015550000}"/>
    <cellStyle name="40% - Accent3 3" xfId="202" xr:uid="{00000000-0005-0000-0000-000016550000}"/>
    <cellStyle name="40% - Accent3 3 10" xfId="25316" xr:uid="{00000000-0005-0000-0000-000017550000}"/>
    <cellStyle name="40% - Accent3 3 10 2" xfId="25317" xr:uid="{00000000-0005-0000-0000-000018550000}"/>
    <cellStyle name="40% - Accent3 3 10 2 2" xfId="25318" xr:uid="{00000000-0005-0000-0000-000019550000}"/>
    <cellStyle name="40% - Accent3 3 10 2 2 2" xfId="25319" xr:uid="{00000000-0005-0000-0000-00001A550000}"/>
    <cellStyle name="40% - Accent3 3 10 2 2 2 2" xfId="25320" xr:uid="{00000000-0005-0000-0000-00001B550000}"/>
    <cellStyle name="40% - Accent3 3 10 2 2 3" xfId="25321" xr:uid="{00000000-0005-0000-0000-00001C550000}"/>
    <cellStyle name="40% - Accent3 3 10 2 3" xfId="25322" xr:uid="{00000000-0005-0000-0000-00001D550000}"/>
    <cellStyle name="40% - Accent3 3 10 2 3 2" xfId="25323" xr:uid="{00000000-0005-0000-0000-00001E550000}"/>
    <cellStyle name="40% - Accent3 3 10 2 4" xfId="25324" xr:uid="{00000000-0005-0000-0000-00001F550000}"/>
    <cellStyle name="40% - Accent3 3 10 2 5" xfId="25325" xr:uid="{00000000-0005-0000-0000-000020550000}"/>
    <cellStyle name="40% - Accent3 3 10 2 6" xfId="25326" xr:uid="{00000000-0005-0000-0000-000021550000}"/>
    <cellStyle name="40% - Accent3 3 10 3" xfId="25327" xr:uid="{00000000-0005-0000-0000-000022550000}"/>
    <cellStyle name="40% - Accent3 3 10 3 2" xfId="25328" xr:uid="{00000000-0005-0000-0000-000023550000}"/>
    <cellStyle name="40% - Accent3 3 10 3 2 2" xfId="25329" xr:uid="{00000000-0005-0000-0000-000024550000}"/>
    <cellStyle name="40% - Accent3 3 10 3 3" xfId="25330" xr:uid="{00000000-0005-0000-0000-000025550000}"/>
    <cellStyle name="40% - Accent3 3 10 4" xfId="25331" xr:uid="{00000000-0005-0000-0000-000026550000}"/>
    <cellStyle name="40% - Accent3 3 10 4 2" xfId="25332" xr:uid="{00000000-0005-0000-0000-000027550000}"/>
    <cellStyle name="40% - Accent3 3 10 4 2 2" xfId="25333" xr:uid="{00000000-0005-0000-0000-000028550000}"/>
    <cellStyle name="40% - Accent3 3 10 4 3" xfId="25334" xr:uid="{00000000-0005-0000-0000-000029550000}"/>
    <cellStyle name="40% - Accent3 3 10 5" xfId="25335" xr:uid="{00000000-0005-0000-0000-00002A550000}"/>
    <cellStyle name="40% - Accent3 3 10 6" xfId="25336" xr:uid="{00000000-0005-0000-0000-00002B550000}"/>
    <cellStyle name="40% - Accent3 3 11" xfId="25337" xr:uid="{00000000-0005-0000-0000-00002C550000}"/>
    <cellStyle name="40% - Accent3 3 11 2" xfId="25338" xr:uid="{00000000-0005-0000-0000-00002D550000}"/>
    <cellStyle name="40% - Accent3 3 11 2 2" xfId="25339" xr:uid="{00000000-0005-0000-0000-00002E550000}"/>
    <cellStyle name="40% - Accent3 3 11 2 2 2" xfId="25340" xr:uid="{00000000-0005-0000-0000-00002F550000}"/>
    <cellStyle name="40% - Accent3 3 11 2 2 2 2" xfId="25341" xr:uid="{00000000-0005-0000-0000-000030550000}"/>
    <cellStyle name="40% - Accent3 3 11 2 2 3" xfId="25342" xr:uid="{00000000-0005-0000-0000-000031550000}"/>
    <cellStyle name="40% - Accent3 3 11 2 3" xfId="25343" xr:uid="{00000000-0005-0000-0000-000032550000}"/>
    <cellStyle name="40% - Accent3 3 11 2 3 2" xfId="25344" xr:uid="{00000000-0005-0000-0000-000033550000}"/>
    <cellStyle name="40% - Accent3 3 11 2 4" xfId="25345" xr:uid="{00000000-0005-0000-0000-000034550000}"/>
    <cellStyle name="40% - Accent3 3 11 2 5" xfId="25346" xr:uid="{00000000-0005-0000-0000-000035550000}"/>
    <cellStyle name="40% - Accent3 3 11 2 6" xfId="25347" xr:uid="{00000000-0005-0000-0000-000036550000}"/>
    <cellStyle name="40% - Accent3 3 11 3" xfId="25348" xr:uid="{00000000-0005-0000-0000-000037550000}"/>
    <cellStyle name="40% - Accent3 3 11 3 2" xfId="25349" xr:uid="{00000000-0005-0000-0000-000038550000}"/>
    <cellStyle name="40% - Accent3 3 11 3 2 2" xfId="25350" xr:uid="{00000000-0005-0000-0000-000039550000}"/>
    <cellStyle name="40% - Accent3 3 11 3 3" xfId="25351" xr:uid="{00000000-0005-0000-0000-00003A550000}"/>
    <cellStyle name="40% - Accent3 3 11 4" xfId="25352" xr:uid="{00000000-0005-0000-0000-00003B550000}"/>
    <cellStyle name="40% - Accent3 3 11 4 2" xfId="25353" xr:uid="{00000000-0005-0000-0000-00003C550000}"/>
    <cellStyle name="40% - Accent3 3 11 5" xfId="25354" xr:uid="{00000000-0005-0000-0000-00003D550000}"/>
    <cellStyle name="40% - Accent3 3 11 6" xfId="25355" xr:uid="{00000000-0005-0000-0000-00003E550000}"/>
    <cellStyle name="40% - Accent3 3 11 7" xfId="25356" xr:uid="{00000000-0005-0000-0000-00003F550000}"/>
    <cellStyle name="40% - Accent3 3 12" xfId="25357" xr:uid="{00000000-0005-0000-0000-000040550000}"/>
    <cellStyle name="40% - Accent3 3 13" xfId="25358" xr:uid="{00000000-0005-0000-0000-000041550000}"/>
    <cellStyle name="40% - Accent3 3 13 2" xfId="25359" xr:uid="{00000000-0005-0000-0000-000042550000}"/>
    <cellStyle name="40% - Accent3 3 13 2 2" xfId="25360" xr:uid="{00000000-0005-0000-0000-000043550000}"/>
    <cellStyle name="40% - Accent3 3 13 2 2 2" xfId="25361" xr:uid="{00000000-0005-0000-0000-000044550000}"/>
    <cellStyle name="40% - Accent3 3 13 2 3" xfId="25362" xr:uid="{00000000-0005-0000-0000-000045550000}"/>
    <cellStyle name="40% - Accent3 3 13 3" xfId="25363" xr:uid="{00000000-0005-0000-0000-000046550000}"/>
    <cellStyle name="40% - Accent3 3 13 3 2" xfId="25364" xr:uid="{00000000-0005-0000-0000-000047550000}"/>
    <cellStyle name="40% - Accent3 3 13 4" xfId="25365" xr:uid="{00000000-0005-0000-0000-000048550000}"/>
    <cellStyle name="40% - Accent3 3 14" xfId="25366" xr:uid="{00000000-0005-0000-0000-000049550000}"/>
    <cellStyle name="40% - Accent3 3 14 2" xfId="25367" xr:uid="{00000000-0005-0000-0000-00004A550000}"/>
    <cellStyle name="40% - Accent3 3 14 2 2" xfId="25368" xr:uid="{00000000-0005-0000-0000-00004B550000}"/>
    <cellStyle name="40% - Accent3 3 14 2 2 2" xfId="25369" xr:uid="{00000000-0005-0000-0000-00004C550000}"/>
    <cellStyle name="40% - Accent3 3 14 2 3" xfId="25370" xr:uid="{00000000-0005-0000-0000-00004D550000}"/>
    <cellStyle name="40% - Accent3 3 14 3" xfId="25371" xr:uid="{00000000-0005-0000-0000-00004E550000}"/>
    <cellStyle name="40% - Accent3 3 14 3 2" xfId="25372" xr:uid="{00000000-0005-0000-0000-00004F550000}"/>
    <cellStyle name="40% - Accent3 3 14 4" xfId="25373" xr:uid="{00000000-0005-0000-0000-000050550000}"/>
    <cellStyle name="40% - Accent3 3 15" xfId="25374" xr:uid="{00000000-0005-0000-0000-000051550000}"/>
    <cellStyle name="40% - Accent3 3 15 2" xfId="25375" xr:uid="{00000000-0005-0000-0000-000052550000}"/>
    <cellStyle name="40% - Accent3 3 15 2 2" xfId="25376" xr:uid="{00000000-0005-0000-0000-000053550000}"/>
    <cellStyle name="40% - Accent3 3 15 2 2 2" xfId="25377" xr:uid="{00000000-0005-0000-0000-000054550000}"/>
    <cellStyle name="40% - Accent3 3 15 2 3" xfId="25378" xr:uid="{00000000-0005-0000-0000-000055550000}"/>
    <cellStyle name="40% - Accent3 3 15 3" xfId="25379" xr:uid="{00000000-0005-0000-0000-000056550000}"/>
    <cellStyle name="40% - Accent3 3 15 3 2" xfId="25380" xr:uid="{00000000-0005-0000-0000-000057550000}"/>
    <cellStyle name="40% - Accent3 3 15 4" xfId="25381" xr:uid="{00000000-0005-0000-0000-000058550000}"/>
    <cellStyle name="40% - Accent3 3 16" xfId="25382" xr:uid="{00000000-0005-0000-0000-000059550000}"/>
    <cellStyle name="40% - Accent3 3 16 2" xfId="25383" xr:uid="{00000000-0005-0000-0000-00005A550000}"/>
    <cellStyle name="40% - Accent3 3 16 2 2" xfId="25384" xr:uid="{00000000-0005-0000-0000-00005B550000}"/>
    <cellStyle name="40% - Accent3 3 16 3" xfId="25385" xr:uid="{00000000-0005-0000-0000-00005C550000}"/>
    <cellStyle name="40% - Accent3 3 2" xfId="25386" xr:uid="{00000000-0005-0000-0000-00005D550000}"/>
    <cellStyle name="40% - Accent3 3 2 10" xfId="25387" xr:uid="{00000000-0005-0000-0000-00005E550000}"/>
    <cellStyle name="40% - Accent3 3 2 11" xfId="25388" xr:uid="{00000000-0005-0000-0000-00005F550000}"/>
    <cellStyle name="40% - Accent3 3 2 2" xfId="25389" xr:uid="{00000000-0005-0000-0000-000060550000}"/>
    <cellStyle name="40% - Accent3 3 2 2 2" xfId="25390" xr:uid="{00000000-0005-0000-0000-000061550000}"/>
    <cellStyle name="40% - Accent3 3 2 2 2 2" xfId="25391" xr:uid="{00000000-0005-0000-0000-000062550000}"/>
    <cellStyle name="40% - Accent3 3 2 2 2 2 2" xfId="25392" xr:uid="{00000000-0005-0000-0000-000063550000}"/>
    <cellStyle name="40% - Accent3 3 2 2 2 2 2 2" xfId="25393" xr:uid="{00000000-0005-0000-0000-000064550000}"/>
    <cellStyle name="40% - Accent3 3 2 2 2 2 3" xfId="25394" xr:uid="{00000000-0005-0000-0000-000065550000}"/>
    <cellStyle name="40% - Accent3 3 2 2 2 3" xfId="25395" xr:uid="{00000000-0005-0000-0000-000066550000}"/>
    <cellStyle name="40% - Accent3 3 2 2 2 3 2" xfId="25396" xr:uid="{00000000-0005-0000-0000-000067550000}"/>
    <cellStyle name="40% - Accent3 3 2 2 2 4" xfId="25397" xr:uid="{00000000-0005-0000-0000-000068550000}"/>
    <cellStyle name="40% - Accent3 3 2 2 2 5" xfId="25398" xr:uid="{00000000-0005-0000-0000-000069550000}"/>
    <cellStyle name="40% - Accent3 3 2 2 2 6" xfId="25399" xr:uid="{00000000-0005-0000-0000-00006A550000}"/>
    <cellStyle name="40% - Accent3 3 2 2 3" xfId="25400" xr:uid="{00000000-0005-0000-0000-00006B550000}"/>
    <cellStyle name="40% - Accent3 3 2 2 3 2" xfId="25401" xr:uid="{00000000-0005-0000-0000-00006C550000}"/>
    <cellStyle name="40% - Accent3 3 2 2 3 2 2" xfId="25402" xr:uid="{00000000-0005-0000-0000-00006D550000}"/>
    <cellStyle name="40% - Accent3 3 2 2 3 3" xfId="25403" xr:uid="{00000000-0005-0000-0000-00006E550000}"/>
    <cellStyle name="40% - Accent3 3 2 2 4" xfId="25404" xr:uid="{00000000-0005-0000-0000-00006F550000}"/>
    <cellStyle name="40% - Accent3 3 2 2 4 2" xfId="25405" xr:uid="{00000000-0005-0000-0000-000070550000}"/>
    <cellStyle name="40% - Accent3 3 2 2 5" xfId="25406" xr:uid="{00000000-0005-0000-0000-000071550000}"/>
    <cellStyle name="40% - Accent3 3 2 2 5 2" xfId="25407" xr:uid="{00000000-0005-0000-0000-000072550000}"/>
    <cellStyle name="40% - Accent3 3 2 2 6" xfId="25408" xr:uid="{00000000-0005-0000-0000-000073550000}"/>
    <cellStyle name="40% - Accent3 3 2 2 7" xfId="25409" xr:uid="{00000000-0005-0000-0000-000074550000}"/>
    <cellStyle name="40% - Accent3 3 2 2 8" xfId="25410" xr:uid="{00000000-0005-0000-0000-000075550000}"/>
    <cellStyle name="40% - Accent3 3 2 3" xfId="25411" xr:uid="{00000000-0005-0000-0000-000076550000}"/>
    <cellStyle name="40% - Accent3 3 2 3 2" xfId="25412" xr:uid="{00000000-0005-0000-0000-000077550000}"/>
    <cellStyle name="40% - Accent3 3 2 3 2 2" xfId="25413" xr:uid="{00000000-0005-0000-0000-000078550000}"/>
    <cellStyle name="40% - Accent3 3 2 3 2 2 2" xfId="25414" xr:uid="{00000000-0005-0000-0000-000079550000}"/>
    <cellStyle name="40% - Accent3 3 2 3 2 2 2 2" xfId="25415" xr:uid="{00000000-0005-0000-0000-00007A550000}"/>
    <cellStyle name="40% - Accent3 3 2 3 2 2 3" xfId="25416" xr:uid="{00000000-0005-0000-0000-00007B550000}"/>
    <cellStyle name="40% - Accent3 3 2 3 2 3" xfId="25417" xr:uid="{00000000-0005-0000-0000-00007C550000}"/>
    <cellStyle name="40% - Accent3 3 2 3 2 3 2" xfId="25418" xr:uid="{00000000-0005-0000-0000-00007D550000}"/>
    <cellStyle name="40% - Accent3 3 2 3 2 4" xfId="25419" xr:uid="{00000000-0005-0000-0000-00007E550000}"/>
    <cellStyle name="40% - Accent3 3 2 3 2 5" xfId="25420" xr:uid="{00000000-0005-0000-0000-00007F550000}"/>
    <cellStyle name="40% - Accent3 3 2 3 2 6" xfId="25421" xr:uid="{00000000-0005-0000-0000-000080550000}"/>
    <cellStyle name="40% - Accent3 3 2 3 3" xfId="25422" xr:uid="{00000000-0005-0000-0000-000081550000}"/>
    <cellStyle name="40% - Accent3 3 2 3 3 2" xfId="25423" xr:uid="{00000000-0005-0000-0000-000082550000}"/>
    <cellStyle name="40% - Accent3 3 2 3 3 2 2" xfId="25424" xr:uid="{00000000-0005-0000-0000-000083550000}"/>
    <cellStyle name="40% - Accent3 3 2 3 3 3" xfId="25425" xr:uid="{00000000-0005-0000-0000-000084550000}"/>
    <cellStyle name="40% - Accent3 3 2 3 4" xfId="25426" xr:uid="{00000000-0005-0000-0000-000085550000}"/>
    <cellStyle name="40% - Accent3 3 2 3 4 2" xfId="25427" xr:uid="{00000000-0005-0000-0000-000086550000}"/>
    <cellStyle name="40% - Accent3 3 2 3 5" xfId="25428" xr:uid="{00000000-0005-0000-0000-000087550000}"/>
    <cellStyle name="40% - Accent3 3 2 3 6" xfId="25429" xr:uid="{00000000-0005-0000-0000-000088550000}"/>
    <cellStyle name="40% - Accent3 3 2 3 7" xfId="25430" xr:uid="{00000000-0005-0000-0000-000089550000}"/>
    <cellStyle name="40% - Accent3 3 2 4" xfId="25431" xr:uid="{00000000-0005-0000-0000-00008A550000}"/>
    <cellStyle name="40% - Accent3 3 2 4 2" xfId="25432" xr:uid="{00000000-0005-0000-0000-00008B550000}"/>
    <cellStyle name="40% - Accent3 3 2 4 2 2" xfId="25433" xr:uid="{00000000-0005-0000-0000-00008C550000}"/>
    <cellStyle name="40% - Accent3 3 2 4 2 2 2" xfId="25434" xr:uid="{00000000-0005-0000-0000-00008D550000}"/>
    <cellStyle name="40% - Accent3 3 2 4 2 3" xfId="25435" xr:uid="{00000000-0005-0000-0000-00008E550000}"/>
    <cellStyle name="40% - Accent3 3 2 4 3" xfId="25436" xr:uid="{00000000-0005-0000-0000-00008F550000}"/>
    <cellStyle name="40% - Accent3 3 2 4 3 2" xfId="25437" xr:uid="{00000000-0005-0000-0000-000090550000}"/>
    <cellStyle name="40% - Accent3 3 2 4 4" xfId="25438" xr:uid="{00000000-0005-0000-0000-000091550000}"/>
    <cellStyle name="40% - Accent3 3 2 4 5" xfId="25439" xr:uid="{00000000-0005-0000-0000-000092550000}"/>
    <cellStyle name="40% - Accent3 3 2 4 6" xfId="25440" xr:uid="{00000000-0005-0000-0000-000093550000}"/>
    <cellStyle name="40% - Accent3 3 2 5" xfId="25441" xr:uid="{00000000-0005-0000-0000-000094550000}"/>
    <cellStyle name="40% - Accent3 3 2 5 2" xfId="25442" xr:uid="{00000000-0005-0000-0000-000095550000}"/>
    <cellStyle name="40% - Accent3 3 2 5 2 2" xfId="25443" xr:uid="{00000000-0005-0000-0000-000096550000}"/>
    <cellStyle name="40% - Accent3 3 2 5 3" xfId="25444" xr:uid="{00000000-0005-0000-0000-000097550000}"/>
    <cellStyle name="40% - Accent3 3 2 6" xfId="25445" xr:uid="{00000000-0005-0000-0000-000098550000}"/>
    <cellStyle name="40% - Accent3 3 2 6 2" xfId="25446" xr:uid="{00000000-0005-0000-0000-000099550000}"/>
    <cellStyle name="40% - Accent3 3 2 6 2 2" xfId="25447" xr:uid="{00000000-0005-0000-0000-00009A550000}"/>
    <cellStyle name="40% - Accent3 3 2 6 3" xfId="25448" xr:uid="{00000000-0005-0000-0000-00009B550000}"/>
    <cellStyle name="40% - Accent3 3 2 7" xfId="25449" xr:uid="{00000000-0005-0000-0000-00009C550000}"/>
    <cellStyle name="40% - Accent3 3 2 7 2" xfId="25450" xr:uid="{00000000-0005-0000-0000-00009D550000}"/>
    <cellStyle name="40% - Accent3 3 2 8" xfId="25451" xr:uid="{00000000-0005-0000-0000-00009E550000}"/>
    <cellStyle name="40% - Accent3 3 2 8 2" xfId="25452" xr:uid="{00000000-0005-0000-0000-00009F550000}"/>
    <cellStyle name="40% - Accent3 3 2 9" xfId="25453" xr:uid="{00000000-0005-0000-0000-0000A0550000}"/>
    <cellStyle name="40% - Accent3 3 3" xfId="25454" xr:uid="{00000000-0005-0000-0000-0000A1550000}"/>
    <cellStyle name="40% - Accent3 3 3 10" xfId="25455" xr:uid="{00000000-0005-0000-0000-0000A2550000}"/>
    <cellStyle name="40% - Accent3 3 3 11" xfId="25456" xr:uid="{00000000-0005-0000-0000-0000A3550000}"/>
    <cellStyle name="40% - Accent3 3 3 2" xfId="25457" xr:uid="{00000000-0005-0000-0000-0000A4550000}"/>
    <cellStyle name="40% - Accent3 3 3 2 2" xfId="25458" xr:uid="{00000000-0005-0000-0000-0000A5550000}"/>
    <cellStyle name="40% - Accent3 3 3 2 2 2" xfId="25459" xr:uid="{00000000-0005-0000-0000-0000A6550000}"/>
    <cellStyle name="40% - Accent3 3 3 2 2 2 2" xfId="25460" xr:uid="{00000000-0005-0000-0000-0000A7550000}"/>
    <cellStyle name="40% - Accent3 3 3 2 2 2 2 2" xfId="25461" xr:uid="{00000000-0005-0000-0000-0000A8550000}"/>
    <cellStyle name="40% - Accent3 3 3 2 2 2 3" xfId="25462" xr:uid="{00000000-0005-0000-0000-0000A9550000}"/>
    <cellStyle name="40% - Accent3 3 3 2 2 3" xfId="25463" xr:uid="{00000000-0005-0000-0000-0000AA550000}"/>
    <cellStyle name="40% - Accent3 3 3 2 2 3 2" xfId="25464" xr:uid="{00000000-0005-0000-0000-0000AB550000}"/>
    <cellStyle name="40% - Accent3 3 3 2 2 4" xfId="25465" xr:uid="{00000000-0005-0000-0000-0000AC550000}"/>
    <cellStyle name="40% - Accent3 3 3 2 2 5" xfId="25466" xr:uid="{00000000-0005-0000-0000-0000AD550000}"/>
    <cellStyle name="40% - Accent3 3 3 2 2 6" xfId="25467" xr:uid="{00000000-0005-0000-0000-0000AE550000}"/>
    <cellStyle name="40% - Accent3 3 3 2 3" xfId="25468" xr:uid="{00000000-0005-0000-0000-0000AF550000}"/>
    <cellStyle name="40% - Accent3 3 3 2 3 2" xfId="25469" xr:uid="{00000000-0005-0000-0000-0000B0550000}"/>
    <cellStyle name="40% - Accent3 3 3 2 3 2 2" xfId="25470" xr:uid="{00000000-0005-0000-0000-0000B1550000}"/>
    <cellStyle name="40% - Accent3 3 3 2 3 3" xfId="25471" xr:uid="{00000000-0005-0000-0000-0000B2550000}"/>
    <cellStyle name="40% - Accent3 3 3 2 4" xfId="25472" xr:uid="{00000000-0005-0000-0000-0000B3550000}"/>
    <cellStyle name="40% - Accent3 3 3 2 4 2" xfId="25473" xr:uid="{00000000-0005-0000-0000-0000B4550000}"/>
    <cellStyle name="40% - Accent3 3 3 2 5" xfId="25474" xr:uid="{00000000-0005-0000-0000-0000B5550000}"/>
    <cellStyle name="40% - Accent3 3 3 2 5 2" xfId="25475" xr:uid="{00000000-0005-0000-0000-0000B6550000}"/>
    <cellStyle name="40% - Accent3 3 3 2 6" xfId="25476" xr:uid="{00000000-0005-0000-0000-0000B7550000}"/>
    <cellStyle name="40% - Accent3 3 3 2 7" xfId="25477" xr:uid="{00000000-0005-0000-0000-0000B8550000}"/>
    <cellStyle name="40% - Accent3 3 3 2 8" xfId="25478" xr:uid="{00000000-0005-0000-0000-0000B9550000}"/>
    <cellStyle name="40% - Accent3 3 3 3" xfId="25479" xr:uid="{00000000-0005-0000-0000-0000BA550000}"/>
    <cellStyle name="40% - Accent3 3 3 3 2" xfId="25480" xr:uid="{00000000-0005-0000-0000-0000BB550000}"/>
    <cellStyle name="40% - Accent3 3 3 3 2 2" xfId="25481" xr:uid="{00000000-0005-0000-0000-0000BC550000}"/>
    <cellStyle name="40% - Accent3 3 3 3 2 2 2" xfId="25482" xr:uid="{00000000-0005-0000-0000-0000BD550000}"/>
    <cellStyle name="40% - Accent3 3 3 3 2 2 2 2" xfId="25483" xr:uid="{00000000-0005-0000-0000-0000BE550000}"/>
    <cellStyle name="40% - Accent3 3 3 3 2 2 3" xfId="25484" xr:uid="{00000000-0005-0000-0000-0000BF550000}"/>
    <cellStyle name="40% - Accent3 3 3 3 2 3" xfId="25485" xr:uid="{00000000-0005-0000-0000-0000C0550000}"/>
    <cellStyle name="40% - Accent3 3 3 3 2 3 2" xfId="25486" xr:uid="{00000000-0005-0000-0000-0000C1550000}"/>
    <cellStyle name="40% - Accent3 3 3 3 2 4" xfId="25487" xr:uid="{00000000-0005-0000-0000-0000C2550000}"/>
    <cellStyle name="40% - Accent3 3 3 3 2 5" xfId="25488" xr:uid="{00000000-0005-0000-0000-0000C3550000}"/>
    <cellStyle name="40% - Accent3 3 3 3 2 6" xfId="25489" xr:uid="{00000000-0005-0000-0000-0000C4550000}"/>
    <cellStyle name="40% - Accent3 3 3 3 3" xfId="25490" xr:uid="{00000000-0005-0000-0000-0000C5550000}"/>
    <cellStyle name="40% - Accent3 3 3 3 3 2" xfId="25491" xr:uid="{00000000-0005-0000-0000-0000C6550000}"/>
    <cellStyle name="40% - Accent3 3 3 3 3 2 2" xfId="25492" xr:uid="{00000000-0005-0000-0000-0000C7550000}"/>
    <cellStyle name="40% - Accent3 3 3 3 3 3" xfId="25493" xr:uid="{00000000-0005-0000-0000-0000C8550000}"/>
    <cellStyle name="40% - Accent3 3 3 3 4" xfId="25494" xr:uid="{00000000-0005-0000-0000-0000C9550000}"/>
    <cellStyle name="40% - Accent3 3 3 3 4 2" xfId="25495" xr:uid="{00000000-0005-0000-0000-0000CA550000}"/>
    <cellStyle name="40% - Accent3 3 3 3 5" xfId="25496" xr:uid="{00000000-0005-0000-0000-0000CB550000}"/>
    <cellStyle name="40% - Accent3 3 3 3 6" xfId="25497" xr:uid="{00000000-0005-0000-0000-0000CC550000}"/>
    <cellStyle name="40% - Accent3 3 3 3 7" xfId="25498" xr:uid="{00000000-0005-0000-0000-0000CD550000}"/>
    <cellStyle name="40% - Accent3 3 3 4" xfId="25499" xr:uid="{00000000-0005-0000-0000-0000CE550000}"/>
    <cellStyle name="40% - Accent3 3 3 4 2" xfId="25500" xr:uid="{00000000-0005-0000-0000-0000CF550000}"/>
    <cellStyle name="40% - Accent3 3 3 4 2 2" xfId="25501" xr:uid="{00000000-0005-0000-0000-0000D0550000}"/>
    <cellStyle name="40% - Accent3 3 3 4 2 2 2" xfId="25502" xr:uid="{00000000-0005-0000-0000-0000D1550000}"/>
    <cellStyle name="40% - Accent3 3 3 4 2 3" xfId="25503" xr:uid="{00000000-0005-0000-0000-0000D2550000}"/>
    <cellStyle name="40% - Accent3 3 3 4 3" xfId="25504" xr:uid="{00000000-0005-0000-0000-0000D3550000}"/>
    <cellStyle name="40% - Accent3 3 3 4 3 2" xfId="25505" xr:uid="{00000000-0005-0000-0000-0000D4550000}"/>
    <cellStyle name="40% - Accent3 3 3 4 4" xfId="25506" xr:uid="{00000000-0005-0000-0000-0000D5550000}"/>
    <cellStyle name="40% - Accent3 3 3 4 5" xfId="25507" xr:uid="{00000000-0005-0000-0000-0000D6550000}"/>
    <cellStyle name="40% - Accent3 3 3 4 6" xfId="25508" xr:uid="{00000000-0005-0000-0000-0000D7550000}"/>
    <cellStyle name="40% - Accent3 3 3 5" xfId="25509" xr:uid="{00000000-0005-0000-0000-0000D8550000}"/>
    <cellStyle name="40% - Accent3 3 3 5 2" xfId="25510" xr:uid="{00000000-0005-0000-0000-0000D9550000}"/>
    <cellStyle name="40% - Accent3 3 3 5 2 2" xfId="25511" xr:uid="{00000000-0005-0000-0000-0000DA550000}"/>
    <cellStyle name="40% - Accent3 3 3 5 3" xfId="25512" xr:uid="{00000000-0005-0000-0000-0000DB550000}"/>
    <cellStyle name="40% - Accent3 3 3 6" xfId="25513" xr:uid="{00000000-0005-0000-0000-0000DC550000}"/>
    <cellStyle name="40% - Accent3 3 3 6 2" xfId="25514" xr:uid="{00000000-0005-0000-0000-0000DD550000}"/>
    <cellStyle name="40% - Accent3 3 3 6 2 2" xfId="25515" xr:uid="{00000000-0005-0000-0000-0000DE550000}"/>
    <cellStyle name="40% - Accent3 3 3 6 3" xfId="25516" xr:uid="{00000000-0005-0000-0000-0000DF550000}"/>
    <cellStyle name="40% - Accent3 3 3 7" xfId="25517" xr:uid="{00000000-0005-0000-0000-0000E0550000}"/>
    <cellStyle name="40% - Accent3 3 3 7 2" xfId="25518" xr:uid="{00000000-0005-0000-0000-0000E1550000}"/>
    <cellStyle name="40% - Accent3 3 3 8" xfId="25519" xr:uid="{00000000-0005-0000-0000-0000E2550000}"/>
    <cellStyle name="40% - Accent3 3 3 8 2" xfId="25520" xr:uid="{00000000-0005-0000-0000-0000E3550000}"/>
    <cellStyle name="40% - Accent3 3 3 9" xfId="25521" xr:uid="{00000000-0005-0000-0000-0000E4550000}"/>
    <cellStyle name="40% - Accent3 3 4" xfId="25522" xr:uid="{00000000-0005-0000-0000-0000E5550000}"/>
    <cellStyle name="40% - Accent3 3 4 10" xfId="25523" xr:uid="{00000000-0005-0000-0000-0000E6550000}"/>
    <cellStyle name="40% - Accent3 3 4 11" xfId="25524" xr:uid="{00000000-0005-0000-0000-0000E7550000}"/>
    <cellStyle name="40% - Accent3 3 4 2" xfId="25525" xr:uid="{00000000-0005-0000-0000-0000E8550000}"/>
    <cellStyle name="40% - Accent3 3 4 2 2" xfId="25526" xr:uid="{00000000-0005-0000-0000-0000E9550000}"/>
    <cellStyle name="40% - Accent3 3 4 2 2 2" xfId="25527" xr:uid="{00000000-0005-0000-0000-0000EA550000}"/>
    <cellStyle name="40% - Accent3 3 4 2 2 2 2" xfId="25528" xr:uid="{00000000-0005-0000-0000-0000EB550000}"/>
    <cellStyle name="40% - Accent3 3 4 2 2 2 2 2" xfId="25529" xr:uid="{00000000-0005-0000-0000-0000EC550000}"/>
    <cellStyle name="40% - Accent3 3 4 2 2 2 3" xfId="25530" xr:uid="{00000000-0005-0000-0000-0000ED550000}"/>
    <cellStyle name="40% - Accent3 3 4 2 2 3" xfId="25531" xr:uid="{00000000-0005-0000-0000-0000EE550000}"/>
    <cellStyle name="40% - Accent3 3 4 2 2 3 2" xfId="25532" xr:uid="{00000000-0005-0000-0000-0000EF550000}"/>
    <cellStyle name="40% - Accent3 3 4 2 2 4" xfId="25533" xr:uid="{00000000-0005-0000-0000-0000F0550000}"/>
    <cellStyle name="40% - Accent3 3 4 2 2 5" xfId="25534" xr:uid="{00000000-0005-0000-0000-0000F1550000}"/>
    <cellStyle name="40% - Accent3 3 4 2 2 6" xfId="25535" xr:uid="{00000000-0005-0000-0000-0000F2550000}"/>
    <cellStyle name="40% - Accent3 3 4 2 3" xfId="25536" xr:uid="{00000000-0005-0000-0000-0000F3550000}"/>
    <cellStyle name="40% - Accent3 3 4 2 3 2" xfId="25537" xr:uid="{00000000-0005-0000-0000-0000F4550000}"/>
    <cellStyle name="40% - Accent3 3 4 2 3 2 2" xfId="25538" xr:uid="{00000000-0005-0000-0000-0000F5550000}"/>
    <cellStyle name="40% - Accent3 3 4 2 3 3" xfId="25539" xr:uid="{00000000-0005-0000-0000-0000F6550000}"/>
    <cellStyle name="40% - Accent3 3 4 2 4" xfId="25540" xr:uid="{00000000-0005-0000-0000-0000F7550000}"/>
    <cellStyle name="40% - Accent3 3 4 2 4 2" xfId="25541" xr:uid="{00000000-0005-0000-0000-0000F8550000}"/>
    <cellStyle name="40% - Accent3 3 4 2 5" xfId="25542" xr:uid="{00000000-0005-0000-0000-0000F9550000}"/>
    <cellStyle name="40% - Accent3 3 4 2 5 2" xfId="25543" xr:uid="{00000000-0005-0000-0000-0000FA550000}"/>
    <cellStyle name="40% - Accent3 3 4 2 6" xfId="25544" xr:uid="{00000000-0005-0000-0000-0000FB550000}"/>
    <cellStyle name="40% - Accent3 3 4 2 7" xfId="25545" xr:uid="{00000000-0005-0000-0000-0000FC550000}"/>
    <cellStyle name="40% - Accent3 3 4 2 8" xfId="25546" xr:uid="{00000000-0005-0000-0000-0000FD550000}"/>
    <cellStyle name="40% - Accent3 3 4 3" xfId="25547" xr:uid="{00000000-0005-0000-0000-0000FE550000}"/>
    <cellStyle name="40% - Accent3 3 4 3 2" xfId="25548" xr:uid="{00000000-0005-0000-0000-0000FF550000}"/>
    <cellStyle name="40% - Accent3 3 4 3 2 2" xfId="25549" xr:uid="{00000000-0005-0000-0000-000000560000}"/>
    <cellStyle name="40% - Accent3 3 4 3 2 2 2" xfId="25550" xr:uid="{00000000-0005-0000-0000-000001560000}"/>
    <cellStyle name="40% - Accent3 3 4 3 2 2 2 2" xfId="25551" xr:uid="{00000000-0005-0000-0000-000002560000}"/>
    <cellStyle name="40% - Accent3 3 4 3 2 2 3" xfId="25552" xr:uid="{00000000-0005-0000-0000-000003560000}"/>
    <cellStyle name="40% - Accent3 3 4 3 2 3" xfId="25553" xr:uid="{00000000-0005-0000-0000-000004560000}"/>
    <cellStyle name="40% - Accent3 3 4 3 2 3 2" xfId="25554" xr:uid="{00000000-0005-0000-0000-000005560000}"/>
    <cellStyle name="40% - Accent3 3 4 3 2 4" xfId="25555" xr:uid="{00000000-0005-0000-0000-000006560000}"/>
    <cellStyle name="40% - Accent3 3 4 3 2 5" xfId="25556" xr:uid="{00000000-0005-0000-0000-000007560000}"/>
    <cellStyle name="40% - Accent3 3 4 3 2 6" xfId="25557" xr:uid="{00000000-0005-0000-0000-000008560000}"/>
    <cellStyle name="40% - Accent3 3 4 3 3" xfId="25558" xr:uid="{00000000-0005-0000-0000-000009560000}"/>
    <cellStyle name="40% - Accent3 3 4 3 3 2" xfId="25559" xr:uid="{00000000-0005-0000-0000-00000A560000}"/>
    <cellStyle name="40% - Accent3 3 4 3 3 2 2" xfId="25560" xr:uid="{00000000-0005-0000-0000-00000B560000}"/>
    <cellStyle name="40% - Accent3 3 4 3 3 3" xfId="25561" xr:uid="{00000000-0005-0000-0000-00000C560000}"/>
    <cellStyle name="40% - Accent3 3 4 3 4" xfId="25562" xr:uid="{00000000-0005-0000-0000-00000D560000}"/>
    <cellStyle name="40% - Accent3 3 4 3 4 2" xfId="25563" xr:uid="{00000000-0005-0000-0000-00000E560000}"/>
    <cellStyle name="40% - Accent3 3 4 3 5" xfId="25564" xr:uid="{00000000-0005-0000-0000-00000F560000}"/>
    <cellStyle name="40% - Accent3 3 4 3 6" xfId="25565" xr:uid="{00000000-0005-0000-0000-000010560000}"/>
    <cellStyle name="40% - Accent3 3 4 3 7" xfId="25566" xr:uid="{00000000-0005-0000-0000-000011560000}"/>
    <cellStyle name="40% - Accent3 3 4 4" xfId="25567" xr:uid="{00000000-0005-0000-0000-000012560000}"/>
    <cellStyle name="40% - Accent3 3 4 4 2" xfId="25568" xr:uid="{00000000-0005-0000-0000-000013560000}"/>
    <cellStyle name="40% - Accent3 3 4 4 2 2" xfId="25569" xr:uid="{00000000-0005-0000-0000-000014560000}"/>
    <cellStyle name="40% - Accent3 3 4 4 2 2 2" xfId="25570" xr:uid="{00000000-0005-0000-0000-000015560000}"/>
    <cellStyle name="40% - Accent3 3 4 4 2 3" xfId="25571" xr:uid="{00000000-0005-0000-0000-000016560000}"/>
    <cellStyle name="40% - Accent3 3 4 4 3" xfId="25572" xr:uid="{00000000-0005-0000-0000-000017560000}"/>
    <cellStyle name="40% - Accent3 3 4 4 3 2" xfId="25573" xr:uid="{00000000-0005-0000-0000-000018560000}"/>
    <cellStyle name="40% - Accent3 3 4 4 4" xfId="25574" xr:uid="{00000000-0005-0000-0000-000019560000}"/>
    <cellStyle name="40% - Accent3 3 4 4 5" xfId="25575" xr:uid="{00000000-0005-0000-0000-00001A560000}"/>
    <cellStyle name="40% - Accent3 3 4 4 6" xfId="25576" xr:uid="{00000000-0005-0000-0000-00001B560000}"/>
    <cellStyle name="40% - Accent3 3 4 5" xfId="25577" xr:uid="{00000000-0005-0000-0000-00001C560000}"/>
    <cellStyle name="40% - Accent3 3 4 5 2" xfId="25578" xr:uid="{00000000-0005-0000-0000-00001D560000}"/>
    <cellStyle name="40% - Accent3 3 4 5 2 2" xfId="25579" xr:uid="{00000000-0005-0000-0000-00001E560000}"/>
    <cellStyle name="40% - Accent3 3 4 5 3" xfId="25580" xr:uid="{00000000-0005-0000-0000-00001F560000}"/>
    <cellStyle name="40% - Accent3 3 4 6" xfId="25581" xr:uid="{00000000-0005-0000-0000-000020560000}"/>
    <cellStyle name="40% - Accent3 3 4 6 2" xfId="25582" xr:uid="{00000000-0005-0000-0000-000021560000}"/>
    <cellStyle name="40% - Accent3 3 4 6 2 2" xfId="25583" xr:uid="{00000000-0005-0000-0000-000022560000}"/>
    <cellStyle name="40% - Accent3 3 4 6 3" xfId="25584" xr:uid="{00000000-0005-0000-0000-000023560000}"/>
    <cellStyle name="40% - Accent3 3 4 7" xfId="25585" xr:uid="{00000000-0005-0000-0000-000024560000}"/>
    <cellStyle name="40% - Accent3 3 4 7 2" xfId="25586" xr:uid="{00000000-0005-0000-0000-000025560000}"/>
    <cellStyle name="40% - Accent3 3 4 8" xfId="25587" xr:uid="{00000000-0005-0000-0000-000026560000}"/>
    <cellStyle name="40% - Accent3 3 4 8 2" xfId="25588" xr:uid="{00000000-0005-0000-0000-000027560000}"/>
    <cellStyle name="40% - Accent3 3 4 9" xfId="25589" xr:uid="{00000000-0005-0000-0000-000028560000}"/>
    <cellStyle name="40% - Accent3 3 5" xfId="25590" xr:uid="{00000000-0005-0000-0000-000029560000}"/>
    <cellStyle name="40% - Accent3 3 5 10" xfId="25591" xr:uid="{00000000-0005-0000-0000-00002A560000}"/>
    <cellStyle name="40% - Accent3 3 5 11" xfId="25592" xr:uid="{00000000-0005-0000-0000-00002B560000}"/>
    <cellStyle name="40% - Accent3 3 5 2" xfId="25593" xr:uid="{00000000-0005-0000-0000-00002C560000}"/>
    <cellStyle name="40% - Accent3 3 5 2 2" xfId="25594" xr:uid="{00000000-0005-0000-0000-00002D560000}"/>
    <cellStyle name="40% - Accent3 3 5 2 2 2" xfId="25595" xr:uid="{00000000-0005-0000-0000-00002E560000}"/>
    <cellStyle name="40% - Accent3 3 5 2 2 2 2" xfId="25596" xr:uid="{00000000-0005-0000-0000-00002F560000}"/>
    <cellStyle name="40% - Accent3 3 5 2 2 2 2 2" xfId="25597" xr:uid="{00000000-0005-0000-0000-000030560000}"/>
    <cellStyle name="40% - Accent3 3 5 2 2 2 3" xfId="25598" xr:uid="{00000000-0005-0000-0000-000031560000}"/>
    <cellStyle name="40% - Accent3 3 5 2 2 3" xfId="25599" xr:uid="{00000000-0005-0000-0000-000032560000}"/>
    <cellStyle name="40% - Accent3 3 5 2 2 3 2" xfId="25600" xr:uid="{00000000-0005-0000-0000-000033560000}"/>
    <cellStyle name="40% - Accent3 3 5 2 2 4" xfId="25601" xr:uid="{00000000-0005-0000-0000-000034560000}"/>
    <cellStyle name="40% - Accent3 3 5 2 2 5" xfId="25602" xr:uid="{00000000-0005-0000-0000-000035560000}"/>
    <cellStyle name="40% - Accent3 3 5 2 2 6" xfId="25603" xr:uid="{00000000-0005-0000-0000-000036560000}"/>
    <cellStyle name="40% - Accent3 3 5 2 3" xfId="25604" xr:uid="{00000000-0005-0000-0000-000037560000}"/>
    <cellStyle name="40% - Accent3 3 5 2 3 2" xfId="25605" xr:uid="{00000000-0005-0000-0000-000038560000}"/>
    <cellStyle name="40% - Accent3 3 5 2 3 2 2" xfId="25606" xr:uid="{00000000-0005-0000-0000-000039560000}"/>
    <cellStyle name="40% - Accent3 3 5 2 3 3" xfId="25607" xr:uid="{00000000-0005-0000-0000-00003A560000}"/>
    <cellStyle name="40% - Accent3 3 5 2 4" xfId="25608" xr:uid="{00000000-0005-0000-0000-00003B560000}"/>
    <cellStyle name="40% - Accent3 3 5 2 4 2" xfId="25609" xr:uid="{00000000-0005-0000-0000-00003C560000}"/>
    <cellStyle name="40% - Accent3 3 5 2 5" xfId="25610" xr:uid="{00000000-0005-0000-0000-00003D560000}"/>
    <cellStyle name="40% - Accent3 3 5 2 5 2" xfId="25611" xr:uid="{00000000-0005-0000-0000-00003E560000}"/>
    <cellStyle name="40% - Accent3 3 5 2 6" xfId="25612" xr:uid="{00000000-0005-0000-0000-00003F560000}"/>
    <cellStyle name="40% - Accent3 3 5 2 7" xfId="25613" xr:uid="{00000000-0005-0000-0000-000040560000}"/>
    <cellStyle name="40% - Accent3 3 5 2 8" xfId="25614" xr:uid="{00000000-0005-0000-0000-000041560000}"/>
    <cellStyle name="40% - Accent3 3 5 3" xfId="25615" xr:uid="{00000000-0005-0000-0000-000042560000}"/>
    <cellStyle name="40% - Accent3 3 5 3 2" xfId="25616" xr:uid="{00000000-0005-0000-0000-000043560000}"/>
    <cellStyle name="40% - Accent3 3 5 3 2 2" xfId="25617" xr:uid="{00000000-0005-0000-0000-000044560000}"/>
    <cellStyle name="40% - Accent3 3 5 3 2 2 2" xfId="25618" xr:uid="{00000000-0005-0000-0000-000045560000}"/>
    <cellStyle name="40% - Accent3 3 5 3 2 2 2 2" xfId="25619" xr:uid="{00000000-0005-0000-0000-000046560000}"/>
    <cellStyle name="40% - Accent3 3 5 3 2 2 3" xfId="25620" xr:uid="{00000000-0005-0000-0000-000047560000}"/>
    <cellStyle name="40% - Accent3 3 5 3 2 3" xfId="25621" xr:uid="{00000000-0005-0000-0000-000048560000}"/>
    <cellStyle name="40% - Accent3 3 5 3 2 3 2" xfId="25622" xr:uid="{00000000-0005-0000-0000-000049560000}"/>
    <cellStyle name="40% - Accent3 3 5 3 2 4" xfId="25623" xr:uid="{00000000-0005-0000-0000-00004A560000}"/>
    <cellStyle name="40% - Accent3 3 5 3 2 5" xfId="25624" xr:uid="{00000000-0005-0000-0000-00004B560000}"/>
    <cellStyle name="40% - Accent3 3 5 3 2 6" xfId="25625" xr:uid="{00000000-0005-0000-0000-00004C560000}"/>
    <cellStyle name="40% - Accent3 3 5 3 3" xfId="25626" xr:uid="{00000000-0005-0000-0000-00004D560000}"/>
    <cellStyle name="40% - Accent3 3 5 3 3 2" xfId="25627" xr:uid="{00000000-0005-0000-0000-00004E560000}"/>
    <cellStyle name="40% - Accent3 3 5 3 3 2 2" xfId="25628" xr:uid="{00000000-0005-0000-0000-00004F560000}"/>
    <cellStyle name="40% - Accent3 3 5 3 3 3" xfId="25629" xr:uid="{00000000-0005-0000-0000-000050560000}"/>
    <cellStyle name="40% - Accent3 3 5 3 4" xfId="25630" xr:uid="{00000000-0005-0000-0000-000051560000}"/>
    <cellStyle name="40% - Accent3 3 5 3 4 2" xfId="25631" xr:uid="{00000000-0005-0000-0000-000052560000}"/>
    <cellStyle name="40% - Accent3 3 5 3 5" xfId="25632" xr:uid="{00000000-0005-0000-0000-000053560000}"/>
    <cellStyle name="40% - Accent3 3 5 3 6" xfId="25633" xr:uid="{00000000-0005-0000-0000-000054560000}"/>
    <cellStyle name="40% - Accent3 3 5 3 7" xfId="25634" xr:uid="{00000000-0005-0000-0000-000055560000}"/>
    <cellStyle name="40% - Accent3 3 5 4" xfId="25635" xr:uid="{00000000-0005-0000-0000-000056560000}"/>
    <cellStyle name="40% - Accent3 3 5 4 2" xfId="25636" xr:uid="{00000000-0005-0000-0000-000057560000}"/>
    <cellStyle name="40% - Accent3 3 5 4 2 2" xfId="25637" xr:uid="{00000000-0005-0000-0000-000058560000}"/>
    <cellStyle name="40% - Accent3 3 5 4 2 2 2" xfId="25638" xr:uid="{00000000-0005-0000-0000-000059560000}"/>
    <cellStyle name="40% - Accent3 3 5 4 2 3" xfId="25639" xr:uid="{00000000-0005-0000-0000-00005A560000}"/>
    <cellStyle name="40% - Accent3 3 5 4 3" xfId="25640" xr:uid="{00000000-0005-0000-0000-00005B560000}"/>
    <cellStyle name="40% - Accent3 3 5 4 3 2" xfId="25641" xr:uid="{00000000-0005-0000-0000-00005C560000}"/>
    <cellStyle name="40% - Accent3 3 5 4 4" xfId="25642" xr:uid="{00000000-0005-0000-0000-00005D560000}"/>
    <cellStyle name="40% - Accent3 3 5 4 5" xfId="25643" xr:uid="{00000000-0005-0000-0000-00005E560000}"/>
    <cellStyle name="40% - Accent3 3 5 4 6" xfId="25644" xr:uid="{00000000-0005-0000-0000-00005F560000}"/>
    <cellStyle name="40% - Accent3 3 5 5" xfId="25645" xr:uid="{00000000-0005-0000-0000-000060560000}"/>
    <cellStyle name="40% - Accent3 3 5 5 2" xfId="25646" xr:uid="{00000000-0005-0000-0000-000061560000}"/>
    <cellStyle name="40% - Accent3 3 5 5 2 2" xfId="25647" xr:uid="{00000000-0005-0000-0000-000062560000}"/>
    <cellStyle name="40% - Accent3 3 5 5 3" xfId="25648" xr:uid="{00000000-0005-0000-0000-000063560000}"/>
    <cellStyle name="40% - Accent3 3 5 6" xfId="25649" xr:uid="{00000000-0005-0000-0000-000064560000}"/>
    <cellStyle name="40% - Accent3 3 5 6 2" xfId="25650" xr:uid="{00000000-0005-0000-0000-000065560000}"/>
    <cellStyle name="40% - Accent3 3 5 6 2 2" xfId="25651" xr:uid="{00000000-0005-0000-0000-000066560000}"/>
    <cellStyle name="40% - Accent3 3 5 6 3" xfId="25652" xr:uid="{00000000-0005-0000-0000-000067560000}"/>
    <cellStyle name="40% - Accent3 3 5 7" xfId="25653" xr:uid="{00000000-0005-0000-0000-000068560000}"/>
    <cellStyle name="40% - Accent3 3 5 7 2" xfId="25654" xr:uid="{00000000-0005-0000-0000-000069560000}"/>
    <cellStyle name="40% - Accent3 3 5 8" xfId="25655" xr:uid="{00000000-0005-0000-0000-00006A560000}"/>
    <cellStyle name="40% - Accent3 3 5 8 2" xfId="25656" xr:uid="{00000000-0005-0000-0000-00006B560000}"/>
    <cellStyle name="40% - Accent3 3 5 9" xfId="25657" xr:uid="{00000000-0005-0000-0000-00006C560000}"/>
    <cellStyle name="40% - Accent3 3 6" xfId="25658" xr:uid="{00000000-0005-0000-0000-00006D560000}"/>
    <cellStyle name="40% - Accent3 3 6 10" xfId="25659" xr:uid="{00000000-0005-0000-0000-00006E560000}"/>
    <cellStyle name="40% - Accent3 3 6 11" xfId="25660" xr:uid="{00000000-0005-0000-0000-00006F560000}"/>
    <cellStyle name="40% - Accent3 3 6 2" xfId="25661" xr:uid="{00000000-0005-0000-0000-000070560000}"/>
    <cellStyle name="40% - Accent3 3 6 2 2" xfId="25662" xr:uid="{00000000-0005-0000-0000-000071560000}"/>
    <cellStyle name="40% - Accent3 3 6 2 2 2" xfId="25663" xr:uid="{00000000-0005-0000-0000-000072560000}"/>
    <cellStyle name="40% - Accent3 3 6 2 2 2 2" xfId="25664" xr:uid="{00000000-0005-0000-0000-000073560000}"/>
    <cellStyle name="40% - Accent3 3 6 2 2 2 2 2" xfId="25665" xr:uid="{00000000-0005-0000-0000-000074560000}"/>
    <cellStyle name="40% - Accent3 3 6 2 2 2 3" xfId="25666" xr:uid="{00000000-0005-0000-0000-000075560000}"/>
    <cellStyle name="40% - Accent3 3 6 2 2 3" xfId="25667" xr:uid="{00000000-0005-0000-0000-000076560000}"/>
    <cellStyle name="40% - Accent3 3 6 2 2 3 2" xfId="25668" xr:uid="{00000000-0005-0000-0000-000077560000}"/>
    <cellStyle name="40% - Accent3 3 6 2 2 4" xfId="25669" xr:uid="{00000000-0005-0000-0000-000078560000}"/>
    <cellStyle name="40% - Accent3 3 6 2 2 5" xfId="25670" xr:uid="{00000000-0005-0000-0000-000079560000}"/>
    <cellStyle name="40% - Accent3 3 6 2 2 6" xfId="25671" xr:uid="{00000000-0005-0000-0000-00007A560000}"/>
    <cellStyle name="40% - Accent3 3 6 2 3" xfId="25672" xr:uid="{00000000-0005-0000-0000-00007B560000}"/>
    <cellStyle name="40% - Accent3 3 6 2 3 2" xfId="25673" xr:uid="{00000000-0005-0000-0000-00007C560000}"/>
    <cellStyle name="40% - Accent3 3 6 2 3 2 2" xfId="25674" xr:uid="{00000000-0005-0000-0000-00007D560000}"/>
    <cellStyle name="40% - Accent3 3 6 2 3 3" xfId="25675" xr:uid="{00000000-0005-0000-0000-00007E560000}"/>
    <cellStyle name="40% - Accent3 3 6 2 4" xfId="25676" xr:uid="{00000000-0005-0000-0000-00007F560000}"/>
    <cellStyle name="40% - Accent3 3 6 2 4 2" xfId="25677" xr:uid="{00000000-0005-0000-0000-000080560000}"/>
    <cellStyle name="40% - Accent3 3 6 2 5" xfId="25678" xr:uid="{00000000-0005-0000-0000-000081560000}"/>
    <cellStyle name="40% - Accent3 3 6 2 5 2" xfId="25679" xr:uid="{00000000-0005-0000-0000-000082560000}"/>
    <cellStyle name="40% - Accent3 3 6 2 6" xfId="25680" xr:uid="{00000000-0005-0000-0000-000083560000}"/>
    <cellStyle name="40% - Accent3 3 6 2 7" xfId="25681" xr:uid="{00000000-0005-0000-0000-000084560000}"/>
    <cellStyle name="40% - Accent3 3 6 2 8" xfId="25682" xr:uid="{00000000-0005-0000-0000-000085560000}"/>
    <cellStyle name="40% - Accent3 3 6 3" xfId="25683" xr:uid="{00000000-0005-0000-0000-000086560000}"/>
    <cellStyle name="40% - Accent3 3 6 3 2" xfId="25684" xr:uid="{00000000-0005-0000-0000-000087560000}"/>
    <cellStyle name="40% - Accent3 3 6 3 2 2" xfId="25685" xr:uid="{00000000-0005-0000-0000-000088560000}"/>
    <cellStyle name="40% - Accent3 3 6 3 2 2 2" xfId="25686" xr:uid="{00000000-0005-0000-0000-000089560000}"/>
    <cellStyle name="40% - Accent3 3 6 3 2 2 2 2" xfId="25687" xr:uid="{00000000-0005-0000-0000-00008A560000}"/>
    <cellStyle name="40% - Accent3 3 6 3 2 2 3" xfId="25688" xr:uid="{00000000-0005-0000-0000-00008B560000}"/>
    <cellStyle name="40% - Accent3 3 6 3 2 3" xfId="25689" xr:uid="{00000000-0005-0000-0000-00008C560000}"/>
    <cellStyle name="40% - Accent3 3 6 3 2 3 2" xfId="25690" xr:uid="{00000000-0005-0000-0000-00008D560000}"/>
    <cellStyle name="40% - Accent3 3 6 3 2 4" xfId="25691" xr:uid="{00000000-0005-0000-0000-00008E560000}"/>
    <cellStyle name="40% - Accent3 3 6 3 2 5" xfId="25692" xr:uid="{00000000-0005-0000-0000-00008F560000}"/>
    <cellStyle name="40% - Accent3 3 6 3 2 6" xfId="25693" xr:uid="{00000000-0005-0000-0000-000090560000}"/>
    <cellStyle name="40% - Accent3 3 6 3 3" xfId="25694" xr:uid="{00000000-0005-0000-0000-000091560000}"/>
    <cellStyle name="40% - Accent3 3 6 3 3 2" xfId="25695" xr:uid="{00000000-0005-0000-0000-000092560000}"/>
    <cellStyle name="40% - Accent3 3 6 3 3 2 2" xfId="25696" xr:uid="{00000000-0005-0000-0000-000093560000}"/>
    <cellStyle name="40% - Accent3 3 6 3 3 3" xfId="25697" xr:uid="{00000000-0005-0000-0000-000094560000}"/>
    <cellStyle name="40% - Accent3 3 6 3 4" xfId="25698" xr:uid="{00000000-0005-0000-0000-000095560000}"/>
    <cellStyle name="40% - Accent3 3 6 3 4 2" xfId="25699" xr:uid="{00000000-0005-0000-0000-000096560000}"/>
    <cellStyle name="40% - Accent3 3 6 3 5" xfId="25700" xr:uid="{00000000-0005-0000-0000-000097560000}"/>
    <cellStyle name="40% - Accent3 3 6 3 6" xfId="25701" xr:uid="{00000000-0005-0000-0000-000098560000}"/>
    <cellStyle name="40% - Accent3 3 6 3 7" xfId="25702" xr:uid="{00000000-0005-0000-0000-000099560000}"/>
    <cellStyle name="40% - Accent3 3 6 4" xfId="25703" xr:uid="{00000000-0005-0000-0000-00009A560000}"/>
    <cellStyle name="40% - Accent3 3 6 4 2" xfId="25704" xr:uid="{00000000-0005-0000-0000-00009B560000}"/>
    <cellStyle name="40% - Accent3 3 6 4 2 2" xfId="25705" xr:uid="{00000000-0005-0000-0000-00009C560000}"/>
    <cellStyle name="40% - Accent3 3 6 4 2 2 2" xfId="25706" xr:uid="{00000000-0005-0000-0000-00009D560000}"/>
    <cellStyle name="40% - Accent3 3 6 4 2 3" xfId="25707" xr:uid="{00000000-0005-0000-0000-00009E560000}"/>
    <cellStyle name="40% - Accent3 3 6 4 3" xfId="25708" xr:uid="{00000000-0005-0000-0000-00009F560000}"/>
    <cellStyle name="40% - Accent3 3 6 4 3 2" xfId="25709" xr:uid="{00000000-0005-0000-0000-0000A0560000}"/>
    <cellStyle name="40% - Accent3 3 6 4 4" xfId="25710" xr:uid="{00000000-0005-0000-0000-0000A1560000}"/>
    <cellStyle name="40% - Accent3 3 6 4 5" xfId="25711" xr:uid="{00000000-0005-0000-0000-0000A2560000}"/>
    <cellStyle name="40% - Accent3 3 6 4 6" xfId="25712" xr:uid="{00000000-0005-0000-0000-0000A3560000}"/>
    <cellStyle name="40% - Accent3 3 6 5" xfId="25713" xr:uid="{00000000-0005-0000-0000-0000A4560000}"/>
    <cellStyle name="40% - Accent3 3 6 5 2" xfId="25714" xr:uid="{00000000-0005-0000-0000-0000A5560000}"/>
    <cellStyle name="40% - Accent3 3 6 5 2 2" xfId="25715" xr:uid="{00000000-0005-0000-0000-0000A6560000}"/>
    <cellStyle name="40% - Accent3 3 6 5 3" xfId="25716" xr:uid="{00000000-0005-0000-0000-0000A7560000}"/>
    <cellStyle name="40% - Accent3 3 6 6" xfId="25717" xr:uid="{00000000-0005-0000-0000-0000A8560000}"/>
    <cellStyle name="40% - Accent3 3 6 6 2" xfId="25718" xr:uid="{00000000-0005-0000-0000-0000A9560000}"/>
    <cellStyle name="40% - Accent3 3 6 6 2 2" xfId="25719" xr:uid="{00000000-0005-0000-0000-0000AA560000}"/>
    <cellStyle name="40% - Accent3 3 6 6 3" xfId="25720" xr:uid="{00000000-0005-0000-0000-0000AB560000}"/>
    <cellStyle name="40% - Accent3 3 6 7" xfId="25721" xr:uid="{00000000-0005-0000-0000-0000AC560000}"/>
    <cellStyle name="40% - Accent3 3 6 7 2" xfId="25722" xr:uid="{00000000-0005-0000-0000-0000AD560000}"/>
    <cellStyle name="40% - Accent3 3 6 8" xfId="25723" xr:uid="{00000000-0005-0000-0000-0000AE560000}"/>
    <cellStyle name="40% - Accent3 3 6 8 2" xfId="25724" xr:uid="{00000000-0005-0000-0000-0000AF560000}"/>
    <cellStyle name="40% - Accent3 3 6 9" xfId="25725" xr:uid="{00000000-0005-0000-0000-0000B0560000}"/>
    <cellStyle name="40% - Accent3 3 7" xfId="25726" xr:uid="{00000000-0005-0000-0000-0000B1560000}"/>
    <cellStyle name="40% - Accent3 3 7 10" xfId="25727" xr:uid="{00000000-0005-0000-0000-0000B2560000}"/>
    <cellStyle name="40% - Accent3 3 7 11" xfId="25728" xr:uid="{00000000-0005-0000-0000-0000B3560000}"/>
    <cellStyle name="40% - Accent3 3 7 2" xfId="25729" xr:uid="{00000000-0005-0000-0000-0000B4560000}"/>
    <cellStyle name="40% - Accent3 3 7 2 2" xfId="25730" xr:uid="{00000000-0005-0000-0000-0000B5560000}"/>
    <cellStyle name="40% - Accent3 3 7 2 2 2" xfId="25731" xr:uid="{00000000-0005-0000-0000-0000B6560000}"/>
    <cellStyle name="40% - Accent3 3 7 2 2 2 2" xfId="25732" xr:uid="{00000000-0005-0000-0000-0000B7560000}"/>
    <cellStyle name="40% - Accent3 3 7 2 2 2 2 2" xfId="25733" xr:uid="{00000000-0005-0000-0000-0000B8560000}"/>
    <cellStyle name="40% - Accent3 3 7 2 2 2 3" xfId="25734" xr:uid="{00000000-0005-0000-0000-0000B9560000}"/>
    <cellStyle name="40% - Accent3 3 7 2 2 3" xfId="25735" xr:uid="{00000000-0005-0000-0000-0000BA560000}"/>
    <cellStyle name="40% - Accent3 3 7 2 2 3 2" xfId="25736" xr:uid="{00000000-0005-0000-0000-0000BB560000}"/>
    <cellStyle name="40% - Accent3 3 7 2 2 4" xfId="25737" xr:uid="{00000000-0005-0000-0000-0000BC560000}"/>
    <cellStyle name="40% - Accent3 3 7 2 2 5" xfId="25738" xr:uid="{00000000-0005-0000-0000-0000BD560000}"/>
    <cellStyle name="40% - Accent3 3 7 2 2 6" xfId="25739" xr:uid="{00000000-0005-0000-0000-0000BE560000}"/>
    <cellStyle name="40% - Accent3 3 7 2 3" xfId="25740" xr:uid="{00000000-0005-0000-0000-0000BF560000}"/>
    <cellStyle name="40% - Accent3 3 7 2 3 2" xfId="25741" xr:uid="{00000000-0005-0000-0000-0000C0560000}"/>
    <cellStyle name="40% - Accent3 3 7 2 3 2 2" xfId="25742" xr:uid="{00000000-0005-0000-0000-0000C1560000}"/>
    <cellStyle name="40% - Accent3 3 7 2 3 3" xfId="25743" xr:uid="{00000000-0005-0000-0000-0000C2560000}"/>
    <cellStyle name="40% - Accent3 3 7 2 4" xfId="25744" xr:uid="{00000000-0005-0000-0000-0000C3560000}"/>
    <cellStyle name="40% - Accent3 3 7 2 4 2" xfId="25745" xr:uid="{00000000-0005-0000-0000-0000C4560000}"/>
    <cellStyle name="40% - Accent3 3 7 2 5" xfId="25746" xr:uid="{00000000-0005-0000-0000-0000C5560000}"/>
    <cellStyle name="40% - Accent3 3 7 2 5 2" xfId="25747" xr:uid="{00000000-0005-0000-0000-0000C6560000}"/>
    <cellStyle name="40% - Accent3 3 7 2 6" xfId="25748" xr:uid="{00000000-0005-0000-0000-0000C7560000}"/>
    <cellStyle name="40% - Accent3 3 7 2 7" xfId="25749" xr:uid="{00000000-0005-0000-0000-0000C8560000}"/>
    <cellStyle name="40% - Accent3 3 7 2 8" xfId="25750" xr:uid="{00000000-0005-0000-0000-0000C9560000}"/>
    <cellStyle name="40% - Accent3 3 7 3" xfId="25751" xr:uid="{00000000-0005-0000-0000-0000CA560000}"/>
    <cellStyle name="40% - Accent3 3 7 3 2" xfId="25752" xr:uid="{00000000-0005-0000-0000-0000CB560000}"/>
    <cellStyle name="40% - Accent3 3 7 3 2 2" xfId="25753" xr:uid="{00000000-0005-0000-0000-0000CC560000}"/>
    <cellStyle name="40% - Accent3 3 7 3 2 2 2" xfId="25754" xr:uid="{00000000-0005-0000-0000-0000CD560000}"/>
    <cellStyle name="40% - Accent3 3 7 3 2 2 2 2" xfId="25755" xr:uid="{00000000-0005-0000-0000-0000CE560000}"/>
    <cellStyle name="40% - Accent3 3 7 3 2 2 3" xfId="25756" xr:uid="{00000000-0005-0000-0000-0000CF560000}"/>
    <cellStyle name="40% - Accent3 3 7 3 2 3" xfId="25757" xr:uid="{00000000-0005-0000-0000-0000D0560000}"/>
    <cellStyle name="40% - Accent3 3 7 3 2 3 2" xfId="25758" xr:uid="{00000000-0005-0000-0000-0000D1560000}"/>
    <cellStyle name="40% - Accent3 3 7 3 2 4" xfId="25759" xr:uid="{00000000-0005-0000-0000-0000D2560000}"/>
    <cellStyle name="40% - Accent3 3 7 3 2 5" xfId="25760" xr:uid="{00000000-0005-0000-0000-0000D3560000}"/>
    <cellStyle name="40% - Accent3 3 7 3 2 6" xfId="25761" xr:uid="{00000000-0005-0000-0000-0000D4560000}"/>
    <cellStyle name="40% - Accent3 3 7 3 3" xfId="25762" xr:uid="{00000000-0005-0000-0000-0000D5560000}"/>
    <cellStyle name="40% - Accent3 3 7 3 3 2" xfId="25763" xr:uid="{00000000-0005-0000-0000-0000D6560000}"/>
    <cellStyle name="40% - Accent3 3 7 3 3 2 2" xfId="25764" xr:uid="{00000000-0005-0000-0000-0000D7560000}"/>
    <cellStyle name="40% - Accent3 3 7 3 3 3" xfId="25765" xr:uid="{00000000-0005-0000-0000-0000D8560000}"/>
    <cellStyle name="40% - Accent3 3 7 3 4" xfId="25766" xr:uid="{00000000-0005-0000-0000-0000D9560000}"/>
    <cellStyle name="40% - Accent3 3 7 3 4 2" xfId="25767" xr:uid="{00000000-0005-0000-0000-0000DA560000}"/>
    <cellStyle name="40% - Accent3 3 7 3 5" xfId="25768" xr:uid="{00000000-0005-0000-0000-0000DB560000}"/>
    <cellStyle name="40% - Accent3 3 7 3 6" xfId="25769" xr:uid="{00000000-0005-0000-0000-0000DC560000}"/>
    <cellStyle name="40% - Accent3 3 7 3 7" xfId="25770" xr:uid="{00000000-0005-0000-0000-0000DD560000}"/>
    <cellStyle name="40% - Accent3 3 7 4" xfId="25771" xr:uid="{00000000-0005-0000-0000-0000DE560000}"/>
    <cellStyle name="40% - Accent3 3 7 4 2" xfId="25772" xr:uid="{00000000-0005-0000-0000-0000DF560000}"/>
    <cellStyle name="40% - Accent3 3 7 4 2 2" xfId="25773" xr:uid="{00000000-0005-0000-0000-0000E0560000}"/>
    <cellStyle name="40% - Accent3 3 7 4 2 2 2" xfId="25774" xr:uid="{00000000-0005-0000-0000-0000E1560000}"/>
    <cellStyle name="40% - Accent3 3 7 4 2 3" xfId="25775" xr:uid="{00000000-0005-0000-0000-0000E2560000}"/>
    <cellStyle name="40% - Accent3 3 7 4 3" xfId="25776" xr:uid="{00000000-0005-0000-0000-0000E3560000}"/>
    <cellStyle name="40% - Accent3 3 7 4 3 2" xfId="25777" xr:uid="{00000000-0005-0000-0000-0000E4560000}"/>
    <cellStyle name="40% - Accent3 3 7 4 4" xfId="25778" xr:uid="{00000000-0005-0000-0000-0000E5560000}"/>
    <cellStyle name="40% - Accent3 3 7 4 5" xfId="25779" xr:uid="{00000000-0005-0000-0000-0000E6560000}"/>
    <cellStyle name="40% - Accent3 3 7 4 6" xfId="25780" xr:uid="{00000000-0005-0000-0000-0000E7560000}"/>
    <cellStyle name="40% - Accent3 3 7 5" xfId="25781" xr:uid="{00000000-0005-0000-0000-0000E8560000}"/>
    <cellStyle name="40% - Accent3 3 7 5 2" xfId="25782" xr:uid="{00000000-0005-0000-0000-0000E9560000}"/>
    <cellStyle name="40% - Accent3 3 7 5 2 2" xfId="25783" xr:uid="{00000000-0005-0000-0000-0000EA560000}"/>
    <cellStyle name="40% - Accent3 3 7 5 3" xfId="25784" xr:uid="{00000000-0005-0000-0000-0000EB560000}"/>
    <cellStyle name="40% - Accent3 3 7 6" xfId="25785" xr:uid="{00000000-0005-0000-0000-0000EC560000}"/>
    <cellStyle name="40% - Accent3 3 7 6 2" xfId="25786" xr:uid="{00000000-0005-0000-0000-0000ED560000}"/>
    <cellStyle name="40% - Accent3 3 7 6 2 2" xfId="25787" xr:uid="{00000000-0005-0000-0000-0000EE560000}"/>
    <cellStyle name="40% - Accent3 3 7 6 3" xfId="25788" xr:uid="{00000000-0005-0000-0000-0000EF560000}"/>
    <cellStyle name="40% - Accent3 3 7 7" xfId="25789" xr:uid="{00000000-0005-0000-0000-0000F0560000}"/>
    <cellStyle name="40% - Accent3 3 7 7 2" xfId="25790" xr:uid="{00000000-0005-0000-0000-0000F1560000}"/>
    <cellStyle name="40% - Accent3 3 7 8" xfId="25791" xr:uid="{00000000-0005-0000-0000-0000F2560000}"/>
    <cellStyle name="40% - Accent3 3 7 8 2" xfId="25792" xr:uid="{00000000-0005-0000-0000-0000F3560000}"/>
    <cellStyle name="40% - Accent3 3 7 9" xfId="25793" xr:uid="{00000000-0005-0000-0000-0000F4560000}"/>
    <cellStyle name="40% - Accent3 3 8" xfId="25794" xr:uid="{00000000-0005-0000-0000-0000F5560000}"/>
    <cellStyle name="40% - Accent3 3 8 10" xfId="25795" xr:uid="{00000000-0005-0000-0000-0000F6560000}"/>
    <cellStyle name="40% - Accent3 3 8 11" xfId="25796" xr:uid="{00000000-0005-0000-0000-0000F7560000}"/>
    <cellStyle name="40% - Accent3 3 8 2" xfId="25797" xr:uid="{00000000-0005-0000-0000-0000F8560000}"/>
    <cellStyle name="40% - Accent3 3 8 2 2" xfId="25798" xr:uid="{00000000-0005-0000-0000-0000F9560000}"/>
    <cellStyle name="40% - Accent3 3 8 2 2 2" xfId="25799" xr:uid="{00000000-0005-0000-0000-0000FA560000}"/>
    <cellStyle name="40% - Accent3 3 8 2 2 2 2" xfId="25800" xr:uid="{00000000-0005-0000-0000-0000FB560000}"/>
    <cellStyle name="40% - Accent3 3 8 2 2 2 2 2" xfId="25801" xr:uid="{00000000-0005-0000-0000-0000FC560000}"/>
    <cellStyle name="40% - Accent3 3 8 2 2 2 3" xfId="25802" xr:uid="{00000000-0005-0000-0000-0000FD560000}"/>
    <cellStyle name="40% - Accent3 3 8 2 2 3" xfId="25803" xr:uid="{00000000-0005-0000-0000-0000FE560000}"/>
    <cellStyle name="40% - Accent3 3 8 2 2 3 2" xfId="25804" xr:uid="{00000000-0005-0000-0000-0000FF560000}"/>
    <cellStyle name="40% - Accent3 3 8 2 2 4" xfId="25805" xr:uid="{00000000-0005-0000-0000-000000570000}"/>
    <cellStyle name="40% - Accent3 3 8 2 2 5" xfId="25806" xr:uid="{00000000-0005-0000-0000-000001570000}"/>
    <cellStyle name="40% - Accent3 3 8 2 2 6" xfId="25807" xr:uid="{00000000-0005-0000-0000-000002570000}"/>
    <cellStyle name="40% - Accent3 3 8 2 3" xfId="25808" xr:uid="{00000000-0005-0000-0000-000003570000}"/>
    <cellStyle name="40% - Accent3 3 8 2 3 2" xfId="25809" xr:uid="{00000000-0005-0000-0000-000004570000}"/>
    <cellStyle name="40% - Accent3 3 8 2 3 2 2" xfId="25810" xr:uid="{00000000-0005-0000-0000-000005570000}"/>
    <cellStyle name="40% - Accent3 3 8 2 3 3" xfId="25811" xr:uid="{00000000-0005-0000-0000-000006570000}"/>
    <cellStyle name="40% - Accent3 3 8 2 4" xfId="25812" xr:uid="{00000000-0005-0000-0000-000007570000}"/>
    <cellStyle name="40% - Accent3 3 8 2 4 2" xfId="25813" xr:uid="{00000000-0005-0000-0000-000008570000}"/>
    <cellStyle name="40% - Accent3 3 8 2 5" xfId="25814" xr:uid="{00000000-0005-0000-0000-000009570000}"/>
    <cellStyle name="40% - Accent3 3 8 2 5 2" xfId="25815" xr:uid="{00000000-0005-0000-0000-00000A570000}"/>
    <cellStyle name="40% - Accent3 3 8 2 6" xfId="25816" xr:uid="{00000000-0005-0000-0000-00000B570000}"/>
    <cellStyle name="40% - Accent3 3 8 2 7" xfId="25817" xr:uid="{00000000-0005-0000-0000-00000C570000}"/>
    <cellStyle name="40% - Accent3 3 8 2 8" xfId="25818" xr:uid="{00000000-0005-0000-0000-00000D570000}"/>
    <cellStyle name="40% - Accent3 3 8 3" xfId="25819" xr:uid="{00000000-0005-0000-0000-00000E570000}"/>
    <cellStyle name="40% - Accent3 3 8 3 2" xfId="25820" xr:uid="{00000000-0005-0000-0000-00000F570000}"/>
    <cellStyle name="40% - Accent3 3 8 3 2 2" xfId="25821" xr:uid="{00000000-0005-0000-0000-000010570000}"/>
    <cellStyle name="40% - Accent3 3 8 3 2 2 2" xfId="25822" xr:uid="{00000000-0005-0000-0000-000011570000}"/>
    <cellStyle name="40% - Accent3 3 8 3 2 2 2 2" xfId="25823" xr:uid="{00000000-0005-0000-0000-000012570000}"/>
    <cellStyle name="40% - Accent3 3 8 3 2 2 3" xfId="25824" xr:uid="{00000000-0005-0000-0000-000013570000}"/>
    <cellStyle name="40% - Accent3 3 8 3 2 3" xfId="25825" xr:uid="{00000000-0005-0000-0000-000014570000}"/>
    <cellStyle name="40% - Accent3 3 8 3 2 3 2" xfId="25826" xr:uid="{00000000-0005-0000-0000-000015570000}"/>
    <cellStyle name="40% - Accent3 3 8 3 2 4" xfId="25827" xr:uid="{00000000-0005-0000-0000-000016570000}"/>
    <cellStyle name="40% - Accent3 3 8 3 2 5" xfId="25828" xr:uid="{00000000-0005-0000-0000-000017570000}"/>
    <cellStyle name="40% - Accent3 3 8 3 2 6" xfId="25829" xr:uid="{00000000-0005-0000-0000-000018570000}"/>
    <cellStyle name="40% - Accent3 3 8 3 3" xfId="25830" xr:uid="{00000000-0005-0000-0000-000019570000}"/>
    <cellStyle name="40% - Accent3 3 8 3 3 2" xfId="25831" xr:uid="{00000000-0005-0000-0000-00001A570000}"/>
    <cellStyle name="40% - Accent3 3 8 3 3 2 2" xfId="25832" xr:uid="{00000000-0005-0000-0000-00001B570000}"/>
    <cellStyle name="40% - Accent3 3 8 3 3 3" xfId="25833" xr:uid="{00000000-0005-0000-0000-00001C570000}"/>
    <cellStyle name="40% - Accent3 3 8 3 4" xfId="25834" xr:uid="{00000000-0005-0000-0000-00001D570000}"/>
    <cellStyle name="40% - Accent3 3 8 3 4 2" xfId="25835" xr:uid="{00000000-0005-0000-0000-00001E570000}"/>
    <cellStyle name="40% - Accent3 3 8 3 5" xfId="25836" xr:uid="{00000000-0005-0000-0000-00001F570000}"/>
    <cellStyle name="40% - Accent3 3 8 3 6" xfId="25837" xr:uid="{00000000-0005-0000-0000-000020570000}"/>
    <cellStyle name="40% - Accent3 3 8 3 7" xfId="25838" xr:uid="{00000000-0005-0000-0000-000021570000}"/>
    <cellStyle name="40% - Accent3 3 8 4" xfId="25839" xr:uid="{00000000-0005-0000-0000-000022570000}"/>
    <cellStyle name="40% - Accent3 3 8 4 2" xfId="25840" xr:uid="{00000000-0005-0000-0000-000023570000}"/>
    <cellStyle name="40% - Accent3 3 8 4 2 2" xfId="25841" xr:uid="{00000000-0005-0000-0000-000024570000}"/>
    <cellStyle name="40% - Accent3 3 8 4 2 2 2" xfId="25842" xr:uid="{00000000-0005-0000-0000-000025570000}"/>
    <cellStyle name="40% - Accent3 3 8 4 2 3" xfId="25843" xr:uid="{00000000-0005-0000-0000-000026570000}"/>
    <cellStyle name="40% - Accent3 3 8 4 3" xfId="25844" xr:uid="{00000000-0005-0000-0000-000027570000}"/>
    <cellStyle name="40% - Accent3 3 8 4 3 2" xfId="25845" xr:uid="{00000000-0005-0000-0000-000028570000}"/>
    <cellStyle name="40% - Accent3 3 8 4 4" xfId="25846" xr:uid="{00000000-0005-0000-0000-000029570000}"/>
    <cellStyle name="40% - Accent3 3 8 4 5" xfId="25847" xr:uid="{00000000-0005-0000-0000-00002A570000}"/>
    <cellStyle name="40% - Accent3 3 8 4 6" xfId="25848" xr:uid="{00000000-0005-0000-0000-00002B570000}"/>
    <cellStyle name="40% - Accent3 3 8 5" xfId="25849" xr:uid="{00000000-0005-0000-0000-00002C570000}"/>
    <cellStyle name="40% - Accent3 3 8 5 2" xfId="25850" xr:uid="{00000000-0005-0000-0000-00002D570000}"/>
    <cellStyle name="40% - Accent3 3 8 5 2 2" xfId="25851" xr:uid="{00000000-0005-0000-0000-00002E570000}"/>
    <cellStyle name="40% - Accent3 3 8 5 3" xfId="25852" xr:uid="{00000000-0005-0000-0000-00002F570000}"/>
    <cellStyle name="40% - Accent3 3 8 6" xfId="25853" xr:uid="{00000000-0005-0000-0000-000030570000}"/>
    <cellStyle name="40% - Accent3 3 8 6 2" xfId="25854" xr:uid="{00000000-0005-0000-0000-000031570000}"/>
    <cellStyle name="40% - Accent3 3 8 6 2 2" xfId="25855" xr:uid="{00000000-0005-0000-0000-000032570000}"/>
    <cellStyle name="40% - Accent3 3 8 6 3" xfId="25856" xr:uid="{00000000-0005-0000-0000-000033570000}"/>
    <cellStyle name="40% - Accent3 3 8 7" xfId="25857" xr:uid="{00000000-0005-0000-0000-000034570000}"/>
    <cellStyle name="40% - Accent3 3 8 7 2" xfId="25858" xr:uid="{00000000-0005-0000-0000-000035570000}"/>
    <cellStyle name="40% - Accent3 3 8 8" xfId="25859" xr:uid="{00000000-0005-0000-0000-000036570000}"/>
    <cellStyle name="40% - Accent3 3 8 8 2" xfId="25860" xr:uid="{00000000-0005-0000-0000-000037570000}"/>
    <cellStyle name="40% - Accent3 3 8 9" xfId="25861" xr:uid="{00000000-0005-0000-0000-000038570000}"/>
    <cellStyle name="40% - Accent3 3 9" xfId="25862" xr:uid="{00000000-0005-0000-0000-000039570000}"/>
    <cellStyle name="40% - Accent3 3 9 2" xfId="25863" xr:uid="{00000000-0005-0000-0000-00003A570000}"/>
    <cellStyle name="40% - Accent3 3 9 2 2" xfId="25864" xr:uid="{00000000-0005-0000-0000-00003B570000}"/>
    <cellStyle name="40% - Accent3 4" xfId="203" xr:uid="{00000000-0005-0000-0000-00003C570000}"/>
    <cellStyle name="40% - Accent3 4 10" xfId="25865" xr:uid="{00000000-0005-0000-0000-00003D570000}"/>
    <cellStyle name="40% - Accent3 4 10 2" xfId="25866" xr:uid="{00000000-0005-0000-0000-00003E570000}"/>
    <cellStyle name="40% - Accent3 4 10 2 2" xfId="25867" xr:uid="{00000000-0005-0000-0000-00003F570000}"/>
    <cellStyle name="40% - Accent3 4 10 2 2 2" xfId="25868" xr:uid="{00000000-0005-0000-0000-000040570000}"/>
    <cellStyle name="40% - Accent3 4 10 2 2 2 2" xfId="25869" xr:uid="{00000000-0005-0000-0000-000041570000}"/>
    <cellStyle name="40% - Accent3 4 10 2 2 3" xfId="25870" xr:uid="{00000000-0005-0000-0000-000042570000}"/>
    <cellStyle name="40% - Accent3 4 10 2 3" xfId="25871" xr:uid="{00000000-0005-0000-0000-000043570000}"/>
    <cellStyle name="40% - Accent3 4 10 2 3 2" xfId="25872" xr:uid="{00000000-0005-0000-0000-000044570000}"/>
    <cellStyle name="40% - Accent3 4 10 2 4" xfId="25873" xr:uid="{00000000-0005-0000-0000-000045570000}"/>
    <cellStyle name="40% - Accent3 4 10 2 5" xfId="25874" xr:uid="{00000000-0005-0000-0000-000046570000}"/>
    <cellStyle name="40% - Accent3 4 10 2 6" xfId="25875" xr:uid="{00000000-0005-0000-0000-000047570000}"/>
    <cellStyle name="40% - Accent3 4 10 3" xfId="25876" xr:uid="{00000000-0005-0000-0000-000048570000}"/>
    <cellStyle name="40% - Accent3 4 10 3 2" xfId="25877" xr:uid="{00000000-0005-0000-0000-000049570000}"/>
    <cellStyle name="40% - Accent3 4 10 3 2 2" xfId="25878" xr:uid="{00000000-0005-0000-0000-00004A570000}"/>
    <cellStyle name="40% - Accent3 4 10 3 3" xfId="25879" xr:uid="{00000000-0005-0000-0000-00004B570000}"/>
    <cellStyle name="40% - Accent3 4 10 4" xfId="25880" xr:uid="{00000000-0005-0000-0000-00004C570000}"/>
    <cellStyle name="40% - Accent3 4 10 4 2" xfId="25881" xr:uid="{00000000-0005-0000-0000-00004D570000}"/>
    <cellStyle name="40% - Accent3 4 10 4 2 2" xfId="25882" xr:uid="{00000000-0005-0000-0000-00004E570000}"/>
    <cellStyle name="40% - Accent3 4 10 4 3" xfId="25883" xr:uid="{00000000-0005-0000-0000-00004F570000}"/>
    <cellStyle name="40% - Accent3 4 10 5" xfId="25884" xr:uid="{00000000-0005-0000-0000-000050570000}"/>
    <cellStyle name="40% - Accent3 4 10 6" xfId="25885" xr:uid="{00000000-0005-0000-0000-000051570000}"/>
    <cellStyle name="40% - Accent3 4 11" xfId="25886" xr:uid="{00000000-0005-0000-0000-000052570000}"/>
    <cellStyle name="40% - Accent3 4 11 2" xfId="25887" xr:uid="{00000000-0005-0000-0000-000053570000}"/>
    <cellStyle name="40% - Accent3 4 11 2 2" xfId="25888" xr:uid="{00000000-0005-0000-0000-000054570000}"/>
    <cellStyle name="40% - Accent3 4 11 2 2 2" xfId="25889" xr:uid="{00000000-0005-0000-0000-000055570000}"/>
    <cellStyle name="40% - Accent3 4 11 2 2 2 2" xfId="25890" xr:uid="{00000000-0005-0000-0000-000056570000}"/>
    <cellStyle name="40% - Accent3 4 11 2 2 3" xfId="25891" xr:uid="{00000000-0005-0000-0000-000057570000}"/>
    <cellStyle name="40% - Accent3 4 11 2 3" xfId="25892" xr:uid="{00000000-0005-0000-0000-000058570000}"/>
    <cellStyle name="40% - Accent3 4 11 2 3 2" xfId="25893" xr:uid="{00000000-0005-0000-0000-000059570000}"/>
    <cellStyle name="40% - Accent3 4 11 2 4" xfId="25894" xr:uid="{00000000-0005-0000-0000-00005A570000}"/>
    <cellStyle name="40% - Accent3 4 11 2 5" xfId="25895" xr:uid="{00000000-0005-0000-0000-00005B570000}"/>
    <cellStyle name="40% - Accent3 4 11 2 6" xfId="25896" xr:uid="{00000000-0005-0000-0000-00005C570000}"/>
    <cellStyle name="40% - Accent3 4 11 3" xfId="25897" xr:uid="{00000000-0005-0000-0000-00005D570000}"/>
    <cellStyle name="40% - Accent3 4 11 3 2" xfId="25898" xr:uid="{00000000-0005-0000-0000-00005E570000}"/>
    <cellStyle name="40% - Accent3 4 11 3 2 2" xfId="25899" xr:uid="{00000000-0005-0000-0000-00005F570000}"/>
    <cellStyle name="40% - Accent3 4 11 3 3" xfId="25900" xr:uid="{00000000-0005-0000-0000-000060570000}"/>
    <cellStyle name="40% - Accent3 4 11 4" xfId="25901" xr:uid="{00000000-0005-0000-0000-000061570000}"/>
    <cellStyle name="40% - Accent3 4 11 4 2" xfId="25902" xr:uid="{00000000-0005-0000-0000-000062570000}"/>
    <cellStyle name="40% - Accent3 4 11 5" xfId="25903" xr:uid="{00000000-0005-0000-0000-000063570000}"/>
    <cellStyle name="40% - Accent3 4 11 6" xfId="25904" xr:uid="{00000000-0005-0000-0000-000064570000}"/>
    <cellStyle name="40% - Accent3 4 11 7" xfId="25905" xr:uid="{00000000-0005-0000-0000-000065570000}"/>
    <cellStyle name="40% - Accent3 4 12" xfId="25906" xr:uid="{00000000-0005-0000-0000-000066570000}"/>
    <cellStyle name="40% - Accent3 4 13" xfId="25907" xr:uid="{00000000-0005-0000-0000-000067570000}"/>
    <cellStyle name="40% - Accent3 4 13 2" xfId="25908" xr:uid="{00000000-0005-0000-0000-000068570000}"/>
    <cellStyle name="40% - Accent3 4 13 2 2" xfId="25909" xr:uid="{00000000-0005-0000-0000-000069570000}"/>
    <cellStyle name="40% - Accent3 4 13 3" xfId="25910" xr:uid="{00000000-0005-0000-0000-00006A570000}"/>
    <cellStyle name="40% - Accent3 4 14" xfId="25911" xr:uid="{00000000-0005-0000-0000-00006B570000}"/>
    <cellStyle name="40% - Accent3 4 14 2" xfId="25912" xr:uid="{00000000-0005-0000-0000-00006C570000}"/>
    <cellStyle name="40% - Accent3 4 15" xfId="25913" xr:uid="{00000000-0005-0000-0000-00006D570000}"/>
    <cellStyle name="40% - Accent3 4 16" xfId="25914" xr:uid="{00000000-0005-0000-0000-00006E570000}"/>
    <cellStyle name="40% - Accent3 4 2" xfId="25915" xr:uid="{00000000-0005-0000-0000-00006F570000}"/>
    <cellStyle name="40% - Accent3 4 2 10" xfId="25916" xr:uid="{00000000-0005-0000-0000-000070570000}"/>
    <cellStyle name="40% - Accent3 4 2 11" xfId="25917" xr:uid="{00000000-0005-0000-0000-000071570000}"/>
    <cellStyle name="40% - Accent3 4 2 2" xfId="25918" xr:uid="{00000000-0005-0000-0000-000072570000}"/>
    <cellStyle name="40% - Accent3 4 2 2 2" xfId="25919" xr:uid="{00000000-0005-0000-0000-000073570000}"/>
    <cellStyle name="40% - Accent3 4 2 2 2 2" xfId="25920" xr:uid="{00000000-0005-0000-0000-000074570000}"/>
    <cellStyle name="40% - Accent3 4 2 2 2 2 2" xfId="25921" xr:uid="{00000000-0005-0000-0000-000075570000}"/>
    <cellStyle name="40% - Accent3 4 2 2 2 2 2 2" xfId="25922" xr:uid="{00000000-0005-0000-0000-000076570000}"/>
    <cellStyle name="40% - Accent3 4 2 2 2 2 3" xfId="25923" xr:uid="{00000000-0005-0000-0000-000077570000}"/>
    <cellStyle name="40% - Accent3 4 2 2 2 3" xfId="25924" xr:uid="{00000000-0005-0000-0000-000078570000}"/>
    <cellStyle name="40% - Accent3 4 2 2 2 3 2" xfId="25925" xr:uid="{00000000-0005-0000-0000-000079570000}"/>
    <cellStyle name="40% - Accent3 4 2 2 2 4" xfId="25926" xr:uid="{00000000-0005-0000-0000-00007A570000}"/>
    <cellStyle name="40% - Accent3 4 2 2 2 5" xfId="25927" xr:uid="{00000000-0005-0000-0000-00007B570000}"/>
    <cellStyle name="40% - Accent3 4 2 2 2 6" xfId="25928" xr:uid="{00000000-0005-0000-0000-00007C570000}"/>
    <cellStyle name="40% - Accent3 4 2 2 3" xfId="25929" xr:uid="{00000000-0005-0000-0000-00007D570000}"/>
    <cellStyle name="40% - Accent3 4 2 2 3 2" xfId="25930" xr:uid="{00000000-0005-0000-0000-00007E570000}"/>
    <cellStyle name="40% - Accent3 4 2 2 3 2 2" xfId="25931" xr:uid="{00000000-0005-0000-0000-00007F570000}"/>
    <cellStyle name="40% - Accent3 4 2 2 3 3" xfId="25932" xr:uid="{00000000-0005-0000-0000-000080570000}"/>
    <cellStyle name="40% - Accent3 4 2 2 4" xfId="25933" xr:uid="{00000000-0005-0000-0000-000081570000}"/>
    <cellStyle name="40% - Accent3 4 2 2 4 2" xfId="25934" xr:uid="{00000000-0005-0000-0000-000082570000}"/>
    <cellStyle name="40% - Accent3 4 2 2 5" xfId="25935" xr:uid="{00000000-0005-0000-0000-000083570000}"/>
    <cellStyle name="40% - Accent3 4 2 2 5 2" xfId="25936" xr:uid="{00000000-0005-0000-0000-000084570000}"/>
    <cellStyle name="40% - Accent3 4 2 2 6" xfId="25937" xr:uid="{00000000-0005-0000-0000-000085570000}"/>
    <cellStyle name="40% - Accent3 4 2 2 7" xfId="25938" xr:uid="{00000000-0005-0000-0000-000086570000}"/>
    <cellStyle name="40% - Accent3 4 2 2 8" xfId="25939" xr:uid="{00000000-0005-0000-0000-000087570000}"/>
    <cellStyle name="40% - Accent3 4 2 3" xfId="25940" xr:uid="{00000000-0005-0000-0000-000088570000}"/>
    <cellStyle name="40% - Accent3 4 2 3 2" xfId="25941" xr:uid="{00000000-0005-0000-0000-000089570000}"/>
    <cellStyle name="40% - Accent3 4 2 3 2 2" xfId="25942" xr:uid="{00000000-0005-0000-0000-00008A570000}"/>
    <cellStyle name="40% - Accent3 4 2 3 2 2 2" xfId="25943" xr:uid="{00000000-0005-0000-0000-00008B570000}"/>
    <cellStyle name="40% - Accent3 4 2 3 2 2 2 2" xfId="25944" xr:uid="{00000000-0005-0000-0000-00008C570000}"/>
    <cellStyle name="40% - Accent3 4 2 3 2 2 3" xfId="25945" xr:uid="{00000000-0005-0000-0000-00008D570000}"/>
    <cellStyle name="40% - Accent3 4 2 3 2 3" xfId="25946" xr:uid="{00000000-0005-0000-0000-00008E570000}"/>
    <cellStyle name="40% - Accent3 4 2 3 2 3 2" xfId="25947" xr:uid="{00000000-0005-0000-0000-00008F570000}"/>
    <cellStyle name="40% - Accent3 4 2 3 2 4" xfId="25948" xr:uid="{00000000-0005-0000-0000-000090570000}"/>
    <cellStyle name="40% - Accent3 4 2 3 2 5" xfId="25949" xr:uid="{00000000-0005-0000-0000-000091570000}"/>
    <cellStyle name="40% - Accent3 4 2 3 2 6" xfId="25950" xr:uid="{00000000-0005-0000-0000-000092570000}"/>
    <cellStyle name="40% - Accent3 4 2 3 3" xfId="25951" xr:uid="{00000000-0005-0000-0000-000093570000}"/>
    <cellStyle name="40% - Accent3 4 2 3 3 2" xfId="25952" xr:uid="{00000000-0005-0000-0000-000094570000}"/>
    <cellStyle name="40% - Accent3 4 2 3 3 2 2" xfId="25953" xr:uid="{00000000-0005-0000-0000-000095570000}"/>
    <cellStyle name="40% - Accent3 4 2 3 3 3" xfId="25954" xr:uid="{00000000-0005-0000-0000-000096570000}"/>
    <cellStyle name="40% - Accent3 4 2 3 4" xfId="25955" xr:uid="{00000000-0005-0000-0000-000097570000}"/>
    <cellStyle name="40% - Accent3 4 2 3 4 2" xfId="25956" xr:uid="{00000000-0005-0000-0000-000098570000}"/>
    <cellStyle name="40% - Accent3 4 2 3 5" xfId="25957" xr:uid="{00000000-0005-0000-0000-000099570000}"/>
    <cellStyle name="40% - Accent3 4 2 3 6" xfId="25958" xr:uid="{00000000-0005-0000-0000-00009A570000}"/>
    <cellStyle name="40% - Accent3 4 2 3 7" xfId="25959" xr:uid="{00000000-0005-0000-0000-00009B570000}"/>
    <cellStyle name="40% - Accent3 4 2 4" xfId="25960" xr:uid="{00000000-0005-0000-0000-00009C570000}"/>
    <cellStyle name="40% - Accent3 4 2 4 2" xfId="25961" xr:uid="{00000000-0005-0000-0000-00009D570000}"/>
    <cellStyle name="40% - Accent3 4 2 4 2 2" xfId="25962" xr:uid="{00000000-0005-0000-0000-00009E570000}"/>
    <cellStyle name="40% - Accent3 4 2 4 2 2 2" xfId="25963" xr:uid="{00000000-0005-0000-0000-00009F570000}"/>
    <cellStyle name="40% - Accent3 4 2 4 2 3" xfId="25964" xr:uid="{00000000-0005-0000-0000-0000A0570000}"/>
    <cellStyle name="40% - Accent3 4 2 4 3" xfId="25965" xr:uid="{00000000-0005-0000-0000-0000A1570000}"/>
    <cellStyle name="40% - Accent3 4 2 4 3 2" xfId="25966" xr:uid="{00000000-0005-0000-0000-0000A2570000}"/>
    <cellStyle name="40% - Accent3 4 2 4 4" xfId="25967" xr:uid="{00000000-0005-0000-0000-0000A3570000}"/>
    <cellStyle name="40% - Accent3 4 2 4 5" xfId="25968" xr:uid="{00000000-0005-0000-0000-0000A4570000}"/>
    <cellStyle name="40% - Accent3 4 2 4 6" xfId="25969" xr:uid="{00000000-0005-0000-0000-0000A5570000}"/>
    <cellStyle name="40% - Accent3 4 2 5" xfId="25970" xr:uid="{00000000-0005-0000-0000-0000A6570000}"/>
    <cellStyle name="40% - Accent3 4 2 5 2" xfId="25971" xr:uid="{00000000-0005-0000-0000-0000A7570000}"/>
    <cellStyle name="40% - Accent3 4 2 5 2 2" xfId="25972" xr:uid="{00000000-0005-0000-0000-0000A8570000}"/>
    <cellStyle name="40% - Accent3 4 2 5 3" xfId="25973" xr:uid="{00000000-0005-0000-0000-0000A9570000}"/>
    <cellStyle name="40% - Accent3 4 2 6" xfId="25974" xr:uid="{00000000-0005-0000-0000-0000AA570000}"/>
    <cellStyle name="40% - Accent3 4 2 6 2" xfId="25975" xr:uid="{00000000-0005-0000-0000-0000AB570000}"/>
    <cellStyle name="40% - Accent3 4 2 6 2 2" xfId="25976" xr:uid="{00000000-0005-0000-0000-0000AC570000}"/>
    <cellStyle name="40% - Accent3 4 2 6 3" xfId="25977" xr:uid="{00000000-0005-0000-0000-0000AD570000}"/>
    <cellStyle name="40% - Accent3 4 2 7" xfId="25978" xr:uid="{00000000-0005-0000-0000-0000AE570000}"/>
    <cellStyle name="40% - Accent3 4 2 7 2" xfId="25979" xr:uid="{00000000-0005-0000-0000-0000AF570000}"/>
    <cellStyle name="40% - Accent3 4 2 8" xfId="25980" xr:uid="{00000000-0005-0000-0000-0000B0570000}"/>
    <cellStyle name="40% - Accent3 4 2 8 2" xfId="25981" xr:uid="{00000000-0005-0000-0000-0000B1570000}"/>
    <cellStyle name="40% - Accent3 4 2 9" xfId="25982" xr:uid="{00000000-0005-0000-0000-0000B2570000}"/>
    <cellStyle name="40% - Accent3 4 3" xfId="25983" xr:uid="{00000000-0005-0000-0000-0000B3570000}"/>
    <cellStyle name="40% - Accent3 4 3 10" xfId="25984" xr:uid="{00000000-0005-0000-0000-0000B4570000}"/>
    <cellStyle name="40% - Accent3 4 3 11" xfId="25985" xr:uid="{00000000-0005-0000-0000-0000B5570000}"/>
    <cellStyle name="40% - Accent3 4 3 2" xfId="25986" xr:uid="{00000000-0005-0000-0000-0000B6570000}"/>
    <cellStyle name="40% - Accent3 4 3 2 2" xfId="25987" xr:uid="{00000000-0005-0000-0000-0000B7570000}"/>
    <cellStyle name="40% - Accent3 4 3 2 2 2" xfId="25988" xr:uid="{00000000-0005-0000-0000-0000B8570000}"/>
    <cellStyle name="40% - Accent3 4 3 2 2 2 2" xfId="25989" xr:uid="{00000000-0005-0000-0000-0000B9570000}"/>
    <cellStyle name="40% - Accent3 4 3 2 2 2 2 2" xfId="25990" xr:uid="{00000000-0005-0000-0000-0000BA570000}"/>
    <cellStyle name="40% - Accent3 4 3 2 2 2 3" xfId="25991" xr:uid="{00000000-0005-0000-0000-0000BB570000}"/>
    <cellStyle name="40% - Accent3 4 3 2 2 3" xfId="25992" xr:uid="{00000000-0005-0000-0000-0000BC570000}"/>
    <cellStyle name="40% - Accent3 4 3 2 2 3 2" xfId="25993" xr:uid="{00000000-0005-0000-0000-0000BD570000}"/>
    <cellStyle name="40% - Accent3 4 3 2 2 4" xfId="25994" xr:uid="{00000000-0005-0000-0000-0000BE570000}"/>
    <cellStyle name="40% - Accent3 4 3 2 2 5" xfId="25995" xr:uid="{00000000-0005-0000-0000-0000BF570000}"/>
    <cellStyle name="40% - Accent3 4 3 2 2 6" xfId="25996" xr:uid="{00000000-0005-0000-0000-0000C0570000}"/>
    <cellStyle name="40% - Accent3 4 3 2 3" xfId="25997" xr:uid="{00000000-0005-0000-0000-0000C1570000}"/>
    <cellStyle name="40% - Accent3 4 3 2 3 2" xfId="25998" xr:uid="{00000000-0005-0000-0000-0000C2570000}"/>
    <cellStyle name="40% - Accent3 4 3 2 3 2 2" xfId="25999" xr:uid="{00000000-0005-0000-0000-0000C3570000}"/>
    <cellStyle name="40% - Accent3 4 3 2 3 3" xfId="26000" xr:uid="{00000000-0005-0000-0000-0000C4570000}"/>
    <cellStyle name="40% - Accent3 4 3 2 4" xfId="26001" xr:uid="{00000000-0005-0000-0000-0000C5570000}"/>
    <cellStyle name="40% - Accent3 4 3 2 4 2" xfId="26002" xr:uid="{00000000-0005-0000-0000-0000C6570000}"/>
    <cellStyle name="40% - Accent3 4 3 2 5" xfId="26003" xr:uid="{00000000-0005-0000-0000-0000C7570000}"/>
    <cellStyle name="40% - Accent3 4 3 2 5 2" xfId="26004" xr:uid="{00000000-0005-0000-0000-0000C8570000}"/>
    <cellStyle name="40% - Accent3 4 3 2 6" xfId="26005" xr:uid="{00000000-0005-0000-0000-0000C9570000}"/>
    <cellStyle name="40% - Accent3 4 3 2 7" xfId="26006" xr:uid="{00000000-0005-0000-0000-0000CA570000}"/>
    <cellStyle name="40% - Accent3 4 3 2 8" xfId="26007" xr:uid="{00000000-0005-0000-0000-0000CB570000}"/>
    <cellStyle name="40% - Accent3 4 3 3" xfId="26008" xr:uid="{00000000-0005-0000-0000-0000CC570000}"/>
    <cellStyle name="40% - Accent3 4 3 3 2" xfId="26009" xr:uid="{00000000-0005-0000-0000-0000CD570000}"/>
    <cellStyle name="40% - Accent3 4 3 3 2 2" xfId="26010" xr:uid="{00000000-0005-0000-0000-0000CE570000}"/>
    <cellStyle name="40% - Accent3 4 3 3 2 2 2" xfId="26011" xr:uid="{00000000-0005-0000-0000-0000CF570000}"/>
    <cellStyle name="40% - Accent3 4 3 3 2 2 2 2" xfId="26012" xr:uid="{00000000-0005-0000-0000-0000D0570000}"/>
    <cellStyle name="40% - Accent3 4 3 3 2 2 3" xfId="26013" xr:uid="{00000000-0005-0000-0000-0000D1570000}"/>
    <cellStyle name="40% - Accent3 4 3 3 2 3" xfId="26014" xr:uid="{00000000-0005-0000-0000-0000D2570000}"/>
    <cellStyle name="40% - Accent3 4 3 3 2 3 2" xfId="26015" xr:uid="{00000000-0005-0000-0000-0000D3570000}"/>
    <cellStyle name="40% - Accent3 4 3 3 2 4" xfId="26016" xr:uid="{00000000-0005-0000-0000-0000D4570000}"/>
    <cellStyle name="40% - Accent3 4 3 3 2 5" xfId="26017" xr:uid="{00000000-0005-0000-0000-0000D5570000}"/>
    <cellStyle name="40% - Accent3 4 3 3 2 6" xfId="26018" xr:uid="{00000000-0005-0000-0000-0000D6570000}"/>
    <cellStyle name="40% - Accent3 4 3 3 3" xfId="26019" xr:uid="{00000000-0005-0000-0000-0000D7570000}"/>
    <cellStyle name="40% - Accent3 4 3 3 3 2" xfId="26020" xr:uid="{00000000-0005-0000-0000-0000D8570000}"/>
    <cellStyle name="40% - Accent3 4 3 3 3 2 2" xfId="26021" xr:uid="{00000000-0005-0000-0000-0000D9570000}"/>
    <cellStyle name="40% - Accent3 4 3 3 3 3" xfId="26022" xr:uid="{00000000-0005-0000-0000-0000DA570000}"/>
    <cellStyle name="40% - Accent3 4 3 3 4" xfId="26023" xr:uid="{00000000-0005-0000-0000-0000DB570000}"/>
    <cellStyle name="40% - Accent3 4 3 3 4 2" xfId="26024" xr:uid="{00000000-0005-0000-0000-0000DC570000}"/>
    <cellStyle name="40% - Accent3 4 3 3 5" xfId="26025" xr:uid="{00000000-0005-0000-0000-0000DD570000}"/>
    <cellStyle name="40% - Accent3 4 3 3 6" xfId="26026" xr:uid="{00000000-0005-0000-0000-0000DE570000}"/>
    <cellStyle name="40% - Accent3 4 3 3 7" xfId="26027" xr:uid="{00000000-0005-0000-0000-0000DF570000}"/>
    <cellStyle name="40% - Accent3 4 3 4" xfId="26028" xr:uid="{00000000-0005-0000-0000-0000E0570000}"/>
    <cellStyle name="40% - Accent3 4 3 4 2" xfId="26029" xr:uid="{00000000-0005-0000-0000-0000E1570000}"/>
    <cellStyle name="40% - Accent3 4 3 4 2 2" xfId="26030" xr:uid="{00000000-0005-0000-0000-0000E2570000}"/>
    <cellStyle name="40% - Accent3 4 3 4 2 2 2" xfId="26031" xr:uid="{00000000-0005-0000-0000-0000E3570000}"/>
    <cellStyle name="40% - Accent3 4 3 4 2 3" xfId="26032" xr:uid="{00000000-0005-0000-0000-0000E4570000}"/>
    <cellStyle name="40% - Accent3 4 3 4 3" xfId="26033" xr:uid="{00000000-0005-0000-0000-0000E5570000}"/>
    <cellStyle name="40% - Accent3 4 3 4 3 2" xfId="26034" xr:uid="{00000000-0005-0000-0000-0000E6570000}"/>
    <cellStyle name="40% - Accent3 4 3 4 4" xfId="26035" xr:uid="{00000000-0005-0000-0000-0000E7570000}"/>
    <cellStyle name="40% - Accent3 4 3 4 5" xfId="26036" xr:uid="{00000000-0005-0000-0000-0000E8570000}"/>
    <cellStyle name="40% - Accent3 4 3 4 6" xfId="26037" xr:uid="{00000000-0005-0000-0000-0000E9570000}"/>
    <cellStyle name="40% - Accent3 4 3 5" xfId="26038" xr:uid="{00000000-0005-0000-0000-0000EA570000}"/>
    <cellStyle name="40% - Accent3 4 3 5 2" xfId="26039" xr:uid="{00000000-0005-0000-0000-0000EB570000}"/>
    <cellStyle name="40% - Accent3 4 3 5 2 2" xfId="26040" xr:uid="{00000000-0005-0000-0000-0000EC570000}"/>
    <cellStyle name="40% - Accent3 4 3 5 3" xfId="26041" xr:uid="{00000000-0005-0000-0000-0000ED570000}"/>
    <cellStyle name="40% - Accent3 4 3 6" xfId="26042" xr:uid="{00000000-0005-0000-0000-0000EE570000}"/>
    <cellStyle name="40% - Accent3 4 3 6 2" xfId="26043" xr:uid="{00000000-0005-0000-0000-0000EF570000}"/>
    <cellStyle name="40% - Accent3 4 3 6 2 2" xfId="26044" xr:uid="{00000000-0005-0000-0000-0000F0570000}"/>
    <cellStyle name="40% - Accent3 4 3 6 3" xfId="26045" xr:uid="{00000000-0005-0000-0000-0000F1570000}"/>
    <cellStyle name="40% - Accent3 4 3 7" xfId="26046" xr:uid="{00000000-0005-0000-0000-0000F2570000}"/>
    <cellStyle name="40% - Accent3 4 3 7 2" xfId="26047" xr:uid="{00000000-0005-0000-0000-0000F3570000}"/>
    <cellStyle name="40% - Accent3 4 3 8" xfId="26048" xr:uid="{00000000-0005-0000-0000-0000F4570000}"/>
    <cellStyle name="40% - Accent3 4 3 8 2" xfId="26049" xr:uid="{00000000-0005-0000-0000-0000F5570000}"/>
    <cellStyle name="40% - Accent3 4 3 9" xfId="26050" xr:uid="{00000000-0005-0000-0000-0000F6570000}"/>
    <cellStyle name="40% - Accent3 4 4" xfId="26051" xr:uid="{00000000-0005-0000-0000-0000F7570000}"/>
    <cellStyle name="40% - Accent3 4 4 10" xfId="26052" xr:uid="{00000000-0005-0000-0000-0000F8570000}"/>
    <cellStyle name="40% - Accent3 4 4 11" xfId="26053" xr:uid="{00000000-0005-0000-0000-0000F9570000}"/>
    <cellStyle name="40% - Accent3 4 4 2" xfId="26054" xr:uid="{00000000-0005-0000-0000-0000FA570000}"/>
    <cellStyle name="40% - Accent3 4 4 2 2" xfId="26055" xr:uid="{00000000-0005-0000-0000-0000FB570000}"/>
    <cellStyle name="40% - Accent3 4 4 2 2 2" xfId="26056" xr:uid="{00000000-0005-0000-0000-0000FC570000}"/>
    <cellStyle name="40% - Accent3 4 4 2 2 2 2" xfId="26057" xr:uid="{00000000-0005-0000-0000-0000FD570000}"/>
    <cellStyle name="40% - Accent3 4 4 2 2 2 2 2" xfId="26058" xr:uid="{00000000-0005-0000-0000-0000FE570000}"/>
    <cellStyle name="40% - Accent3 4 4 2 2 2 3" xfId="26059" xr:uid="{00000000-0005-0000-0000-0000FF570000}"/>
    <cellStyle name="40% - Accent3 4 4 2 2 3" xfId="26060" xr:uid="{00000000-0005-0000-0000-000000580000}"/>
    <cellStyle name="40% - Accent3 4 4 2 2 3 2" xfId="26061" xr:uid="{00000000-0005-0000-0000-000001580000}"/>
    <cellStyle name="40% - Accent3 4 4 2 2 4" xfId="26062" xr:uid="{00000000-0005-0000-0000-000002580000}"/>
    <cellStyle name="40% - Accent3 4 4 2 2 5" xfId="26063" xr:uid="{00000000-0005-0000-0000-000003580000}"/>
    <cellStyle name="40% - Accent3 4 4 2 2 6" xfId="26064" xr:uid="{00000000-0005-0000-0000-000004580000}"/>
    <cellStyle name="40% - Accent3 4 4 2 3" xfId="26065" xr:uid="{00000000-0005-0000-0000-000005580000}"/>
    <cellStyle name="40% - Accent3 4 4 2 3 2" xfId="26066" xr:uid="{00000000-0005-0000-0000-000006580000}"/>
    <cellStyle name="40% - Accent3 4 4 2 3 2 2" xfId="26067" xr:uid="{00000000-0005-0000-0000-000007580000}"/>
    <cellStyle name="40% - Accent3 4 4 2 3 3" xfId="26068" xr:uid="{00000000-0005-0000-0000-000008580000}"/>
    <cellStyle name="40% - Accent3 4 4 2 4" xfId="26069" xr:uid="{00000000-0005-0000-0000-000009580000}"/>
    <cellStyle name="40% - Accent3 4 4 2 4 2" xfId="26070" xr:uid="{00000000-0005-0000-0000-00000A580000}"/>
    <cellStyle name="40% - Accent3 4 4 2 5" xfId="26071" xr:uid="{00000000-0005-0000-0000-00000B580000}"/>
    <cellStyle name="40% - Accent3 4 4 2 5 2" xfId="26072" xr:uid="{00000000-0005-0000-0000-00000C580000}"/>
    <cellStyle name="40% - Accent3 4 4 2 6" xfId="26073" xr:uid="{00000000-0005-0000-0000-00000D580000}"/>
    <cellStyle name="40% - Accent3 4 4 2 7" xfId="26074" xr:uid="{00000000-0005-0000-0000-00000E580000}"/>
    <cellStyle name="40% - Accent3 4 4 2 8" xfId="26075" xr:uid="{00000000-0005-0000-0000-00000F580000}"/>
    <cellStyle name="40% - Accent3 4 4 3" xfId="26076" xr:uid="{00000000-0005-0000-0000-000010580000}"/>
    <cellStyle name="40% - Accent3 4 4 3 2" xfId="26077" xr:uid="{00000000-0005-0000-0000-000011580000}"/>
    <cellStyle name="40% - Accent3 4 4 3 2 2" xfId="26078" xr:uid="{00000000-0005-0000-0000-000012580000}"/>
    <cellStyle name="40% - Accent3 4 4 3 2 2 2" xfId="26079" xr:uid="{00000000-0005-0000-0000-000013580000}"/>
    <cellStyle name="40% - Accent3 4 4 3 2 2 2 2" xfId="26080" xr:uid="{00000000-0005-0000-0000-000014580000}"/>
    <cellStyle name="40% - Accent3 4 4 3 2 2 3" xfId="26081" xr:uid="{00000000-0005-0000-0000-000015580000}"/>
    <cellStyle name="40% - Accent3 4 4 3 2 3" xfId="26082" xr:uid="{00000000-0005-0000-0000-000016580000}"/>
    <cellStyle name="40% - Accent3 4 4 3 2 3 2" xfId="26083" xr:uid="{00000000-0005-0000-0000-000017580000}"/>
    <cellStyle name="40% - Accent3 4 4 3 2 4" xfId="26084" xr:uid="{00000000-0005-0000-0000-000018580000}"/>
    <cellStyle name="40% - Accent3 4 4 3 2 5" xfId="26085" xr:uid="{00000000-0005-0000-0000-000019580000}"/>
    <cellStyle name="40% - Accent3 4 4 3 2 6" xfId="26086" xr:uid="{00000000-0005-0000-0000-00001A580000}"/>
    <cellStyle name="40% - Accent3 4 4 3 3" xfId="26087" xr:uid="{00000000-0005-0000-0000-00001B580000}"/>
    <cellStyle name="40% - Accent3 4 4 3 3 2" xfId="26088" xr:uid="{00000000-0005-0000-0000-00001C580000}"/>
    <cellStyle name="40% - Accent3 4 4 3 3 2 2" xfId="26089" xr:uid="{00000000-0005-0000-0000-00001D580000}"/>
    <cellStyle name="40% - Accent3 4 4 3 3 3" xfId="26090" xr:uid="{00000000-0005-0000-0000-00001E580000}"/>
    <cellStyle name="40% - Accent3 4 4 3 4" xfId="26091" xr:uid="{00000000-0005-0000-0000-00001F580000}"/>
    <cellStyle name="40% - Accent3 4 4 3 4 2" xfId="26092" xr:uid="{00000000-0005-0000-0000-000020580000}"/>
    <cellStyle name="40% - Accent3 4 4 3 5" xfId="26093" xr:uid="{00000000-0005-0000-0000-000021580000}"/>
    <cellStyle name="40% - Accent3 4 4 3 6" xfId="26094" xr:uid="{00000000-0005-0000-0000-000022580000}"/>
    <cellStyle name="40% - Accent3 4 4 3 7" xfId="26095" xr:uid="{00000000-0005-0000-0000-000023580000}"/>
    <cellStyle name="40% - Accent3 4 4 4" xfId="26096" xr:uid="{00000000-0005-0000-0000-000024580000}"/>
    <cellStyle name="40% - Accent3 4 4 4 2" xfId="26097" xr:uid="{00000000-0005-0000-0000-000025580000}"/>
    <cellStyle name="40% - Accent3 4 4 4 2 2" xfId="26098" xr:uid="{00000000-0005-0000-0000-000026580000}"/>
    <cellStyle name="40% - Accent3 4 4 4 2 2 2" xfId="26099" xr:uid="{00000000-0005-0000-0000-000027580000}"/>
    <cellStyle name="40% - Accent3 4 4 4 2 3" xfId="26100" xr:uid="{00000000-0005-0000-0000-000028580000}"/>
    <cellStyle name="40% - Accent3 4 4 4 3" xfId="26101" xr:uid="{00000000-0005-0000-0000-000029580000}"/>
    <cellStyle name="40% - Accent3 4 4 4 3 2" xfId="26102" xr:uid="{00000000-0005-0000-0000-00002A580000}"/>
    <cellStyle name="40% - Accent3 4 4 4 4" xfId="26103" xr:uid="{00000000-0005-0000-0000-00002B580000}"/>
    <cellStyle name="40% - Accent3 4 4 4 5" xfId="26104" xr:uid="{00000000-0005-0000-0000-00002C580000}"/>
    <cellStyle name="40% - Accent3 4 4 4 6" xfId="26105" xr:uid="{00000000-0005-0000-0000-00002D580000}"/>
    <cellStyle name="40% - Accent3 4 4 5" xfId="26106" xr:uid="{00000000-0005-0000-0000-00002E580000}"/>
    <cellStyle name="40% - Accent3 4 4 5 2" xfId="26107" xr:uid="{00000000-0005-0000-0000-00002F580000}"/>
    <cellStyle name="40% - Accent3 4 4 5 2 2" xfId="26108" xr:uid="{00000000-0005-0000-0000-000030580000}"/>
    <cellStyle name="40% - Accent3 4 4 5 3" xfId="26109" xr:uid="{00000000-0005-0000-0000-000031580000}"/>
    <cellStyle name="40% - Accent3 4 4 6" xfId="26110" xr:uid="{00000000-0005-0000-0000-000032580000}"/>
    <cellStyle name="40% - Accent3 4 4 6 2" xfId="26111" xr:uid="{00000000-0005-0000-0000-000033580000}"/>
    <cellStyle name="40% - Accent3 4 4 6 2 2" xfId="26112" xr:uid="{00000000-0005-0000-0000-000034580000}"/>
    <cellStyle name="40% - Accent3 4 4 6 3" xfId="26113" xr:uid="{00000000-0005-0000-0000-000035580000}"/>
    <cellStyle name="40% - Accent3 4 4 7" xfId="26114" xr:uid="{00000000-0005-0000-0000-000036580000}"/>
    <cellStyle name="40% - Accent3 4 4 7 2" xfId="26115" xr:uid="{00000000-0005-0000-0000-000037580000}"/>
    <cellStyle name="40% - Accent3 4 4 8" xfId="26116" xr:uid="{00000000-0005-0000-0000-000038580000}"/>
    <cellStyle name="40% - Accent3 4 4 8 2" xfId="26117" xr:uid="{00000000-0005-0000-0000-000039580000}"/>
    <cellStyle name="40% - Accent3 4 4 9" xfId="26118" xr:uid="{00000000-0005-0000-0000-00003A580000}"/>
    <cellStyle name="40% - Accent3 4 5" xfId="26119" xr:uid="{00000000-0005-0000-0000-00003B580000}"/>
    <cellStyle name="40% - Accent3 4 5 10" xfId="26120" xr:uid="{00000000-0005-0000-0000-00003C580000}"/>
    <cellStyle name="40% - Accent3 4 5 11" xfId="26121" xr:uid="{00000000-0005-0000-0000-00003D580000}"/>
    <cellStyle name="40% - Accent3 4 5 2" xfId="26122" xr:uid="{00000000-0005-0000-0000-00003E580000}"/>
    <cellStyle name="40% - Accent3 4 5 2 2" xfId="26123" xr:uid="{00000000-0005-0000-0000-00003F580000}"/>
    <cellStyle name="40% - Accent3 4 5 2 2 2" xfId="26124" xr:uid="{00000000-0005-0000-0000-000040580000}"/>
    <cellStyle name="40% - Accent3 4 5 2 2 2 2" xfId="26125" xr:uid="{00000000-0005-0000-0000-000041580000}"/>
    <cellStyle name="40% - Accent3 4 5 2 2 2 2 2" xfId="26126" xr:uid="{00000000-0005-0000-0000-000042580000}"/>
    <cellStyle name="40% - Accent3 4 5 2 2 2 3" xfId="26127" xr:uid="{00000000-0005-0000-0000-000043580000}"/>
    <cellStyle name="40% - Accent3 4 5 2 2 3" xfId="26128" xr:uid="{00000000-0005-0000-0000-000044580000}"/>
    <cellStyle name="40% - Accent3 4 5 2 2 3 2" xfId="26129" xr:uid="{00000000-0005-0000-0000-000045580000}"/>
    <cellStyle name="40% - Accent3 4 5 2 2 4" xfId="26130" xr:uid="{00000000-0005-0000-0000-000046580000}"/>
    <cellStyle name="40% - Accent3 4 5 2 2 5" xfId="26131" xr:uid="{00000000-0005-0000-0000-000047580000}"/>
    <cellStyle name="40% - Accent3 4 5 2 2 6" xfId="26132" xr:uid="{00000000-0005-0000-0000-000048580000}"/>
    <cellStyle name="40% - Accent3 4 5 2 3" xfId="26133" xr:uid="{00000000-0005-0000-0000-000049580000}"/>
    <cellStyle name="40% - Accent3 4 5 2 3 2" xfId="26134" xr:uid="{00000000-0005-0000-0000-00004A580000}"/>
    <cellStyle name="40% - Accent3 4 5 2 3 2 2" xfId="26135" xr:uid="{00000000-0005-0000-0000-00004B580000}"/>
    <cellStyle name="40% - Accent3 4 5 2 3 3" xfId="26136" xr:uid="{00000000-0005-0000-0000-00004C580000}"/>
    <cellStyle name="40% - Accent3 4 5 2 4" xfId="26137" xr:uid="{00000000-0005-0000-0000-00004D580000}"/>
    <cellStyle name="40% - Accent3 4 5 2 4 2" xfId="26138" xr:uid="{00000000-0005-0000-0000-00004E580000}"/>
    <cellStyle name="40% - Accent3 4 5 2 5" xfId="26139" xr:uid="{00000000-0005-0000-0000-00004F580000}"/>
    <cellStyle name="40% - Accent3 4 5 2 5 2" xfId="26140" xr:uid="{00000000-0005-0000-0000-000050580000}"/>
    <cellStyle name="40% - Accent3 4 5 2 6" xfId="26141" xr:uid="{00000000-0005-0000-0000-000051580000}"/>
    <cellStyle name="40% - Accent3 4 5 2 7" xfId="26142" xr:uid="{00000000-0005-0000-0000-000052580000}"/>
    <cellStyle name="40% - Accent3 4 5 2 8" xfId="26143" xr:uid="{00000000-0005-0000-0000-000053580000}"/>
    <cellStyle name="40% - Accent3 4 5 3" xfId="26144" xr:uid="{00000000-0005-0000-0000-000054580000}"/>
    <cellStyle name="40% - Accent3 4 5 3 2" xfId="26145" xr:uid="{00000000-0005-0000-0000-000055580000}"/>
    <cellStyle name="40% - Accent3 4 5 3 2 2" xfId="26146" xr:uid="{00000000-0005-0000-0000-000056580000}"/>
    <cellStyle name="40% - Accent3 4 5 3 2 2 2" xfId="26147" xr:uid="{00000000-0005-0000-0000-000057580000}"/>
    <cellStyle name="40% - Accent3 4 5 3 2 2 2 2" xfId="26148" xr:uid="{00000000-0005-0000-0000-000058580000}"/>
    <cellStyle name="40% - Accent3 4 5 3 2 2 3" xfId="26149" xr:uid="{00000000-0005-0000-0000-000059580000}"/>
    <cellStyle name="40% - Accent3 4 5 3 2 3" xfId="26150" xr:uid="{00000000-0005-0000-0000-00005A580000}"/>
    <cellStyle name="40% - Accent3 4 5 3 2 3 2" xfId="26151" xr:uid="{00000000-0005-0000-0000-00005B580000}"/>
    <cellStyle name="40% - Accent3 4 5 3 2 4" xfId="26152" xr:uid="{00000000-0005-0000-0000-00005C580000}"/>
    <cellStyle name="40% - Accent3 4 5 3 2 5" xfId="26153" xr:uid="{00000000-0005-0000-0000-00005D580000}"/>
    <cellStyle name="40% - Accent3 4 5 3 2 6" xfId="26154" xr:uid="{00000000-0005-0000-0000-00005E580000}"/>
    <cellStyle name="40% - Accent3 4 5 3 3" xfId="26155" xr:uid="{00000000-0005-0000-0000-00005F580000}"/>
    <cellStyle name="40% - Accent3 4 5 3 3 2" xfId="26156" xr:uid="{00000000-0005-0000-0000-000060580000}"/>
    <cellStyle name="40% - Accent3 4 5 3 3 2 2" xfId="26157" xr:uid="{00000000-0005-0000-0000-000061580000}"/>
    <cellStyle name="40% - Accent3 4 5 3 3 3" xfId="26158" xr:uid="{00000000-0005-0000-0000-000062580000}"/>
    <cellStyle name="40% - Accent3 4 5 3 4" xfId="26159" xr:uid="{00000000-0005-0000-0000-000063580000}"/>
    <cellStyle name="40% - Accent3 4 5 3 4 2" xfId="26160" xr:uid="{00000000-0005-0000-0000-000064580000}"/>
    <cellStyle name="40% - Accent3 4 5 3 5" xfId="26161" xr:uid="{00000000-0005-0000-0000-000065580000}"/>
    <cellStyle name="40% - Accent3 4 5 3 6" xfId="26162" xr:uid="{00000000-0005-0000-0000-000066580000}"/>
    <cellStyle name="40% - Accent3 4 5 3 7" xfId="26163" xr:uid="{00000000-0005-0000-0000-000067580000}"/>
    <cellStyle name="40% - Accent3 4 5 4" xfId="26164" xr:uid="{00000000-0005-0000-0000-000068580000}"/>
    <cellStyle name="40% - Accent3 4 5 4 2" xfId="26165" xr:uid="{00000000-0005-0000-0000-000069580000}"/>
    <cellStyle name="40% - Accent3 4 5 4 2 2" xfId="26166" xr:uid="{00000000-0005-0000-0000-00006A580000}"/>
    <cellStyle name="40% - Accent3 4 5 4 2 2 2" xfId="26167" xr:uid="{00000000-0005-0000-0000-00006B580000}"/>
    <cellStyle name="40% - Accent3 4 5 4 2 3" xfId="26168" xr:uid="{00000000-0005-0000-0000-00006C580000}"/>
    <cellStyle name="40% - Accent3 4 5 4 3" xfId="26169" xr:uid="{00000000-0005-0000-0000-00006D580000}"/>
    <cellStyle name="40% - Accent3 4 5 4 3 2" xfId="26170" xr:uid="{00000000-0005-0000-0000-00006E580000}"/>
    <cellStyle name="40% - Accent3 4 5 4 4" xfId="26171" xr:uid="{00000000-0005-0000-0000-00006F580000}"/>
    <cellStyle name="40% - Accent3 4 5 4 5" xfId="26172" xr:uid="{00000000-0005-0000-0000-000070580000}"/>
    <cellStyle name="40% - Accent3 4 5 4 6" xfId="26173" xr:uid="{00000000-0005-0000-0000-000071580000}"/>
    <cellStyle name="40% - Accent3 4 5 5" xfId="26174" xr:uid="{00000000-0005-0000-0000-000072580000}"/>
    <cellStyle name="40% - Accent3 4 5 5 2" xfId="26175" xr:uid="{00000000-0005-0000-0000-000073580000}"/>
    <cellStyle name="40% - Accent3 4 5 5 2 2" xfId="26176" xr:uid="{00000000-0005-0000-0000-000074580000}"/>
    <cellStyle name="40% - Accent3 4 5 5 3" xfId="26177" xr:uid="{00000000-0005-0000-0000-000075580000}"/>
    <cellStyle name="40% - Accent3 4 5 6" xfId="26178" xr:uid="{00000000-0005-0000-0000-000076580000}"/>
    <cellStyle name="40% - Accent3 4 5 6 2" xfId="26179" xr:uid="{00000000-0005-0000-0000-000077580000}"/>
    <cellStyle name="40% - Accent3 4 5 6 2 2" xfId="26180" xr:uid="{00000000-0005-0000-0000-000078580000}"/>
    <cellStyle name="40% - Accent3 4 5 6 3" xfId="26181" xr:uid="{00000000-0005-0000-0000-000079580000}"/>
    <cellStyle name="40% - Accent3 4 5 7" xfId="26182" xr:uid="{00000000-0005-0000-0000-00007A580000}"/>
    <cellStyle name="40% - Accent3 4 5 7 2" xfId="26183" xr:uid="{00000000-0005-0000-0000-00007B580000}"/>
    <cellStyle name="40% - Accent3 4 5 8" xfId="26184" xr:uid="{00000000-0005-0000-0000-00007C580000}"/>
    <cellStyle name="40% - Accent3 4 5 8 2" xfId="26185" xr:uid="{00000000-0005-0000-0000-00007D580000}"/>
    <cellStyle name="40% - Accent3 4 5 9" xfId="26186" xr:uid="{00000000-0005-0000-0000-00007E580000}"/>
    <cellStyle name="40% - Accent3 4 6" xfId="26187" xr:uid="{00000000-0005-0000-0000-00007F580000}"/>
    <cellStyle name="40% - Accent3 4 6 10" xfId="26188" xr:uid="{00000000-0005-0000-0000-000080580000}"/>
    <cellStyle name="40% - Accent3 4 6 11" xfId="26189" xr:uid="{00000000-0005-0000-0000-000081580000}"/>
    <cellStyle name="40% - Accent3 4 6 2" xfId="26190" xr:uid="{00000000-0005-0000-0000-000082580000}"/>
    <cellStyle name="40% - Accent3 4 6 2 2" xfId="26191" xr:uid="{00000000-0005-0000-0000-000083580000}"/>
    <cellStyle name="40% - Accent3 4 6 2 2 2" xfId="26192" xr:uid="{00000000-0005-0000-0000-000084580000}"/>
    <cellStyle name="40% - Accent3 4 6 2 2 2 2" xfId="26193" xr:uid="{00000000-0005-0000-0000-000085580000}"/>
    <cellStyle name="40% - Accent3 4 6 2 2 2 2 2" xfId="26194" xr:uid="{00000000-0005-0000-0000-000086580000}"/>
    <cellStyle name="40% - Accent3 4 6 2 2 2 3" xfId="26195" xr:uid="{00000000-0005-0000-0000-000087580000}"/>
    <cellStyle name="40% - Accent3 4 6 2 2 3" xfId="26196" xr:uid="{00000000-0005-0000-0000-000088580000}"/>
    <cellStyle name="40% - Accent3 4 6 2 2 3 2" xfId="26197" xr:uid="{00000000-0005-0000-0000-000089580000}"/>
    <cellStyle name="40% - Accent3 4 6 2 2 4" xfId="26198" xr:uid="{00000000-0005-0000-0000-00008A580000}"/>
    <cellStyle name="40% - Accent3 4 6 2 2 5" xfId="26199" xr:uid="{00000000-0005-0000-0000-00008B580000}"/>
    <cellStyle name="40% - Accent3 4 6 2 2 6" xfId="26200" xr:uid="{00000000-0005-0000-0000-00008C580000}"/>
    <cellStyle name="40% - Accent3 4 6 2 3" xfId="26201" xr:uid="{00000000-0005-0000-0000-00008D580000}"/>
    <cellStyle name="40% - Accent3 4 6 2 3 2" xfId="26202" xr:uid="{00000000-0005-0000-0000-00008E580000}"/>
    <cellStyle name="40% - Accent3 4 6 2 3 2 2" xfId="26203" xr:uid="{00000000-0005-0000-0000-00008F580000}"/>
    <cellStyle name="40% - Accent3 4 6 2 3 3" xfId="26204" xr:uid="{00000000-0005-0000-0000-000090580000}"/>
    <cellStyle name="40% - Accent3 4 6 2 4" xfId="26205" xr:uid="{00000000-0005-0000-0000-000091580000}"/>
    <cellStyle name="40% - Accent3 4 6 2 4 2" xfId="26206" xr:uid="{00000000-0005-0000-0000-000092580000}"/>
    <cellStyle name="40% - Accent3 4 6 2 5" xfId="26207" xr:uid="{00000000-0005-0000-0000-000093580000}"/>
    <cellStyle name="40% - Accent3 4 6 2 5 2" xfId="26208" xr:uid="{00000000-0005-0000-0000-000094580000}"/>
    <cellStyle name="40% - Accent3 4 6 2 6" xfId="26209" xr:uid="{00000000-0005-0000-0000-000095580000}"/>
    <cellStyle name="40% - Accent3 4 6 2 7" xfId="26210" xr:uid="{00000000-0005-0000-0000-000096580000}"/>
    <cellStyle name="40% - Accent3 4 6 2 8" xfId="26211" xr:uid="{00000000-0005-0000-0000-000097580000}"/>
    <cellStyle name="40% - Accent3 4 6 3" xfId="26212" xr:uid="{00000000-0005-0000-0000-000098580000}"/>
    <cellStyle name="40% - Accent3 4 6 3 2" xfId="26213" xr:uid="{00000000-0005-0000-0000-000099580000}"/>
    <cellStyle name="40% - Accent3 4 6 3 2 2" xfId="26214" xr:uid="{00000000-0005-0000-0000-00009A580000}"/>
    <cellStyle name="40% - Accent3 4 6 3 2 2 2" xfId="26215" xr:uid="{00000000-0005-0000-0000-00009B580000}"/>
    <cellStyle name="40% - Accent3 4 6 3 2 2 2 2" xfId="26216" xr:uid="{00000000-0005-0000-0000-00009C580000}"/>
    <cellStyle name="40% - Accent3 4 6 3 2 2 3" xfId="26217" xr:uid="{00000000-0005-0000-0000-00009D580000}"/>
    <cellStyle name="40% - Accent3 4 6 3 2 3" xfId="26218" xr:uid="{00000000-0005-0000-0000-00009E580000}"/>
    <cellStyle name="40% - Accent3 4 6 3 2 3 2" xfId="26219" xr:uid="{00000000-0005-0000-0000-00009F580000}"/>
    <cellStyle name="40% - Accent3 4 6 3 2 4" xfId="26220" xr:uid="{00000000-0005-0000-0000-0000A0580000}"/>
    <cellStyle name="40% - Accent3 4 6 3 2 5" xfId="26221" xr:uid="{00000000-0005-0000-0000-0000A1580000}"/>
    <cellStyle name="40% - Accent3 4 6 3 2 6" xfId="26222" xr:uid="{00000000-0005-0000-0000-0000A2580000}"/>
    <cellStyle name="40% - Accent3 4 6 3 3" xfId="26223" xr:uid="{00000000-0005-0000-0000-0000A3580000}"/>
    <cellStyle name="40% - Accent3 4 6 3 3 2" xfId="26224" xr:uid="{00000000-0005-0000-0000-0000A4580000}"/>
    <cellStyle name="40% - Accent3 4 6 3 3 2 2" xfId="26225" xr:uid="{00000000-0005-0000-0000-0000A5580000}"/>
    <cellStyle name="40% - Accent3 4 6 3 3 3" xfId="26226" xr:uid="{00000000-0005-0000-0000-0000A6580000}"/>
    <cellStyle name="40% - Accent3 4 6 3 4" xfId="26227" xr:uid="{00000000-0005-0000-0000-0000A7580000}"/>
    <cellStyle name="40% - Accent3 4 6 3 4 2" xfId="26228" xr:uid="{00000000-0005-0000-0000-0000A8580000}"/>
    <cellStyle name="40% - Accent3 4 6 3 5" xfId="26229" xr:uid="{00000000-0005-0000-0000-0000A9580000}"/>
    <cellStyle name="40% - Accent3 4 6 3 6" xfId="26230" xr:uid="{00000000-0005-0000-0000-0000AA580000}"/>
    <cellStyle name="40% - Accent3 4 6 3 7" xfId="26231" xr:uid="{00000000-0005-0000-0000-0000AB580000}"/>
    <cellStyle name="40% - Accent3 4 6 4" xfId="26232" xr:uid="{00000000-0005-0000-0000-0000AC580000}"/>
    <cellStyle name="40% - Accent3 4 6 4 2" xfId="26233" xr:uid="{00000000-0005-0000-0000-0000AD580000}"/>
    <cellStyle name="40% - Accent3 4 6 4 2 2" xfId="26234" xr:uid="{00000000-0005-0000-0000-0000AE580000}"/>
    <cellStyle name="40% - Accent3 4 6 4 2 2 2" xfId="26235" xr:uid="{00000000-0005-0000-0000-0000AF580000}"/>
    <cellStyle name="40% - Accent3 4 6 4 2 3" xfId="26236" xr:uid="{00000000-0005-0000-0000-0000B0580000}"/>
    <cellStyle name="40% - Accent3 4 6 4 3" xfId="26237" xr:uid="{00000000-0005-0000-0000-0000B1580000}"/>
    <cellStyle name="40% - Accent3 4 6 4 3 2" xfId="26238" xr:uid="{00000000-0005-0000-0000-0000B2580000}"/>
    <cellStyle name="40% - Accent3 4 6 4 4" xfId="26239" xr:uid="{00000000-0005-0000-0000-0000B3580000}"/>
    <cellStyle name="40% - Accent3 4 6 4 5" xfId="26240" xr:uid="{00000000-0005-0000-0000-0000B4580000}"/>
    <cellStyle name="40% - Accent3 4 6 4 6" xfId="26241" xr:uid="{00000000-0005-0000-0000-0000B5580000}"/>
    <cellStyle name="40% - Accent3 4 6 5" xfId="26242" xr:uid="{00000000-0005-0000-0000-0000B6580000}"/>
    <cellStyle name="40% - Accent3 4 6 5 2" xfId="26243" xr:uid="{00000000-0005-0000-0000-0000B7580000}"/>
    <cellStyle name="40% - Accent3 4 6 5 2 2" xfId="26244" xr:uid="{00000000-0005-0000-0000-0000B8580000}"/>
    <cellStyle name="40% - Accent3 4 6 5 3" xfId="26245" xr:uid="{00000000-0005-0000-0000-0000B9580000}"/>
    <cellStyle name="40% - Accent3 4 6 6" xfId="26246" xr:uid="{00000000-0005-0000-0000-0000BA580000}"/>
    <cellStyle name="40% - Accent3 4 6 6 2" xfId="26247" xr:uid="{00000000-0005-0000-0000-0000BB580000}"/>
    <cellStyle name="40% - Accent3 4 6 6 2 2" xfId="26248" xr:uid="{00000000-0005-0000-0000-0000BC580000}"/>
    <cellStyle name="40% - Accent3 4 6 6 3" xfId="26249" xr:uid="{00000000-0005-0000-0000-0000BD580000}"/>
    <cellStyle name="40% - Accent3 4 6 7" xfId="26250" xr:uid="{00000000-0005-0000-0000-0000BE580000}"/>
    <cellStyle name="40% - Accent3 4 6 7 2" xfId="26251" xr:uid="{00000000-0005-0000-0000-0000BF580000}"/>
    <cellStyle name="40% - Accent3 4 6 8" xfId="26252" xr:uid="{00000000-0005-0000-0000-0000C0580000}"/>
    <cellStyle name="40% - Accent3 4 6 8 2" xfId="26253" xr:uid="{00000000-0005-0000-0000-0000C1580000}"/>
    <cellStyle name="40% - Accent3 4 6 9" xfId="26254" xr:uid="{00000000-0005-0000-0000-0000C2580000}"/>
    <cellStyle name="40% - Accent3 4 7" xfId="26255" xr:uid="{00000000-0005-0000-0000-0000C3580000}"/>
    <cellStyle name="40% - Accent3 4 7 10" xfId="26256" xr:uid="{00000000-0005-0000-0000-0000C4580000}"/>
    <cellStyle name="40% - Accent3 4 7 11" xfId="26257" xr:uid="{00000000-0005-0000-0000-0000C5580000}"/>
    <cellStyle name="40% - Accent3 4 7 2" xfId="26258" xr:uid="{00000000-0005-0000-0000-0000C6580000}"/>
    <cellStyle name="40% - Accent3 4 7 2 2" xfId="26259" xr:uid="{00000000-0005-0000-0000-0000C7580000}"/>
    <cellStyle name="40% - Accent3 4 7 2 2 2" xfId="26260" xr:uid="{00000000-0005-0000-0000-0000C8580000}"/>
    <cellStyle name="40% - Accent3 4 7 2 2 2 2" xfId="26261" xr:uid="{00000000-0005-0000-0000-0000C9580000}"/>
    <cellStyle name="40% - Accent3 4 7 2 2 2 2 2" xfId="26262" xr:uid="{00000000-0005-0000-0000-0000CA580000}"/>
    <cellStyle name="40% - Accent3 4 7 2 2 2 3" xfId="26263" xr:uid="{00000000-0005-0000-0000-0000CB580000}"/>
    <cellStyle name="40% - Accent3 4 7 2 2 3" xfId="26264" xr:uid="{00000000-0005-0000-0000-0000CC580000}"/>
    <cellStyle name="40% - Accent3 4 7 2 2 3 2" xfId="26265" xr:uid="{00000000-0005-0000-0000-0000CD580000}"/>
    <cellStyle name="40% - Accent3 4 7 2 2 4" xfId="26266" xr:uid="{00000000-0005-0000-0000-0000CE580000}"/>
    <cellStyle name="40% - Accent3 4 7 2 2 5" xfId="26267" xr:uid="{00000000-0005-0000-0000-0000CF580000}"/>
    <cellStyle name="40% - Accent3 4 7 2 2 6" xfId="26268" xr:uid="{00000000-0005-0000-0000-0000D0580000}"/>
    <cellStyle name="40% - Accent3 4 7 2 3" xfId="26269" xr:uid="{00000000-0005-0000-0000-0000D1580000}"/>
    <cellStyle name="40% - Accent3 4 7 2 3 2" xfId="26270" xr:uid="{00000000-0005-0000-0000-0000D2580000}"/>
    <cellStyle name="40% - Accent3 4 7 2 3 2 2" xfId="26271" xr:uid="{00000000-0005-0000-0000-0000D3580000}"/>
    <cellStyle name="40% - Accent3 4 7 2 3 3" xfId="26272" xr:uid="{00000000-0005-0000-0000-0000D4580000}"/>
    <cellStyle name="40% - Accent3 4 7 2 4" xfId="26273" xr:uid="{00000000-0005-0000-0000-0000D5580000}"/>
    <cellStyle name="40% - Accent3 4 7 2 4 2" xfId="26274" xr:uid="{00000000-0005-0000-0000-0000D6580000}"/>
    <cellStyle name="40% - Accent3 4 7 2 5" xfId="26275" xr:uid="{00000000-0005-0000-0000-0000D7580000}"/>
    <cellStyle name="40% - Accent3 4 7 2 5 2" xfId="26276" xr:uid="{00000000-0005-0000-0000-0000D8580000}"/>
    <cellStyle name="40% - Accent3 4 7 2 6" xfId="26277" xr:uid="{00000000-0005-0000-0000-0000D9580000}"/>
    <cellStyle name="40% - Accent3 4 7 2 7" xfId="26278" xr:uid="{00000000-0005-0000-0000-0000DA580000}"/>
    <cellStyle name="40% - Accent3 4 7 2 8" xfId="26279" xr:uid="{00000000-0005-0000-0000-0000DB580000}"/>
    <cellStyle name="40% - Accent3 4 7 3" xfId="26280" xr:uid="{00000000-0005-0000-0000-0000DC580000}"/>
    <cellStyle name="40% - Accent3 4 7 3 2" xfId="26281" xr:uid="{00000000-0005-0000-0000-0000DD580000}"/>
    <cellStyle name="40% - Accent3 4 7 3 2 2" xfId="26282" xr:uid="{00000000-0005-0000-0000-0000DE580000}"/>
    <cellStyle name="40% - Accent3 4 7 3 2 2 2" xfId="26283" xr:uid="{00000000-0005-0000-0000-0000DF580000}"/>
    <cellStyle name="40% - Accent3 4 7 3 2 2 2 2" xfId="26284" xr:uid="{00000000-0005-0000-0000-0000E0580000}"/>
    <cellStyle name="40% - Accent3 4 7 3 2 2 3" xfId="26285" xr:uid="{00000000-0005-0000-0000-0000E1580000}"/>
    <cellStyle name="40% - Accent3 4 7 3 2 3" xfId="26286" xr:uid="{00000000-0005-0000-0000-0000E2580000}"/>
    <cellStyle name="40% - Accent3 4 7 3 2 3 2" xfId="26287" xr:uid="{00000000-0005-0000-0000-0000E3580000}"/>
    <cellStyle name="40% - Accent3 4 7 3 2 4" xfId="26288" xr:uid="{00000000-0005-0000-0000-0000E4580000}"/>
    <cellStyle name="40% - Accent3 4 7 3 2 5" xfId="26289" xr:uid="{00000000-0005-0000-0000-0000E5580000}"/>
    <cellStyle name="40% - Accent3 4 7 3 2 6" xfId="26290" xr:uid="{00000000-0005-0000-0000-0000E6580000}"/>
    <cellStyle name="40% - Accent3 4 7 3 3" xfId="26291" xr:uid="{00000000-0005-0000-0000-0000E7580000}"/>
    <cellStyle name="40% - Accent3 4 7 3 3 2" xfId="26292" xr:uid="{00000000-0005-0000-0000-0000E8580000}"/>
    <cellStyle name="40% - Accent3 4 7 3 3 2 2" xfId="26293" xr:uid="{00000000-0005-0000-0000-0000E9580000}"/>
    <cellStyle name="40% - Accent3 4 7 3 3 3" xfId="26294" xr:uid="{00000000-0005-0000-0000-0000EA580000}"/>
    <cellStyle name="40% - Accent3 4 7 3 4" xfId="26295" xr:uid="{00000000-0005-0000-0000-0000EB580000}"/>
    <cellStyle name="40% - Accent3 4 7 3 4 2" xfId="26296" xr:uid="{00000000-0005-0000-0000-0000EC580000}"/>
    <cellStyle name="40% - Accent3 4 7 3 5" xfId="26297" xr:uid="{00000000-0005-0000-0000-0000ED580000}"/>
    <cellStyle name="40% - Accent3 4 7 3 6" xfId="26298" xr:uid="{00000000-0005-0000-0000-0000EE580000}"/>
    <cellStyle name="40% - Accent3 4 7 3 7" xfId="26299" xr:uid="{00000000-0005-0000-0000-0000EF580000}"/>
    <cellStyle name="40% - Accent3 4 7 4" xfId="26300" xr:uid="{00000000-0005-0000-0000-0000F0580000}"/>
    <cellStyle name="40% - Accent3 4 7 4 2" xfId="26301" xr:uid="{00000000-0005-0000-0000-0000F1580000}"/>
    <cellStyle name="40% - Accent3 4 7 4 2 2" xfId="26302" xr:uid="{00000000-0005-0000-0000-0000F2580000}"/>
    <cellStyle name="40% - Accent3 4 7 4 2 2 2" xfId="26303" xr:uid="{00000000-0005-0000-0000-0000F3580000}"/>
    <cellStyle name="40% - Accent3 4 7 4 2 3" xfId="26304" xr:uid="{00000000-0005-0000-0000-0000F4580000}"/>
    <cellStyle name="40% - Accent3 4 7 4 3" xfId="26305" xr:uid="{00000000-0005-0000-0000-0000F5580000}"/>
    <cellStyle name="40% - Accent3 4 7 4 3 2" xfId="26306" xr:uid="{00000000-0005-0000-0000-0000F6580000}"/>
    <cellStyle name="40% - Accent3 4 7 4 4" xfId="26307" xr:uid="{00000000-0005-0000-0000-0000F7580000}"/>
    <cellStyle name="40% - Accent3 4 7 4 5" xfId="26308" xr:uid="{00000000-0005-0000-0000-0000F8580000}"/>
    <cellStyle name="40% - Accent3 4 7 4 6" xfId="26309" xr:uid="{00000000-0005-0000-0000-0000F9580000}"/>
    <cellStyle name="40% - Accent3 4 7 5" xfId="26310" xr:uid="{00000000-0005-0000-0000-0000FA580000}"/>
    <cellStyle name="40% - Accent3 4 7 5 2" xfId="26311" xr:uid="{00000000-0005-0000-0000-0000FB580000}"/>
    <cellStyle name="40% - Accent3 4 7 5 2 2" xfId="26312" xr:uid="{00000000-0005-0000-0000-0000FC580000}"/>
    <cellStyle name="40% - Accent3 4 7 5 3" xfId="26313" xr:uid="{00000000-0005-0000-0000-0000FD580000}"/>
    <cellStyle name="40% - Accent3 4 7 6" xfId="26314" xr:uid="{00000000-0005-0000-0000-0000FE580000}"/>
    <cellStyle name="40% - Accent3 4 7 6 2" xfId="26315" xr:uid="{00000000-0005-0000-0000-0000FF580000}"/>
    <cellStyle name="40% - Accent3 4 7 6 2 2" xfId="26316" xr:uid="{00000000-0005-0000-0000-000000590000}"/>
    <cellStyle name="40% - Accent3 4 7 6 3" xfId="26317" xr:uid="{00000000-0005-0000-0000-000001590000}"/>
    <cellStyle name="40% - Accent3 4 7 7" xfId="26318" xr:uid="{00000000-0005-0000-0000-000002590000}"/>
    <cellStyle name="40% - Accent3 4 7 7 2" xfId="26319" xr:uid="{00000000-0005-0000-0000-000003590000}"/>
    <cellStyle name="40% - Accent3 4 7 8" xfId="26320" xr:uid="{00000000-0005-0000-0000-000004590000}"/>
    <cellStyle name="40% - Accent3 4 7 8 2" xfId="26321" xr:uid="{00000000-0005-0000-0000-000005590000}"/>
    <cellStyle name="40% - Accent3 4 7 9" xfId="26322" xr:uid="{00000000-0005-0000-0000-000006590000}"/>
    <cellStyle name="40% - Accent3 4 8" xfId="26323" xr:uid="{00000000-0005-0000-0000-000007590000}"/>
    <cellStyle name="40% - Accent3 4 8 10" xfId="26324" xr:uid="{00000000-0005-0000-0000-000008590000}"/>
    <cellStyle name="40% - Accent3 4 8 11" xfId="26325" xr:uid="{00000000-0005-0000-0000-000009590000}"/>
    <cellStyle name="40% - Accent3 4 8 2" xfId="26326" xr:uid="{00000000-0005-0000-0000-00000A590000}"/>
    <cellStyle name="40% - Accent3 4 8 2 2" xfId="26327" xr:uid="{00000000-0005-0000-0000-00000B590000}"/>
    <cellStyle name="40% - Accent3 4 8 2 2 2" xfId="26328" xr:uid="{00000000-0005-0000-0000-00000C590000}"/>
    <cellStyle name="40% - Accent3 4 8 2 2 2 2" xfId="26329" xr:uid="{00000000-0005-0000-0000-00000D590000}"/>
    <cellStyle name="40% - Accent3 4 8 2 2 2 2 2" xfId="26330" xr:uid="{00000000-0005-0000-0000-00000E590000}"/>
    <cellStyle name="40% - Accent3 4 8 2 2 2 3" xfId="26331" xr:uid="{00000000-0005-0000-0000-00000F590000}"/>
    <cellStyle name="40% - Accent3 4 8 2 2 3" xfId="26332" xr:uid="{00000000-0005-0000-0000-000010590000}"/>
    <cellStyle name="40% - Accent3 4 8 2 2 3 2" xfId="26333" xr:uid="{00000000-0005-0000-0000-000011590000}"/>
    <cellStyle name="40% - Accent3 4 8 2 2 4" xfId="26334" xr:uid="{00000000-0005-0000-0000-000012590000}"/>
    <cellStyle name="40% - Accent3 4 8 2 2 5" xfId="26335" xr:uid="{00000000-0005-0000-0000-000013590000}"/>
    <cellStyle name="40% - Accent3 4 8 2 2 6" xfId="26336" xr:uid="{00000000-0005-0000-0000-000014590000}"/>
    <cellStyle name="40% - Accent3 4 8 2 3" xfId="26337" xr:uid="{00000000-0005-0000-0000-000015590000}"/>
    <cellStyle name="40% - Accent3 4 8 2 3 2" xfId="26338" xr:uid="{00000000-0005-0000-0000-000016590000}"/>
    <cellStyle name="40% - Accent3 4 8 2 3 2 2" xfId="26339" xr:uid="{00000000-0005-0000-0000-000017590000}"/>
    <cellStyle name="40% - Accent3 4 8 2 3 3" xfId="26340" xr:uid="{00000000-0005-0000-0000-000018590000}"/>
    <cellStyle name="40% - Accent3 4 8 2 4" xfId="26341" xr:uid="{00000000-0005-0000-0000-000019590000}"/>
    <cellStyle name="40% - Accent3 4 8 2 4 2" xfId="26342" xr:uid="{00000000-0005-0000-0000-00001A590000}"/>
    <cellStyle name="40% - Accent3 4 8 2 5" xfId="26343" xr:uid="{00000000-0005-0000-0000-00001B590000}"/>
    <cellStyle name="40% - Accent3 4 8 2 5 2" xfId="26344" xr:uid="{00000000-0005-0000-0000-00001C590000}"/>
    <cellStyle name="40% - Accent3 4 8 2 6" xfId="26345" xr:uid="{00000000-0005-0000-0000-00001D590000}"/>
    <cellStyle name="40% - Accent3 4 8 2 7" xfId="26346" xr:uid="{00000000-0005-0000-0000-00001E590000}"/>
    <cellStyle name="40% - Accent3 4 8 2 8" xfId="26347" xr:uid="{00000000-0005-0000-0000-00001F590000}"/>
    <cellStyle name="40% - Accent3 4 8 3" xfId="26348" xr:uid="{00000000-0005-0000-0000-000020590000}"/>
    <cellStyle name="40% - Accent3 4 8 3 2" xfId="26349" xr:uid="{00000000-0005-0000-0000-000021590000}"/>
    <cellStyle name="40% - Accent3 4 8 3 2 2" xfId="26350" xr:uid="{00000000-0005-0000-0000-000022590000}"/>
    <cellStyle name="40% - Accent3 4 8 3 2 2 2" xfId="26351" xr:uid="{00000000-0005-0000-0000-000023590000}"/>
    <cellStyle name="40% - Accent3 4 8 3 2 2 2 2" xfId="26352" xr:uid="{00000000-0005-0000-0000-000024590000}"/>
    <cellStyle name="40% - Accent3 4 8 3 2 2 3" xfId="26353" xr:uid="{00000000-0005-0000-0000-000025590000}"/>
    <cellStyle name="40% - Accent3 4 8 3 2 3" xfId="26354" xr:uid="{00000000-0005-0000-0000-000026590000}"/>
    <cellStyle name="40% - Accent3 4 8 3 2 3 2" xfId="26355" xr:uid="{00000000-0005-0000-0000-000027590000}"/>
    <cellStyle name="40% - Accent3 4 8 3 2 4" xfId="26356" xr:uid="{00000000-0005-0000-0000-000028590000}"/>
    <cellStyle name="40% - Accent3 4 8 3 2 5" xfId="26357" xr:uid="{00000000-0005-0000-0000-000029590000}"/>
    <cellStyle name="40% - Accent3 4 8 3 2 6" xfId="26358" xr:uid="{00000000-0005-0000-0000-00002A590000}"/>
    <cellStyle name="40% - Accent3 4 8 3 3" xfId="26359" xr:uid="{00000000-0005-0000-0000-00002B590000}"/>
    <cellStyle name="40% - Accent3 4 8 3 3 2" xfId="26360" xr:uid="{00000000-0005-0000-0000-00002C590000}"/>
    <cellStyle name="40% - Accent3 4 8 3 3 2 2" xfId="26361" xr:uid="{00000000-0005-0000-0000-00002D590000}"/>
    <cellStyle name="40% - Accent3 4 8 3 3 3" xfId="26362" xr:uid="{00000000-0005-0000-0000-00002E590000}"/>
    <cellStyle name="40% - Accent3 4 8 3 4" xfId="26363" xr:uid="{00000000-0005-0000-0000-00002F590000}"/>
    <cellStyle name="40% - Accent3 4 8 3 4 2" xfId="26364" xr:uid="{00000000-0005-0000-0000-000030590000}"/>
    <cellStyle name="40% - Accent3 4 8 3 5" xfId="26365" xr:uid="{00000000-0005-0000-0000-000031590000}"/>
    <cellStyle name="40% - Accent3 4 8 3 6" xfId="26366" xr:uid="{00000000-0005-0000-0000-000032590000}"/>
    <cellStyle name="40% - Accent3 4 8 3 7" xfId="26367" xr:uid="{00000000-0005-0000-0000-000033590000}"/>
    <cellStyle name="40% - Accent3 4 8 4" xfId="26368" xr:uid="{00000000-0005-0000-0000-000034590000}"/>
    <cellStyle name="40% - Accent3 4 8 4 2" xfId="26369" xr:uid="{00000000-0005-0000-0000-000035590000}"/>
    <cellStyle name="40% - Accent3 4 8 4 2 2" xfId="26370" xr:uid="{00000000-0005-0000-0000-000036590000}"/>
    <cellStyle name="40% - Accent3 4 8 4 2 2 2" xfId="26371" xr:uid="{00000000-0005-0000-0000-000037590000}"/>
    <cellStyle name="40% - Accent3 4 8 4 2 3" xfId="26372" xr:uid="{00000000-0005-0000-0000-000038590000}"/>
    <cellStyle name="40% - Accent3 4 8 4 3" xfId="26373" xr:uid="{00000000-0005-0000-0000-000039590000}"/>
    <cellStyle name="40% - Accent3 4 8 4 3 2" xfId="26374" xr:uid="{00000000-0005-0000-0000-00003A590000}"/>
    <cellStyle name="40% - Accent3 4 8 4 4" xfId="26375" xr:uid="{00000000-0005-0000-0000-00003B590000}"/>
    <cellStyle name="40% - Accent3 4 8 4 5" xfId="26376" xr:uid="{00000000-0005-0000-0000-00003C590000}"/>
    <cellStyle name="40% - Accent3 4 8 4 6" xfId="26377" xr:uid="{00000000-0005-0000-0000-00003D590000}"/>
    <cellStyle name="40% - Accent3 4 8 5" xfId="26378" xr:uid="{00000000-0005-0000-0000-00003E590000}"/>
    <cellStyle name="40% - Accent3 4 8 5 2" xfId="26379" xr:uid="{00000000-0005-0000-0000-00003F590000}"/>
    <cellStyle name="40% - Accent3 4 8 5 2 2" xfId="26380" xr:uid="{00000000-0005-0000-0000-000040590000}"/>
    <cellStyle name="40% - Accent3 4 8 5 3" xfId="26381" xr:uid="{00000000-0005-0000-0000-000041590000}"/>
    <cellStyle name="40% - Accent3 4 8 6" xfId="26382" xr:uid="{00000000-0005-0000-0000-000042590000}"/>
    <cellStyle name="40% - Accent3 4 8 6 2" xfId="26383" xr:uid="{00000000-0005-0000-0000-000043590000}"/>
    <cellStyle name="40% - Accent3 4 8 6 2 2" xfId="26384" xr:uid="{00000000-0005-0000-0000-000044590000}"/>
    <cellStyle name="40% - Accent3 4 8 6 3" xfId="26385" xr:uid="{00000000-0005-0000-0000-000045590000}"/>
    <cellStyle name="40% - Accent3 4 8 7" xfId="26386" xr:uid="{00000000-0005-0000-0000-000046590000}"/>
    <cellStyle name="40% - Accent3 4 8 7 2" xfId="26387" xr:uid="{00000000-0005-0000-0000-000047590000}"/>
    <cellStyle name="40% - Accent3 4 8 8" xfId="26388" xr:uid="{00000000-0005-0000-0000-000048590000}"/>
    <cellStyle name="40% - Accent3 4 8 8 2" xfId="26389" xr:uid="{00000000-0005-0000-0000-000049590000}"/>
    <cellStyle name="40% - Accent3 4 8 9" xfId="26390" xr:uid="{00000000-0005-0000-0000-00004A590000}"/>
    <cellStyle name="40% - Accent3 4 9" xfId="26391" xr:uid="{00000000-0005-0000-0000-00004B590000}"/>
    <cellStyle name="40% - Accent3 4 9 10" xfId="26392" xr:uid="{00000000-0005-0000-0000-00004C590000}"/>
    <cellStyle name="40% - Accent3 4 9 2" xfId="26393" xr:uid="{00000000-0005-0000-0000-00004D590000}"/>
    <cellStyle name="40% - Accent3 4 9 2 2" xfId="26394" xr:uid="{00000000-0005-0000-0000-00004E590000}"/>
    <cellStyle name="40% - Accent3 4 9 2 2 2" xfId="26395" xr:uid="{00000000-0005-0000-0000-00004F590000}"/>
    <cellStyle name="40% - Accent3 4 9 2 2 2 2" xfId="26396" xr:uid="{00000000-0005-0000-0000-000050590000}"/>
    <cellStyle name="40% - Accent3 4 9 2 2 2 2 2" xfId="26397" xr:uid="{00000000-0005-0000-0000-000051590000}"/>
    <cellStyle name="40% - Accent3 4 9 2 2 2 3" xfId="26398" xr:uid="{00000000-0005-0000-0000-000052590000}"/>
    <cellStyle name="40% - Accent3 4 9 2 2 3" xfId="26399" xr:uid="{00000000-0005-0000-0000-000053590000}"/>
    <cellStyle name="40% - Accent3 4 9 2 2 3 2" xfId="26400" xr:uid="{00000000-0005-0000-0000-000054590000}"/>
    <cellStyle name="40% - Accent3 4 9 2 2 4" xfId="26401" xr:uid="{00000000-0005-0000-0000-000055590000}"/>
    <cellStyle name="40% - Accent3 4 9 2 2 5" xfId="26402" xr:uid="{00000000-0005-0000-0000-000056590000}"/>
    <cellStyle name="40% - Accent3 4 9 2 2 6" xfId="26403" xr:uid="{00000000-0005-0000-0000-000057590000}"/>
    <cellStyle name="40% - Accent3 4 9 2 3" xfId="26404" xr:uid="{00000000-0005-0000-0000-000058590000}"/>
    <cellStyle name="40% - Accent3 4 9 2 3 2" xfId="26405" xr:uid="{00000000-0005-0000-0000-000059590000}"/>
    <cellStyle name="40% - Accent3 4 9 2 3 2 2" xfId="26406" xr:uid="{00000000-0005-0000-0000-00005A590000}"/>
    <cellStyle name="40% - Accent3 4 9 2 3 3" xfId="26407" xr:uid="{00000000-0005-0000-0000-00005B590000}"/>
    <cellStyle name="40% - Accent3 4 9 2 4" xfId="26408" xr:uid="{00000000-0005-0000-0000-00005C590000}"/>
    <cellStyle name="40% - Accent3 4 9 2 4 2" xfId="26409" xr:uid="{00000000-0005-0000-0000-00005D590000}"/>
    <cellStyle name="40% - Accent3 4 9 2 5" xfId="26410" xr:uid="{00000000-0005-0000-0000-00005E590000}"/>
    <cellStyle name="40% - Accent3 4 9 2 6" xfId="26411" xr:uid="{00000000-0005-0000-0000-00005F590000}"/>
    <cellStyle name="40% - Accent3 4 9 2 7" xfId="26412" xr:uid="{00000000-0005-0000-0000-000060590000}"/>
    <cellStyle name="40% - Accent3 4 9 3" xfId="26413" xr:uid="{00000000-0005-0000-0000-000061590000}"/>
    <cellStyle name="40% - Accent3 4 9 3 2" xfId="26414" xr:uid="{00000000-0005-0000-0000-000062590000}"/>
    <cellStyle name="40% - Accent3 4 9 3 2 2" xfId="26415" xr:uid="{00000000-0005-0000-0000-000063590000}"/>
    <cellStyle name="40% - Accent3 4 9 3 2 2 2" xfId="26416" xr:uid="{00000000-0005-0000-0000-000064590000}"/>
    <cellStyle name="40% - Accent3 4 9 3 2 3" xfId="26417" xr:uid="{00000000-0005-0000-0000-000065590000}"/>
    <cellStyle name="40% - Accent3 4 9 3 3" xfId="26418" xr:uid="{00000000-0005-0000-0000-000066590000}"/>
    <cellStyle name="40% - Accent3 4 9 3 3 2" xfId="26419" xr:uid="{00000000-0005-0000-0000-000067590000}"/>
    <cellStyle name="40% - Accent3 4 9 3 4" xfId="26420" xr:uid="{00000000-0005-0000-0000-000068590000}"/>
    <cellStyle name="40% - Accent3 4 9 3 5" xfId="26421" xr:uid="{00000000-0005-0000-0000-000069590000}"/>
    <cellStyle name="40% - Accent3 4 9 3 6" xfId="26422" xr:uid="{00000000-0005-0000-0000-00006A590000}"/>
    <cellStyle name="40% - Accent3 4 9 4" xfId="26423" xr:uid="{00000000-0005-0000-0000-00006B590000}"/>
    <cellStyle name="40% - Accent3 4 9 4 2" xfId="26424" xr:uid="{00000000-0005-0000-0000-00006C590000}"/>
    <cellStyle name="40% - Accent3 4 9 4 2 2" xfId="26425" xr:uid="{00000000-0005-0000-0000-00006D590000}"/>
    <cellStyle name="40% - Accent3 4 9 4 3" xfId="26426" xr:uid="{00000000-0005-0000-0000-00006E590000}"/>
    <cellStyle name="40% - Accent3 4 9 5" xfId="26427" xr:uid="{00000000-0005-0000-0000-00006F590000}"/>
    <cellStyle name="40% - Accent3 4 9 5 2" xfId="26428" xr:uid="{00000000-0005-0000-0000-000070590000}"/>
    <cellStyle name="40% - Accent3 4 9 5 2 2" xfId="26429" xr:uid="{00000000-0005-0000-0000-000071590000}"/>
    <cellStyle name="40% - Accent3 4 9 5 3" xfId="26430" xr:uid="{00000000-0005-0000-0000-000072590000}"/>
    <cellStyle name="40% - Accent3 4 9 6" xfId="26431" xr:uid="{00000000-0005-0000-0000-000073590000}"/>
    <cellStyle name="40% - Accent3 4 9 6 2" xfId="26432" xr:uid="{00000000-0005-0000-0000-000074590000}"/>
    <cellStyle name="40% - Accent3 4 9 7" xfId="26433" xr:uid="{00000000-0005-0000-0000-000075590000}"/>
    <cellStyle name="40% - Accent3 4 9 7 2" xfId="26434" xr:uid="{00000000-0005-0000-0000-000076590000}"/>
    <cellStyle name="40% - Accent3 4 9 8" xfId="26435" xr:uid="{00000000-0005-0000-0000-000077590000}"/>
    <cellStyle name="40% - Accent3 4 9 9" xfId="26436" xr:uid="{00000000-0005-0000-0000-000078590000}"/>
    <cellStyle name="40% - Accent3 5" xfId="204" xr:uid="{00000000-0005-0000-0000-000079590000}"/>
    <cellStyle name="40% - Accent3 5 10" xfId="26437" xr:uid="{00000000-0005-0000-0000-00007A590000}"/>
    <cellStyle name="40% - Accent3 5 10 2" xfId="26438" xr:uid="{00000000-0005-0000-0000-00007B590000}"/>
    <cellStyle name="40% - Accent3 5 11" xfId="26439" xr:uid="{00000000-0005-0000-0000-00007C590000}"/>
    <cellStyle name="40% - Accent3 5 11 2" xfId="26440" xr:uid="{00000000-0005-0000-0000-00007D590000}"/>
    <cellStyle name="40% - Accent3 5 11 2 2" xfId="26441" xr:uid="{00000000-0005-0000-0000-00007E590000}"/>
    <cellStyle name="40% - Accent3 5 11 2 2 2" xfId="26442" xr:uid="{00000000-0005-0000-0000-00007F590000}"/>
    <cellStyle name="40% - Accent3 5 11 2 2 2 2" xfId="26443" xr:uid="{00000000-0005-0000-0000-000080590000}"/>
    <cellStyle name="40% - Accent3 5 11 2 2 3" xfId="26444" xr:uid="{00000000-0005-0000-0000-000081590000}"/>
    <cellStyle name="40% - Accent3 5 11 2 3" xfId="26445" xr:uid="{00000000-0005-0000-0000-000082590000}"/>
    <cellStyle name="40% - Accent3 5 11 2 3 2" xfId="26446" xr:uid="{00000000-0005-0000-0000-000083590000}"/>
    <cellStyle name="40% - Accent3 5 11 2 4" xfId="26447" xr:uid="{00000000-0005-0000-0000-000084590000}"/>
    <cellStyle name="40% - Accent3 5 11 2 5" xfId="26448" xr:uid="{00000000-0005-0000-0000-000085590000}"/>
    <cellStyle name="40% - Accent3 5 11 2 6" xfId="26449" xr:uid="{00000000-0005-0000-0000-000086590000}"/>
    <cellStyle name="40% - Accent3 5 11 3" xfId="26450" xr:uid="{00000000-0005-0000-0000-000087590000}"/>
    <cellStyle name="40% - Accent3 5 11 3 2" xfId="26451" xr:uid="{00000000-0005-0000-0000-000088590000}"/>
    <cellStyle name="40% - Accent3 5 11 3 2 2" xfId="26452" xr:uid="{00000000-0005-0000-0000-000089590000}"/>
    <cellStyle name="40% - Accent3 5 11 3 3" xfId="26453" xr:uid="{00000000-0005-0000-0000-00008A590000}"/>
    <cellStyle name="40% - Accent3 5 11 4" xfId="26454" xr:uid="{00000000-0005-0000-0000-00008B590000}"/>
    <cellStyle name="40% - Accent3 5 11 4 2" xfId="26455" xr:uid="{00000000-0005-0000-0000-00008C590000}"/>
    <cellStyle name="40% - Accent3 5 11 5" xfId="26456" xr:uid="{00000000-0005-0000-0000-00008D590000}"/>
    <cellStyle name="40% - Accent3 5 11 6" xfId="26457" xr:uid="{00000000-0005-0000-0000-00008E590000}"/>
    <cellStyle name="40% - Accent3 5 11 7" xfId="26458" xr:uid="{00000000-0005-0000-0000-00008F590000}"/>
    <cellStyle name="40% - Accent3 5 12" xfId="26459" xr:uid="{00000000-0005-0000-0000-000090590000}"/>
    <cellStyle name="40% - Accent3 5 12 2" xfId="26460" xr:uid="{00000000-0005-0000-0000-000091590000}"/>
    <cellStyle name="40% - Accent3 5 12 2 2" xfId="26461" xr:uid="{00000000-0005-0000-0000-000092590000}"/>
    <cellStyle name="40% - Accent3 5 12 2 2 2" xfId="26462" xr:uid="{00000000-0005-0000-0000-000093590000}"/>
    <cellStyle name="40% - Accent3 5 12 2 2 2 2" xfId="26463" xr:uid="{00000000-0005-0000-0000-000094590000}"/>
    <cellStyle name="40% - Accent3 5 12 2 2 3" xfId="26464" xr:uid="{00000000-0005-0000-0000-000095590000}"/>
    <cellStyle name="40% - Accent3 5 12 2 3" xfId="26465" xr:uid="{00000000-0005-0000-0000-000096590000}"/>
    <cellStyle name="40% - Accent3 5 12 2 3 2" xfId="26466" xr:uid="{00000000-0005-0000-0000-000097590000}"/>
    <cellStyle name="40% - Accent3 5 12 2 4" xfId="26467" xr:uid="{00000000-0005-0000-0000-000098590000}"/>
    <cellStyle name="40% - Accent3 5 12 2 5" xfId="26468" xr:uid="{00000000-0005-0000-0000-000099590000}"/>
    <cellStyle name="40% - Accent3 5 12 2 6" xfId="26469" xr:uid="{00000000-0005-0000-0000-00009A590000}"/>
    <cellStyle name="40% - Accent3 5 12 3" xfId="26470" xr:uid="{00000000-0005-0000-0000-00009B590000}"/>
    <cellStyle name="40% - Accent3 5 12 3 2" xfId="26471" xr:uid="{00000000-0005-0000-0000-00009C590000}"/>
    <cellStyle name="40% - Accent3 5 12 3 2 2" xfId="26472" xr:uid="{00000000-0005-0000-0000-00009D590000}"/>
    <cellStyle name="40% - Accent3 5 12 3 3" xfId="26473" xr:uid="{00000000-0005-0000-0000-00009E590000}"/>
    <cellStyle name="40% - Accent3 5 12 4" xfId="26474" xr:uid="{00000000-0005-0000-0000-00009F590000}"/>
    <cellStyle name="40% - Accent3 5 12 4 2" xfId="26475" xr:uid="{00000000-0005-0000-0000-0000A0590000}"/>
    <cellStyle name="40% - Accent3 5 12 5" xfId="26476" xr:uid="{00000000-0005-0000-0000-0000A1590000}"/>
    <cellStyle name="40% - Accent3 5 12 6" xfId="26477" xr:uid="{00000000-0005-0000-0000-0000A2590000}"/>
    <cellStyle name="40% - Accent3 5 12 7" xfId="26478" xr:uid="{00000000-0005-0000-0000-0000A3590000}"/>
    <cellStyle name="40% - Accent3 5 13" xfId="26479" xr:uid="{00000000-0005-0000-0000-0000A4590000}"/>
    <cellStyle name="40% - Accent3 5 13 2" xfId="26480" xr:uid="{00000000-0005-0000-0000-0000A5590000}"/>
    <cellStyle name="40% - Accent3 5 13 2 2" xfId="26481" xr:uid="{00000000-0005-0000-0000-0000A6590000}"/>
    <cellStyle name="40% - Accent3 5 13 2 2 2" xfId="26482" xr:uid="{00000000-0005-0000-0000-0000A7590000}"/>
    <cellStyle name="40% - Accent3 5 13 2 3" xfId="26483" xr:uid="{00000000-0005-0000-0000-0000A8590000}"/>
    <cellStyle name="40% - Accent3 5 13 3" xfId="26484" xr:uid="{00000000-0005-0000-0000-0000A9590000}"/>
    <cellStyle name="40% - Accent3 5 13 3 2" xfId="26485" xr:uid="{00000000-0005-0000-0000-0000AA590000}"/>
    <cellStyle name="40% - Accent3 5 13 4" xfId="26486" xr:uid="{00000000-0005-0000-0000-0000AB590000}"/>
    <cellStyle name="40% - Accent3 5 13 5" xfId="26487" xr:uid="{00000000-0005-0000-0000-0000AC590000}"/>
    <cellStyle name="40% - Accent3 5 13 6" xfId="26488" xr:uid="{00000000-0005-0000-0000-0000AD590000}"/>
    <cellStyle name="40% - Accent3 5 14" xfId="26489" xr:uid="{00000000-0005-0000-0000-0000AE590000}"/>
    <cellStyle name="40% - Accent3 5 14 2" xfId="26490" xr:uid="{00000000-0005-0000-0000-0000AF590000}"/>
    <cellStyle name="40% - Accent3 5 14 2 2" xfId="26491" xr:uid="{00000000-0005-0000-0000-0000B0590000}"/>
    <cellStyle name="40% - Accent3 5 14 3" xfId="26492" xr:uid="{00000000-0005-0000-0000-0000B1590000}"/>
    <cellStyle name="40% - Accent3 5 15" xfId="26493" xr:uid="{00000000-0005-0000-0000-0000B2590000}"/>
    <cellStyle name="40% - Accent3 5 15 2" xfId="26494" xr:uid="{00000000-0005-0000-0000-0000B3590000}"/>
    <cellStyle name="40% - Accent3 5 15 2 2" xfId="26495" xr:uid="{00000000-0005-0000-0000-0000B4590000}"/>
    <cellStyle name="40% - Accent3 5 15 3" xfId="26496" xr:uid="{00000000-0005-0000-0000-0000B5590000}"/>
    <cellStyle name="40% - Accent3 5 16" xfId="26497" xr:uid="{00000000-0005-0000-0000-0000B6590000}"/>
    <cellStyle name="40% - Accent3 5 16 2" xfId="26498" xr:uid="{00000000-0005-0000-0000-0000B7590000}"/>
    <cellStyle name="40% - Accent3 5 17" xfId="26499" xr:uid="{00000000-0005-0000-0000-0000B8590000}"/>
    <cellStyle name="40% - Accent3 5 17 2" xfId="26500" xr:uid="{00000000-0005-0000-0000-0000B9590000}"/>
    <cellStyle name="40% - Accent3 5 18" xfId="26501" xr:uid="{00000000-0005-0000-0000-0000BA590000}"/>
    <cellStyle name="40% - Accent3 5 19" xfId="26502" xr:uid="{00000000-0005-0000-0000-0000BB590000}"/>
    <cellStyle name="40% - Accent3 5 2" xfId="26503" xr:uid="{00000000-0005-0000-0000-0000BC590000}"/>
    <cellStyle name="40% - Accent3 5 2 10" xfId="26504" xr:uid="{00000000-0005-0000-0000-0000BD590000}"/>
    <cellStyle name="40% - Accent3 5 2 11" xfId="26505" xr:uid="{00000000-0005-0000-0000-0000BE590000}"/>
    <cellStyle name="40% - Accent3 5 2 2" xfId="26506" xr:uid="{00000000-0005-0000-0000-0000BF590000}"/>
    <cellStyle name="40% - Accent3 5 2 2 2" xfId="26507" xr:uid="{00000000-0005-0000-0000-0000C0590000}"/>
    <cellStyle name="40% - Accent3 5 2 2 2 2" xfId="26508" xr:uid="{00000000-0005-0000-0000-0000C1590000}"/>
    <cellStyle name="40% - Accent3 5 2 2 2 2 2" xfId="26509" xr:uid="{00000000-0005-0000-0000-0000C2590000}"/>
    <cellStyle name="40% - Accent3 5 2 2 2 2 2 2" xfId="26510" xr:uid="{00000000-0005-0000-0000-0000C3590000}"/>
    <cellStyle name="40% - Accent3 5 2 2 2 2 3" xfId="26511" xr:uid="{00000000-0005-0000-0000-0000C4590000}"/>
    <cellStyle name="40% - Accent3 5 2 2 2 3" xfId="26512" xr:uid="{00000000-0005-0000-0000-0000C5590000}"/>
    <cellStyle name="40% - Accent3 5 2 2 2 3 2" xfId="26513" xr:uid="{00000000-0005-0000-0000-0000C6590000}"/>
    <cellStyle name="40% - Accent3 5 2 2 2 4" xfId="26514" xr:uid="{00000000-0005-0000-0000-0000C7590000}"/>
    <cellStyle name="40% - Accent3 5 2 2 2 5" xfId="26515" xr:uid="{00000000-0005-0000-0000-0000C8590000}"/>
    <cellStyle name="40% - Accent3 5 2 2 2 6" xfId="26516" xr:uid="{00000000-0005-0000-0000-0000C9590000}"/>
    <cellStyle name="40% - Accent3 5 2 2 3" xfId="26517" xr:uid="{00000000-0005-0000-0000-0000CA590000}"/>
    <cellStyle name="40% - Accent3 5 2 2 3 2" xfId="26518" xr:uid="{00000000-0005-0000-0000-0000CB590000}"/>
    <cellStyle name="40% - Accent3 5 2 2 3 2 2" xfId="26519" xr:uid="{00000000-0005-0000-0000-0000CC590000}"/>
    <cellStyle name="40% - Accent3 5 2 2 3 3" xfId="26520" xr:uid="{00000000-0005-0000-0000-0000CD590000}"/>
    <cellStyle name="40% - Accent3 5 2 2 4" xfId="26521" xr:uid="{00000000-0005-0000-0000-0000CE590000}"/>
    <cellStyle name="40% - Accent3 5 2 2 4 2" xfId="26522" xr:uid="{00000000-0005-0000-0000-0000CF590000}"/>
    <cellStyle name="40% - Accent3 5 2 2 5" xfId="26523" xr:uid="{00000000-0005-0000-0000-0000D0590000}"/>
    <cellStyle name="40% - Accent3 5 2 2 5 2" xfId="26524" xr:uid="{00000000-0005-0000-0000-0000D1590000}"/>
    <cellStyle name="40% - Accent3 5 2 2 6" xfId="26525" xr:uid="{00000000-0005-0000-0000-0000D2590000}"/>
    <cellStyle name="40% - Accent3 5 2 2 7" xfId="26526" xr:uid="{00000000-0005-0000-0000-0000D3590000}"/>
    <cellStyle name="40% - Accent3 5 2 2 8" xfId="26527" xr:uid="{00000000-0005-0000-0000-0000D4590000}"/>
    <cellStyle name="40% - Accent3 5 2 3" xfId="26528" xr:uid="{00000000-0005-0000-0000-0000D5590000}"/>
    <cellStyle name="40% - Accent3 5 2 3 2" xfId="26529" xr:uid="{00000000-0005-0000-0000-0000D6590000}"/>
    <cellStyle name="40% - Accent3 5 2 3 2 2" xfId="26530" xr:uid="{00000000-0005-0000-0000-0000D7590000}"/>
    <cellStyle name="40% - Accent3 5 2 3 2 2 2" xfId="26531" xr:uid="{00000000-0005-0000-0000-0000D8590000}"/>
    <cellStyle name="40% - Accent3 5 2 3 2 2 2 2" xfId="26532" xr:uid="{00000000-0005-0000-0000-0000D9590000}"/>
    <cellStyle name="40% - Accent3 5 2 3 2 2 3" xfId="26533" xr:uid="{00000000-0005-0000-0000-0000DA590000}"/>
    <cellStyle name="40% - Accent3 5 2 3 2 3" xfId="26534" xr:uid="{00000000-0005-0000-0000-0000DB590000}"/>
    <cellStyle name="40% - Accent3 5 2 3 2 3 2" xfId="26535" xr:uid="{00000000-0005-0000-0000-0000DC590000}"/>
    <cellStyle name="40% - Accent3 5 2 3 2 4" xfId="26536" xr:uid="{00000000-0005-0000-0000-0000DD590000}"/>
    <cellStyle name="40% - Accent3 5 2 3 2 5" xfId="26537" xr:uid="{00000000-0005-0000-0000-0000DE590000}"/>
    <cellStyle name="40% - Accent3 5 2 3 2 6" xfId="26538" xr:uid="{00000000-0005-0000-0000-0000DF590000}"/>
    <cellStyle name="40% - Accent3 5 2 3 3" xfId="26539" xr:uid="{00000000-0005-0000-0000-0000E0590000}"/>
    <cellStyle name="40% - Accent3 5 2 3 3 2" xfId="26540" xr:uid="{00000000-0005-0000-0000-0000E1590000}"/>
    <cellStyle name="40% - Accent3 5 2 3 3 2 2" xfId="26541" xr:uid="{00000000-0005-0000-0000-0000E2590000}"/>
    <cellStyle name="40% - Accent3 5 2 3 3 3" xfId="26542" xr:uid="{00000000-0005-0000-0000-0000E3590000}"/>
    <cellStyle name="40% - Accent3 5 2 3 4" xfId="26543" xr:uid="{00000000-0005-0000-0000-0000E4590000}"/>
    <cellStyle name="40% - Accent3 5 2 3 4 2" xfId="26544" xr:uid="{00000000-0005-0000-0000-0000E5590000}"/>
    <cellStyle name="40% - Accent3 5 2 3 5" xfId="26545" xr:uid="{00000000-0005-0000-0000-0000E6590000}"/>
    <cellStyle name="40% - Accent3 5 2 3 6" xfId="26546" xr:uid="{00000000-0005-0000-0000-0000E7590000}"/>
    <cellStyle name="40% - Accent3 5 2 3 7" xfId="26547" xr:uid="{00000000-0005-0000-0000-0000E8590000}"/>
    <cellStyle name="40% - Accent3 5 2 4" xfId="26548" xr:uid="{00000000-0005-0000-0000-0000E9590000}"/>
    <cellStyle name="40% - Accent3 5 2 4 2" xfId="26549" xr:uid="{00000000-0005-0000-0000-0000EA590000}"/>
    <cellStyle name="40% - Accent3 5 2 4 2 2" xfId="26550" xr:uid="{00000000-0005-0000-0000-0000EB590000}"/>
    <cellStyle name="40% - Accent3 5 2 4 2 2 2" xfId="26551" xr:uid="{00000000-0005-0000-0000-0000EC590000}"/>
    <cellStyle name="40% - Accent3 5 2 4 2 3" xfId="26552" xr:uid="{00000000-0005-0000-0000-0000ED590000}"/>
    <cellStyle name="40% - Accent3 5 2 4 3" xfId="26553" xr:uid="{00000000-0005-0000-0000-0000EE590000}"/>
    <cellStyle name="40% - Accent3 5 2 4 3 2" xfId="26554" xr:uid="{00000000-0005-0000-0000-0000EF590000}"/>
    <cellStyle name="40% - Accent3 5 2 4 4" xfId="26555" xr:uid="{00000000-0005-0000-0000-0000F0590000}"/>
    <cellStyle name="40% - Accent3 5 2 4 5" xfId="26556" xr:uid="{00000000-0005-0000-0000-0000F1590000}"/>
    <cellStyle name="40% - Accent3 5 2 4 6" xfId="26557" xr:uid="{00000000-0005-0000-0000-0000F2590000}"/>
    <cellStyle name="40% - Accent3 5 2 5" xfId="26558" xr:uid="{00000000-0005-0000-0000-0000F3590000}"/>
    <cellStyle name="40% - Accent3 5 2 5 2" xfId="26559" xr:uid="{00000000-0005-0000-0000-0000F4590000}"/>
    <cellStyle name="40% - Accent3 5 2 5 2 2" xfId="26560" xr:uid="{00000000-0005-0000-0000-0000F5590000}"/>
    <cellStyle name="40% - Accent3 5 2 5 3" xfId="26561" xr:uid="{00000000-0005-0000-0000-0000F6590000}"/>
    <cellStyle name="40% - Accent3 5 2 6" xfId="26562" xr:uid="{00000000-0005-0000-0000-0000F7590000}"/>
    <cellStyle name="40% - Accent3 5 2 6 2" xfId="26563" xr:uid="{00000000-0005-0000-0000-0000F8590000}"/>
    <cellStyle name="40% - Accent3 5 2 6 2 2" xfId="26564" xr:uid="{00000000-0005-0000-0000-0000F9590000}"/>
    <cellStyle name="40% - Accent3 5 2 6 3" xfId="26565" xr:uid="{00000000-0005-0000-0000-0000FA590000}"/>
    <cellStyle name="40% - Accent3 5 2 7" xfId="26566" xr:uid="{00000000-0005-0000-0000-0000FB590000}"/>
    <cellStyle name="40% - Accent3 5 2 7 2" xfId="26567" xr:uid="{00000000-0005-0000-0000-0000FC590000}"/>
    <cellStyle name="40% - Accent3 5 2 8" xfId="26568" xr:uid="{00000000-0005-0000-0000-0000FD590000}"/>
    <cellStyle name="40% - Accent3 5 2 8 2" xfId="26569" xr:uid="{00000000-0005-0000-0000-0000FE590000}"/>
    <cellStyle name="40% - Accent3 5 2 9" xfId="26570" xr:uid="{00000000-0005-0000-0000-0000FF590000}"/>
    <cellStyle name="40% - Accent3 5 20" xfId="26571" xr:uid="{00000000-0005-0000-0000-0000005A0000}"/>
    <cellStyle name="40% - Accent3 5 3" xfId="26572" xr:uid="{00000000-0005-0000-0000-0000015A0000}"/>
    <cellStyle name="40% - Accent3 5 3 10" xfId="26573" xr:uid="{00000000-0005-0000-0000-0000025A0000}"/>
    <cellStyle name="40% - Accent3 5 3 11" xfId="26574" xr:uid="{00000000-0005-0000-0000-0000035A0000}"/>
    <cellStyle name="40% - Accent3 5 3 2" xfId="26575" xr:uid="{00000000-0005-0000-0000-0000045A0000}"/>
    <cellStyle name="40% - Accent3 5 3 2 2" xfId="26576" xr:uid="{00000000-0005-0000-0000-0000055A0000}"/>
    <cellStyle name="40% - Accent3 5 3 2 2 2" xfId="26577" xr:uid="{00000000-0005-0000-0000-0000065A0000}"/>
    <cellStyle name="40% - Accent3 5 3 2 2 2 2" xfId="26578" xr:uid="{00000000-0005-0000-0000-0000075A0000}"/>
    <cellStyle name="40% - Accent3 5 3 2 2 2 2 2" xfId="26579" xr:uid="{00000000-0005-0000-0000-0000085A0000}"/>
    <cellStyle name="40% - Accent3 5 3 2 2 2 3" xfId="26580" xr:uid="{00000000-0005-0000-0000-0000095A0000}"/>
    <cellStyle name="40% - Accent3 5 3 2 2 3" xfId="26581" xr:uid="{00000000-0005-0000-0000-00000A5A0000}"/>
    <cellStyle name="40% - Accent3 5 3 2 2 3 2" xfId="26582" xr:uid="{00000000-0005-0000-0000-00000B5A0000}"/>
    <cellStyle name="40% - Accent3 5 3 2 2 4" xfId="26583" xr:uid="{00000000-0005-0000-0000-00000C5A0000}"/>
    <cellStyle name="40% - Accent3 5 3 2 2 5" xfId="26584" xr:uid="{00000000-0005-0000-0000-00000D5A0000}"/>
    <cellStyle name="40% - Accent3 5 3 2 2 6" xfId="26585" xr:uid="{00000000-0005-0000-0000-00000E5A0000}"/>
    <cellStyle name="40% - Accent3 5 3 2 3" xfId="26586" xr:uid="{00000000-0005-0000-0000-00000F5A0000}"/>
    <cellStyle name="40% - Accent3 5 3 2 3 2" xfId="26587" xr:uid="{00000000-0005-0000-0000-0000105A0000}"/>
    <cellStyle name="40% - Accent3 5 3 2 3 2 2" xfId="26588" xr:uid="{00000000-0005-0000-0000-0000115A0000}"/>
    <cellStyle name="40% - Accent3 5 3 2 3 3" xfId="26589" xr:uid="{00000000-0005-0000-0000-0000125A0000}"/>
    <cellStyle name="40% - Accent3 5 3 2 4" xfId="26590" xr:uid="{00000000-0005-0000-0000-0000135A0000}"/>
    <cellStyle name="40% - Accent3 5 3 2 4 2" xfId="26591" xr:uid="{00000000-0005-0000-0000-0000145A0000}"/>
    <cellStyle name="40% - Accent3 5 3 2 5" xfId="26592" xr:uid="{00000000-0005-0000-0000-0000155A0000}"/>
    <cellStyle name="40% - Accent3 5 3 2 5 2" xfId="26593" xr:uid="{00000000-0005-0000-0000-0000165A0000}"/>
    <cellStyle name="40% - Accent3 5 3 2 6" xfId="26594" xr:uid="{00000000-0005-0000-0000-0000175A0000}"/>
    <cellStyle name="40% - Accent3 5 3 2 7" xfId="26595" xr:uid="{00000000-0005-0000-0000-0000185A0000}"/>
    <cellStyle name="40% - Accent3 5 3 2 8" xfId="26596" xr:uid="{00000000-0005-0000-0000-0000195A0000}"/>
    <cellStyle name="40% - Accent3 5 3 3" xfId="26597" xr:uid="{00000000-0005-0000-0000-00001A5A0000}"/>
    <cellStyle name="40% - Accent3 5 3 3 2" xfId="26598" xr:uid="{00000000-0005-0000-0000-00001B5A0000}"/>
    <cellStyle name="40% - Accent3 5 3 3 2 2" xfId="26599" xr:uid="{00000000-0005-0000-0000-00001C5A0000}"/>
    <cellStyle name="40% - Accent3 5 3 3 2 2 2" xfId="26600" xr:uid="{00000000-0005-0000-0000-00001D5A0000}"/>
    <cellStyle name="40% - Accent3 5 3 3 2 2 2 2" xfId="26601" xr:uid="{00000000-0005-0000-0000-00001E5A0000}"/>
    <cellStyle name="40% - Accent3 5 3 3 2 2 3" xfId="26602" xr:uid="{00000000-0005-0000-0000-00001F5A0000}"/>
    <cellStyle name="40% - Accent3 5 3 3 2 3" xfId="26603" xr:uid="{00000000-0005-0000-0000-0000205A0000}"/>
    <cellStyle name="40% - Accent3 5 3 3 2 3 2" xfId="26604" xr:uid="{00000000-0005-0000-0000-0000215A0000}"/>
    <cellStyle name="40% - Accent3 5 3 3 2 4" xfId="26605" xr:uid="{00000000-0005-0000-0000-0000225A0000}"/>
    <cellStyle name="40% - Accent3 5 3 3 2 5" xfId="26606" xr:uid="{00000000-0005-0000-0000-0000235A0000}"/>
    <cellStyle name="40% - Accent3 5 3 3 2 6" xfId="26607" xr:uid="{00000000-0005-0000-0000-0000245A0000}"/>
    <cellStyle name="40% - Accent3 5 3 3 3" xfId="26608" xr:uid="{00000000-0005-0000-0000-0000255A0000}"/>
    <cellStyle name="40% - Accent3 5 3 3 3 2" xfId="26609" xr:uid="{00000000-0005-0000-0000-0000265A0000}"/>
    <cellStyle name="40% - Accent3 5 3 3 3 2 2" xfId="26610" xr:uid="{00000000-0005-0000-0000-0000275A0000}"/>
    <cellStyle name="40% - Accent3 5 3 3 3 3" xfId="26611" xr:uid="{00000000-0005-0000-0000-0000285A0000}"/>
    <cellStyle name="40% - Accent3 5 3 3 4" xfId="26612" xr:uid="{00000000-0005-0000-0000-0000295A0000}"/>
    <cellStyle name="40% - Accent3 5 3 3 4 2" xfId="26613" xr:uid="{00000000-0005-0000-0000-00002A5A0000}"/>
    <cellStyle name="40% - Accent3 5 3 3 5" xfId="26614" xr:uid="{00000000-0005-0000-0000-00002B5A0000}"/>
    <cellStyle name="40% - Accent3 5 3 3 6" xfId="26615" xr:uid="{00000000-0005-0000-0000-00002C5A0000}"/>
    <cellStyle name="40% - Accent3 5 3 3 7" xfId="26616" xr:uid="{00000000-0005-0000-0000-00002D5A0000}"/>
    <cellStyle name="40% - Accent3 5 3 4" xfId="26617" xr:uid="{00000000-0005-0000-0000-00002E5A0000}"/>
    <cellStyle name="40% - Accent3 5 3 4 2" xfId="26618" xr:uid="{00000000-0005-0000-0000-00002F5A0000}"/>
    <cellStyle name="40% - Accent3 5 3 4 2 2" xfId="26619" xr:uid="{00000000-0005-0000-0000-0000305A0000}"/>
    <cellStyle name="40% - Accent3 5 3 4 2 2 2" xfId="26620" xr:uid="{00000000-0005-0000-0000-0000315A0000}"/>
    <cellStyle name="40% - Accent3 5 3 4 2 3" xfId="26621" xr:uid="{00000000-0005-0000-0000-0000325A0000}"/>
    <cellStyle name="40% - Accent3 5 3 4 3" xfId="26622" xr:uid="{00000000-0005-0000-0000-0000335A0000}"/>
    <cellStyle name="40% - Accent3 5 3 4 3 2" xfId="26623" xr:uid="{00000000-0005-0000-0000-0000345A0000}"/>
    <cellStyle name="40% - Accent3 5 3 4 4" xfId="26624" xr:uid="{00000000-0005-0000-0000-0000355A0000}"/>
    <cellStyle name="40% - Accent3 5 3 4 5" xfId="26625" xr:uid="{00000000-0005-0000-0000-0000365A0000}"/>
    <cellStyle name="40% - Accent3 5 3 4 6" xfId="26626" xr:uid="{00000000-0005-0000-0000-0000375A0000}"/>
    <cellStyle name="40% - Accent3 5 3 5" xfId="26627" xr:uid="{00000000-0005-0000-0000-0000385A0000}"/>
    <cellStyle name="40% - Accent3 5 3 5 2" xfId="26628" xr:uid="{00000000-0005-0000-0000-0000395A0000}"/>
    <cellStyle name="40% - Accent3 5 3 5 2 2" xfId="26629" xr:uid="{00000000-0005-0000-0000-00003A5A0000}"/>
    <cellStyle name="40% - Accent3 5 3 5 3" xfId="26630" xr:uid="{00000000-0005-0000-0000-00003B5A0000}"/>
    <cellStyle name="40% - Accent3 5 3 6" xfId="26631" xr:uid="{00000000-0005-0000-0000-00003C5A0000}"/>
    <cellStyle name="40% - Accent3 5 3 6 2" xfId="26632" xr:uid="{00000000-0005-0000-0000-00003D5A0000}"/>
    <cellStyle name="40% - Accent3 5 3 6 2 2" xfId="26633" xr:uid="{00000000-0005-0000-0000-00003E5A0000}"/>
    <cellStyle name="40% - Accent3 5 3 6 3" xfId="26634" xr:uid="{00000000-0005-0000-0000-00003F5A0000}"/>
    <cellStyle name="40% - Accent3 5 3 7" xfId="26635" xr:uid="{00000000-0005-0000-0000-0000405A0000}"/>
    <cellStyle name="40% - Accent3 5 3 7 2" xfId="26636" xr:uid="{00000000-0005-0000-0000-0000415A0000}"/>
    <cellStyle name="40% - Accent3 5 3 8" xfId="26637" xr:uid="{00000000-0005-0000-0000-0000425A0000}"/>
    <cellStyle name="40% - Accent3 5 3 8 2" xfId="26638" xr:uid="{00000000-0005-0000-0000-0000435A0000}"/>
    <cellStyle name="40% - Accent3 5 3 9" xfId="26639" xr:uid="{00000000-0005-0000-0000-0000445A0000}"/>
    <cellStyle name="40% - Accent3 5 4" xfId="26640" xr:uid="{00000000-0005-0000-0000-0000455A0000}"/>
    <cellStyle name="40% - Accent3 5 4 10" xfId="26641" xr:uid="{00000000-0005-0000-0000-0000465A0000}"/>
    <cellStyle name="40% - Accent3 5 4 11" xfId="26642" xr:uid="{00000000-0005-0000-0000-0000475A0000}"/>
    <cellStyle name="40% - Accent3 5 4 2" xfId="26643" xr:uid="{00000000-0005-0000-0000-0000485A0000}"/>
    <cellStyle name="40% - Accent3 5 4 2 2" xfId="26644" xr:uid="{00000000-0005-0000-0000-0000495A0000}"/>
    <cellStyle name="40% - Accent3 5 4 2 2 2" xfId="26645" xr:uid="{00000000-0005-0000-0000-00004A5A0000}"/>
    <cellStyle name="40% - Accent3 5 4 2 2 2 2" xfId="26646" xr:uid="{00000000-0005-0000-0000-00004B5A0000}"/>
    <cellStyle name="40% - Accent3 5 4 2 2 2 2 2" xfId="26647" xr:uid="{00000000-0005-0000-0000-00004C5A0000}"/>
    <cellStyle name="40% - Accent3 5 4 2 2 2 3" xfId="26648" xr:uid="{00000000-0005-0000-0000-00004D5A0000}"/>
    <cellStyle name="40% - Accent3 5 4 2 2 3" xfId="26649" xr:uid="{00000000-0005-0000-0000-00004E5A0000}"/>
    <cellStyle name="40% - Accent3 5 4 2 2 3 2" xfId="26650" xr:uid="{00000000-0005-0000-0000-00004F5A0000}"/>
    <cellStyle name="40% - Accent3 5 4 2 2 4" xfId="26651" xr:uid="{00000000-0005-0000-0000-0000505A0000}"/>
    <cellStyle name="40% - Accent3 5 4 2 2 5" xfId="26652" xr:uid="{00000000-0005-0000-0000-0000515A0000}"/>
    <cellStyle name="40% - Accent3 5 4 2 2 6" xfId="26653" xr:uid="{00000000-0005-0000-0000-0000525A0000}"/>
    <cellStyle name="40% - Accent3 5 4 2 3" xfId="26654" xr:uid="{00000000-0005-0000-0000-0000535A0000}"/>
    <cellStyle name="40% - Accent3 5 4 2 3 2" xfId="26655" xr:uid="{00000000-0005-0000-0000-0000545A0000}"/>
    <cellStyle name="40% - Accent3 5 4 2 3 2 2" xfId="26656" xr:uid="{00000000-0005-0000-0000-0000555A0000}"/>
    <cellStyle name="40% - Accent3 5 4 2 3 3" xfId="26657" xr:uid="{00000000-0005-0000-0000-0000565A0000}"/>
    <cellStyle name="40% - Accent3 5 4 2 4" xfId="26658" xr:uid="{00000000-0005-0000-0000-0000575A0000}"/>
    <cellStyle name="40% - Accent3 5 4 2 4 2" xfId="26659" xr:uid="{00000000-0005-0000-0000-0000585A0000}"/>
    <cellStyle name="40% - Accent3 5 4 2 5" xfId="26660" xr:uid="{00000000-0005-0000-0000-0000595A0000}"/>
    <cellStyle name="40% - Accent3 5 4 2 5 2" xfId="26661" xr:uid="{00000000-0005-0000-0000-00005A5A0000}"/>
    <cellStyle name="40% - Accent3 5 4 2 6" xfId="26662" xr:uid="{00000000-0005-0000-0000-00005B5A0000}"/>
    <cellStyle name="40% - Accent3 5 4 2 7" xfId="26663" xr:uid="{00000000-0005-0000-0000-00005C5A0000}"/>
    <cellStyle name="40% - Accent3 5 4 2 8" xfId="26664" xr:uid="{00000000-0005-0000-0000-00005D5A0000}"/>
    <cellStyle name="40% - Accent3 5 4 3" xfId="26665" xr:uid="{00000000-0005-0000-0000-00005E5A0000}"/>
    <cellStyle name="40% - Accent3 5 4 3 2" xfId="26666" xr:uid="{00000000-0005-0000-0000-00005F5A0000}"/>
    <cellStyle name="40% - Accent3 5 4 3 2 2" xfId="26667" xr:uid="{00000000-0005-0000-0000-0000605A0000}"/>
    <cellStyle name="40% - Accent3 5 4 3 2 2 2" xfId="26668" xr:uid="{00000000-0005-0000-0000-0000615A0000}"/>
    <cellStyle name="40% - Accent3 5 4 3 2 2 2 2" xfId="26669" xr:uid="{00000000-0005-0000-0000-0000625A0000}"/>
    <cellStyle name="40% - Accent3 5 4 3 2 2 3" xfId="26670" xr:uid="{00000000-0005-0000-0000-0000635A0000}"/>
    <cellStyle name="40% - Accent3 5 4 3 2 3" xfId="26671" xr:uid="{00000000-0005-0000-0000-0000645A0000}"/>
    <cellStyle name="40% - Accent3 5 4 3 2 3 2" xfId="26672" xr:uid="{00000000-0005-0000-0000-0000655A0000}"/>
    <cellStyle name="40% - Accent3 5 4 3 2 4" xfId="26673" xr:uid="{00000000-0005-0000-0000-0000665A0000}"/>
    <cellStyle name="40% - Accent3 5 4 3 2 5" xfId="26674" xr:uid="{00000000-0005-0000-0000-0000675A0000}"/>
    <cellStyle name="40% - Accent3 5 4 3 2 6" xfId="26675" xr:uid="{00000000-0005-0000-0000-0000685A0000}"/>
    <cellStyle name="40% - Accent3 5 4 3 3" xfId="26676" xr:uid="{00000000-0005-0000-0000-0000695A0000}"/>
    <cellStyle name="40% - Accent3 5 4 3 3 2" xfId="26677" xr:uid="{00000000-0005-0000-0000-00006A5A0000}"/>
    <cellStyle name="40% - Accent3 5 4 3 3 2 2" xfId="26678" xr:uid="{00000000-0005-0000-0000-00006B5A0000}"/>
    <cellStyle name="40% - Accent3 5 4 3 3 3" xfId="26679" xr:uid="{00000000-0005-0000-0000-00006C5A0000}"/>
    <cellStyle name="40% - Accent3 5 4 3 4" xfId="26680" xr:uid="{00000000-0005-0000-0000-00006D5A0000}"/>
    <cellStyle name="40% - Accent3 5 4 3 4 2" xfId="26681" xr:uid="{00000000-0005-0000-0000-00006E5A0000}"/>
    <cellStyle name="40% - Accent3 5 4 3 5" xfId="26682" xr:uid="{00000000-0005-0000-0000-00006F5A0000}"/>
    <cellStyle name="40% - Accent3 5 4 3 6" xfId="26683" xr:uid="{00000000-0005-0000-0000-0000705A0000}"/>
    <cellStyle name="40% - Accent3 5 4 3 7" xfId="26684" xr:uid="{00000000-0005-0000-0000-0000715A0000}"/>
    <cellStyle name="40% - Accent3 5 4 4" xfId="26685" xr:uid="{00000000-0005-0000-0000-0000725A0000}"/>
    <cellStyle name="40% - Accent3 5 4 4 2" xfId="26686" xr:uid="{00000000-0005-0000-0000-0000735A0000}"/>
    <cellStyle name="40% - Accent3 5 4 4 2 2" xfId="26687" xr:uid="{00000000-0005-0000-0000-0000745A0000}"/>
    <cellStyle name="40% - Accent3 5 4 4 2 2 2" xfId="26688" xr:uid="{00000000-0005-0000-0000-0000755A0000}"/>
    <cellStyle name="40% - Accent3 5 4 4 2 3" xfId="26689" xr:uid="{00000000-0005-0000-0000-0000765A0000}"/>
    <cellStyle name="40% - Accent3 5 4 4 3" xfId="26690" xr:uid="{00000000-0005-0000-0000-0000775A0000}"/>
    <cellStyle name="40% - Accent3 5 4 4 3 2" xfId="26691" xr:uid="{00000000-0005-0000-0000-0000785A0000}"/>
    <cellStyle name="40% - Accent3 5 4 4 4" xfId="26692" xr:uid="{00000000-0005-0000-0000-0000795A0000}"/>
    <cellStyle name="40% - Accent3 5 4 4 5" xfId="26693" xr:uid="{00000000-0005-0000-0000-00007A5A0000}"/>
    <cellStyle name="40% - Accent3 5 4 4 6" xfId="26694" xr:uid="{00000000-0005-0000-0000-00007B5A0000}"/>
    <cellStyle name="40% - Accent3 5 4 5" xfId="26695" xr:uid="{00000000-0005-0000-0000-00007C5A0000}"/>
    <cellStyle name="40% - Accent3 5 4 5 2" xfId="26696" xr:uid="{00000000-0005-0000-0000-00007D5A0000}"/>
    <cellStyle name="40% - Accent3 5 4 5 2 2" xfId="26697" xr:uid="{00000000-0005-0000-0000-00007E5A0000}"/>
    <cellStyle name="40% - Accent3 5 4 5 3" xfId="26698" xr:uid="{00000000-0005-0000-0000-00007F5A0000}"/>
    <cellStyle name="40% - Accent3 5 4 6" xfId="26699" xr:uid="{00000000-0005-0000-0000-0000805A0000}"/>
    <cellStyle name="40% - Accent3 5 4 6 2" xfId="26700" xr:uid="{00000000-0005-0000-0000-0000815A0000}"/>
    <cellStyle name="40% - Accent3 5 4 6 2 2" xfId="26701" xr:uid="{00000000-0005-0000-0000-0000825A0000}"/>
    <cellStyle name="40% - Accent3 5 4 6 3" xfId="26702" xr:uid="{00000000-0005-0000-0000-0000835A0000}"/>
    <cellStyle name="40% - Accent3 5 4 7" xfId="26703" xr:uid="{00000000-0005-0000-0000-0000845A0000}"/>
    <cellStyle name="40% - Accent3 5 4 7 2" xfId="26704" xr:uid="{00000000-0005-0000-0000-0000855A0000}"/>
    <cellStyle name="40% - Accent3 5 4 8" xfId="26705" xr:uid="{00000000-0005-0000-0000-0000865A0000}"/>
    <cellStyle name="40% - Accent3 5 4 8 2" xfId="26706" xr:uid="{00000000-0005-0000-0000-0000875A0000}"/>
    <cellStyle name="40% - Accent3 5 4 9" xfId="26707" xr:uid="{00000000-0005-0000-0000-0000885A0000}"/>
    <cellStyle name="40% - Accent3 5 5" xfId="26708" xr:uid="{00000000-0005-0000-0000-0000895A0000}"/>
    <cellStyle name="40% - Accent3 5 5 10" xfId="26709" xr:uid="{00000000-0005-0000-0000-00008A5A0000}"/>
    <cellStyle name="40% - Accent3 5 5 11" xfId="26710" xr:uid="{00000000-0005-0000-0000-00008B5A0000}"/>
    <cellStyle name="40% - Accent3 5 5 2" xfId="26711" xr:uid="{00000000-0005-0000-0000-00008C5A0000}"/>
    <cellStyle name="40% - Accent3 5 5 2 2" xfId="26712" xr:uid="{00000000-0005-0000-0000-00008D5A0000}"/>
    <cellStyle name="40% - Accent3 5 5 2 2 2" xfId="26713" xr:uid="{00000000-0005-0000-0000-00008E5A0000}"/>
    <cellStyle name="40% - Accent3 5 5 2 2 2 2" xfId="26714" xr:uid="{00000000-0005-0000-0000-00008F5A0000}"/>
    <cellStyle name="40% - Accent3 5 5 2 2 2 2 2" xfId="26715" xr:uid="{00000000-0005-0000-0000-0000905A0000}"/>
    <cellStyle name="40% - Accent3 5 5 2 2 2 3" xfId="26716" xr:uid="{00000000-0005-0000-0000-0000915A0000}"/>
    <cellStyle name="40% - Accent3 5 5 2 2 3" xfId="26717" xr:uid="{00000000-0005-0000-0000-0000925A0000}"/>
    <cellStyle name="40% - Accent3 5 5 2 2 3 2" xfId="26718" xr:uid="{00000000-0005-0000-0000-0000935A0000}"/>
    <cellStyle name="40% - Accent3 5 5 2 2 4" xfId="26719" xr:uid="{00000000-0005-0000-0000-0000945A0000}"/>
    <cellStyle name="40% - Accent3 5 5 2 2 5" xfId="26720" xr:uid="{00000000-0005-0000-0000-0000955A0000}"/>
    <cellStyle name="40% - Accent3 5 5 2 2 6" xfId="26721" xr:uid="{00000000-0005-0000-0000-0000965A0000}"/>
    <cellStyle name="40% - Accent3 5 5 2 3" xfId="26722" xr:uid="{00000000-0005-0000-0000-0000975A0000}"/>
    <cellStyle name="40% - Accent3 5 5 2 3 2" xfId="26723" xr:uid="{00000000-0005-0000-0000-0000985A0000}"/>
    <cellStyle name="40% - Accent3 5 5 2 3 2 2" xfId="26724" xr:uid="{00000000-0005-0000-0000-0000995A0000}"/>
    <cellStyle name="40% - Accent3 5 5 2 3 3" xfId="26725" xr:uid="{00000000-0005-0000-0000-00009A5A0000}"/>
    <cellStyle name="40% - Accent3 5 5 2 4" xfId="26726" xr:uid="{00000000-0005-0000-0000-00009B5A0000}"/>
    <cellStyle name="40% - Accent3 5 5 2 4 2" xfId="26727" xr:uid="{00000000-0005-0000-0000-00009C5A0000}"/>
    <cellStyle name="40% - Accent3 5 5 2 5" xfId="26728" xr:uid="{00000000-0005-0000-0000-00009D5A0000}"/>
    <cellStyle name="40% - Accent3 5 5 2 5 2" xfId="26729" xr:uid="{00000000-0005-0000-0000-00009E5A0000}"/>
    <cellStyle name="40% - Accent3 5 5 2 6" xfId="26730" xr:uid="{00000000-0005-0000-0000-00009F5A0000}"/>
    <cellStyle name="40% - Accent3 5 5 2 7" xfId="26731" xr:uid="{00000000-0005-0000-0000-0000A05A0000}"/>
    <cellStyle name="40% - Accent3 5 5 2 8" xfId="26732" xr:uid="{00000000-0005-0000-0000-0000A15A0000}"/>
    <cellStyle name="40% - Accent3 5 5 3" xfId="26733" xr:uid="{00000000-0005-0000-0000-0000A25A0000}"/>
    <cellStyle name="40% - Accent3 5 5 3 2" xfId="26734" xr:uid="{00000000-0005-0000-0000-0000A35A0000}"/>
    <cellStyle name="40% - Accent3 5 5 3 2 2" xfId="26735" xr:uid="{00000000-0005-0000-0000-0000A45A0000}"/>
    <cellStyle name="40% - Accent3 5 5 3 2 2 2" xfId="26736" xr:uid="{00000000-0005-0000-0000-0000A55A0000}"/>
    <cellStyle name="40% - Accent3 5 5 3 2 2 2 2" xfId="26737" xr:uid="{00000000-0005-0000-0000-0000A65A0000}"/>
    <cellStyle name="40% - Accent3 5 5 3 2 2 3" xfId="26738" xr:uid="{00000000-0005-0000-0000-0000A75A0000}"/>
    <cellStyle name="40% - Accent3 5 5 3 2 3" xfId="26739" xr:uid="{00000000-0005-0000-0000-0000A85A0000}"/>
    <cellStyle name="40% - Accent3 5 5 3 2 3 2" xfId="26740" xr:uid="{00000000-0005-0000-0000-0000A95A0000}"/>
    <cellStyle name="40% - Accent3 5 5 3 2 4" xfId="26741" xr:uid="{00000000-0005-0000-0000-0000AA5A0000}"/>
    <cellStyle name="40% - Accent3 5 5 3 2 5" xfId="26742" xr:uid="{00000000-0005-0000-0000-0000AB5A0000}"/>
    <cellStyle name="40% - Accent3 5 5 3 2 6" xfId="26743" xr:uid="{00000000-0005-0000-0000-0000AC5A0000}"/>
    <cellStyle name="40% - Accent3 5 5 3 3" xfId="26744" xr:uid="{00000000-0005-0000-0000-0000AD5A0000}"/>
    <cellStyle name="40% - Accent3 5 5 3 3 2" xfId="26745" xr:uid="{00000000-0005-0000-0000-0000AE5A0000}"/>
    <cellStyle name="40% - Accent3 5 5 3 3 2 2" xfId="26746" xr:uid="{00000000-0005-0000-0000-0000AF5A0000}"/>
    <cellStyle name="40% - Accent3 5 5 3 3 3" xfId="26747" xr:uid="{00000000-0005-0000-0000-0000B05A0000}"/>
    <cellStyle name="40% - Accent3 5 5 3 4" xfId="26748" xr:uid="{00000000-0005-0000-0000-0000B15A0000}"/>
    <cellStyle name="40% - Accent3 5 5 3 4 2" xfId="26749" xr:uid="{00000000-0005-0000-0000-0000B25A0000}"/>
    <cellStyle name="40% - Accent3 5 5 3 5" xfId="26750" xr:uid="{00000000-0005-0000-0000-0000B35A0000}"/>
    <cellStyle name="40% - Accent3 5 5 3 6" xfId="26751" xr:uid="{00000000-0005-0000-0000-0000B45A0000}"/>
    <cellStyle name="40% - Accent3 5 5 3 7" xfId="26752" xr:uid="{00000000-0005-0000-0000-0000B55A0000}"/>
    <cellStyle name="40% - Accent3 5 5 4" xfId="26753" xr:uid="{00000000-0005-0000-0000-0000B65A0000}"/>
    <cellStyle name="40% - Accent3 5 5 4 2" xfId="26754" xr:uid="{00000000-0005-0000-0000-0000B75A0000}"/>
    <cellStyle name="40% - Accent3 5 5 4 2 2" xfId="26755" xr:uid="{00000000-0005-0000-0000-0000B85A0000}"/>
    <cellStyle name="40% - Accent3 5 5 4 2 2 2" xfId="26756" xr:uid="{00000000-0005-0000-0000-0000B95A0000}"/>
    <cellStyle name="40% - Accent3 5 5 4 2 3" xfId="26757" xr:uid="{00000000-0005-0000-0000-0000BA5A0000}"/>
    <cellStyle name="40% - Accent3 5 5 4 3" xfId="26758" xr:uid="{00000000-0005-0000-0000-0000BB5A0000}"/>
    <cellStyle name="40% - Accent3 5 5 4 3 2" xfId="26759" xr:uid="{00000000-0005-0000-0000-0000BC5A0000}"/>
    <cellStyle name="40% - Accent3 5 5 4 4" xfId="26760" xr:uid="{00000000-0005-0000-0000-0000BD5A0000}"/>
    <cellStyle name="40% - Accent3 5 5 4 5" xfId="26761" xr:uid="{00000000-0005-0000-0000-0000BE5A0000}"/>
    <cellStyle name="40% - Accent3 5 5 4 6" xfId="26762" xr:uid="{00000000-0005-0000-0000-0000BF5A0000}"/>
    <cellStyle name="40% - Accent3 5 5 5" xfId="26763" xr:uid="{00000000-0005-0000-0000-0000C05A0000}"/>
    <cellStyle name="40% - Accent3 5 5 5 2" xfId="26764" xr:uid="{00000000-0005-0000-0000-0000C15A0000}"/>
    <cellStyle name="40% - Accent3 5 5 5 2 2" xfId="26765" xr:uid="{00000000-0005-0000-0000-0000C25A0000}"/>
    <cellStyle name="40% - Accent3 5 5 5 3" xfId="26766" xr:uid="{00000000-0005-0000-0000-0000C35A0000}"/>
    <cellStyle name="40% - Accent3 5 5 6" xfId="26767" xr:uid="{00000000-0005-0000-0000-0000C45A0000}"/>
    <cellStyle name="40% - Accent3 5 5 6 2" xfId="26768" xr:uid="{00000000-0005-0000-0000-0000C55A0000}"/>
    <cellStyle name="40% - Accent3 5 5 6 2 2" xfId="26769" xr:uid="{00000000-0005-0000-0000-0000C65A0000}"/>
    <cellStyle name="40% - Accent3 5 5 6 3" xfId="26770" xr:uid="{00000000-0005-0000-0000-0000C75A0000}"/>
    <cellStyle name="40% - Accent3 5 5 7" xfId="26771" xr:uid="{00000000-0005-0000-0000-0000C85A0000}"/>
    <cellStyle name="40% - Accent3 5 5 7 2" xfId="26772" xr:uid="{00000000-0005-0000-0000-0000C95A0000}"/>
    <cellStyle name="40% - Accent3 5 5 8" xfId="26773" xr:uid="{00000000-0005-0000-0000-0000CA5A0000}"/>
    <cellStyle name="40% - Accent3 5 5 8 2" xfId="26774" xr:uid="{00000000-0005-0000-0000-0000CB5A0000}"/>
    <cellStyle name="40% - Accent3 5 5 9" xfId="26775" xr:uid="{00000000-0005-0000-0000-0000CC5A0000}"/>
    <cellStyle name="40% - Accent3 5 6" xfId="26776" xr:uid="{00000000-0005-0000-0000-0000CD5A0000}"/>
    <cellStyle name="40% - Accent3 5 6 10" xfId="26777" xr:uid="{00000000-0005-0000-0000-0000CE5A0000}"/>
    <cellStyle name="40% - Accent3 5 6 11" xfId="26778" xr:uid="{00000000-0005-0000-0000-0000CF5A0000}"/>
    <cellStyle name="40% - Accent3 5 6 2" xfId="26779" xr:uid="{00000000-0005-0000-0000-0000D05A0000}"/>
    <cellStyle name="40% - Accent3 5 6 2 2" xfId="26780" xr:uid="{00000000-0005-0000-0000-0000D15A0000}"/>
    <cellStyle name="40% - Accent3 5 6 2 2 2" xfId="26781" xr:uid="{00000000-0005-0000-0000-0000D25A0000}"/>
    <cellStyle name="40% - Accent3 5 6 2 2 2 2" xfId="26782" xr:uid="{00000000-0005-0000-0000-0000D35A0000}"/>
    <cellStyle name="40% - Accent3 5 6 2 2 2 2 2" xfId="26783" xr:uid="{00000000-0005-0000-0000-0000D45A0000}"/>
    <cellStyle name="40% - Accent3 5 6 2 2 2 3" xfId="26784" xr:uid="{00000000-0005-0000-0000-0000D55A0000}"/>
    <cellStyle name="40% - Accent3 5 6 2 2 3" xfId="26785" xr:uid="{00000000-0005-0000-0000-0000D65A0000}"/>
    <cellStyle name="40% - Accent3 5 6 2 2 3 2" xfId="26786" xr:uid="{00000000-0005-0000-0000-0000D75A0000}"/>
    <cellStyle name="40% - Accent3 5 6 2 2 4" xfId="26787" xr:uid="{00000000-0005-0000-0000-0000D85A0000}"/>
    <cellStyle name="40% - Accent3 5 6 2 2 5" xfId="26788" xr:uid="{00000000-0005-0000-0000-0000D95A0000}"/>
    <cellStyle name="40% - Accent3 5 6 2 2 6" xfId="26789" xr:uid="{00000000-0005-0000-0000-0000DA5A0000}"/>
    <cellStyle name="40% - Accent3 5 6 2 3" xfId="26790" xr:uid="{00000000-0005-0000-0000-0000DB5A0000}"/>
    <cellStyle name="40% - Accent3 5 6 2 3 2" xfId="26791" xr:uid="{00000000-0005-0000-0000-0000DC5A0000}"/>
    <cellStyle name="40% - Accent3 5 6 2 3 2 2" xfId="26792" xr:uid="{00000000-0005-0000-0000-0000DD5A0000}"/>
    <cellStyle name="40% - Accent3 5 6 2 3 3" xfId="26793" xr:uid="{00000000-0005-0000-0000-0000DE5A0000}"/>
    <cellStyle name="40% - Accent3 5 6 2 4" xfId="26794" xr:uid="{00000000-0005-0000-0000-0000DF5A0000}"/>
    <cellStyle name="40% - Accent3 5 6 2 4 2" xfId="26795" xr:uid="{00000000-0005-0000-0000-0000E05A0000}"/>
    <cellStyle name="40% - Accent3 5 6 2 5" xfId="26796" xr:uid="{00000000-0005-0000-0000-0000E15A0000}"/>
    <cellStyle name="40% - Accent3 5 6 2 5 2" xfId="26797" xr:uid="{00000000-0005-0000-0000-0000E25A0000}"/>
    <cellStyle name="40% - Accent3 5 6 2 6" xfId="26798" xr:uid="{00000000-0005-0000-0000-0000E35A0000}"/>
    <cellStyle name="40% - Accent3 5 6 2 7" xfId="26799" xr:uid="{00000000-0005-0000-0000-0000E45A0000}"/>
    <cellStyle name="40% - Accent3 5 6 2 8" xfId="26800" xr:uid="{00000000-0005-0000-0000-0000E55A0000}"/>
    <cellStyle name="40% - Accent3 5 6 3" xfId="26801" xr:uid="{00000000-0005-0000-0000-0000E65A0000}"/>
    <cellStyle name="40% - Accent3 5 6 3 2" xfId="26802" xr:uid="{00000000-0005-0000-0000-0000E75A0000}"/>
    <cellStyle name="40% - Accent3 5 6 3 2 2" xfId="26803" xr:uid="{00000000-0005-0000-0000-0000E85A0000}"/>
    <cellStyle name="40% - Accent3 5 6 3 2 2 2" xfId="26804" xr:uid="{00000000-0005-0000-0000-0000E95A0000}"/>
    <cellStyle name="40% - Accent3 5 6 3 2 2 2 2" xfId="26805" xr:uid="{00000000-0005-0000-0000-0000EA5A0000}"/>
    <cellStyle name="40% - Accent3 5 6 3 2 2 3" xfId="26806" xr:uid="{00000000-0005-0000-0000-0000EB5A0000}"/>
    <cellStyle name="40% - Accent3 5 6 3 2 3" xfId="26807" xr:uid="{00000000-0005-0000-0000-0000EC5A0000}"/>
    <cellStyle name="40% - Accent3 5 6 3 2 3 2" xfId="26808" xr:uid="{00000000-0005-0000-0000-0000ED5A0000}"/>
    <cellStyle name="40% - Accent3 5 6 3 2 4" xfId="26809" xr:uid="{00000000-0005-0000-0000-0000EE5A0000}"/>
    <cellStyle name="40% - Accent3 5 6 3 2 5" xfId="26810" xr:uid="{00000000-0005-0000-0000-0000EF5A0000}"/>
    <cellStyle name="40% - Accent3 5 6 3 2 6" xfId="26811" xr:uid="{00000000-0005-0000-0000-0000F05A0000}"/>
    <cellStyle name="40% - Accent3 5 6 3 3" xfId="26812" xr:uid="{00000000-0005-0000-0000-0000F15A0000}"/>
    <cellStyle name="40% - Accent3 5 6 3 3 2" xfId="26813" xr:uid="{00000000-0005-0000-0000-0000F25A0000}"/>
    <cellStyle name="40% - Accent3 5 6 3 3 2 2" xfId="26814" xr:uid="{00000000-0005-0000-0000-0000F35A0000}"/>
    <cellStyle name="40% - Accent3 5 6 3 3 3" xfId="26815" xr:uid="{00000000-0005-0000-0000-0000F45A0000}"/>
    <cellStyle name="40% - Accent3 5 6 3 4" xfId="26816" xr:uid="{00000000-0005-0000-0000-0000F55A0000}"/>
    <cellStyle name="40% - Accent3 5 6 3 4 2" xfId="26817" xr:uid="{00000000-0005-0000-0000-0000F65A0000}"/>
    <cellStyle name="40% - Accent3 5 6 3 5" xfId="26818" xr:uid="{00000000-0005-0000-0000-0000F75A0000}"/>
    <cellStyle name="40% - Accent3 5 6 3 6" xfId="26819" xr:uid="{00000000-0005-0000-0000-0000F85A0000}"/>
    <cellStyle name="40% - Accent3 5 6 3 7" xfId="26820" xr:uid="{00000000-0005-0000-0000-0000F95A0000}"/>
    <cellStyle name="40% - Accent3 5 6 4" xfId="26821" xr:uid="{00000000-0005-0000-0000-0000FA5A0000}"/>
    <cellStyle name="40% - Accent3 5 6 4 2" xfId="26822" xr:uid="{00000000-0005-0000-0000-0000FB5A0000}"/>
    <cellStyle name="40% - Accent3 5 6 4 2 2" xfId="26823" xr:uid="{00000000-0005-0000-0000-0000FC5A0000}"/>
    <cellStyle name="40% - Accent3 5 6 4 2 2 2" xfId="26824" xr:uid="{00000000-0005-0000-0000-0000FD5A0000}"/>
    <cellStyle name="40% - Accent3 5 6 4 2 3" xfId="26825" xr:uid="{00000000-0005-0000-0000-0000FE5A0000}"/>
    <cellStyle name="40% - Accent3 5 6 4 3" xfId="26826" xr:uid="{00000000-0005-0000-0000-0000FF5A0000}"/>
    <cellStyle name="40% - Accent3 5 6 4 3 2" xfId="26827" xr:uid="{00000000-0005-0000-0000-0000005B0000}"/>
    <cellStyle name="40% - Accent3 5 6 4 4" xfId="26828" xr:uid="{00000000-0005-0000-0000-0000015B0000}"/>
    <cellStyle name="40% - Accent3 5 6 4 5" xfId="26829" xr:uid="{00000000-0005-0000-0000-0000025B0000}"/>
    <cellStyle name="40% - Accent3 5 6 4 6" xfId="26830" xr:uid="{00000000-0005-0000-0000-0000035B0000}"/>
    <cellStyle name="40% - Accent3 5 6 5" xfId="26831" xr:uid="{00000000-0005-0000-0000-0000045B0000}"/>
    <cellStyle name="40% - Accent3 5 6 5 2" xfId="26832" xr:uid="{00000000-0005-0000-0000-0000055B0000}"/>
    <cellStyle name="40% - Accent3 5 6 5 2 2" xfId="26833" xr:uid="{00000000-0005-0000-0000-0000065B0000}"/>
    <cellStyle name="40% - Accent3 5 6 5 3" xfId="26834" xr:uid="{00000000-0005-0000-0000-0000075B0000}"/>
    <cellStyle name="40% - Accent3 5 6 6" xfId="26835" xr:uid="{00000000-0005-0000-0000-0000085B0000}"/>
    <cellStyle name="40% - Accent3 5 6 6 2" xfId="26836" xr:uid="{00000000-0005-0000-0000-0000095B0000}"/>
    <cellStyle name="40% - Accent3 5 6 6 2 2" xfId="26837" xr:uid="{00000000-0005-0000-0000-00000A5B0000}"/>
    <cellStyle name="40% - Accent3 5 6 6 3" xfId="26838" xr:uid="{00000000-0005-0000-0000-00000B5B0000}"/>
    <cellStyle name="40% - Accent3 5 6 7" xfId="26839" xr:uid="{00000000-0005-0000-0000-00000C5B0000}"/>
    <cellStyle name="40% - Accent3 5 6 7 2" xfId="26840" xr:uid="{00000000-0005-0000-0000-00000D5B0000}"/>
    <cellStyle name="40% - Accent3 5 6 8" xfId="26841" xr:uid="{00000000-0005-0000-0000-00000E5B0000}"/>
    <cellStyle name="40% - Accent3 5 6 8 2" xfId="26842" xr:uid="{00000000-0005-0000-0000-00000F5B0000}"/>
    <cellStyle name="40% - Accent3 5 6 9" xfId="26843" xr:uid="{00000000-0005-0000-0000-0000105B0000}"/>
    <cellStyle name="40% - Accent3 5 7" xfId="26844" xr:uid="{00000000-0005-0000-0000-0000115B0000}"/>
    <cellStyle name="40% - Accent3 5 7 10" xfId="26845" xr:uid="{00000000-0005-0000-0000-0000125B0000}"/>
    <cellStyle name="40% - Accent3 5 7 11" xfId="26846" xr:uid="{00000000-0005-0000-0000-0000135B0000}"/>
    <cellStyle name="40% - Accent3 5 7 2" xfId="26847" xr:uid="{00000000-0005-0000-0000-0000145B0000}"/>
    <cellStyle name="40% - Accent3 5 7 2 2" xfId="26848" xr:uid="{00000000-0005-0000-0000-0000155B0000}"/>
    <cellStyle name="40% - Accent3 5 7 2 2 2" xfId="26849" xr:uid="{00000000-0005-0000-0000-0000165B0000}"/>
    <cellStyle name="40% - Accent3 5 7 2 2 2 2" xfId="26850" xr:uid="{00000000-0005-0000-0000-0000175B0000}"/>
    <cellStyle name="40% - Accent3 5 7 2 2 2 2 2" xfId="26851" xr:uid="{00000000-0005-0000-0000-0000185B0000}"/>
    <cellStyle name="40% - Accent3 5 7 2 2 2 3" xfId="26852" xr:uid="{00000000-0005-0000-0000-0000195B0000}"/>
    <cellStyle name="40% - Accent3 5 7 2 2 3" xfId="26853" xr:uid="{00000000-0005-0000-0000-00001A5B0000}"/>
    <cellStyle name="40% - Accent3 5 7 2 2 3 2" xfId="26854" xr:uid="{00000000-0005-0000-0000-00001B5B0000}"/>
    <cellStyle name="40% - Accent3 5 7 2 2 4" xfId="26855" xr:uid="{00000000-0005-0000-0000-00001C5B0000}"/>
    <cellStyle name="40% - Accent3 5 7 2 2 5" xfId="26856" xr:uid="{00000000-0005-0000-0000-00001D5B0000}"/>
    <cellStyle name="40% - Accent3 5 7 2 2 6" xfId="26857" xr:uid="{00000000-0005-0000-0000-00001E5B0000}"/>
    <cellStyle name="40% - Accent3 5 7 2 3" xfId="26858" xr:uid="{00000000-0005-0000-0000-00001F5B0000}"/>
    <cellStyle name="40% - Accent3 5 7 2 3 2" xfId="26859" xr:uid="{00000000-0005-0000-0000-0000205B0000}"/>
    <cellStyle name="40% - Accent3 5 7 2 3 2 2" xfId="26860" xr:uid="{00000000-0005-0000-0000-0000215B0000}"/>
    <cellStyle name="40% - Accent3 5 7 2 3 3" xfId="26861" xr:uid="{00000000-0005-0000-0000-0000225B0000}"/>
    <cellStyle name="40% - Accent3 5 7 2 4" xfId="26862" xr:uid="{00000000-0005-0000-0000-0000235B0000}"/>
    <cellStyle name="40% - Accent3 5 7 2 4 2" xfId="26863" xr:uid="{00000000-0005-0000-0000-0000245B0000}"/>
    <cellStyle name="40% - Accent3 5 7 2 5" xfId="26864" xr:uid="{00000000-0005-0000-0000-0000255B0000}"/>
    <cellStyle name="40% - Accent3 5 7 2 5 2" xfId="26865" xr:uid="{00000000-0005-0000-0000-0000265B0000}"/>
    <cellStyle name="40% - Accent3 5 7 2 6" xfId="26866" xr:uid="{00000000-0005-0000-0000-0000275B0000}"/>
    <cellStyle name="40% - Accent3 5 7 2 7" xfId="26867" xr:uid="{00000000-0005-0000-0000-0000285B0000}"/>
    <cellStyle name="40% - Accent3 5 7 2 8" xfId="26868" xr:uid="{00000000-0005-0000-0000-0000295B0000}"/>
    <cellStyle name="40% - Accent3 5 7 3" xfId="26869" xr:uid="{00000000-0005-0000-0000-00002A5B0000}"/>
    <cellStyle name="40% - Accent3 5 7 3 2" xfId="26870" xr:uid="{00000000-0005-0000-0000-00002B5B0000}"/>
    <cellStyle name="40% - Accent3 5 7 3 2 2" xfId="26871" xr:uid="{00000000-0005-0000-0000-00002C5B0000}"/>
    <cellStyle name="40% - Accent3 5 7 3 2 2 2" xfId="26872" xr:uid="{00000000-0005-0000-0000-00002D5B0000}"/>
    <cellStyle name="40% - Accent3 5 7 3 2 2 2 2" xfId="26873" xr:uid="{00000000-0005-0000-0000-00002E5B0000}"/>
    <cellStyle name="40% - Accent3 5 7 3 2 2 3" xfId="26874" xr:uid="{00000000-0005-0000-0000-00002F5B0000}"/>
    <cellStyle name="40% - Accent3 5 7 3 2 3" xfId="26875" xr:uid="{00000000-0005-0000-0000-0000305B0000}"/>
    <cellStyle name="40% - Accent3 5 7 3 2 3 2" xfId="26876" xr:uid="{00000000-0005-0000-0000-0000315B0000}"/>
    <cellStyle name="40% - Accent3 5 7 3 2 4" xfId="26877" xr:uid="{00000000-0005-0000-0000-0000325B0000}"/>
    <cellStyle name="40% - Accent3 5 7 3 2 5" xfId="26878" xr:uid="{00000000-0005-0000-0000-0000335B0000}"/>
    <cellStyle name="40% - Accent3 5 7 3 2 6" xfId="26879" xr:uid="{00000000-0005-0000-0000-0000345B0000}"/>
    <cellStyle name="40% - Accent3 5 7 3 3" xfId="26880" xr:uid="{00000000-0005-0000-0000-0000355B0000}"/>
    <cellStyle name="40% - Accent3 5 7 3 3 2" xfId="26881" xr:uid="{00000000-0005-0000-0000-0000365B0000}"/>
    <cellStyle name="40% - Accent3 5 7 3 3 2 2" xfId="26882" xr:uid="{00000000-0005-0000-0000-0000375B0000}"/>
    <cellStyle name="40% - Accent3 5 7 3 3 3" xfId="26883" xr:uid="{00000000-0005-0000-0000-0000385B0000}"/>
    <cellStyle name="40% - Accent3 5 7 3 4" xfId="26884" xr:uid="{00000000-0005-0000-0000-0000395B0000}"/>
    <cellStyle name="40% - Accent3 5 7 3 4 2" xfId="26885" xr:uid="{00000000-0005-0000-0000-00003A5B0000}"/>
    <cellStyle name="40% - Accent3 5 7 3 5" xfId="26886" xr:uid="{00000000-0005-0000-0000-00003B5B0000}"/>
    <cellStyle name="40% - Accent3 5 7 3 6" xfId="26887" xr:uid="{00000000-0005-0000-0000-00003C5B0000}"/>
    <cellStyle name="40% - Accent3 5 7 3 7" xfId="26888" xr:uid="{00000000-0005-0000-0000-00003D5B0000}"/>
    <cellStyle name="40% - Accent3 5 7 4" xfId="26889" xr:uid="{00000000-0005-0000-0000-00003E5B0000}"/>
    <cellStyle name="40% - Accent3 5 7 4 2" xfId="26890" xr:uid="{00000000-0005-0000-0000-00003F5B0000}"/>
    <cellStyle name="40% - Accent3 5 7 4 2 2" xfId="26891" xr:uid="{00000000-0005-0000-0000-0000405B0000}"/>
    <cellStyle name="40% - Accent3 5 7 4 2 2 2" xfId="26892" xr:uid="{00000000-0005-0000-0000-0000415B0000}"/>
    <cellStyle name="40% - Accent3 5 7 4 2 3" xfId="26893" xr:uid="{00000000-0005-0000-0000-0000425B0000}"/>
    <cellStyle name="40% - Accent3 5 7 4 3" xfId="26894" xr:uid="{00000000-0005-0000-0000-0000435B0000}"/>
    <cellStyle name="40% - Accent3 5 7 4 3 2" xfId="26895" xr:uid="{00000000-0005-0000-0000-0000445B0000}"/>
    <cellStyle name="40% - Accent3 5 7 4 4" xfId="26896" xr:uid="{00000000-0005-0000-0000-0000455B0000}"/>
    <cellStyle name="40% - Accent3 5 7 4 5" xfId="26897" xr:uid="{00000000-0005-0000-0000-0000465B0000}"/>
    <cellStyle name="40% - Accent3 5 7 4 6" xfId="26898" xr:uid="{00000000-0005-0000-0000-0000475B0000}"/>
    <cellStyle name="40% - Accent3 5 7 5" xfId="26899" xr:uid="{00000000-0005-0000-0000-0000485B0000}"/>
    <cellStyle name="40% - Accent3 5 7 5 2" xfId="26900" xr:uid="{00000000-0005-0000-0000-0000495B0000}"/>
    <cellStyle name="40% - Accent3 5 7 5 2 2" xfId="26901" xr:uid="{00000000-0005-0000-0000-00004A5B0000}"/>
    <cellStyle name="40% - Accent3 5 7 5 3" xfId="26902" xr:uid="{00000000-0005-0000-0000-00004B5B0000}"/>
    <cellStyle name="40% - Accent3 5 7 6" xfId="26903" xr:uid="{00000000-0005-0000-0000-00004C5B0000}"/>
    <cellStyle name="40% - Accent3 5 7 6 2" xfId="26904" xr:uid="{00000000-0005-0000-0000-00004D5B0000}"/>
    <cellStyle name="40% - Accent3 5 7 6 2 2" xfId="26905" xr:uid="{00000000-0005-0000-0000-00004E5B0000}"/>
    <cellStyle name="40% - Accent3 5 7 6 3" xfId="26906" xr:uid="{00000000-0005-0000-0000-00004F5B0000}"/>
    <cellStyle name="40% - Accent3 5 7 7" xfId="26907" xr:uid="{00000000-0005-0000-0000-0000505B0000}"/>
    <cellStyle name="40% - Accent3 5 7 7 2" xfId="26908" xr:uid="{00000000-0005-0000-0000-0000515B0000}"/>
    <cellStyle name="40% - Accent3 5 7 8" xfId="26909" xr:uid="{00000000-0005-0000-0000-0000525B0000}"/>
    <cellStyle name="40% - Accent3 5 7 8 2" xfId="26910" xr:uid="{00000000-0005-0000-0000-0000535B0000}"/>
    <cellStyle name="40% - Accent3 5 7 9" xfId="26911" xr:uid="{00000000-0005-0000-0000-0000545B0000}"/>
    <cellStyle name="40% - Accent3 5 8" xfId="26912" xr:uid="{00000000-0005-0000-0000-0000555B0000}"/>
    <cellStyle name="40% - Accent3 5 8 10" xfId="26913" xr:uid="{00000000-0005-0000-0000-0000565B0000}"/>
    <cellStyle name="40% - Accent3 5 8 11" xfId="26914" xr:uid="{00000000-0005-0000-0000-0000575B0000}"/>
    <cellStyle name="40% - Accent3 5 8 2" xfId="26915" xr:uid="{00000000-0005-0000-0000-0000585B0000}"/>
    <cellStyle name="40% - Accent3 5 8 2 2" xfId="26916" xr:uid="{00000000-0005-0000-0000-0000595B0000}"/>
    <cellStyle name="40% - Accent3 5 8 2 2 2" xfId="26917" xr:uid="{00000000-0005-0000-0000-00005A5B0000}"/>
    <cellStyle name="40% - Accent3 5 8 2 2 2 2" xfId="26918" xr:uid="{00000000-0005-0000-0000-00005B5B0000}"/>
    <cellStyle name="40% - Accent3 5 8 2 2 2 2 2" xfId="26919" xr:uid="{00000000-0005-0000-0000-00005C5B0000}"/>
    <cellStyle name="40% - Accent3 5 8 2 2 2 3" xfId="26920" xr:uid="{00000000-0005-0000-0000-00005D5B0000}"/>
    <cellStyle name="40% - Accent3 5 8 2 2 3" xfId="26921" xr:uid="{00000000-0005-0000-0000-00005E5B0000}"/>
    <cellStyle name="40% - Accent3 5 8 2 2 3 2" xfId="26922" xr:uid="{00000000-0005-0000-0000-00005F5B0000}"/>
    <cellStyle name="40% - Accent3 5 8 2 2 4" xfId="26923" xr:uid="{00000000-0005-0000-0000-0000605B0000}"/>
    <cellStyle name="40% - Accent3 5 8 2 2 5" xfId="26924" xr:uid="{00000000-0005-0000-0000-0000615B0000}"/>
    <cellStyle name="40% - Accent3 5 8 2 2 6" xfId="26925" xr:uid="{00000000-0005-0000-0000-0000625B0000}"/>
    <cellStyle name="40% - Accent3 5 8 2 3" xfId="26926" xr:uid="{00000000-0005-0000-0000-0000635B0000}"/>
    <cellStyle name="40% - Accent3 5 8 2 3 2" xfId="26927" xr:uid="{00000000-0005-0000-0000-0000645B0000}"/>
    <cellStyle name="40% - Accent3 5 8 2 3 2 2" xfId="26928" xr:uid="{00000000-0005-0000-0000-0000655B0000}"/>
    <cellStyle name="40% - Accent3 5 8 2 3 3" xfId="26929" xr:uid="{00000000-0005-0000-0000-0000665B0000}"/>
    <cellStyle name="40% - Accent3 5 8 2 4" xfId="26930" xr:uid="{00000000-0005-0000-0000-0000675B0000}"/>
    <cellStyle name="40% - Accent3 5 8 2 4 2" xfId="26931" xr:uid="{00000000-0005-0000-0000-0000685B0000}"/>
    <cellStyle name="40% - Accent3 5 8 2 5" xfId="26932" xr:uid="{00000000-0005-0000-0000-0000695B0000}"/>
    <cellStyle name="40% - Accent3 5 8 2 5 2" xfId="26933" xr:uid="{00000000-0005-0000-0000-00006A5B0000}"/>
    <cellStyle name="40% - Accent3 5 8 2 6" xfId="26934" xr:uid="{00000000-0005-0000-0000-00006B5B0000}"/>
    <cellStyle name="40% - Accent3 5 8 2 7" xfId="26935" xr:uid="{00000000-0005-0000-0000-00006C5B0000}"/>
    <cellStyle name="40% - Accent3 5 8 2 8" xfId="26936" xr:uid="{00000000-0005-0000-0000-00006D5B0000}"/>
    <cellStyle name="40% - Accent3 5 8 3" xfId="26937" xr:uid="{00000000-0005-0000-0000-00006E5B0000}"/>
    <cellStyle name="40% - Accent3 5 8 3 2" xfId="26938" xr:uid="{00000000-0005-0000-0000-00006F5B0000}"/>
    <cellStyle name="40% - Accent3 5 8 3 2 2" xfId="26939" xr:uid="{00000000-0005-0000-0000-0000705B0000}"/>
    <cellStyle name="40% - Accent3 5 8 3 2 2 2" xfId="26940" xr:uid="{00000000-0005-0000-0000-0000715B0000}"/>
    <cellStyle name="40% - Accent3 5 8 3 2 2 2 2" xfId="26941" xr:uid="{00000000-0005-0000-0000-0000725B0000}"/>
    <cellStyle name="40% - Accent3 5 8 3 2 2 3" xfId="26942" xr:uid="{00000000-0005-0000-0000-0000735B0000}"/>
    <cellStyle name="40% - Accent3 5 8 3 2 3" xfId="26943" xr:uid="{00000000-0005-0000-0000-0000745B0000}"/>
    <cellStyle name="40% - Accent3 5 8 3 2 3 2" xfId="26944" xr:uid="{00000000-0005-0000-0000-0000755B0000}"/>
    <cellStyle name="40% - Accent3 5 8 3 2 4" xfId="26945" xr:uid="{00000000-0005-0000-0000-0000765B0000}"/>
    <cellStyle name="40% - Accent3 5 8 3 2 5" xfId="26946" xr:uid="{00000000-0005-0000-0000-0000775B0000}"/>
    <cellStyle name="40% - Accent3 5 8 3 2 6" xfId="26947" xr:uid="{00000000-0005-0000-0000-0000785B0000}"/>
    <cellStyle name="40% - Accent3 5 8 3 3" xfId="26948" xr:uid="{00000000-0005-0000-0000-0000795B0000}"/>
    <cellStyle name="40% - Accent3 5 8 3 3 2" xfId="26949" xr:uid="{00000000-0005-0000-0000-00007A5B0000}"/>
    <cellStyle name="40% - Accent3 5 8 3 3 2 2" xfId="26950" xr:uid="{00000000-0005-0000-0000-00007B5B0000}"/>
    <cellStyle name="40% - Accent3 5 8 3 3 3" xfId="26951" xr:uid="{00000000-0005-0000-0000-00007C5B0000}"/>
    <cellStyle name="40% - Accent3 5 8 3 4" xfId="26952" xr:uid="{00000000-0005-0000-0000-00007D5B0000}"/>
    <cellStyle name="40% - Accent3 5 8 3 4 2" xfId="26953" xr:uid="{00000000-0005-0000-0000-00007E5B0000}"/>
    <cellStyle name="40% - Accent3 5 8 3 5" xfId="26954" xr:uid="{00000000-0005-0000-0000-00007F5B0000}"/>
    <cellStyle name="40% - Accent3 5 8 3 6" xfId="26955" xr:uid="{00000000-0005-0000-0000-0000805B0000}"/>
    <cellStyle name="40% - Accent3 5 8 3 7" xfId="26956" xr:uid="{00000000-0005-0000-0000-0000815B0000}"/>
    <cellStyle name="40% - Accent3 5 8 4" xfId="26957" xr:uid="{00000000-0005-0000-0000-0000825B0000}"/>
    <cellStyle name="40% - Accent3 5 8 4 2" xfId="26958" xr:uid="{00000000-0005-0000-0000-0000835B0000}"/>
    <cellStyle name="40% - Accent3 5 8 4 2 2" xfId="26959" xr:uid="{00000000-0005-0000-0000-0000845B0000}"/>
    <cellStyle name="40% - Accent3 5 8 4 2 2 2" xfId="26960" xr:uid="{00000000-0005-0000-0000-0000855B0000}"/>
    <cellStyle name="40% - Accent3 5 8 4 2 3" xfId="26961" xr:uid="{00000000-0005-0000-0000-0000865B0000}"/>
    <cellStyle name="40% - Accent3 5 8 4 3" xfId="26962" xr:uid="{00000000-0005-0000-0000-0000875B0000}"/>
    <cellStyle name="40% - Accent3 5 8 4 3 2" xfId="26963" xr:uid="{00000000-0005-0000-0000-0000885B0000}"/>
    <cellStyle name="40% - Accent3 5 8 4 4" xfId="26964" xr:uid="{00000000-0005-0000-0000-0000895B0000}"/>
    <cellStyle name="40% - Accent3 5 8 4 5" xfId="26965" xr:uid="{00000000-0005-0000-0000-00008A5B0000}"/>
    <cellStyle name="40% - Accent3 5 8 4 6" xfId="26966" xr:uid="{00000000-0005-0000-0000-00008B5B0000}"/>
    <cellStyle name="40% - Accent3 5 8 5" xfId="26967" xr:uid="{00000000-0005-0000-0000-00008C5B0000}"/>
    <cellStyle name="40% - Accent3 5 8 5 2" xfId="26968" xr:uid="{00000000-0005-0000-0000-00008D5B0000}"/>
    <cellStyle name="40% - Accent3 5 8 5 2 2" xfId="26969" xr:uid="{00000000-0005-0000-0000-00008E5B0000}"/>
    <cellStyle name="40% - Accent3 5 8 5 3" xfId="26970" xr:uid="{00000000-0005-0000-0000-00008F5B0000}"/>
    <cellStyle name="40% - Accent3 5 8 6" xfId="26971" xr:uid="{00000000-0005-0000-0000-0000905B0000}"/>
    <cellStyle name="40% - Accent3 5 8 6 2" xfId="26972" xr:uid="{00000000-0005-0000-0000-0000915B0000}"/>
    <cellStyle name="40% - Accent3 5 8 6 2 2" xfId="26973" xr:uid="{00000000-0005-0000-0000-0000925B0000}"/>
    <cellStyle name="40% - Accent3 5 8 6 3" xfId="26974" xr:uid="{00000000-0005-0000-0000-0000935B0000}"/>
    <cellStyle name="40% - Accent3 5 8 7" xfId="26975" xr:uid="{00000000-0005-0000-0000-0000945B0000}"/>
    <cellStyle name="40% - Accent3 5 8 7 2" xfId="26976" xr:uid="{00000000-0005-0000-0000-0000955B0000}"/>
    <cellStyle name="40% - Accent3 5 8 8" xfId="26977" xr:uid="{00000000-0005-0000-0000-0000965B0000}"/>
    <cellStyle name="40% - Accent3 5 8 8 2" xfId="26978" xr:uid="{00000000-0005-0000-0000-0000975B0000}"/>
    <cellStyle name="40% - Accent3 5 8 9" xfId="26979" xr:uid="{00000000-0005-0000-0000-0000985B0000}"/>
    <cellStyle name="40% - Accent3 5 9" xfId="26980" xr:uid="{00000000-0005-0000-0000-0000995B0000}"/>
    <cellStyle name="40% - Accent3 5 9 10" xfId="26981" xr:uid="{00000000-0005-0000-0000-00009A5B0000}"/>
    <cellStyle name="40% - Accent3 5 9 11" xfId="26982" xr:uid="{00000000-0005-0000-0000-00009B5B0000}"/>
    <cellStyle name="40% - Accent3 5 9 2" xfId="26983" xr:uid="{00000000-0005-0000-0000-00009C5B0000}"/>
    <cellStyle name="40% - Accent3 5 9 2 2" xfId="26984" xr:uid="{00000000-0005-0000-0000-00009D5B0000}"/>
    <cellStyle name="40% - Accent3 5 9 2 2 2" xfId="26985" xr:uid="{00000000-0005-0000-0000-00009E5B0000}"/>
    <cellStyle name="40% - Accent3 5 9 2 2 2 2" xfId="26986" xr:uid="{00000000-0005-0000-0000-00009F5B0000}"/>
    <cellStyle name="40% - Accent3 5 9 2 2 2 2 2" xfId="26987" xr:uid="{00000000-0005-0000-0000-0000A05B0000}"/>
    <cellStyle name="40% - Accent3 5 9 2 2 2 3" xfId="26988" xr:uid="{00000000-0005-0000-0000-0000A15B0000}"/>
    <cellStyle name="40% - Accent3 5 9 2 2 3" xfId="26989" xr:uid="{00000000-0005-0000-0000-0000A25B0000}"/>
    <cellStyle name="40% - Accent3 5 9 2 2 3 2" xfId="26990" xr:uid="{00000000-0005-0000-0000-0000A35B0000}"/>
    <cellStyle name="40% - Accent3 5 9 2 2 4" xfId="26991" xr:uid="{00000000-0005-0000-0000-0000A45B0000}"/>
    <cellStyle name="40% - Accent3 5 9 2 2 5" xfId="26992" xr:uid="{00000000-0005-0000-0000-0000A55B0000}"/>
    <cellStyle name="40% - Accent3 5 9 2 2 6" xfId="26993" xr:uid="{00000000-0005-0000-0000-0000A65B0000}"/>
    <cellStyle name="40% - Accent3 5 9 2 3" xfId="26994" xr:uid="{00000000-0005-0000-0000-0000A75B0000}"/>
    <cellStyle name="40% - Accent3 5 9 2 3 2" xfId="26995" xr:uid="{00000000-0005-0000-0000-0000A85B0000}"/>
    <cellStyle name="40% - Accent3 5 9 2 3 2 2" xfId="26996" xr:uid="{00000000-0005-0000-0000-0000A95B0000}"/>
    <cellStyle name="40% - Accent3 5 9 2 3 3" xfId="26997" xr:uid="{00000000-0005-0000-0000-0000AA5B0000}"/>
    <cellStyle name="40% - Accent3 5 9 2 4" xfId="26998" xr:uid="{00000000-0005-0000-0000-0000AB5B0000}"/>
    <cellStyle name="40% - Accent3 5 9 2 4 2" xfId="26999" xr:uid="{00000000-0005-0000-0000-0000AC5B0000}"/>
    <cellStyle name="40% - Accent3 5 9 2 5" xfId="27000" xr:uid="{00000000-0005-0000-0000-0000AD5B0000}"/>
    <cellStyle name="40% - Accent3 5 9 2 6" xfId="27001" xr:uid="{00000000-0005-0000-0000-0000AE5B0000}"/>
    <cellStyle name="40% - Accent3 5 9 2 7" xfId="27002" xr:uid="{00000000-0005-0000-0000-0000AF5B0000}"/>
    <cellStyle name="40% - Accent3 5 9 3" xfId="27003" xr:uid="{00000000-0005-0000-0000-0000B05B0000}"/>
    <cellStyle name="40% - Accent3 5 9 3 2" xfId="27004" xr:uid="{00000000-0005-0000-0000-0000B15B0000}"/>
    <cellStyle name="40% - Accent3 5 9 3 2 2" xfId="27005" xr:uid="{00000000-0005-0000-0000-0000B25B0000}"/>
    <cellStyle name="40% - Accent3 5 9 3 2 2 2" xfId="27006" xr:uid="{00000000-0005-0000-0000-0000B35B0000}"/>
    <cellStyle name="40% - Accent3 5 9 3 2 2 2 2" xfId="27007" xr:uid="{00000000-0005-0000-0000-0000B45B0000}"/>
    <cellStyle name="40% - Accent3 5 9 3 2 2 3" xfId="27008" xr:uid="{00000000-0005-0000-0000-0000B55B0000}"/>
    <cellStyle name="40% - Accent3 5 9 3 2 3" xfId="27009" xr:uid="{00000000-0005-0000-0000-0000B65B0000}"/>
    <cellStyle name="40% - Accent3 5 9 3 2 3 2" xfId="27010" xr:uid="{00000000-0005-0000-0000-0000B75B0000}"/>
    <cellStyle name="40% - Accent3 5 9 3 2 4" xfId="27011" xr:uid="{00000000-0005-0000-0000-0000B85B0000}"/>
    <cellStyle name="40% - Accent3 5 9 3 2 5" xfId="27012" xr:uid="{00000000-0005-0000-0000-0000B95B0000}"/>
    <cellStyle name="40% - Accent3 5 9 3 2 6" xfId="27013" xr:uid="{00000000-0005-0000-0000-0000BA5B0000}"/>
    <cellStyle name="40% - Accent3 5 9 3 3" xfId="27014" xr:uid="{00000000-0005-0000-0000-0000BB5B0000}"/>
    <cellStyle name="40% - Accent3 5 9 3 3 2" xfId="27015" xr:uid="{00000000-0005-0000-0000-0000BC5B0000}"/>
    <cellStyle name="40% - Accent3 5 9 3 3 2 2" xfId="27016" xr:uid="{00000000-0005-0000-0000-0000BD5B0000}"/>
    <cellStyle name="40% - Accent3 5 9 3 3 3" xfId="27017" xr:uid="{00000000-0005-0000-0000-0000BE5B0000}"/>
    <cellStyle name="40% - Accent3 5 9 3 4" xfId="27018" xr:uid="{00000000-0005-0000-0000-0000BF5B0000}"/>
    <cellStyle name="40% - Accent3 5 9 3 4 2" xfId="27019" xr:uid="{00000000-0005-0000-0000-0000C05B0000}"/>
    <cellStyle name="40% - Accent3 5 9 3 5" xfId="27020" xr:uid="{00000000-0005-0000-0000-0000C15B0000}"/>
    <cellStyle name="40% - Accent3 5 9 3 6" xfId="27021" xr:uid="{00000000-0005-0000-0000-0000C25B0000}"/>
    <cellStyle name="40% - Accent3 5 9 3 7" xfId="27022" xr:uid="{00000000-0005-0000-0000-0000C35B0000}"/>
    <cellStyle name="40% - Accent3 5 9 4" xfId="27023" xr:uid="{00000000-0005-0000-0000-0000C45B0000}"/>
    <cellStyle name="40% - Accent3 5 9 4 2" xfId="27024" xr:uid="{00000000-0005-0000-0000-0000C55B0000}"/>
    <cellStyle name="40% - Accent3 5 9 4 2 2" xfId="27025" xr:uid="{00000000-0005-0000-0000-0000C65B0000}"/>
    <cellStyle name="40% - Accent3 5 9 4 2 2 2" xfId="27026" xr:uid="{00000000-0005-0000-0000-0000C75B0000}"/>
    <cellStyle name="40% - Accent3 5 9 4 2 3" xfId="27027" xr:uid="{00000000-0005-0000-0000-0000C85B0000}"/>
    <cellStyle name="40% - Accent3 5 9 4 3" xfId="27028" xr:uid="{00000000-0005-0000-0000-0000C95B0000}"/>
    <cellStyle name="40% - Accent3 5 9 4 3 2" xfId="27029" xr:uid="{00000000-0005-0000-0000-0000CA5B0000}"/>
    <cellStyle name="40% - Accent3 5 9 4 4" xfId="27030" xr:uid="{00000000-0005-0000-0000-0000CB5B0000}"/>
    <cellStyle name="40% - Accent3 5 9 4 5" xfId="27031" xr:uid="{00000000-0005-0000-0000-0000CC5B0000}"/>
    <cellStyle name="40% - Accent3 5 9 4 6" xfId="27032" xr:uid="{00000000-0005-0000-0000-0000CD5B0000}"/>
    <cellStyle name="40% - Accent3 5 9 5" xfId="27033" xr:uid="{00000000-0005-0000-0000-0000CE5B0000}"/>
    <cellStyle name="40% - Accent3 5 9 5 2" xfId="27034" xr:uid="{00000000-0005-0000-0000-0000CF5B0000}"/>
    <cellStyle name="40% - Accent3 5 9 5 2 2" xfId="27035" xr:uid="{00000000-0005-0000-0000-0000D05B0000}"/>
    <cellStyle name="40% - Accent3 5 9 5 3" xfId="27036" xr:uid="{00000000-0005-0000-0000-0000D15B0000}"/>
    <cellStyle name="40% - Accent3 5 9 6" xfId="27037" xr:uid="{00000000-0005-0000-0000-0000D25B0000}"/>
    <cellStyle name="40% - Accent3 5 9 6 2" xfId="27038" xr:uid="{00000000-0005-0000-0000-0000D35B0000}"/>
    <cellStyle name="40% - Accent3 5 9 6 2 2" xfId="27039" xr:uid="{00000000-0005-0000-0000-0000D45B0000}"/>
    <cellStyle name="40% - Accent3 5 9 6 3" xfId="27040" xr:uid="{00000000-0005-0000-0000-0000D55B0000}"/>
    <cellStyle name="40% - Accent3 5 9 7" xfId="27041" xr:uid="{00000000-0005-0000-0000-0000D65B0000}"/>
    <cellStyle name="40% - Accent3 5 9 7 2" xfId="27042" xr:uid="{00000000-0005-0000-0000-0000D75B0000}"/>
    <cellStyle name="40% - Accent3 5 9 8" xfId="27043" xr:uid="{00000000-0005-0000-0000-0000D85B0000}"/>
    <cellStyle name="40% - Accent3 5 9 8 2" xfId="27044" xr:uid="{00000000-0005-0000-0000-0000D95B0000}"/>
    <cellStyle name="40% - Accent3 5 9 9" xfId="27045" xr:uid="{00000000-0005-0000-0000-0000DA5B0000}"/>
    <cellStyle name="40% - Accent3 6" xfId="205" xr:uid="{00000000-0005-0000-0000-0000DB5B0000}"/>
    <cellStyle name="40% - Accent3 6 10" xfId="27046" xr:uid="{00000000-0005-0000-0000-0000DC5B0000}"/>
    <cellStyle name="40% - Accent3 6 11" xfId="27047" xr:uid="{00000000-0005-0000-0000-0000DD5B0000}"/>
    <cellStyle name="40% - Accent3 6 12" xfId="27048" xr:uid="{00000000-0005-0000-0000-0000DE5B0000}"/>
    <cellStyle name="40% - Accent3 6 2" xfId="27049" xr:uid="{00000000-0005-0000-0000-0000DF5B0000}"/>
    <cellStyle name="40% - Accent3 6 2 10" xfId="27050" xr:uid="{00000000-0005-0000-0000-0000E05B0000}"/>
    <cellStyle name="40% - Accent3 6 2 2" xfId="27051" xr:uid="{00000000-0005-0000-0000-0000E15B0000}"/>
    <cellStyle name="40% - Accent3 6 2 2 2" xfId="27052" xr:uid="{00000000-0005-0000-0000-0000E25B0000}"/>
    <cellStyle name="40% - Accent3 6 2 2 2 2" xfId="27053" xr:uid="{00000000-0005-0000-0000-0000E35B0000}"/>
    <cellStyle name="40% - Accent3 6 2 2 2 2 2" xfId="27054" xr:uid="{00000000-0005-0000-0000-0000E45B0000}"/>
    <cellStyle name="40% - Accent3 6 2 2 2 2 2 2" xfId="27055" xr:uid="{00000000-0005-0000-0000-0000E55B0000}"/>
    <cellStyle name="40% - Accent3 6 2 2 2 2 3" xfId="27056" xr:uid="{00000000-0005-0000-0000-0000E65B0000}"/>
    <cellStyle name="40% - Accent3 6 2 2 2 3" xfId="27057" xr:uid="{00000000-0005-0000-0000-0000E75B0000}"/>
    <cellStyle name="40% - Accent3 6 2 2 2 3 2" xfId="27058" xr:uid="{00000000-0005-0000-0000-0000E85B0000}"/>
    <cellStyle name="40% - Accent3 6 2 2 2 4" xfId="27059" xr:uid="{00000000-0005-0000-0000-0000E95B0000}"/>
    <cellStyle name="40% - Accent3 6 2 2 2 5" xfId="27060" xr:uid="{00000000-0005-0000-0000-0000EA5B0000}"/>
    <cellStyle name="40% - Accent3 6 2 2 2 6" xfId="27061" xr:uid="{00000000-0005-0000-0000-0000EB5B0000}"/>
    <cellStyle name="40% - Accent3 6 2 2 3" xfId="27062" xr:uid="{00000000-0005-0000-0000-0000EC5B0000}"/>
    <cellStyle name="40% - Accent3 6 2 2 3 2" xfId="27063" xr:uid="{00000000-0005-0000-0000-0000ED5B0000}"/>
    <cellStyle name="40% - Accent3 6 2 2 3 2 2" xfId="27064" xr:uid="{00000000-0005-0000-0000-0000EE5B0000}"/>
    <cellStyle name="40% - Accent3 6 2 2 3 3" xfId="27065" xr:uid="{00000000-0005-0000-0000-0000EF5B0000}"/>
    <cellStyle name="40% - Accent3 6 2 2 4" xfId="27066" xr:uid="{00000000-0005-0000-0000-0000F05B0000}"/>
    <cellStyle name="40% - Accent3 6 2 2 4 2" xfId="27067" xr:uid="{00000000-0005-0000-0000-0000F15B0000}"/>
    <cellStyle name="40% - Accent3 6 2 2 5" xfId="27068" xr:uid="{00000000-0005-0000-0000-0000F25B0000}"/>
    <cellStyle name="40% - Accent3 6 2 2 6" xfId="27069" xr:uid="{00000000-0005-0000-0000-0000F35B0000}"/>
    <cellStyle name="40% - Accent3 6 2 2 7" xfId="27070" xr:uid="{00000000-0005-0000-0000-0000F45B0000}"/>
    <cellStyle name="40% - Accent3 6 2 3" xfId="27071" xr:uid="{00000000-0005-0000-0000-0000F55B0000}"/>
    <cellStyle name="40% - Accent3 6 2 3 2" xfId="27072" xr:uid="{00000000-0005-0000-0000-0000F65B0000}"/>
    <cellStyle name="40% - Accent3 6 2 3 2 2" xfId="27073" xr:uid="{00000000-0005-0000-0000-0000F75B0000}"/>
    <cellStyle name="40% - Accent3 6 2 3 2 2 2" xfId="27074" xr:uid="{00000000-0005-0000-0000-0000F85B0000}"/>
    <cellStyle name="40% - Accent3 6 2 3 2 3" xfId="27075" xr:uid="{00000000-0005-0000-0000-0000F95B0000}"/>
    <cellStyle name="40% - Accent3 6 2 3 3" xfId="27076" xr:uid="{00000000-0005-0000-0000-0000FA5B0000}"/>
    <cellStyle name="40% - Accent3 6 2 3 3 2" xfId="27077" xr:uid="{00000000-0005-0000-0000-0000FB5B0000}"/>
    <cellStyle name="40% - Accent3 6 2 3 4" xfId="27078" xr:uid="{00000000-0005-0000-0000-0000FC5B0000}"/>
    <cellStyle name="40% - Accent3 6 2 3 5" xfId="27079" xr:uid="{00000000-0005-0000-0000-0000FD5B0000}"/>
    <cellStyle name="40% - Accent3 6 2 3 6" xfId="27080" xr:uid="{00000000-0005-0000-0000-0000FE5B0000}"/>
    <cellStyle name="40% - Accent3 6 2 4" xfId="27081" xr:uid="{00000000-0005-0000-0000-0000FF5B0000}"/>
    <cellStyle name="40% - Accent3 6 2 4 2" xfId="27082" xr:uid="{00000000-0005-0000-0000-0000005C0000}"/>
    <cellStyle name="40% - Accent3 6 2 4 2 2" xfId="27083" xr:uid="{00000000-0005-0000-0000-0000015C0000}"/>
    <cellStyle name="40% - Accent3 6 2 4 3" xfId="27084" xr:uid="{00000000-0005-0000-0000-0000025C0000}"/>
    <cellStyle name="40% - Accent3 6 2 5" xfId="27085" xr:uid="{00000000-0005-0000-0000-0000035C0000}"/>
    <cellStyle name="40% - Accent3 6 2 5 2" xfId="27086" xr:uid="{00000000-0005-0000-0000-0000045C0000}"/>
    <cellStyle name="40% - Accent3 6 2 5 2 2" xfId="27087" xr:uid="{00000000-0005-0000-0000-0000055C0000}"/>
    <cellStyle name="40% - Accent3 6 2 5 3" xfId="27088" xr:uid="{00000000-0005-0000-0000-0000065C0000}"/>
    <cellStyle name="40% - Accent3 6 2 6" xfId="27089" xr:uid="{00000000-0005-0000-0000-0000075C0000}"/>
    <cellStyle name="40% - Accent3 6 2 6 2" xfId="27090" xr:uid="{00000000-0005-0000-0000-0000085C0000}"/>
    <cellStyle name="40% - Accent3 6 2 7" xfId="27091" xr:uid="{00000000-0005-0000-0000-0000095C0000}"/>
    <cellStyle name="40% - Accent3 6 2 7 2" xfId="27092" xr:uid="{00000000-0005-0000-0000-00000A5C0000}"/>
    <cellStyle name="40% - Accent3 6 2 8" xfId="27093" xr:uid="{00000000-0005-0000-0000-00000B5C0000}"/>
    <cellStyle name="40% - Accent3 6 2 9" xfId="27094" xr:uid="{00000000-0005-0000-0000-00000C5C0000}"/>
    <cellStyle name="40% - Accent3 6 3" xfId="27095" xr:uid="{00000000-0005-0000-0000-00000D5C0000}"/>
    <cellStyle name="40% - Accent3 6 3 2" xfId="27096" xr:uid="{00000000-0005-0000-0000-00000E5C0000}"/>
    <cellStyle name="40% - Accent3 6 3 2 2" xfId="27097" xr:uid="{00000000-0005-0000-0000-00000F5C0000}"/>
    <cellStyle name="40% - Accent3 6 3 2 2 2" xfId="27098" xr:uid="{00000000-0005-0000-0000-0000105C0000}"/>
    <cellStyle name="40% - Accent3 6 3 2 2 2 2" xfId="27099" xr:uid="{00000000-0005-0000-0000-0000115C0000}"/>
    <cellStyle name="40% - Accent3 6 3 2 2 3" xfId="27100" xr:uid="{00000000-0005-0000-0000-0000125C0000}"/>
    <cellStyle name="40% - Accent3 6 3 2 3" xfId="27101" xr:uid="{00000000-0005-0000-0000-0000135C0000}"/>
    <cellStyle name="40% - Accent3 6 3 2 3 2" xfId="27102" xr:uid="{00000000-0005-0000-0000-0000145C0000}"/>
    <cellStyle name="40% - Accent3 6 3 2 4" xfId="27103" xr:uid="{00000000-0005-0000-0000-0000155C0000}"/>
    <cellStyle name="40% - Accent3 6 3 2 5" xfId="27104" xr:uid="{00000000-0005-0000-0000-0000165C0000}"/>
    <cellStyle name="40% - Accent3 6 3 2 6" xfId="27105" xr:uid="{00000000-0005-0000-0000-0000175C0000}"/>
    <cellStyle name="40% - Accent3 6 3 3" xfId="27106" xr:uid="{00000000-0005-0000-0000-0000185C0000}"/>
    <cellStyle name="40% - Accent3 6 3 3 2" xfId="27107" xr:uid="{00000000-0005-0000-0000-0000195C0000}"/>
    <cellStyle name="40% - Accent3 6 3 3 2 2" xfId="27108" xr:uid="{00000000-0005-0000-0000-00001A5C0000}"/>
    <cellStyle name="40% - Accent3 6 3 3 3" xfId="27109" xr:uid="{00000000-0005-0000-0000-00001B5C0000}"/>
    <cellStyle name="40% - Accent3 6 3 4" xfId="27110" xr:uid="{00000000-0005-0000-0000-00001C5C0000}"/>
    <cellStyle name="40% - Accent3 6 3 4 2" xfId="27111" xr:uid="{00000000-0005-0000-0000-00001D5C0000}"/>
    <cellStyle name="40% - Accent3 6 3 5" xfId="27112" xr:uid="{00000000-0005-0000-0000-00001E5C0000}"/>
    <cellStyle name="40% - Accent3 6 3 6" xfId="27113" xr:uid="{00000000-0005-0000-0000-00001F5C0000}"/>
    <cellStyle name="40% - Accent3 6 3 7" xfId="27114" xr:uid="{00000000-0005-0000-0000-0000205C0000}"/>
    <cellStyle name="40% - Accent3 6 4" xfId="27115" xr:uid="{00000000-0005-0000-0000-0000215C0000}"/>
    <cellStyle name="40% - Accent3 6 4 2" xfId="27116" xr:uid="{00000000-0005-0000-0000-0000225C0000}"/>
    <cellStyle name="40% - Accent3 6 4 2 2" xfId="27117" xr:uid="{00000000-0005-0000-0000-0000235C0000}"/>
    <cellStyle name="40% - Accent3 6 4 2 2 2" xfId="27118" xr:uid="{00000000-0005-0000-0000-0000245C0000}"/>
    <cellStyle name="40% - Accent3 6 4 2 2 2 2" xfId="27119" xr:uid="{00000000-0005-0000-0000-0000255C0000}"/>
    <cellStyle name="40% - Accent3 6 4 2 2 3" xfId="27120" xr:uid="{00000000-0005-0000-0000-0000265C0000}"/>
    <cellStyle name="40% - Accent3 6 4 2 3" xfId="27121" xr:uid="{00000000-0005-0000-0000-0000275C0000}"/>
    <cellStyle name="40% - Accent3 6 4 2 3 2" xfId="27122" xr:uid="{00000000-0005-0000-0000-0000285C0000}"/>
    <cellStyle name="40% - Accent3 6 4 2 4" xfId="27123" xr:uid="{00000000-0005-0000-0000-0000295C0000}"/>
    <cellStyle name="40% - Accent3 6 4 2 5" xfId="27124" xr:uid="{00000000-0005-0000-0000-00002A5C0000}"/>
    <cellStyle name="40% - Accent3 6 4 2 6" xfId="27125" xr:uid="{00000000-0005-0000-0000-00002B5C0000}"/>
    <cellStyle name="40% - Accent3 6 4 3" xfId="27126" xr:uid="{00000000-0005-0000-0000-00002C5C0000}"/>
    <cellStyle name="40% - Accent3 6 4 3 2" xfId="27127" xr:uid="{00000000-0005-0000-0000-00002D5C0000}"/>
    <cellStyle name="40% - Accent3 6 4 3 2 2" xfId="27128" xr:uid="{00000000-0005-0000-0000-00002E5C0000}"/>
    <cellStyle name="40% - Accent3 6 4 3 3" xfId="27129" xr:uid="{00000000-0005-0000-0000-00002F5C0000}"/>
    <cellStyle name="40% - Accent3 6 4 4" xfId="27130" xr:uid="{00000000-0005-0000-0000-0000305C0000}"/>
    <cellStyle name="40% - Accent3 6 4 4 2" xfId="27131" xr:uid="{00000000-0005-0000-0000-0000315C0000}"/>
    <cellStyle name="40% - Accent3 6 4 5" xfId="27132" xr:uid="{00000000-0005-0000-0000-0000325C0000}"/>
    <cellStyle name="40% - Accent3 6 4 6" xfId="27133" xr:uid="{00000000-0005-0000-0000-0000335C0000}"/>
    <cellStyle name="40% - Accent3 6 4 7" xfId="27134" xr:uid="{00000000-0005-0000-0000-0000345C0000}"/>
    <cellStyle name="40% - Accent3 6 5" xfId="27135" xr:uid="{00000000-0005-0000-0000-0000355C0000}"/>
    <cellStyle name="40% - Accent3 6 5 2" xfId="27136" xr:uid="{00000000-0005-0000-0000-0000365C0000}"/>
    <cellStyle name="40% - Accent3 6 5 2 2" xfId="27137" xr:uid="{00000000-0005-0000-0000-0000375C0000}"/>
    <cellStyle name="40% - Accent3 6 5 2 2 2" xfId="27138" xr:uid="{00000000-0005-0000-0000-0000385C0000}"/>
    <cellStyle name="40% - Accent3 6 5 2 3" xfId="27139" xr:uid="{00000000-0005-0000-0000-0000395C0000}"/>
    <cellStyle name="40% - Accent3 6 5 3" xfId="27140" xr:uid="{00000000-0005-0000-0000-00003A5C0000}"/>
    <cellStyle name="40% - Accent3 6 5 3 2" xfId="27141" xr:uid="{00000000-0005-0000-0000-00003B5C0000}"/>
    <cellStyle name="40% - Accent3 6 5 4" xfId="27142" xr:uid="{00000000-0005-0000-0000-00003C5C0000}"/>
    <cellStyle name="40% - Accent3 6 5 5" xfId="27143" xr:uid="{00000000-0005-0000-0000-00003D5C0000}"/>
    <cellStyle name="40% - Accent3 6 5 6" xfId="27144" xr:uid="{00000000-0005-0000-0000-00003E5C0000}"/>
    <cellStyle name="40% - Accent3 6 6" xfId="27145" xr:uid="{00000000-0005-0000-0000-00003F5C0000}"/>
    <cellStyle name="40% - Accent3 6 6 2" xfId="27146" xr:uid="{00000000-0005-0000-0000-0000405C0000}"/>
    <cellStyle name="40% - Accent3 6 6 2 2" xfId="27147" xr:uid="{00000000-0005-0000-0000-0000415C0000}"/>
    <cellStyle name="40% - Accent3 6 6 3" xfId="27148" xr:uid="{00000000-0005-0000-0000-0000425C0000}"/>
    <cellStyle name="40% - Accent3 6 7" xfId="27149" xr:uid="{00000000-0005-0000-0000-0000435C0000}"/>
    <cellStyle name="40% - Accent3 6 7 2" xfId="27150" xr:uid="{00000000-0005-0000-0000-0000445C0000}"/>
    <cellStyle name="40% - Accent3 6 7 2 2" xfId="27151" xr:uid="{00000000-0005-0000-0000-0000455C0000}"/>
    <cellStyle name="40% - Accent3 6 7 3" xfId="27152" xr:uid="{00000000-0005-0000-0000-0000465C0000}"/>
    <cellStyle name="40% - Accent3 6 8" xfId="27153" xr:uid="{00000000-0005-0000-0000-0000475C0000}"/>
    <cellStyle name="40% - Accent3 6 8 2" xfId="27154" xr:uid="{00000000-0005-0000-0000-0000485C0000}"/>
    <cellStyle name="40% - Accent3 6 9" xfId="27155" xr:uid="{00000000-0005-0000-0000-0000495C0000}"/>
    <cellStyle name="40% - Accent3 6 9 2" xfId="27156" xr:uid="{00000000-0005-0000-0000-00004A5C0000}"/>
    <cellStyle name="40% - Accent3 7" xfId="27157" xr:uid="{00000000-0005-0000-0000-00004B5C0000}"/>
    <cellStyle name="40% - Accent3 7 10" xfId="27158" xr:uid="{00000000-0005-0000-0000-00004C5C0000}"/>
    <cellStyle name="40% - Accent3 7 11" xfId="27159" xr:uid="{00000000-0005-0000-0000-00004D5C0000}"/>
    <cellStyle name="40% - Accent3 7 12" xfId="27160" xr:uid="{00000000-0005-0000-0000-00004E5C0000}"/>
    <cellStyle name="40% - Accent3 7 2" xfId="27161" xr:uid="{00000000-0005-0000-0000-00004F5C0000}"/>
    <cellStyle name="40% - Accent3 7 2 10" xfId="27162" xr:uid="{00000000-0005-0000-0000-0000505C0000}"/>
    <cellStyle name="40% - Accent3 7 2 2" xfId="27163" xr:uid="{00000000-0005-0000-0000-0000515C0000}"/>
    <cellStyle name="40% - Accent3 7 2 2 2" xfId="27164" xr:uid="{00000000-0005-0000-0000-0000525C0000}"/>
    <cellStyle name="40% - Accent3 7 2 2 2 2" xfId="27165" xr:uid="{00000000-0005-0000-0000-0000535C0000}"/>
    <cellStyle name="40% - Accent3 7 2 2 2 2 2" xfId="27166" xr:uid="{00000000-0005-0000-0000-0000545C0000}"/>
    <cellStyle name="40% - Accent3 7 2 2 2 2 2 2" xfId="27167" xr:uid="{00000000-0005-0000-0000-0000555C0000}"/>
    <cellStyle name="40% - Accent3 7 2 2 2 2 3" xfId="27168" xr:uid="{00000000-0005-0000-0000-0000565C0000}"/>
    <cellStyle name="40% - Accent3 7 2 2 2 3" xfId="27169" xr:uid="{00000000-0005-0000-0000-0000575C0000}"/>
    <cellStyle name="40% - Accent3 7 2 2 2 3 2" xfId="27170" xr:uid="{00000000-0005-0000-0000-0000585C0000}"/>
    <cellStyle name="40% - Accent3 7 2 2 2 4" xfId="27171" xr:uid="{00000000-0005-0000-0000-0000595C0000}"/>
    <cellStyle name="40% - Accent3 7 2 2 2 5" xfId="27172" xr:uid="{00000000-0005-0000-0000-00005A5C0000}"/>
    <cellStyle name="40% - Accent3 7 2 2 2 6" xfId="27173" xr:uid="{00000000-0005-0000-0000-00005B5C0000}"/>
    <cellStyle name="40% - Accent3 7 2 2 3" xfId="27174" xr:uid="{00000000-0005-0000-0000-00005C5C0000}"/>
    <cellStyle name="40% - Accent3 7 2 2 3 2" xfId="27175" xr:uid="{00000000-0005-0000-0000-00005D5C0000}"/>
    <cellStyle name="40% - Accent3 7 2 2 3 2 2" xfId="27176" xr:uid="{00000000-0005-0000-0000-00005E5C0000}"/>
    <cellStyle name="40% - Accent3 7 2 2 3 3" xfId="27177" xr:uid="{00000000-0005-0000-0000-00005F5C0000}"/>
    <cellStyle name="40% - Accent3 7 2 2 4" xfId="27178" xr:uid="{00000000-0005-0000-0000-0000605C0000}"/>
    <cellStyle name="40% - Accent3 7 2 2 4 2" xfId="27179" xr:uid="{00000000-0005-0000-0000-0000615C0000}"/>
    <cellStyle name="40% - Accent3 7 2 2 5" xfId="27180" xr:uid="{00000000-0005-0000-0000-0000625C0000}"/>
    <cellStyle name="40% - Accent3 7 2 2 6" xfId="27181" xr:uid="{00000000-0005-0000-0000-0000635C0000}"/>
    <cellStyle name="40% - Accent3 7 2 2 7" xfId="27182" xr:uid="{00000000-0005-0000-0000-0000645C0000}"/>
    <cellStyle name="40% - Accent3 7 2 3" xfId="27183" xr:uid="{00000000-0005-0000-0000-0000655C0000}"/>
    <cellStyle name="40% - Accent3 7 2 3 2" xfId="27184" xr:uid="{00000000-0005-0000-0000-0000665C0000}"/>
    <cellStyle name="40% - Accent3 7 2 3 2 2" xfId="27185" xr:uid="{00000000-0005-0000-0000-0000675C0000}"/>
    <cellStyle name="40% - Accent3 7 2 3 2 2 2" xfId="27186" xr:uid="{00000000-0005-0000-0000-0000685C0000}"/>
    <cellStyle name="40% - Accent3 7 2 3 2 3" xfId="27187" xr:uid="{00000000-0005-0000-0000-0000695C0000}"/>
    <cellStyle name="40% - Accent3 7 2 3 3" xfId="27188" xr:uid="{00000000-0005-0000-0000-00006A5C0000}"/>
    <cellStyle name="40% - Accent3 7 2 3 3 2" xfId="27189" xr:uid="{00000000-0005-0000-0000-00006B5C0000}"/>
    <cellStyle name="40% - Accent3 7 2 3 4" xfId="27190" xr:uid="{00000000-0005-0000-0000-00006C5C0000}"/>
    <cellStyle name="40% - Accent3 7 2 3 5" xfId="27191" xr:uid="{00000000-0005-0000-0000-00006D5C0000}"/>
    <cellStyle name="40% - Accent3 7 2 3 6" xfId="27192" xr:uid="{00000000-0005-0000-0000-00006E5C0000}"/>
    <cellStyle name="40% - Accent3 7 2 4" xfId="27193" xr:uid="{00000000-0005-0000-0000-00006F5C0000}"/>
    <cellStyle name="40% - Accent3 7 2 4 2" xfId="27194" xr:uid="{00000000-0005-0000-0000-0000705C0000}"/>
    <cellStyle name="40% - Accent3 7 2 4 2 2" xfId="27195" xr:uid="{00000000-0005-0000-0000-0000715C0000}"/>
    <cellStyle name="40% - Accent3 7 2 4 3" xfId="27196" xr:uid="{00000000-0005-0000-0000-0000725C0000}"/>
    <cellStyle name="40% - Accent3 7 2 5" xfId="27197" xr:uid="{00000000-0005-0000-0000-0000735C0000}"/>
    <cellStyle name="40% - Accent3 7 2 5 2" xfId="27198" xr:uid="{00000000-0005-0000-0000-0000745C0000}"/>
    <cellStyle name="40% - Accent3 7 2 5 2 2" xfId="27199" xr:uid="{00000000-0005-0000-0000-0000755C0000}"/>
    <cellStyle name="40% - Accent3 7 2 5 3" xfId="27200" xr:uid="{00000000-0005-0000-0000-0000765C0000}"/>
    <cellStyle name="40% - Accent3 7 2 6" xfId="27201" xr:uid="{00000000-0005-0000-0000-0000775C0000}"/>
    <cellStyle name="40% - Accent3 7 2 6 2" xfId="27202" xr:uid="{00000000-0005-0000-0000-0000785C0000}"/>
    <cellStyle name="40% - Accent3 7 2 7" xfId="27203" xr:uid="{00000000-0005-0000-0000-0000795C0000}"/>
    <cellStyle name="40% - Accent3 7 2 7 2" xfId="27204" xr:uid="{00000000-0005-0000-0000-00007A5C0000}"/>
    <cellStyle name="40% - Accent3 7 2 8" xfId="27205" xr:uid="{00000000-0005-0000-0000-00007B5C0000}"/>
    <cellStyle name="40% - Accent3 7 2 9" xfId="27206" xr:uid="{00000000-0005-0000-0000-00007C5C0000}"/>
    <cellStyle name="40% - Accent3 7 3" xfId="27207" xr:uid="{00000000-0005-0000-0000-00007D5C0000}"/>
    <cellStyle name="40% - Accent3 7 3 2" xfId="27208" xr:uid="{00000000-0005-0000-0000-00007E5C0000}"/>
    <cellStyle name="40% - Accent3 7 3 2 2" xfId="27209" xr:uid="{00000000-0005-0000-0000-00007F5C0000}"/>
    <cellStyle name="40% - Accent3 7 3 2 2 2" xfId="27210" xr:uid="{00000000-0005-0000-0000-0000805C0000}"/>
    <cellStyle name="40% - Accent3 7 3 2 2 2 2" xfId="27211" xr:uid="{00000000-0005-0000-0000-0000815C0000}"/>
    <cellStyle name="40% - Accent3 7 3 2 2 3" xfId="27212" xr:uid="{00000000-0005-0000-0000-0000825C0000}"/>
    <cellStyle name="40% - Accent3 7 3 2 3" xfId="27213" xr:uid="{00000000-0005-0000-0000-0000835C0000}"/>
    <cellStyle name="40% - Accent3 7 3 2 3 2" xfId="27214" xr:uid="{00000000-0005-0000-0000-0000845C0000}"/>
    <cellStyle name="40% - Accent3 7 3 2 4" xfId="27215" xr:uid="{00000000-0005-0000-0000-0000855C0000}"/>
    <cellStyle name="40% - Accent3 7 3 2 5" xfId="27216" xr:uid="{00000000-0005-0000-0000-0000865C0000}"/>
    <cellStyle name="40% - Accent3 7 3 2 6" xfId="27217" xr:uid="{00000000-0005-0000-0000-0000875C0000}"/>
    <cellStyle name="40% - Accent3 7 3 3" xfId="27218" xr:uid="{00000000-0005-0000-0000-0000885C0000}"/>
    <cellStyle name="40% - Accent3 7 3 3 2" xfId="27219" xr:uid="{00000000-0005-0000-0000-0000895C0000}"/>
    <cellStyle name="40% - Accent3 7 3 3 2 2" xfId="27220" xr:uid="{00000000-0005-0000-0000-00008A5C0000}"/>
    <cellStyle name="40% - Accent3 7 3 3 3" xfId="27221" xr:uid="{00000000-0005-0000-0000-00008B5C0000}"/>
    <cellStyle name="40% - Accent3 7 3 4" xfId="27222" xr:uid="{00000000-0005-0000-0000-00008C5C0000}"/>
    <cellStyle name="40% - Accent3 7 3 4 2" xfId="27223" xr:uid="{00000000-0005-0000-0000-00008D5C0000}"/>
    <cellStyle name="40% - Accent3 7 3 5" xfId="27224" xr:uid="{00000000-0005-0000-0000-00008E5C0000}"/>
    <cellStyle name="40% - Accent3 7 3 6" xfId="27225" xr:uid="{00000000-0005-0000-0000-00008F5C0000}"/>
    <cellStyle name="40% - Accent3 7 3 7" xfId="27226" xr:uid="{00000000-0005-0000-0000-0000905C0000}"/>
    <cellStyle name="40% - Accent3 7 4" xfId="27227" xr:uid="{00000000-0005-0000-0000-0000915C0000}"/>
    <cellStyle name="40% - Accent3 7 4 2" xfId="27228" xr:uid="{00000000-0005-0000-0000-0000925C0000}"/>
    <cellStyle name="40% - Accent3 7 4 2 2" xfId="27229" xr:uid="{00000000-0005-0000-0000-0000935C0000}"/>
    <cellStyle name="40% - Accent3 7 4 2 2 2" xfId="27230" xr:uid="{00000000-0005-0000-0000-0000945C0000}"/>
    <cellStyle name="40% - Accent3 7 4 2 2 2 2" xfId="27231" xr:uid="{00000000-0005-0000-0000-0000955C0000}"/>
    <cellStyle name="40% - Accent3 7 4 2 2 3" xfId="27232" xr:uid="{00000000-0005-0000-0000-0000965C0000}"/>
    <cellStyle name="40% - Accent3 7 4 2 3" xfId="27233" xr:uid="{00000000-0005-0000-0000-0000975C0000}"/>
    <cellStyle name="40% - Accent3 7 4 2 3 2" xfId="27234" xr:uid="{00000000-0005-0000-0000-0000985C0000}"/>
    <cellStyle name="40% - Accent3 7 4 2 4" xfId="27235" xr:uid="{00000000-0005-0000-0000-0000995C0000}"/>
    <cellStyle name="40% - Accent3 7 4 2 5" xfId="27236" xr:uid="{00000000-0005-0000-0000-00009A5C0000}"/>
    <cellStyle name="40% - Accent3 7 4 2 6" xfId="27237" xr:uid="{00000000-0005-0000-0000-00009B5C0000}"/>
    <cellStyle name="40% - Accent3 7 4 3" xfId="27238" xr:uid="{00000000-0005-0000-0000-00009C5C0000}"/>
    <cellStyle name="40% - Accent3 7 4 3 2" xfId="27239" xr:uid="{00000000-0005-0000-0000-00009D5C0000}"/>
    <cellStyle name="40% - Accent3 7 4 3 2 2" xfId="27240" xr:uid="{00000000-0005-0000-0000-00009E5C0000}"/>
    <cellStyle name="40% - Accent3 7 4 3 3" xfId="27241" xr:uid="{00000000-0005-0000-0000-00009F5C0000}"/>
    <cellStyle name="40% - Accent3 7 4 4" xfId="27242" xr:uid="{00000000-0005-0000-0000-0000A05C0000}"/>
    <cellStyle name="40% - Accent3 7 4 4 2" xfId="27243" xr:uid="{00000000-0005-0000-0000-0000A15C0000}"/>
    <cellStyle name="40% - Accent3 7 4 5" xfId="27244" xr:uid="{00000000-0005-0000-0000-0000A25C0000}"/>
    <cellStyle name="40% - Accent3 7 4 6" xfId="27245" xr:uid="{00000000-0005-0000-0000-0000A35C0000}"/>
    <cellStyle name="40% - Accent3 7 4 7" xfId="27246" xr:uid="{00000000-0005-0000-0000-0000A45C0000}"/>
    <cellStyle name="40% - Accent3 7 5" xfId="27247" xr:uid="{00000000-0005-0000-0000-0000A55C0000}"/>
    <cellStyle name="40% - Accent3 7 5 2" xfId="27248" xr:uid="{00000000-0005-0000-0000-0000A65C0000}"/>
    <cellStyle name="40% - Accent3 7 5 2 2" xfId="27249" xr:uid="{00000000-0005-0000-0000-0000A75C0000}"/>
    <cellStyle name="40% - Accent3 7 5 2 2 2" xfId="27250" xr:uid="{00000000-0005-0000-0000-0000A85C0000}"/>
    <cellStyle name="40% - Accent3 7 5 2 3" xfId="27251" xr:uid="{00000000-0005-0000-0000-0000A95C0000}"/>
    <cellStyle name="40% - Accent3 7 5 3" xfId="27252" xr:uid="{00000000-0005-0000-0000-0000AA5C0000}"/>
    <cellStyle name="40% - Accent3 7 5 3 2" xfId="27253" xr:uid="{00000000-0005-0000-0000-0000AB5C0000}"/>
    <cellStyle name="40% - Accent3 7 5 4" xfId="27254" xr:uid="{00000000-0005-0000-0000-0000AC5C0000}"/>
    <cellStyle name="40% - Accent3 7 5 5" xfId="27255" xr:uid="{00000000-0005-0000-0000-0000AD5C0000}"/>
    <cellStyle name="40% - Accent3 7 5 6" xfId="27256" xr:uid="{00000000-0005-0000-0000-0000AE5C0000}"/>
    <cellStyle name="40% - Accent3 7 6" xfId="27257" xr:uid="{00000000-0005-0000-0000-0000AF5C0000}"/>
    <cellStyle name="40% - Accent3 7 6 2" xfId="27258" xr:uid="{00000000-0005-0000-0000-0000B05C0000}"/>
    <cellStyle name="40% - Accent3 7 6 2 2" xfId="27259" xr:uid="{00000000-0005-0000-0000-0000B15C0000}"/>
    <cellStyle name="40% - Accent3 7 6 3" xfId="27260" xr:uid="{00000000-0005-0000-0000-0000B25C0000}"/>
    <cellStyle name="40% - Accent3 7 7" xfId="27261" xr:uid="{00000000-0005-0000-0000-0000B35C0000}"/>
    <cellStyle name="40% - Accent3 7 7 2" xfId="27262" xr:uid="{00000000-0005-0000-0000-0000B45C0000}"/>
    <cellStyle name="40% - Accent3 7 7 2 2" xfId="27263" xr:uid="{00000000-0005-0000-0000-0000B55C0000}"/>
    <cellStyle name="40% - Accent3 7 7 3" xfId="27264" xr:uid="{00000000-0005-0000-0000-0000B65C0000}"/>
    <cellStyle name="40% - Accent3 7 8" xfId="27265" xr:uid="{00000000-0005-0000-0000-0000B75C0000}"/>
    <cellStyle name="40% - Accent3 7 8 2" xfId="27266" xr:uid="{00000000-0005-0000-0000-0000B85C0000}"/>
    <cellStyle name="40% - Accent3 7 9" xfId="27267" xr:uid="{00000000-0005-0000-0000-0000B95C0000}"/>
    <cellStyle name="40% - Accent3 7 9 2" xfId="27268" xr:uid="{00000000-0005-0000-0000-0000BA5C0000}"/>
    <cellStyle name="40% - Accent3 8" xfId="27269" xr:uid="{00000000-0005-0000-0000-0000BB5C0000}"/>
    <cellStyle name="40% - Accent3 8 10" xfId="27270" xr:uid="{00000000-0005-0000-0000-0000BC5C0000}"/>
    <cellStyle name="40% - Accent3 8 11" xfId="27271" xr:uid="{00000000-0005-0000-0000-0000BD5C0000}"/>
    <cellStyle name="40% - Accent3 8 12" xfId="27272" xr:uid="{00000000-0005-0000-0000-0000BE5C0000}"/>
    <cellStyle name="40% - Accent3 8 2" xfId="27273" xr:uid="{00000000-0005-0000-0000-0000BF5C0000}"/>
    <cellStyle name="40% - Accent3 8 2 10" xfId="27274" xr:uid="{00000000-0005-0000-0000-0000C05C0000}"/>
    <cellStyle name="40% - Accent3 8 2 2" xfId="27275" xr:uid="{00000000-0005-0000-0000-0000C15C0000}"/>
    <cellStyle name="40% - Accent3 8 2 2 2" xfId="27276" xr:uid="{00000000-0005-0000-0000-0000C25C0000}"/>
    <cellStyle name="40% - Accent3 8 2 2 2 2" xfId="27277" xr:uid="{00000000-0005-0000-0000-0000C35C0000}"/>
    <cellStyle name="40% - Accent3 8 2 2 2 2 2" xfId="27278" xr:uid="{00000000-0005-0000-0000-0000C45C0000}"/>
    <cellStyle name="40% - Accent3 8 2 2 2 2 2 2" xfId="27279" xr:uid="{00000000-0005-0000-0000-0000C55C0000}"/>
    <cellStyle name="40% - Accent3 8 2 2 2 2 3" xfId="27280" xr:uid="{00000000-0005-0000-0000-0000C65C0000}"/>
    <cellStyle name="40% - Accent3 8 2 2 2 3" xfId="27281" xr:uid="{00000000-0005-0000-0000-0000C75C0000}"/>
    <cellStyle name="40% - Accent3 8 2 2 2 3 2" xfId="27282" xr:uid="{00000000-0005-0000-0000-0000C85C0000}"/>
    <cellStyle name="40% - Accent3 8 2 2 2 4" xfId="27283" xr:uid="{00000000-0005-0000-0000-0000C95C0000}"/>
    <cellStyle name="40% - Accent3 8 2 2 2 5" xfId="27284" xr:uid="{00000000-0005-0000-0000-0000CA5C0000}"/>
    <cellStyle name="40% - Accent3 8 2 2 2 6" xfId="27285" xr:uid="{00000000-0005-0000-0000-0000CB5C0000}"/>
    <cellStyle name="40% - Accent3 8 2 2 3" xfId="27286" xr:uid="{00000000-0005-0000-0000-0000CC5C0000}"/>
    <cellStyle name="40% - Accent3 8 2 2 3 2" xfId="27287" xr:uid="{00000000-0005-0000-0000-0000CD5C0000}"/>
    <cellStyle name="40% - Accent3 8 2 2 3 2 2" xfId="27288" xr:uid="{00000000-0005-0000-0000-0000CE5C0000}"/>
    <cellStyle name="40% - Accent3 8 2 2 3 3" xfId="27289" xr:uid="{00000000-0005-0000-0000-0000CF5C0000}"/>
    <cellStyle name="40% - Accent3 8 2 2 4" xfId="27290" xr:uid="{00000000-0005-0000-0000-0000D05C0000}"/>
    <cellStyle name="40% - Accent3 8 2 2 4 2" xfId="27291" xr:uid="{00000000-0005-0000-0000-0000D15C0000}"/>
    <cellStyle name="40% - Accent3 8 2 2 5" xfId="27292" xr:uid="{00000000-0005-0000-0000-0000D25C0000}"/>
    <cellStyle name="40% - Accent3 8 2 2 6" xfId="27293" xr:uid="{00000000-0005-0000-0000-0000D35C0000}"/>
    <cellStyle name="40% - Accent3 8 2 2 7" xfId="27294" xr:uid="{00000000-0005-0000-0000-0000D45C0000}"/>
    <cellStyle name="40% - Accent3 8 2 3" xfId="27295" xr:uid="{00000000-0005-0000-0000-0000D55C0000}"/>
    <cellStyle name="40% - Accent3 8 2 3 2" xfId="27296" xr:uid="{00000000-0005-0000-0000-0000D65C0000}"/>
    <cellStyle name="40% - Accent3 8 2 3 2 2" xfId="27297" xr:uid="{00000000-0005-0000-0000-0000D75C0000}"/>
    <cellStyle name="40% - Accent3 8 2 3 2 2 2" xfId="27298" xr:uid="{00000000-0005-0000-0000-0000D85C0000}"/>
    <cellStyle name="40% - Accent3 8 2 3 2 3" xfId="27299" xr:uid="{00000000-0005-0000-0000-0000D95C0000}"/>
    <cellStyle name="40% - Accent3 8 2 3 3" xfId="27300" xr:uid="{00000000-0005-0000-0000-0000DA5C0000}"/>
    <cellStyle name="40% - Accent3 8 2 3 3 2" xfId="27301" xr:uid="{00000000-0005-0000-0000-0000DB5C0000}"/>
    <cellStyle name="40% - Accent3 8 2 3 4" xfId="27302" xr:uid="{00000000-0005-0000-0000-0000DC5C0000}"/>
    <cellStyle name="40% - Accent3 8 2 3 5" xfId="27303" xr:uid="{00000000-0005-0000-0000-0000DD5C0000}"/>
    <cellStyle name="40% - Accent3 8 2 3 6" xfId="27304" xr:uid="{00000000-0005-0000-0000-0000DE5C0000}"/>
    <cellStyle name="40% - Accent3 8 2 4" xfId="27305" xr:uid="{00000000-0005-0000-0000-0000DF5C0000}"/>
    <cellStyle name="40% - Accent3 8 2 4 2" xfId="27306" xr:uid="{00000000-0005-0000-0000-0000E05C0000}"/>
    <cellStyle name="40% - Accent3 8 2 4 2 2" xfId="27307" xr:uid="{00000000-0005-0000-0000-0000E15C0000}"/>
    <cellStyle name="40% - Accent3 8 2 4 3" xfId="27308" xr:uid="{00000000-0005-0000-0000-0000E25C0000}"/>
    <cellStyle name="40% - Accent3 8 2 5" xfId="27309" xr:uid="{00000000-0005-0000-0000-0000E35C0000}"/>
    <cellStyle name="40% - Accent3 8 2 5 2" xfId="27310" xr:uid="{00000000-0005-0000-0000-0000E45C0000}"/>
    <cellStyle name="40% - Accent3 8 2 5 2 2" xfId="27311" xr:uid="{00000000-0005-0000-0000-0000E55C0000}"/>
    <cellStyle name="40% - Accent3 8 2 5 3" xfId="27312" xr:uid="{00000000-0005-0000-0000-0000E65C0000}"/>
    <cellStyle name="40% - Accent3 8 2 6" xfId="27313" xr:uid="{00000000-0005-0000-0000-0000E75C0000}"/>
    <cellStyle name="40% - Accent3 8 2 6 2" xfId="27314" xr:uid="{00000000-0005-0000-0000-0000E85C0000}"/>
    <cellStyle name="40% - Accent3 8 2 7" xfId="27315" xr:uid="{00000000-0005-0000-0000-0000E95C0000}"/>
    <cellStyle name="40% - Accent3 8 2 7 2" xfId="27316" xr:uid="{00000000-0005-0000-0000-0000EA5C0000}"/>
    <cellStyle name="40% - Accent3 8 2 8" xfId="27317" xr:uid="{00000000-0005-0000-0000-0000EB5C0000}"/>
    <cellStyle name="40% - Accent3 8 2 9" xfId="27318" xr:uid="{00000000-0005-0000-0000-0000EC5C0000}"/>
    <cellStyle name="40% - Accent3 8 3" xfId="27319" xr:uid="{00000000-0005-0000-0000-0000ED5C0000}"/>
    <cellStyle name="40% - Accent3 8 3 2" xfId="27320" xr:uid="{00000000-0005-0000-0000-0000EE5C0000}"/>
    <cellStyle name="40% - Accent3 8 3 2 2" xfId="27321" xr:uid="{00000000-0005-0000-0000-0000EF5C0000}"/>
    <cellStyle name="40% - Accent3 8 3 2 2 2" xfId="27322" xr:uid="{00000000-0005-0000-0000-0000F05C0000}"/>
    <cellStyle name="40% - Accent3 8 3 2 2 2 2" xfId="27323" xr:uid="{00000000-0005-0000-0000-0000F15C0000}"/>
    <cellStyle name="40% - Accent3 8 3 2 2 3" xfId="27324" xr:uid="{00000000-0005-0000-0000-0000F25C0000}"/>
    <cellStyle name="40% - Accent3 8 3 2 3" xfId="27325" xr:uid="{00000000-0005-0000-0000-0000F35C0000}"/>
    <cellStyle name="40% - Accent3 8 3 2 3 2" xfId="27326" xr:uid="{00000000-0005-0000-0000-0000F45C0000}"/>
    <cellStyle name="40% - Accent3 8 3 2 4" xfId="27327" xr:uid="{00000000-0005-0000-0000-0000F55C0000}"/>
    <cellStyle name="40% - Accent3 8 3 2 5" xfId="27328" xr:uid="{00000000-0005-0000-0000-0000F65C0000}"/>
    <cellStyle name="40% - Accent3 8 3 2 6" xfId="27329" xr:uid="{00000000-0005-0000-0000-0000F75C0000}"/>
    <cellStyle name="40% - Accent3 8 3 3" xfId="27330" xr:uid="{00000000-0005-0000-0000-0000F85C0000}"/>
    <cellStyle name="40% - Accent3 8 3 3 2" xfId="27331" xr:uid="{00000000-0005-0000-0000-0000F95C0000}"/>
    <cellStyle name="40% - Accent3 8 3 3 2 2" xfId="27332" xr:uid="{00000000-0005-0000-0000-0000FA5C0000}"/>
    <cellStyle name="40% - Accent3 8 3 3 3" xfId="27333" xr:uid="{00000000-0005-0000-0000-0000FB5C0000}"/>
    <cellStyle name="40% - Accent3 8 3 4" xfId="27334" xr:uid="{00000000-0005-0000-0000-0000FC5C0000}"/>
    <cellStyle name="40% - Accent3 8 3 4 2" xfId="27335" xr:uid="{00000000-0005-0000-0000-0000FD5C0000}"/>
    <cellStyle name="40% - Accent3 8 3 5" xfId="27336" xr:uid="{00000000-0005-0000-0000-0000FE5C0000}"/>
    <cellStyle name="40% - Accent3 8 3 6" xfId="27337" xr:uid="{00000000-0005-0000-0000-0000FF5C0000}"/>
    <cellStyle name="40% - Accent3 8 3 7" xfId="27338" xr:uid="{00000000-0005-0000-0000-0000005D0000}"/>
    <cellStyle name="40% - Accent3 8 4" xfId="27339" xr:uid="{00000000-0005-0000-0000-0000015D0000}"/>
    <cellStyle name="40% - Accent3 8 4 2" xfId="27340" xr:uid="{00000000-0005-0000-0000-0000025D0000}"/>
    <cellStyle name="40% - Accent3 8 4 2 2" xfId="27341" xr:uid="{00000000-0005-0000-0000-0000035D0000}"/>
    <cellStyle name="40% - Accent3 8 4 2 2 2" xfId="27342" xr:uid="{00000000-0005-0000-0000-0000045D0000}"/>
    <cellStyle name="40% - Accent3 8 4 2 2 2 2" xfId="27343" xr:uid="{00000000-0005-0000-0000-0000055D0000}"/>
    <cellStyle name="40% - Accent3 8 4 2 2 3" xfId="27344" xr:uid="{00000000-0005-0000-0000-0000065D0000}"/>
    <cellStyle name="40% - Accent3 8 4 2 3" xfId="27345" xr:uid="{00000000-0005-0000-0000-0000075D0000}"/>
    <cellStyle name="40% - Accent3 8 4 2 3 2" xfId="27346" xr:uid="{00000000-0005-0000-0000-0000085D0000}"/>
    <cellStyle name="40% - Accent3 8 4 2 4" xfId="27347" xr:uid="{00000000-0005-0000-0000-0000095D0000}"/>
    <cellStyle name="40% - Accent3 8 4 2 5" xfId="27348" xr:uid="{00000000-0005-0000-0000-00000A5D0000}"/>
    <cellStyle name="40% - Accent3 8 4 2 6" xfId="27349" xr:uid="{00000000-0005-0000-0000-00000B5D0000}"/>
    <cellStyle name="40% - Accent3 8 4 3" xfId="27350" xr:uid="{00000000-0005-0000-0000-00000C5D0000}"/>
    <cellStyle name="40% - Accent3 8 4 3 2" xfId="27351" xr:uid="{00000000-0005-0000-0000-00000D5D0000}"/>
    <cellStyle name="40% - Accent3 8 4 3 2 2" xfId="27352" xr:uid="{00000000-0005-0000-0000-00000E5D0000}"/>
    <cellStyle name="40% - Accent3 8 4 3 3" xfId="27353" xr:uid="{00000000-0005-0000-0000-00000F5D0000}"/>
    <cellStyle name="40% - Accent3 8 4 4" xfId="27354" xr:uid="{00000000-0005-0000-0000-0000105D0000}"/>
    <cellStyle name="40% - Accent3 8 4 4 2" xfId="27355" xr:uid="{00000000-0005-0000-0000-0000115D0000}"/>
    <cellStyle name="40% - Accent3 8 4 5" xfId="27356" xr:uid="{00000000-0005-0000-0000-0000125D0000}"/>
    <cellStyle name="40% - Accent3 8 4 6" xfId="27357" xr:uid="{00000000-0005-0000-0000-0000135D0000}"/>
    <cellStyle name="40% - Accent3 8 4 7" xfId="27358" xr:uid="{00000000-0005-0000-0000-0000145D0000}"/>
    <cellStyle name="40% - Accent3 8 5" xfId="27359" xr:uid="{00000000-0005-0000-0000-0000155D0000}"/>
    <cellStyle name="40% - Accent3 8 5 2" xfId="27360" xr:uid="{00000000-0005-0000-0000-0000165D0000}"/>
    <cellStyle name="40% - Accent3 8 5 2 2" xfId="27361" xr:uid="{00000000-0005-0000-0000-0000175D0000}"/>
    <cellStyle name="40% - Accent3 8 5 2 2 2" xfId="27362" xr:uid="{00000000-0005-0000-0000-0000185D0000}"/>
    <cellStyle name="40% - Accent3 8 5 2 3" xfId="27363" xr:uid="{00000000-0005-0000-0000-0000195D0000}"/>
    <cellStyle name="40% - Accent3 8 5 3" xfId="27364" xr:uid="{00000000-0005-0000-0000-00001A5D0000}"/>
    <cellStyle name="40% - Accent3 8 5 3 2" xfId="27365" xr:uid="{00000000-0005-0000-0000-00001B5D0000}"/>
    <cellStyle name="40% - Accent3 8 5 4" xfId="27366" xr:uid="{00000000-0005-0000-0000-00001C5D0000}"/>
    <cellStyle name="40% - Accent3 8 5 5" xfId="27367" xr:uid="{00000000-0005-0000-0000-00001D5D0000}"/>
    <cellStyle name="40% - Accent3 8 5 6" xfId="27368" xr:uid="{00000000-0005-0000-0000-00001E5D0000}"/>
    <cellStyle name="40% - Accent3 8 6" xfId="27369" xr:uid="{00000000-0005-0000-0000-00001F5D0000}"/>
    <cellStyle name="40% - Accent3 8 6 2" xfId="27370" xr:uid="{00000000-0005-0000-0000-0000205D0000}"/>
    <cellStyle name="40% - Accent3 8 6 2 2" xfId="27371" xr:uid="{00000000-0005-0000-0000-0000215D0000}"/>
    <cellStyle name="40% - Accent3 8 6 3" xfId="27372" xr:uid="{00000000-0005-0000-0000-0000225D0000}"/>
    <cellStyle name="40% - Accent3 8 7" xfId="27373" xr:uid="{00000000-0005-0000-0000-0000235D0000}"/>
    <cellStyle name="40% - Accent3 8 7 2" xfId="27374" xr:uid="{00000000-0005-0000-0000-0000245D0000}"/>
    <cellStyle name="40% - Accent3 8 7 2 2" xfId="27375" xr:uid="{00000000-0005-0000-0000-0000255D0000}"/>
    <cellStyle name="40% - Accent3 8 7 3" xfId="27376" xr:uid="{00000000-0005-0000-0000-0000265D0000}"/>
    <cellStyle name="40% - Accent3 8 8" xfId="27377" xr:uid="{00000000-0005-0000-0000-0000275D0000}"/>
    <cellStyle name="40% - Accent3 8 8 2" xfId="27378" xr:uid="{00000000-0005-0000-0000-0000285D0000}"/>
    <cellStyle name="40% - Accent3 8 9" xfId="27379" xr:uid="{00000000-0005-0000-0000-0000295D0000}"/>
    <cellStyle name="40% - Accent3 8 9 2" xfId="27380" xr:uid="{00000000-0005-0000-0000-00002A5D0000}"/>
    <cellStyle name="40% - Accent3 9" xfId="27381" xr:uid="{00000000-0005-0000-0000-00002B5D0000}"/>
    <cellStyle name="40% - Accent3 9 10" xfId="27382" xr:uid="{00000000-0005-0000-0000-00002C5D0000}"/>
    <cellStyle name="40% - Accent3 9 11" xfId="27383" xr:uid="{00000000-0005-0000-0000-00002D5D0000}"/>
    <cellStyle name="40% - Accent3 9 12" xfId="27384" xr:uid="{00000000-0005-0000-0000-00002E5D0000}"/>
    <cellStyle name="40% - Accent3 9 2" xfId="27385" xr:uid="{00000000-0005-0000-0000-00002F5D0000}"/>
    <cellStyle name="40% - Accent3 9 2 10" xfId="27386" xr:uid="{00000000-0005-0000-0000-0000305D0000}"/>
    <cellStyle name="40% - Accent3 9 2 2" xfId="27387" xr:uid="{00000000-0005-0000-0000-0000315D0000}"/>
    <cellStyle name="40% - Accent3 9 2 2 2" xfId="27388" xr:uid="{00000000-0005-0000-0000-0000325D0000}"/>
    <cellStyle name="40% - Accent3 9 2 2 2 2" xfId="27389" xr:uid="{00000000-0005-0000-0000-0000335D0000}"/>
    <cellStyle name="40% - Accent3 9 2 2 2 2 2" xfId="27390" xr:uid="{00000000-0005-0000-0000-0000345D0000}"/>
    <cellStyle name="40% - Accent3 9 2 2 2 2 2 2" xfId="27391" xr:uid="{00000000-0005-0000-0000-0000355D0000}"/>
    <cellStyle name="40% - Accent3 9 2 2 2 2 3" xfId="27392" xr:uid="{00000000-0005-0000-0000-0000365D0000}"/>
    <cellStyle name="40% - Accent3 9 2 2 2 3" xfId="27393" xr:uid="{00000000-0005-0000-0000-0000375D0000}"/>
    <cellStyle name="40% - Accent3 9 2 2 2 3 2" xfId="27394" xr:uid="{00000000-0005-0000-0000-0000385D0000}"/>
    <cellStyle name="40% - Accent3 9 2 2 2 4" xfId="27395" xr:uid="{00000000-0005-0000-0000-0000395D0000}"/>
    <cellStyle name="40% - Accent3 9 2 2 2 5" xfId="27396" xr:uid="{00000000-0005-0000-0000-00003A5D0000}"/>
    <cellStyle name="40% - Accent3 9 2 2 2 6" xfId="27397" xr:uid="{00000000-0005-0000-0000-00003B5D0000}"/>
    <cellStyle name="40% - Accent3 9 2 2 3" xfId="27398" xr:uid="{00000000-0005-0000-0000-00003C5D0000}"/>
    <cellStyle name="40% - Accent3 9 2 2 3 2" xfId="27399" xr:uid="{00000000-0005-0000-0000-00003D5D0000}"/>
    <cellStyle name="40% - Accent3 9 2 2 3 2 2" xfId="27400" xr:uid="{00000000-0005-0000-0000-00003E5D0000}"/>
    <cellStyle name="40% - Accent3 9 2 2 3 3" xfId="27401" xr:uid="{00000000-0005-0000-0000-00003F5D0000}"/>
    <cellStyle name="40% - Accent3 9 2 2 4" xfId="27402" xr:uid="{00000000-0005-0000-0000-0000405D0000}"/>
    <cellStyle name="40% - Accent3 9 2 2 4 2" xfId="27403" xr:uid="{00000000-0005-0000-0000-0000415D0000}"/>
    <cellStyle name="40% - Accent3 9 2 2 5" xfId="27404" xr:uid="{00000000-0005-0000-0000-0000425D0000}"/>
    <cellStyle name="40% - Accent3 9 2 2 6" xfId="27405" xr:uid="{00000000-0005-0000-0000-0000435D0000}"/>
    <cellStyle name="40% - Accent3 9 2 2 7" xfId="27406" xr:uid="{00000000-0005-0000-0000-0000445D0000}"/>
    <cellStyle name="40% - Accent3 9 2 3" xfId="27407" xr:uid="{00000000-0005-0000-0000-0000455D0000}"/>
    <cellStyle name="40% - Accent3 9 2 3 2" xfId="27408" xr:uid="{00000000-0005-0000-0000-0000465D0000}"/>
    <cellStyle name="40% - Accent3 9 2 3 2 2" xfId="27409" xr:uid="{00000000-0005-0000-0000-0000475D0000}"/>
    <cellStyle name="40% - Accent3 9 2 3 2 2 2" xfId="27410" xr:uid="{00000000-0005-0000-0000-0000485D0000}"/>
    <cellStyle name="40% - Accent3 9 2 3 2 3" xfId="27411" xr:uid="{00000000-0005-0000-0000-0000495D0000}"/>
    <cellStyle name="40% - Accent3 9 2 3 3" xfId="27412" xr:uid="{00000000-0005-0000-0000-00004A5D0000}"/>
    <cellStyle name="40% - Accent3 9 2 3 3 2" xfId="27413" xr:uid="{00000000-0005-0000-0000-00004B5D0000}"/>
    <cellStyle name="40% - Accent3 9 2 3 4" xfId="27414" xr:uid="{00000000-0005-0000-0000-00004C5D0000}"/>
    <cellStyle name="40% - Accent3 9 2 3 5" xfId="27415" xr:uid="{00000000-0005-0000-0000-00004D5D0000}"/>
    <cellStyle name="40% - Accent3 9 2 3 6" xfId="27416" xr:uid="{00000000-0005-0000-0000-00004E5D0000}"/>
    <cellStyle name="40% - Accent3 9 2 4" xfId="27417" xr:uid="{00000000-0005-0000-0000-00004F5D0000}"/>
    <cellStyle name="40% - Accent3 9 2 4 2" xfId="27418" xr:uid="{00000000-0005-0000-0000-0000505D0000}"/>
    <cellStyle name="40% - Accent3 9 2 4 2 2" xfId="27419" xr:uid="{00000000-0005-0000-0000-0000515D0000}"/>
    <cellStyle name="40% - Accent3 9 2 4 3" xfId="27420" xr:uid="{00000000-0005-0000-0000-0000525D0000}"/>
    <cellStyle name="40% - Accent3 9 2 5" xfId="27421" xr:uid="{00000000-0005-0000-0000-0000535D0000}"/>
    <cellStyle name="40% - Accent3 9 2 5 2" xfId="27422" xr:uid="{00000000-0005-0000-0000-0000545D0000}"/>
    <cellStyle name="40% - Accent3 9 2 5 2 2" xfId="27423" xr:uid="{00000000-0005-0000-0000-0000555D0000}"/>
    <cellStyle name="40% - Accent3 9 2 5 3" xfId="27424" xr:uid="{00000000-0005-0000-0000-0000565D0000}"/>
    <cellStyle name="40% - Accent3 9 2 6" xfId="27425" xr:uid="{00000000-0005-0000-0000-0000575D0000}"/>
    <cellStyle name="40% - Accent3 9 2 6 2" xfId="27426" xr:uid="{00000000-0005-0000-0000-0000585D0000}"/>
    <cellStyle name="40% - Accent3 9 2 7" xfId="27427" xr:uid="{00000000-0005-0000-0000-0000595D0000}"/>
    <cellStyle name="40% - Accent3 9 2 7 2" xfId="27428" xr:uid="{00000000-0005-0000-0000-00005A5D0000}"/>
    <cellStyle name="40% - Accent3 9 2 8" xfId="27429" xr:uid="{00000000-0005-0000-0000-00005B5D0000}"/>
    <cellStyle name="40% - Accent3 9 2 9" xfId="27430" xr:uid="{00000000-0005-0000-0000-00005C5D0000}"/>
    <cellStyle name="40% - Accent3 9 3" xfId="27431" xr:uid="{00000000-0005-0000-0000-00005D5D0000}"/>
    <cellStyle name="40% - Accent3 9 3 2" xfId="27432" xr:uid="{00000000-0005-0000-0000-00005E5D0000}"/>
    <cellStyle name="40% - Accent3 9 3 2 2" xfId="27433" xr:uid="{00000000-0005-0000-0000-00005F5D0000}"/>
    <cellStyle name="40% - Accent3 9 3 2 2 2" xfId="27434" xr:uid="{00000000-0005-0000-0000-0000605D0000}"/>
    <cellStyle name="40% - Accent3 9 3 2 2 2 2" xfId="27435" xr:uid="{00000000-0005-0000-0000-0000615D0000}"/>
    <cellStyle name="40% - Accent3 9 3 2 2 3" xfId="27436" xr:uid="{00000000-0005-0000-0000-0000625D0000}"/>
    <cellStyle name="40% - Accent3 9 3 2 3" xfId="27437" xr:uid="{00000000-0005-0000-0000-0000635D0000}"/>
    <cellStyle name="40% - Accent3 9 3 2 3 2" xfId="27438" xr:uid="{00000000-0005-0000-0000-0000645D0000}"/>
    <cellStyle name="40% - Accent3 9 3 2 4" xfId="27439" xr:uid="{00000000-0005-0000-0000-0000655D0000}"/>
    <cellStyle name="40% - Accent3 9 3 2 5" xfId="27440" xr:uid="{00000000-0005-0000-0000-0000665D0000}"/>
    <cellStyle name="40% - Accent3 9 3 2 6" xfId="27441" xr:uid="{00000000-0005-0000-0000-0000675D0000}"/>
    <cellStyle name="40% - Accent3 9 3 3" xfId="27442" xr:uid="{00000000-0005-0000-0000-0000685D0000}"/>
    <cellStyle name="40% - Accent3 9 3 3 2" xfId="27443" xr:uid="{00000000-0005-0000-0000-0000695D0000}"/>
    <cellStyle name="40% - Accent3 9 3 3 2 2" xfId="27444" xr:uid="{00000000-0005-0000-0000-00006A5D0000}"/>
    <cellStyle name="40% - Accent3 9 3 3 3" xfId="27445" xr:uid="{00000000-0005-0000-0000-00006B5D0000}"/>
    <cellStyle name="40% - Accent3 9 3 4" xfId="27446" xr:uid="{00000000-0005-0000-0000-00006C5D0000}"/>
    <cellStyle name="40% - Accent3 9 3 4 2" xfId="27447" xr:uid="{00000000-0005-0000-0000-00006D5D0000}"/>
    <cellStyle name="40% - Accent3 9 3 5" xfId="27448" xr:uid="{00000000-0005-0000-0000-00006E5D0000}"/>
    <cellStyle name="40% - Accent3 9 3 6" xfId="27449" xr:uid="{00000000-0005-0000-0000-00006F5D0000}"/>
    <cellStyle name="40% - Accent3 9 3 7" xfId="27450" xr:uid="{00000000-0005-0000-0000-0000705D0000}"/>
    <cellStyle name="40% - Accent3 9 4" xfId="27451" xr:uid="{00000000-0005-0000-0000-0000715D0000}"/>
    <cellStyle name="40% - Accent3 9 4 2" xfId="27452" xr:uid="{00000000-0005-0000-0000-0000725D0000}"/>
    <cellStyle name="40% - Accent3 9 4 2 2" xfId="27453" xr:uid="{00000000-0005-0000-0000-0000735D0000}"/>
    <cellStyle name="40% - Accent3 9 4 2 2 2" xfId="27454" xr:uid="{00000000-0005-0000-0000-0000745D0000}"/>
    <cellStyle name="40% - Accent3 9 4 2 2 2 2" xfId="27455" xr:uid="{00000000-0005-0000-0000-0000755D0000}"/>
    <cellStyle name="40% - Accent3 9 4 2 2 3" xfId="27456" xr:uid="{00000000-0005-0000-0000-0000765D0000}"/>
    <cellStyle name="40% - Accent3 9 4 2 3" xfId="27457" xr:uid="{00000000-0005-0000-0000-0000775D0000}"/>
    <cellStyle name="40% - Accent3 9 4 2 3 2" xfId="27458" xr:uid="{00000000-0005-0000-0000-0000785D0000}"/>
    <cellStyle name="40% - Accent3 9 4 2 4" xfId="27459" xr:uid="{00000000-0005-0000-0000-0000795D0000}"/>
    <cellStyle name="40% - Accent3 9 4 2 5" xfId="27460" xr:uid="{00000000-0005-0000-0000-00007A5D0000}"/>
    <cellStyle name="40% - Accent3 9 4 2 6" xfId="27461" xr:uid="{00000000-0005-0000-0000-00007B5D0000}"/>
    <cellStyle name="40% - Accent3 9 4 3" xfId="27462" xr:uid="{00000000-0005-0000-0000-00007C5D0000}"/>
    <cellStyle name="40% - Accent3 9 4 3 2" xfId="27463" xr:uid="{00000000-0005-0000-0000-00007D5D0000}"/>
    <cellStyle name="40% - Accent3 9 4 3 2 2" xfId="27464" xr:uid="{00000000-0005-0000-0000-00007E5D0000}"/>
    <cellStyle name="40% - Accent3 9 4 3 3" xfId="27465" xr:uid="{00000000-0005-0000-0000-00007F5D0000}"/>
    <cellStyle name="40% - Accent3 9 4 4" xfId="27466" xr:uid="{00000000-0005-0000-0000-0000805D0000}"/>
    <cellStyle name="40% - Accent3 9 4 4 2" xfId="27467" xr:uid="{00000000-0005-0000-0000-0000815D0000}"/>
    <cellStyle name="40% - Accent3 9 4 5" xfId="27468" xr:uid="{00000000-0005-0000-0000-0000825D0000}"/>
    <cellStyle name="40% - Accent3 9 4 6" xfId="27469" xr:uid="{00000000-0005-0000-0000-0000835D0000}"/>
    <cellStyle name="40% - Accent3 9 4 7" xfId="27470" xr:uid="{00000000-0005-0000-0000-0000845D0000}"/>
    <cellStyle name="40% - Accent3 9 5" xfId="27471" xr:uid="{00000000-0005-0000-0000-0000855D0000}"/>
    <cellStyle name="40% - Accent3 9 5 2" xfId="27472" xr:uid="{00000000-0005-0000-0000-0000865D0000}"/>
    <cellStyle name="40% - Accent3 9 5 2 2" xfId="27473" xr:uid="{00000000-0005-0000-0000-0000875D0000}"/>
    <cellStyle name="40% - Accent3 9 5 2 2 2" xfId="27474" xr:uid="{00000000-0005-0000-0000-0000885D0000}"/>
    <cellStyle name="40% - Accent3 9 5 2 3" xfId="27475" xr:uid="{00000000-0005-0000-0000-0000895D0000}"/>
    <cellStyle name="40% - Accent3 9 5 3" xfId="27476" xr:uid="{00000000-0005-0000-0000-00008A5D0000}"/>
    <cellStyle name="40% - Accent3 9 5 3 2" xfId="27477" xr:uid="{00000000-0005-0000-0000-00008B5D0000}"/>
    <cellStyle name="40% - Accent3 9 5 4" xfId="27478" xr:uid="{00000000-0005-0000-0000-00008C5D0000}"/>
    <cellStyle name="40% - Accent3 9 5 5" xfId="27479" xr:uid="{00000000-0005-0000-0000-00008D5D0000}"/>
    <cellStyle name="40% - Accent3 9 5 6" xfId="27480" xr:uid="{00000000-0005-0000-0000-00008E5D0000}"/>
    <cellStyle name="40% - Accent3 9 6" xfId="27481" xr:uid="{00000000-0005-0000-0000-00008F5D0000}"/>
    <cellStyle name="40% - Accent3 9 6 2" xfId="27482" xr:uid="{00000000-0005-0000-0000-0000905D0000}"/>
    <cellStyle name="40% - Accent3 9 6 2 2" xfId="27483" xr:uid="{00000000-0005-0000-0000-0000915D0000}"/>
    <cellStyle name="40% - Accent3 9 6 3" xfId="27484" xr:uid="{00000000-0005-0000-0000-0000925D0000}"/>
    <cellStyle name="40% - Accent3 9 7" xfId="27485" xr:uid="{00000000-0005-0000-0000-0000935D0000}"/>
    <cellStyle name="40% - Accent3 9 7 2" xfId="27486" xr:uid="{00000000-0005-0000-0000-0000945D0000}"/>
    <cellStyle name="40% - Accent3 9 7 2 2" xfId="27487" xr:uid="{00000000-0005-0000-0000-0000955D0000}"/>
    <cellStyle name="40% - Accent3 9 7 3" xfId="27488" xr:uid="{00000000-0005-0000-0000-0000965D0000}"/>
    <cellStyle name="40% - Accent3 9 8" xfId="27489" xr:uid="{00000000-0005-0000-0000-0000975D0000}"/>
    <cellStyle name="40% - Accent3 9 8 2" xfId="27490" xr:uid="{00000000-0005-0000-0000-0000985D0000}"/>
    <cellStyle name="40% - Accent3 9 9" xfId="27491" xr:uid="{00000000-0005-0000-0000-0000995D0000}"/>
    <cellStyle name="40% - Accent3 9 9 2" xfId="27492" xr:uid="{00000000-0005-0000-0000-00009A5D0000}"/>
    <cellStyle name="40% - Accent4" xfId="132" builtinId="43" customBuiltin="1"/>
    <cellStyle name="40% - Accent4 10" xfId="27493" xr:uid="{00000000-0005-0000-0000-00009B5D0000}"/>
    <cellStyle name="40% - Accent4 10 10" xfId="27494" xr:uid="{00000000-0005-0000-0000-00009C5D0000}"/>
    <cellStyle name="40% - Accent4 10 11" xfId="27495" xr:uid="{00000000-0005-0000-0000-00009D5D0000}"/>
    <cellStyle name="40% - Accent4 10 2" xfId="27496" xr:uid="{00000000-0005-0000-0000-00009E5D0000}"/>
    <cellStyle name="40% - Accent4 10 2 2" xfId="27497" xr:uid="{00000000-0005-0000-0000-00009F5D0000}"/>
    <cellStyle name="40% - Accent4 10 2 2 2" xfId="27498" xr:uid="{00000000-0005-0000-0000-0000A05D0000}"/>
    <cellStyle name="40% - Accent4 10 2 2 2 2" xfId="27499" xr:uid="{00000000-0005-0000-0000-0000A15D0000}"/>
    <cellStyle name="40% - Accent4 10 2 2 2 2 2" xfId="27500" xr:uid="{00000000-0005-0000-0000-0000A25D0000}"/>
    <cellStyle name="40% - Accent4 10 2 2 2 3" xfId="27501" xr:uid="{00000000-0005-0000-0000-0000A35D0000}"/>
    <cellStyle name="40% - Accent4 10 2 2 3" xfId="27502" xr:uid="{00000000-0005-0000-0000-0000A45D0000}"/>
    <cellStyle name="40% - Accent4 10 2 2 3 2" xfId="27503" xr:uid="{00000000-0005-0000-0000-0000A55D0000}"/>
    <cellStyle name="40% - Accent4 10 2 2 4" xfId="27504" xr:uid="{00000000-0005-0000-0000-0000A65D0000}"/>
    <cellStyle name="40% - Accent4 10 2 2 5" xfId="27505" xr:uid="{00000000-0005-0000-0000-0000A75D0000}"/>
    <cellStyle name="40% - Accent4 10 2 2 6" xfId="27506" xr:uid="{00000000-0005-0000-0000-0000A85D0000}"/>
    <cellStyle name="40% - Accent4 10 2 3" xfId="27507" xr:uid="{00000000-0005-0000-0000-0000A95D0000}"/>
    <cellStyle name="40% - Accent4 10 2 3 2" xfId="27508" xr:uid="{00000000-0005-0000-0000-0000AA5D0000}"/>
    <cellStyle name="40% - Accent4 10 2 3 2 2" xfId="27509" xr:uid="{00000000-0005-0000-0000-0000AB5D0000}"/>
    <cellStyle name="40% - Accent4 10 2 3 3" xfId="27510" xr:uid="{00000000-0005-0000-0000-0000AC5D0000}"/>
    <cellStyle name="40% - Accent4 10 2 4" xfId="27511" xr:uid="{00000000-0005-0000-0000-0000AD5D0000}"/>
    <cellStyle name="40% - Accent4 10 2 4 2" xfId="27512" xr:uid="{00000000-0005-0000-0000-0000AE5D0000}"/>
    <cellStyle name="40% - Accent4 10 2 5" xfId="27513" xr:uid="{00000000-0005-0000-0000-0000AF5D0000}"/>
    <cellStyle name="40% - Accent4 10 2 5 2" xfId="27514" xr:uid="{00000000-0005-0000-0000-0000B05D0000}"/>
    <cellStyle name="40% - Accent4 10 2 6" xfId="27515" xr:uid="{00000000-0005-0000-0000-0000B15D0000}"/>
    <cellStyle name="40% - Accent4 10 2 7" xfId="27516" xr:uid="{00000000-0005-0000-0000-0000B25D0000}"/>
    <cellStyle name="40% - Accent4 10 2 8" xfId="27517" xr:uid="{00000000-0005-0000-0000-0000B35D0000}"/>
    <cellStyle name="40% - Accent4 10 3" xfId="27518" xr:uid="{00000000-0005-0000-0000-0000B45D0000}"/>
    <cellStyle name="40% - Accent4 10 3 2" xfId="27519" xr:uid="{00000000-0005-0000-0000-0000B55D0000}"/>
    <cellStyle name="40% - Accent4 10 3 2 2" xfId="27520" xr:uid="{00000000-0005-0000-0000-0000B65D0000}"/>
    <cellStyle name="40% - Accent4 10 3 2 2 2" xfId="27521" xr:uid="{00000000-0005-0000-0000-0000B75D0000}"/>
    <cellStyle name="40% - Accent4 10 3 2 2 2 2" xfId="27522" xr:uid="{00000000-0005-0000-0000-0000B85D0000}"/>
    <cellStyle name="40% - Accent4 10 3 2 2 3" xfId="27523" xr:uid="{00000000-0005-0000-0000-0000B95D0000}"/>
    <cellStyle name="40% - Accent4 10 3 2 3" xfId="27524" xr:uid="{00000000-0005-0000-0000-0000BA5D0000}"/>
    <cellStyle name="40% - Accent4 10 3 2 3 2" xfId="27525" xr:uid="{00000000-0005-0000-0000-0000BB5D0000}"/>
    <cellStyle name="40% - Accent4 10 3 2 4" xfId="27526" xr:uid="{00000000-0005-0000-0000-0000BC5D0000}"/>
    <cellStyle name="40% - Accent4 10 3 2 5" xfId="27527" xr:uid="{00000000-0005-0000-0000-0000BD5D0000}"/>
    <cellStyle name="40% - Accent4 10 3 2 6" xfId="27528" xr:uid="{00000000-0005-0000-0000-0000BE5D0000}"/>
    <cellStyle name="40% - Accent4 10 3 3" xfId="27529" xr:uid="{00000000-0005-0000-0000-0000BF5D0000}"/>
    <cellStyle name="40% - Accent4 10 3 3 2" xfId="27530" xr:uid="{00000000-0005-0000-0000-0000C05D0000}"/>
    <cellStyle name="40% - Accent4 10 3 3 2 2" xfId="27531" xr:uid="{00000000-0005-0000-0000-0000C15D0000}"/>
    <cellStyle name="40% - Accent4 10 3 3 3" xfId="27532" xr:uid="{00000000-0005-0000-0000-0000C25D0000}"/>
    <cellStyle name="40% - Accent4 10 3 4" xfId="27533" xr:uid="{00000000-0005-0000-0000-0000C35D0000}"/>
    <cellStyle name="40% - Accent4 10 3 4 2" xfId="27534" xr:uid="{00000000-0005-0000-0000-0000C45D0000}"/>
    <cellStyle name="40% - Accent4 10 3 5" xfId="27535" xr:uid="{00000000-0005-0000-0000-0000C55D0000}"/>
    <cellStyle name="40% - Accent4 10 3 6" xfId="27536" xr:uid="{00000000-0005-0000-0000-0000C65D0000}"/>
    <cellStyle name="40% - Accent4 10 3 7" xfId="27537" xr:uid="{00000000-0005-0000-0000-0000C75D0000}"/>
    <cellStyle name="40% - Accent4 10 4" xfId="27538" xr:uid="{00000000-0005-0000-0000-0000C85D0000}"/>
    <cellStyle name="40% - Accent4 10 4 2" xfId="27539" xr:uid="{00000000-0005-0000-0000-0000C95D0000}"/>
    <cellStyle name="40% - Accent4 10 4 2 2" xfId="27540" xr:uid="{00000000-0005-0000-0000-0000CA5D0000}"/>
    <cellStyle name="40% - Accent4 10 4 2 2 2" xfId="27541" xr:uid="{00000000-0005-0000-0000-0000CB5D0000}"/>
    <cellStyle name="40% - Accent4 10 4 2 3" xfId="27542" xr:uid="{00000000-0005-0000-0000-0000CC5D0000}"/>
    <cellStyle name="40% - Accent4 10 4 3" xfId="27543" xr:uid="{00000000-0005-0000-0000-0000CD5D0000}"/>
    <cellStyle name="40% - Accent4 10 4 3 2" xfId="27544" xr:uid="{00000000-0005-0000-0000-0000CE5D0000}"/>
    <cellStyle name="40% - Accent4 10 4 4" xfId="27545" xr:uid="{00000000-0005-0000-0000-0000CF5D0000}"/>
    <cellStyle name="40% - Accent4 10 4 5" xfId="27546" xr:uid="{00000000-0005-0000-0000-0000D05D0000}"/>
    <cellStyle name="40% - Accent4 10 4 6" xfId="27547" xr:uid="{00000000-0005-0000-0000-0000D15D0000}"/>
    <cellStyle name="40% - Accent4 10 5" xfId="27548" xr:uid="{00000000-0005-0000-0000-0000D25D0000}"/>
    <cellStyle name="40% - Accent4 10 5 2" xfId="27549" xr:uid="{00000000-0005-0000-0000-0000D35D0000}"/>
    <cellStyle name="40% - Accent4 10 5 2 2" xfId="27550" xr:uid="{00000000-0005-0000-0000-0000D45D0000}"/>
    <cellStyle name="40% - Accent4 10 5 3" xfId="27551" xr:uid="{00000000-0005-0000-0000-0000D55D0000}"/>
    <cellStyle name="40% - Accent4 10 6" xfId="27552" xr:uid="{00000000-0005-0000-0000-0000D65D0000}"/>
    <cellStyle name="40% - Accent4 10 6 2" xfId="27553" xr:uid="{00000000-0005-0000-0000-0000D75D0000}"/>
    <cellStyle name="40% - Accent4 10 6 2 2" xfId="27554" xr:uid="{00000000-0005-0000-0000-0000D85D0000}"/>
    <cellStyle name="40% - Accent4 10 6 3" xfId="27555" xr:uid="{00000000-0005-0000-0000-0000D95D0000}"/>
    <cellStyle name="40% - Accent4 10 7" xfId="27556" xr:uid="{00000000-0005-0000-0000-0000DA5D0000}"/>
    <cellStyle name="40% - Accent4 10 7 2" xfId="27557" xr:uid="{00000000-0005-0000-0000-0000DB5D0000}"/>
    <cellStyle name="40% - Accent4 10 8" xfId="27558" xr:uid="{00000000-0005-0000-0000-0000DC5D0000}"/>
    <cellStyle name="40% - Accent4 10 8 2" xfId="27559" xr:uid="{00000000-0005-0000-0000-0000DD5D0000}"/>
    <cellStyle name="40% - Accent4 10 9" xfId="27560" xr:uid="{00000000-0005-0000-0000-0000DE5D0000}"/>
    <cellStyle name="40% - Accent4 11" xfId="27561" xr:uid="{00000000-0005-0000-0000-0000DF5D0000}"/>
    <cellStyle name="40% - Accent4 11 10" xfId="27562" xr:uid="{00000000-0005-0000-0000-0000E05D0000}"/>
    <cellStyle name="40% - Accent4 11 11" xfId="27563" xr:uid="{00000000-0005-0000-0000-0000E15D0000}"/>
    <cellStyle name="40% - Accent4 11 2" xfId="27564" xr:uid="{00000000-0005-0000-0000-0000E25D0000}"/>
    <cellStyle name="40% - Accent4 11 2 2" xfId="27565" xr:uid="{00000000-0005-0000-0000-0000E35D0000}"/>
    <cellStyle name="40% - Accent4 11 2 2 2" xfId="27566" xr:uid="{00000000-0005-0000-0000-0000E45D0000}"/>
    <cellStyle name="40% - Accent4 11 2 2 2 2" xfId="27567" xr:uid="{00000000-0005-0000-0000-0000E55D0000}"/>
    <cellStyle name="40% - Accent4 11 2 2 2 2 2" xfId="27568" xr:uid="{00000000-0005-0000-0000-0000E65D0000}"/>
    <cellStyle name="40% - Accent4 11 2 2 2 3" xfId="27569" xr:uid="{00000000-0005-0000-0000-0000E75D0000}"/>
    <cellStyle name="40% - Accent4 11 2 2 3" xfId="27570" xr:uid="{00000000-0005-0000-0000-0000E85D0000}"/>
    <cellStyle name="40% - Accent4 11 2 2 3 2" xfId="27571" xr:uid="{00000000-0005-0000-0000-0000E95D0000}"/>
    <cellStyle name="40% - Accent4 11 2 2 4" xfId="27572" xr:uid="{00000000-0005-0000-0000-0000EA5D0000}"/>
    <cellStyle name="40% - Accent4 11 2 2 5" xfId="27573" xr:uid="{00000000-0005-0000-0000-0000EB5D0000}"/>
    <cellStyle name="40% - Accent4 11 2 2 6" xfId="27574" xr:uid="{00000000-0005-0000-0000-0000EC5D0000}"/>
    <cellStyle name="40% - Accent4 11 2 3" xfId="27575" xr:uid="{00000000-0005-0000-0000-0000ED5D0000}"/>
    <cellStyle name="40% - Accent4 11 2 3 2" xfId="27576" xr:uid="{00000000-0005-0000-0000-0000EE5D0000}"/>
    <cellStyle name="40% - Accent4 11 2 3 2 2" xfId="27577" xr:uid="{00000000-0005-0000-0000-0000EF5D0000}"/>
    <cellStyle name="40% - Accent4 11 2 3 3" xfId="27578" xr:uid="{00000000-0005-0000-0000-0000F05D0000}"/>
    <cellStyle name="40% - Accent4 11 2 4" xfId="27579" xr:uid="{00000000-0005-0000-0000-0000F15D0000}"/>
    <cellStyle name="40% - Accent4 11 2 4 2" xfId="27580" xr:uid="{00000000-0005-0000-0000-0000F25D0000}"/>
    <cellStyle name="40% - Accent4 11 2 5" xfId="27581" xr:uid="{00000000-0005-0000-0000-0000F35D0000}"/>
    <cellStyle name="40% - Accent4 11 2 5 2" xfId="27582" xr:uid="{00000000-0005-0000-0000-0000F45D0000}"/>
    <cellStyle name="40% - Accent4 11 2 6" xfId="27583" xr:uid="{00000000-0005-0000-0000-0000F55D0000}"/>
    <cellStyle name="40% - Accent4 11 2 7" xfId="27584" xr:uid="{00000000-0005-0000-0000-0000F65D0000}"/>
    <cellStyle name="40% - Accent4 11 2 8" xfId="27585" xr:uid="{00000000-0005-0000-0000-0000F75D0000}"/>
    <cellStyle name="40% - Accent4 11 3" xfId="27586" xr:uid="{00000000-0005-0000-0000-0000F85D0000}"/>
    <cellStyle name="40% - Accent4 11 3 2" xfId="27587" xr:uid="{00000000-0005-0000-0000-0000F95D0000}"/>
    <cellStyle name="40% - Accent4 11 3 2 2" xfId="27588" xr:uid="{00000000-0005-0000-0000-0000FA5D0000}"/>
    <cellStyle name="40% - Accent4 11 3 2 2 2" xfId="27589" xr:uid="{00000000-0005-0000-0000-0000FB5D0000}"/>
    <cellStyle name="40% - Accent4 11 3 2 2 2 2" xfId="27590" xr:uid="{00000000-0005-0000-0000-0000FC5D0000}"/>
    <cellStyle name="40% - Accent4 11 3 2 2 3" xfId="27591" xr:uid="{00000000-0005-0000-0000-0000FD5D0000}"/>
    <cellStyle name="40% - Accent4 11 3 2 3" xfId="27592" xr:uid="{00000000-0005-0000-0000-0000FE5D0000}"/>
    <cellStyle name="40% - Accent4 11 3 2 3 2" xfId="27593" xr:uid="{00000000-0005-0000-0000-0000FF5D0000}"/>
    <cellStyle name="40% - Accent4 11 3 2 4" xfId="27594" xr:uid="{00000000-0005-0000-0000-0000005E0000}"/>
    <cellStyle name="40% - Accent4 11 3 2 5" xfId="27595" xr:uid="{00000000-0005-0000-0000-0000015E0000}"/>
    <cellStyle name="40% - Accent4 11 3 2 6" xfId="27596" xr:uid="{00000000-0005-0000-0000-0000025E0000}"/>
    <cellStyle name="40% - Accent4 11 3 3" xfId="27597" xr:uid="{00000000-0005-0000-0000-0000035E0000}"/>
    <cellStyle name="40% - Accent4 11 3 3 2" xfId="27598" xr:uid="{00000000-0005-0000-0000-0000045E0000}"/>
    <cellStyle name="40% - Accent4 11 3 3 2 2" xfId="27599" xr:uid="{00000000-0005-0000-0000-0000055E0000}"/>
    <cellStyle name="40% - Accent4 11 3 3 3" xfId="27600" xr:uid="{00000000-0005-0000-0000-0000065E0000}"/>
    <cellStyle name="40% - Accent4 11 3 4" xfId="27601" xr:uid="{00000000-0005-0000-0000-0000075E0000}"/>
    <cellStyle name="40% - Accent4 11 3 4 2" xfId="27602" xr:uid="{00000000-0005-0000-0000-0000085E0000}"/>
    <cellStyle name="40% - Accent4 11 3 5" xfId="27603" xr:uid="{00000000-0005-0000-0000-0000095E0000}"/>
    <cellStyle name="40% - Accent4 11 3 6" xfId="27604" xr:uid="{00000000-0005-0000-0000-00000A5E0000}"/>
    <cellStyle name="40% - Accent4 11 3 7" xfId="27605" xr:uid="{00000000-0005-0000-0000-00000B5E0000}"/>
    <cellStyle name="40% - Accent4 11 4" xfId="27606" xr:uid="{00000000-0005-0000-0000-00000C5E0000}"/>
    <cellStyle name="40% - Accent4 11 4 2" xfId="27607" xr:uid="{00000000-0005-0000-0000-00000D5E0000}"/>
    <cellStyle name="40% - Accent4 11 4 2 2" xfId="27608" xr:uid="{00000000-0005-0000-0000-00000E5E0000}"/>
    <cellStyle name="40% - Accent4 11 4 2 2 2" xfId="27609" xr:uid="{00000000-0005-0000-0000-00000F5E0000}"/>
    <cellStyle name="40% - Accent4 11 4 2 3" xfId="27610" xr:uid="{00000000-0005-0000-0000-0000105E0000}"/>
    <cellStyle name="40% - Accent4 11 4 3" xfId="27611" xr:uid="{00000000-0005-0000-0000-0000115E0000}"/>
    <cellStyle name="40% - Accent4 11 4 3 2" xfId="27612" xr:uid="{00000000-0005-0000-0000-0000125E0000}"/>
    <cellStyle name="40% - Accent4 11 4 4" xfId="27613" xr:uid="{00000000-0005-0000-0000-0000135E0000}"/>
    <cellStyle name="40% - Accent4 11 4 5" xfId="27614" xr:uid="{00000000-0005-0000-0000-0000145E0000}"/>
    <cellStyle name="40% - Accent4 11 4 6" xfId="27615" xr:uid="{00000000-0005-0000-0000-0000155E0000}"/>
    <cellStyle name="40% - Accent4 11 5" xfId="27616" xr:uid="{00000000-0005-0000-0000-0000165E0000}"/>
    <cellStyle name="40% - Accent4 11 5 2" xfId="27617" xr:uid="{00000000-0005-0000-0000-0000175E0000}"/>
    <cellStyle name="40% - Accent4 11 5 2 2" xfId="27618" xr:uid="{00000000-0005-0000-0000-0000185E0000}"/>
    <cellStyle name="40% - Accent4 11 5 3" xfId="27619" xr:uid="{00000000-0005-0000-0000-0000195E0000}"/>
    <cellStyle name="40% - Accent4 11 6" xfId="27620" xr:uid="{00000000-0005-0000-0000-00001A5E0000}"/>
    <cellStyle name="40% - Accent4 11 6 2" xfId="27621" xr:uid="{00000000-0005-0000-0000-00001B5E0000}"/>
    <cellStyle name="40% - Accent4 11 6 2 2" xfId="27622" xr:uid="{00000000-0005-0000-0000-00001C5E0000}"/>
    <cellStyle name="40% - Accent4 11 6 3" xfId="27623" xr:uid="{00000000-0005-0000-0000-00001D5E0000}"/>
    <cellStyle name="40% - Accent4 11 7" xfId="27624" xr:uid="{00000000-0005-0000-0000-00001E5E0000}"/>
    <cellStyle name="40% - Accent4 11 7 2" xfId="27625" xr:uid="{00000000-0005-0000-0000-00001F5E0000}"/>
    <cellStyle name="40% - Accent4 11 8" xfId="27626" xr:uid="{00000000-0005-0000-0000-0000205E0000}"/>
    <cellStyle name="40% - Accent4 11 8 2" xfId="27627" xr:uid="{00000000-0005-0000-0000-0000215E0000}"/>
    <cellStyle name="40% - Accent4 11 9" xfId="27628" xr:uid="{00000000-0005-0000-0000-0000225E0000}"/>
    <cellStyle name="40% - Accent4 12" xfId="27629" xr:uid="{00000000-0005-0000-0000-0000235E0000}"/>
    <cellStyle name="40% - Accent4 12 2" xfId="27630" xr:uid="{00000000-0005-0000-0000-0000245E0000}"/>
    <cellStyle name="40% - Accent4 12 2 2" xfId="27631" xr:uid="{00000000-0005-0000-0000-0000255E0000}"/>
    <cellStyle name="40% - Accent4 12 2 2 2" xfId="27632" xr:uid="{00000000-0005-0000-0000-0000265E0000}"/>
    <cellStyle name="40% - Accent4 12 2 2 2 2" xfId="27633" xr:uid="{00000000-0005-0000-0000-0000275E0000}"/>
    <cellStyle name="40% - Accent4 12 2 2 2 2 2" xfId="27634" xr:uid="{00000000-0005-0000-0000-0000285E0000}"/>
    <cellStyle name="40% - Accent4 12 2 2 2 3" xfId="27635" xr:uid="{00000000-0005-0000-0000-0000295E0000}"/>
    <cellStyle name="40% - Accent4 12 2 2 3" xfId="27636" xr:uid="{00000000-0005-0000-0000-00002A5E0000}"/>
    <cellStyle name="40% - Accent4 12 2 2 3 2" xfId="27637" xr:uid="{00000000-0005-0000-0000-00002B5E0000}"/>
    <cellStyle name="40% - Accent4 12 2 2 4" xfId="27638" xr:uid="{00000000-0005-0000-0000-00002C5E0000}"/>
    <cellStyle name="40% - Accent4 12 2 2 5" xfId="27639" xr:uid="{00000000-0005-0000-0000-00002D5E0000}"/>
    <cellStyle name="40% - Accent4 12 2 2 6" xfId="27640" xr:uid="{00000000-0005-0000-0000-00002E5E0000}"/>
    <cellStyle name="40% - Accent4 12 2 3" xfId="27641" xr:uid="{00000000-0005-0000-0000-00002F5E0000}"/>
    <cellStyle name="40% - Accent4 12 2 3 2" xfId="27642" xr:uid="{00000000-0005-0000-0000-0000305E0000}"/>
    <cellStyle name="40% - Accent4 12 2 3 2 2" xfId="27643" xr:uid="{00000000-0005-0000-0000-0000315E0000}"/>
    <cellStyle name="40% - Accent4 12 2 3 3" xfId="27644" xr:uid="{00000000-0005-0000-0000-0000325E0000}"/>
    <cellStyle name="40% - Accent4 12 2 4" xfId="27645" xr:uid="{00000000-0005-0000-0000-0000335E0000}"/>
    <cellStyle name="40% - Accent4 12 2 4 2" xfId="27646" xr:uid="{00000000-0005-0000-0000-0000345E0000}"/>
    <cellStyle name="40% - Accent4 12 2 5" xfId="27647" xr:uid="{00000000-0005-0000-0000-0000355E0000}"/>
    <cellStyle name="40% - Accent4 12 2 6" xfId="27648" xr:uid="{00000000-0005-0000-0000-0000365E0000}"/>
    <cellStyle name="40% - Accent4 12 2 7" xfId="27649" xr:uid="{00000000-0005-0000-0000-0000375E0000}"/>
    <cellStyle name="40% - Accent4 12 3" xfId="27650" xr:uid="{00000000-0005-0000-0000-0000385E0000}"/>
    <cellStyle name="40% - Accent4 12 3 2" xfId="27651" xr:uid="{00000000-0005-0000-0000-0000395E0000}"/>
    <cellStyle name="40% - Accent4 12 3 2 2" xfId="27652" xr:uid="{00000000-0005-0000-0000-00003A5E0000}"/>
    <cellStyle name="40% - Accent4 12 3 2 2 2" xfId="27653" xr:uid="{00000000-0005-0000-0000-00003B5E0000}"/>
    <cellStyle name="40% - Accent4 12 3 2 2 2 2" xfId="27654" xr:uid="{00000000-0005-0000-0000-00003C5E0000}"/>
    <cellStyle name="40% - Accent4 12 3 2 2 3" xfId="27655" xr:uid="{00000000-0005-0000-0000-00003D5E0000}"/>
    <cellStyle name="40% - Accent4 12 3 2 3" xfId="27656" xr:uid="{00000000-0005-0000-0000-00003E5E0000}"/>
    <cellStyle name="40% - Accent4 12 3 2 3 2" xfId="27657" xr:uid="{00000000-0005-0000-0000-00003F5E0000}"/>
    <cellStyle name="40% - Accent4 12 3 2 4" xfId="27658" xr:uid="{00000000-0005-0000-0000-0000405E0000}"/>
    <cellStyle name="40% - Accent4 12 3 2 5" xfId="27659" xr:uid="{00000000-0005-0000-0000-0000415E0000}"/>
    <cellStyle name="40% - Accent4 12 3 2 6" xfId="27660" xr:uid="{00000000-0005-0000-0000-0000425E0000}"/>
    <cellStyle name="40% - Accent4 12 3 3" xfId="27661" xr:uid="{00000000-0005-0000-0000-0000435E0000}"/>
    <cellStyle name="40% - Accent4 12 3 3 2" xfId="27662" xr:uid="{00000000-0005-0000-0000-0000445E0000}"/>
    <cellStyle name="40% - Accent4 12 3 3 2 2" xfId="27663" xr:uid="{00000000-0005-0000-0000-0000455E0000}"/>
    <cellStyle name="40% - Accent4 12 3 3 3" xfId="27664" xr:uid="{00000000-0005-0000-0000-0000465E0000}"/>
    <cellStyle name="40% - Accent4 12 3 4" xfId="27665" xr:uid="{00000000-0005-0000-0000-0000475E0000}"/>
    <cellStyle name="40% - Accent4 12 3 4 2" xfId="27666" xr:uid="{00000000-0005-0000-0000-0000485E0000}"/>
    <cellStyle name="40% - Accent4 12 3 5" xfId="27667" xr:uid="{00000000-0005-0000-0000-0000495E0000}"/>
    <cellStyle name="40% - Accent4 12 3 6" xfId="27668" xr:uid="{00000000-0005-0000-0000-00004A5E0000}"/>
    <cellStyle name="40% - Accent4 12 3 7" xfId="27669" xr:uid="{00000000-0005-0000-0000-00004B5E0000}"/>
    <cellStyle name="40% - Accent4 12 4" xfId="27670" xr:uid="{00000000-0005-0000-0000-00004C5E0000}"/>
    <cellStyle name="40% - Accent4 12 5" xfId="27671" xr:uid="{00000000-0005-0000-0000-00004D5E0000}"/>
    <cellStyle name="40% - Accent4 12 6" xfId="27672" xr:uid="{00000000-0005-0000-0000-00004E5E0000}"/>
    <cellStyle name="40% - Accent4 12 6 2" xfId="27673" xr:uid="{00000000-0005-0000-0000-00004F5E0000}"/>
    <cellStyle name="40% - Accent4 12 7" xfId="27674" xr:uid="{00000000-0005-0000-0000-0000505E0000}"/>
    <cellStyle name="40% - Accent4 12 8" xfId="27675" xr:uid="{00000000-0005-0000-0000-0000515E0000}"/>
    <cellStyle name="40% - Accent4 13" xfId="27676" xr:uid="{00000000-0005-0000-0000-0000525E0000}"/>
    <cellStyle name="40% - Accent4 13 2" xfId="27677" xr:uid="{00000000-0005-0000-0000-0000535E0000}"/>
    <cellStyle name="40% - Accent4 13 2 2" xfId="27678" xr:uid="{00000000-0005-0000-0000-0000545E0000}"/>
    <cellStyle name="40% - Accent4 13 2 2 2" xfId="27679" xr:uid="{00000000-0005-0000-0000-0000555E0000}"/>
    <cellStyle name="40% - Accent4 13 2 3" xfId="27680" xr:uid="{00000000-0005-0000-0000-0000565E0000}"/>
    <cellStyle name="40% - Accent4 13 3" xfId="27681" xr:uid="{00000000-0005-0000-0000-0000575E0000}"/>
    <cellStyle name="40% - Accent4 13 3 2" xfId="27682" xr:uid="{00000000-0005-0000-0000-0000585E0000}"/>
    <cellStyle name="40% - Accent4 13 4" xfId="27683" xr:uid="{00000000-0005-0000-0000-0000595E0000}"/>
    <cellStyle name="40% - Accent4 13 5" xfId="27684" xr:uid="{00000000-0005-0000-0000-00005A5E0000}"/>
    <cellStyle name="40% - Accent4 13 6" xfId="27685" xr:uid="{00000000-0005-0000-0000-00005B5E0000}"/>
    <cellStyle name="40% - Accent4 14" xfId="27686" xr:uid="{00000000-0005-0000-0000-00005C5E0000}"/>
    <cellStyle name="40% - Accent4 14 2" xfId="27687" xr:uid="{00000000-0005-0000-0000-00005D5E0000}"/>
    <cellStyle name="40% - Accent4 14 2 2" xfId="27688" xr:uid="{00000000-0005-0000-0000-00005E5E0000}"/>
    <cellStyle name="40% - Accent4 14 2 2 2" xfId="27689" xr:uid="{00000000-0005-0000-0000-00005F5E0000}"/>
    <cellStyle name="40% - Accent4 14 2 3" xfId="27690" xr:uid="{00000000-0005-0000-0000-0000605E0000}"/>
    <cellStyle name="40% - Accent4 14 3" xfId="27691" xr:uid="{00000000-0005-0000-0000-0000615E0000}"/>
    <cellStyle name="40% - Accent4 14 3 2" xfId="27692" xr:uid="{00000000-0005-0000-0000-0000625E0000}"/>
    <cellStyle name="40% - Accent4 14 4" xfId="27693" xr:uid="{00000000-0005-0000-0000-0000635E0000}"/>
    <cellStyle name="40% - Accent4 15" xfId="27694" xr:uid="{00000000-0005-0000-0000-0000645E0000}"/>
    <cellStyle name="40% - Accent4 15 2" xfId="27695" xr:uid="{00000000-0005-0000-0000-0000655E0000}"/>
    <cellStyle name="40% - Accent4 15 2 2" xfId="27696" xr:uid="{00000000-0005-0000-0000-0000665E0000}"/>
    <cellStyle name="40% - Accent4 15 2 2 2" xfId="27697" xr:uid="{00000000-0005-0000-0000-0000675E0000}"/>
    <cellStyle name="40% - Accent4 15 2 3" xfId="27698" xr:uid="{00000000-0005-0000-0000-0000685E0000}"/>
    <cellStyle name="40% - Accent4 15 3" xfId="27699" xr:uid="{00000000-0005-0000-0000-0000695E0000}"/>
    <cellStyle name="40% - Accent4 15 3 2" xfId="27700" xr:uid="{00000000-0005-0000-0000-00006A5E0000}"/>
    <cellStyle name="40% - Accent4 15 4" xfId="27701" xr:uid="{00000000-0005-0000-0000-00006B5E0000}"/>
    <cellStyle name="40% - Accent4 16" xfId="27702" xr:uid="{00000000-0005-0000-0000-00006C5E0000}"/>
    <cellStyle name="40% - Accent4 16 2" xfId="27703" xr:uid="{00000000-0005-0000-0000-00006D5E0000}"/>
    <cellStyle name="40% - Accent4 16 2 2" xfId="27704" xr:uid="{00000000-0005-0000-0000-00006E5E0000}"/>
    <cellStyle name="40% - Accent4 16 3" xfId="27705" xr:uid="{00000000-0005-0000-0000-00006F5E0000}"/>
    <cellStyle name="40% - Accent4 17" xfId="27706" xr:uid="{00000000-0005-0000-0000-0000705E0000}"/>
    <cellStyle name="40% - Accent4 18" xfId="27707" xr:uid="{00000000-0005-0000-0000-0000715E0000}"/>
    <cellStyle name="40% - Accent4 19" xfId="27708" xr:uid="{00000000-0005-0000-0000-0000725E0000}"/>
    <cellStyle name="40% - Accent4 2" xfId="206" xr:uid="{00000000-0005-0000-0000-0000735E0000}"/>
    <cellStyle name="40% - Accent4 2 2" xfId="27709" xr:uid="{00000000-0005-0000-0000-0000745E0000}"/>
    <cellStyle name="40% - Accent4 2 2 10" xfId="27710" xr:uid="{00000000-0005-0000-0000-0000755E0000}"/>
    <cellStyle name="40% - Accent4 2 2 10 2" xfId="27711" xr:uid="{00000000-0005-0000-0000-0000765E0000}"/>
    <cellStyle name="40% - Accent4 2 2 10 2 2" xfId="27712" xr:uid="{00000000-0005-0000-0000-0000775E0000}"/>
    <cellStyle name="40% - Accent4 2 2 10 3" xfId="27713" xr:uid="{00000000-0005-0000-0000-0000785E0000}"/>
    <cellStyle name="40% - Accent4 2 2 11" xfId="27714" xr:uid="{00000000-0005-0000-0000-0000795E0000}"/>
    <cellStyle name="40% - Accent4 2 2 11 2" xfId="27715" xr:uid="{00000000-0005-0000-0000-00007A5E0000}"/>
    <cellStyle name="40% - Accent4 2 2 11 2 2" xfId="27716" xr:uid="{00000000-0005-0000-0000-00007B5E0000}"/>
    <cellStyle name="40% - Accent4 2 2 11 3" xfId="27717" xr:uid="{00000000-0005-0000-0000-00007C5E0000}"/>
    <cellStyle name="40% - Accent4 2 2 12" xfId="27718" xr:uid="{00000000-0005-0000-0000-00007D5E0000}"/>
    <cellStyle name="40% - Accent4 2 2 12 2" xfId="27719" xr:uid="{00000000-0005-0000-0000-00007E5E0000}"/>
    <cellStyle name="40% - Accent4 2 2 12 2 2" xfId="27720" xr:uid="{00000000-0005-0000-0000-00007F5E0000}"/>
    <cellStyle name="40% - Accent4 2 2 12 3" xfId="27721" xr:uid="{00000000-0005-0000-0000-0000805E0000}"/>
    <cellStyle name="40% - Accent4 2 2 13" xfId="27722" xr:uid="{00000000-0005-0000-0000-0000815E0000}"/>
    <cellStyle name="40% - Accent4 2 2 13 2" xfId="27723" xr:uid="{00000000-0005-0000-0000-0000825E0000}"/>
    <cellStyle name="40% - Accent4 2 2 14" xfId="27724" xr:uid="{00000000-0005-0000-0000-0000835E0000}"/>
    <cellStyle name="40% - Accent4 2 2 15" xfId="27725" xr:uid="{00000000-0005-0000-0000-0000845E0000}"/>
    <cellStyle name="40% - Accent4 2 2 16" xfId="27726" xr:uid="{00000000-0005-0000-0000-0000855E0000}"/>
    <cellStyle name="40% - Accent4 2 2 2" xfId="27727" xr:uid="{00000000-0005-0000-0000-0000865E0000}"/>
    <cellStyle name="40% - Accent4 2 2 2 10" xfId="27728" xr:uid="{00000000-0005-0000-0000-0000875E0000}"/>
    <cellStyle name="40% - Accent4 2 2 2 11" xfId="27729" xr:uid="{00000000-0005-0000-0000-0000885E0000}"/>
    <cellStyle name="40% - Accent4 2 2 2 2" xfId="27730" xr:uid="{00000000-0005-0000-0000-0000895E0000}"/>
    <cellStyle name="40% - Accent4 2 2 2 2 2" xfId="27731" xr:uid="{00000000-0005-0000-0000-00008A5E0000}"/>
    <cellStyle name="40% - Accent4 2 2 2 2 2 2" xfId="27732" xr:uid="{00000000-0005-0000-0000-00008B5E0000}"/>
    <cellStyle name="40% - Accent4 2 2 2 2 2 2 2" xfId="27733" xr:uid="{00000000-0005-0000-0000-00008C5E0000}"/>
    <cellStyle name="40% - Accent4 2 2 2 2 2 2 2 2" xfId="27734" xr:uid="{00000000-0005-0000-0000-00008D5E0000}"/>
    <cellStyle name="40% - Accent4 2 2 2 2 2 2 3" xfId="27735" xr:uid="{00000000-0005-0000-0000-00008E5E0000}"/>
    <cellStyle name="40% - Accent4 2 2 2 2 2 3" xfId="27736" xr:uid="{00000000-0005-0000-0000-00008F5E0000}"/>
    <cellStyle name="40% - Accent4 2 2 2 2 2 3 2" xfId="27737" xr:uid="{00000000-0005-0000-0000-0000905E0000}"/>
    <cellStyle name="40% - Accent4 2 2 2 2 2 4" xfId="27738" xr:uid="{00000000-0005-0000-0000-0000915E0000}"/>
    <cellStyle name="40% - Accent4 2 2 2 2 2 5" xfId="27739" xr:uid="{00000000-0005-0000-0000-0000925E0000}"/>
    <cellStyle name="40% - Accent4 2 2 2 2 2 6" xfId="27740" xr:uid="{00000000-0005-0000-0000-0000935E0000}"/>
    <cellStyle name="40% - Accent4 2 2 2 2 3" xfId="27741" xr:uid="{00000000-0005-0000-0000-0000945E0000}"/>
    <cellStyle name="40% - Accent4 2 2 2 2 3 2" xfId="27742" xr:uid="{00000000-0005-0000-0000-0000955E0000}"/>
    <cellStyle name="40% - Accent4 2 2 2 2 3 2 2" xfId="27743" xr:uid="{00000000-0005-0000-0000-0000965E0000}"/>
    <cellStyle name="40% - Accent4 2 2 2 2 3 3" xfId="27744" xr:uid="{00000000-0005-0000-0000-0000975E0000}"/>
    <cellStyle name="40% - Accent4 2 2 2 2 4" xfId="27745" xr:uid="{00000000-0005-0000-0000-0000985E0000}"/>
    <cellStyle name="40% - Accent4 2 2 2 2 4 2" xfId="27746" xr:uid="{00000000-0005-0000-0000-0000995E0000}"/>
    <cellStyle name="40% - Accent4 2 2 2 2 5" xfId="27747" xr:uid="{00000000-0005-0000-0000-00009A5E0000}"/>
    <cellStyle name="40% - Accent4 2 2 2 2 5 2" xfId="27748" xr:uid="{00000000-0005-0000-0000-00009B5E0000}"/>
    <cellStyle name="40% - Accent4 2 2 2 2 6" xfId="27749" xr:uid="{00000000-0005-0000-0000-00009C5E0000}"/>
    <cellStyle name="40% - Accent4 2 2 2 2 7" xfId="27750" xr:uid="{00000000-0005-0000-0000-00009D5E0000}"/>
    <cellStyle name="40% - Accent4 2 2 2 2 8" xfId="27751" xr:uid="{00000000-0005-0000-0000-00009E5E0000}"/>
    <cellStyle name="40% - Accent4 2 2 2 3" xfId="27752" xr:uid="{00000000-0005-0000-0000-00009F5E0000}"/>
    <cellStyle name="40% - Accent4 2 2 2 3 2" xfId="27753" xr:uid="{00000000-0005-0000-0000-0000A05E0000}"/>
    <cellStyle name="40% - Accent4 2 2 2 3 2 2" xfId="27754" xr:uid="{00000000-0005-0000-0000-0000A15E0000}"/>
    <cellStyle name="40% - Accent4 2 2 2 3 2 2 2" xfId="27755" xr:uid="{00000000-0005-0000-0000-0000A25E0000}"/>
    <cellStyle name="40% - Accent4 2 2 2 3 2 2 2 2" xfId="27756" xr:uid="{00000000-0005-0000-0000-0000A35E0000}"/>
    <cellStyle name="40% - Accent4 2 2 2 3 2 2 3" xfId="27757" xr:uid="{00000000-0005-0000-0000-0000A45E0000}"/>
    <cellStyle name="40% - Accent4 2 2 2 3 2 3" xfId="27758" xr:uid="{00000000-0005-0000-0000-0000A55E0000}"/>
    <cellStyle name="40% - Accent4 2 2 2 3 2 3 2" xfId="27759" xr:uid="{00000000-0005-0000-0000-0000A65E0000}"/>
    <cellStyle name="40% - Accent4 2 2 2 3 2 4" xfId="27760" xr:uid="{00000000-0005-0000-0000-0000A75E0000}"/>
    <cellStyle name="40% - Accent4 2 2 2 3 2 5" xfId="27761" xr:uid="{00000000-0005-0000-0000-0000A85E0000}"/>
    <cellStyle name="40% - Accent4 2 2 2 3 2 6" xfId="27762" xr:uid="{00000000-0005-0000-0000-0000A95E0000}"/>
    <cellStyle name="40% - Accent4 2 2 2 3 3" xfId="27763" xr:uid="{00000000-0005-0000-0000-0000AA5E0000}"/>
    <cellStyle name="40% - Accent4 2 2 2 3 3 2" xfId="27764" xr:uid="{00000000-0005-0000-0000-0000AB5E0000}"/>
    <cellStyle name="40% - Accent4 2 2 2 3 3 2 2" xfId="27765" xr:uid="{00000000-0005-0000-0000-0000AC5E0000}"/>
    <cellStyle name="40% - Accent4 2 2 2 3 3 3" xfId="27766" xr:uid="{00000000-0005-0000-0000-0000AD5E0000}"/>
    <cellStyle name="40% - Accent4 2 2 2 3 4" xfId="27767" xr:uid="{00000000-0005-0000-0000-0000AE5E0000}"/>
    <cellStyle name="40% - Accent4 2 2 2 3 4 2" xfId="27768" xr:uid="{00000000-0005-0000-0000-0000AF5E0000}"/>
    <cellStyle name="40% - Accent4 2 2 2 3 5" xfId="27769" xr:uid="{00000000-0005-0000-0000-0000B05E0000}"/>
    <cellStyle name="40% - Accent4 2 2 2 3 6" xfId="27770" xr:uid="{00000000-0005-0000-0000-0000B15E0000}"/>
    <cellStyle name="40% - Accent4 2 2 2 3 7" xfId="27771" xr:uid="{00000000-0005-0000-0000-0000B25E0000}"/>
    <cellStyle name="40% - Accent4 2 2 2 4" xfId="27772" xr:uid="{00000000-0005-0000-0000-0000B35E0000}"/>
    <cellStyle name="40% - Accent4 2 2 2 4 2" xfId="27773" xr:uid="{00000000-0005-0000-0000-0000B45E0000}"/>
    <cellStyle name="40% - Accent4 2 2 2 4 2 2" xfId="27774" xr:uid="{00000000-0005-0000-0000-0000B55E0000}"/>
    <cellStyle name="40% - Accent4 2 2 2 4 2 2 2" xfId="27775" xr:uid="{00000000-0005-0000-0000-0000B65E0000}"/>
    <cellStyle name="40% - Accent4 2 2 2 4 2 3" xfId="27776" xr:uid="{00000000-0005-0000-0000-0000B75E0000}"/>
    <cellStyle name="40% - Accent4 2 2 2 4 3" xfId="27777" xr:uid="{00000000-0005-0000-0000-0000B85E0000}"/>
    <cellStyle name="40% - Accent4 2 2 2 4 3 2" xfId="27778" xr:uid="{00000000-0005-0000-0000-0000B95E0000}"/>
    <cellStyle name="40% - Accent4 2 2 2 4 4" xfId="27779" xr:uid="{00000000-0005-0000-0000-0000BA5E0000}"/>
    <cellStyle name="40% - Accent4 2 2 2 4 5" xfId="27780" xr:uid="{00000000-0005-0000-0000-0000BB5E0000}"/>
    <cellStyle name="40% - Accent4 2 2 2 4 6" xfId="27781" xr:uid="{00000000-0005-0000-0000-0000BC5E0000}"/>
    <cellStyle name="40% - Accent4 2 2 2 5" xfId="27782" xr:uid="{00000000-0005-0000-0000-0000BD5E0000}"/>
    <cellStyle name="40% - Accent4 2 2 2 5 2" xfId="27783" xr:uid="{00000000-0005-0000-0000-0000BE5E0000}"/>
    <cellStyle name="40% - Accent4 2 2 2 5 2 2" xfId="27784" xr:uid="{00000000-0005-0000-0000-0000BF5E0000}"/>
    <cellStyle name="40% - Accent4 2 2 2 5 3" xfId="27785" xr:uid="{00000000-0005-0000-0000-0000C05E0000}"/>
    <cellStyle name="40% - Accent4 2 2 2 6" xfId="27786" xr:uid="{00000000-0005-0000-0000-0000C15E0000}"/>
    <cellStyle name="40% - Accent4 2 2 2 6 2" xfId="27787" xr:uid="{00000000-0005-0000-0000-0000C25E0000}"/>
    <cellStyle name="40% - Accent4 2 2 2 6 2 2" xfId="27788" xr:uid="{00000000-0005-0000-0000-0000C35E0000}"/>
    <cellStyle name="40% - Accent4 2 2 2 6 3" xfId="27789" xr:uid="{00000000-0005-0000-0000-0000C45E0000}"/>
    <cellStyle name="40% - Accent4 2 2 2 7" xfId="27790" xr:uid="{00000000-0005-0000-0000-0000C55E0000}"/>
    <cellStyle name="40% - Accent4 2 2 2 7 2" xfId="27791" xr:uid="{00000000-0005-0000-0000-0000C65E0000}"/>
    <cellStyle name="40% - Accent4 2 2 2 8" xfId="27792" xr:uid="{00000000-0005-0000-0000-0000C75E0000}"/>
    <cellStyle name="40% - Accent4 2 2 2 8 2" xfId="27793" xr:uid="{00000000-0005-0000-0000-0000C85E0000}"/>
    <cellStyle name="40% - Accent4 2 2 2 9" xfId="27794" xr:uid="{00000000-0005-0000-0000-0000C95E0000}"/>
    <cellStyle name="40% - Accent4 2 2 3" xfId="27795" xr:uid="{00000000-0005-0000-0000-0000CA5E0000}"/>
    <cellStyle name="40% - Accent4 2 2 3 10" xfId="27796" xr:uid="{00000000-0005-0000-0000-0000CB5E0000}"/>
    <cellStyle name="40% - Accent4 2 2 3 11" xfId="27797" xr:uid="{00000000-0005-0000-0000-0000CC5E0000}"/>
    <cellStyle name="40% - Accent4 2 2 3 2" xfId="27798" xr:uid="{00000000-0005-0000-0000-0000CD5E0000}"/>
    <cellStyle name="40% - Accent4 2 2 3 2 2" xfId="27799" xr:uid="{00000000-0005-0000-0000-0000CE5E0000}"/>
    <cellStyle name="40% - Accent4 2 2 3 2 2 2" xfId="27800" xr:uid="{00000000-0005-0000-0000-0000CF5E0000}"/>
    <cellStyle name="40% - Accent4 2 2 3 2 2 2 2" xfId="27801" xr:uid="{00000000-0005-0000-0000-0000D05E0000}"/>
    <cellStyle name="40% - Accent4 2 2 3 2 2 2 2 2" xfId="27802" xr:uid="{00000000-0005-0000-0000-0000D15E0000}"/>
    <cellStyle name="40% - Accent4 2 2 3 2 2 2 3" xfId="27803" xr:uid="{00000000-0005-0000-0000-0000D25E0000}"/>
    <cellStyle name="40% - Accent4 2 2 3 2 2 3" xfId="27804" xr:uid="{00000000-0005-0000-0000-0000D35E0000}"/>
    <cellStyle name="40% - Accent4 2 2 3 2 2 3 2" xfId="27805" xr:uid="{00000000-0005-0000-0000-0000D45E0000}"/>
    <cellStyle name="40% - Accent4 2 2 3 2 2 4" xfId="27806" xr:uid="{00000000-0005-0000-0000-0000D55E0000}"/>
    <cellStyle name="40% - Accent4 2 2 3 2 2 5" xfId="27807" xr:uid="{00000000-0005-0000-0000-0000D65E0000}"/>
    <cellStyle name="40% - Accent4 2 2 3 2 2 6" xfId="27808" xr:uid="{00000000-0005-0000-0000-0000D75E0000}"/>
    <cellStyle name="40% - Accent4 2 2 3 2 3" xfId="27809" xr:uid="{00000000-0005-0000-0000-0000D85E0000}"/>
    <cellStyle name="40% - Accent4 2 2 3 2 3 2" xfId="27810" xr:uid="{00000000-0005-0000-0000-0000D95E0000}"/>
    <cellStyle name="40% - Accent4 2 2 3 2 3 2 2" xfId="27811" xr:uid="{00000000-0005-0000-0000-0000DA5E0000}"/>
    <cellStyle name="40% - Accent4 2 2 3 2 3 3" xfId="27812" xr:uid="{00000000-0005-0000-0000-0000DB5E0000}"/>
    <cellStyle name="40% - Accent4 2 2 3 2 4" xfId="27813" xr:uid="{00000000-0005-0000-0000-0000DC5E0000}"/>
    <cellStyle name="40% - Accent4 2 2 3 2 4 2" xfId="27814" xr:uid="{00000000-0005-0000-0000-0000DD5E0000}"/>
    <cellStyle name="40% - Accent4 2 2 3 2 5" xfId="27815" xr:uid="{00000000-0005-0000-0000-0000DE5E0000}"/>
    <cellStyle name="40% - Accent4 2 2 3 2 5 2" xfId="27816" xr:uid="{00000000-0005-0000-0000-0000DF5E0000}"/>
    <cellStyle name="40% - Accent4 2 2 3 2 6" xfId="27817" xr:uid="{00000000-0005-0000-0000-0000E05E0000}"/>
    <cellStyle name="40% - Accent4 2 2 3 2 7" xfId="27818" xr:uid="{00000000-0005-0000-0000-0000E15E0000}"/>
    <cellStyle name="40% - Accent4 2 2 3 2 8" xfId="27819" xr:uid="{00000000-0005-0000-0000-0000E25E0000}"/>
    <cellStyle name="40% - Accent4 2 2 3 3" xfId="27820" xr:uid="{00000000-0005-0000-0000-0000E35E0000}"/>
    <cellStyle name="40% - Accent4 2 2 3 3 2" xfId="27821" xr:uid="{00000000-0005-0000-0000-0000E45E0000}"/>
    <cellStyle name="40% - Accent4 2 2 3 3 2 2" xfId="27822" xr:uid="{00000000-0005-0000-0000-0000E55E0000}"/>
    <cellStyle name="40% - Accent4 2 2 3 3 2 2 2" xfId="27823" xr:uid="{00000000-0005-0000-0000-0000E65E0000}"/>
    <cellStyle name="40% - Accent4 2 2 3 3 2 2 2 2" xfId="27824" xr:uid="{00000000-0005-0000-0000-0000E75E0000}"/>
    <cellStyle name="40% - Accent4 2 2 3 3 2 2 3" xfId="27825" xr:uid="{00000000-0005-0000-0000-0000E85E0000}"/>
    <cellStyle name="40% - Accent4 2 2 3 3 2 3" xfId="27826" xr:uid="{00000000-0005-0000-0000-0000E95E0000}"/>
    <cellStyle name="40% - Accent4 2 2 3 3 2 3 2" xfId="27827" xr:uid="{00000000-0005-0000-0000-0000EA5E0000}"/>
    <cellStyle name="40% - Accent4 2 2 3 3 2 4" xfId="27828" xr:uid="{00000000-0005-0000-0000-0000EB5E0000}"/>
    <cellStyle name="40% - Accent4 2 2 3 3 2 5" xfId="27829" xr:uid="{00000000-0005-0000-0000-0000EC5E0000}"/>
    <cellStyle name="40% - Accent4 2 2 3 3 2 6" xfId="27830" xr:uid="{00000000-0005-0000-0000-0000ED5E0000}"/>
    <cellStyle name="40% - Accent4 2 2 3 3 3" xfId="27831" xr:uid="{00000000-0005-0000-0000-0000EE5E0000}"/>
    <cellStyle name="40% - Accent4 2 2 3 3 3 2" xfId="27832" xr:uid="{00000000-0005-0000-0000-0000EF5E0000}"/>
    <cellStyle name="40% - Accent4 2 2 3 3 3 2 2" xfId="27833" xr:uid="{00000000-0005-0000-0000-0000F05E0000}"/>
    <cellStyle name="40% - Accent4 2 2 3 3 3 3" xfId="27834" xr:uid="{00000000-0005-0000-0000-0000F15E0000}"/>
    <cellStyle name="40% - Accent4 2 2 3 3 4" xfId="27835" xr:uid="{00000000-0005-0000-0000-0000F25E0000}"/>
    <cellStyle name="40% - Accent4 2 2 3 3 4 2" xfId="27836" xr:uid="{00000000-0005-0000-0000-0000F35E0000}"/>
    <cellStyle name="40% - Accent4 2 2 3 3 5" xfId="27837" xr:uid="{00000000-0005-0000-0000-0000F45E0000}"/>
    <cellStyle name="40% - Accent4 2 2 3 3 6" xfId="27838" xr:uid="{00000000-0005-0000-0000-0000F55E0000}"/>
    <cellStyle name="40% - Accent4 2 2 3 3 7" xfId="27839" xr:uid="{00000000-0005-0000-0000-0000F65E0000}"/>
    <cellStyle name="40% - Accent4 2 2 3 4" xfId="27840" xr:uid="{00000000-0005-0000-0000-0000F75E0000}"/>
    <cellStyle name="40% - Accent4 2 2 3 4 2" xfId="27841" xr:uid="{00000000-0005-0000-0000-0000F85E0000}"/>
    <cellStyle name="40% - Accent4 2 2 3 4 2 2" xfId="27842" xr:uid="{00000000-0005-0000-0000-0000F95E0000}"/>
    <cellStyle name="40% - Accent4 2 2 3 4 2 2 2" xfId="27843" xr:uid="{00000000-0005-0000-0000-0000FA5E0000}"/>
    <cellStyle name="40% - Accent4 2 2 3 4 2 3" xfId="27844" xr:uid="{00000000-0005-0000-0000-0000FB5E0000}"/>
    <cellStyle name="40% - Accent4 2 2 3 4 3" xfId="27845" xr:uid="{00000000-0005-0000-0000-0000FC5E0000}"/>
    <cellStyle name="40% - Accent4 2 2 3 4 3 2" xfId="27846" xr:uid="{00000000-0005-0000-0000-0000FD5E0000}"/>
    <cellStyle name="40% - Accent4 2 2 3 4 4" xfId="27847" xr:uid="{00000000-0005-0000-0000-0000FE5E0000}"/>
    <cellStyle name="40% - Accent4 2 2 3 4 5" xfId="27848" xr:uid="{00000000-0005-0000-0000-0000FF5E0000}"/>
    <cellStyle name="40% - Accent4 2 2 3 4 6" xfId="27849" xr:uid="{00000000-0005-0000-0000-0000005F0000}"/>
    <cellStyle name="40% - Accent4 2 2 3 5" xfId="27850" xr:uid="{00000000-0005-0000-0000-0000015F0000}"/>
    <cellStyle name="40% - Accent4 2 2 3 5 2" xfId="27851" xr:uid="{00000000-0005-0000-0000-0000025F0000}"/>
    <cellStyle name="40% - Accent4 2 2 3 5 2 2" xfId="27852" xr:uid="{00000000-0005-0000-0000-0000035F0000}"/>
    <cellStyle name="40% - Accent4 2 2 3 5 3" xfId="27853" xr:uid="{00000000-0005-0000-0000-0000045F0000}"/>
    <cellStyle name="40% - Accent4 2 2 3 6" xfId="27854" xr:uid="{00000000-0005-0000-0000-0000055F0000}"/>
    <cellStyle name="40% - Accent4 2 2 3 6 2" xfId="27855" xr:uid="{00000000-0005-0000-0000-0000065F0000}"/>
    <cellStyle name="40% - Accent4 2 2 3 6 2 2" xfId="27856" xr:uid="{00000000-0005-0000-0000-0000075F0000}"/>
    <cellStyle name="40% - Accent4 2 2 3 6 3" xfId="27857" xr:uid="{00000000-0005-0000-0000-0000085F0000}"/>
    <cellStyle name="40% - Accent4 2 2 3 7" xfId="27858" xr:uid="{00000000-0005-0000-0000-0000095F0000}"/>
    <cellStyle name="40% - Accent4 2 2 3 7 2" xfId="27859" xr:uid="{00000000-0005-0000-0000-00000A5F0000}"/>
    <cellStyle name="40% - Accent4 2 2 3 8" xfId="27860" xr:uid="{00000000-0005-0000-0000-00000B5F0000}"/>
    <cellStyle name="40% - Accent4 2 2 3 8 2" xfId="27861" xr:uid="{00000000-0005-0000-0000-00000C5F0000}"/>
    <cellStyle name="40% - Accent4 2 2 3 9" xfId="27862" xr:uid="{00000000-0005-0000-0000-00000D5F0000}"/>
    <cellStyle name="40% - Accent4 2 2 4" xfId="27863" xr:uid="{00000000-0005-0000-0000-00000E5F0000}"/>
    <cellStyle name="40% - Accent4 2 2 4 10" xfId="27864" xr:uid="{00000000-0005-0000-0000-00000F5F0000}"/>
    <cellStyle name="40% - Accent4 2 2 4 11" xfId="27865" xr:uid="{00000000-0005-0000-0000-0000105F0000}"/>
    <cellStyle name="40% - Accent4 2 2 4 2" xfId="27866" xr:uid="{00000000-0005-0000-0000-0000115F0000}"/>
    <cellStyle name="40% - Accent4 2 2 4 2 2" xfId="27867" xr:uid="{00000000-0005-0000-0000-0000125F0000}"/>
    <cellStyle name="40% - Accent4 2 2 4 2 2 2" xfId="27868" xr:uid="{00000000-0005-0000-0000-0000135F0000}"/>
    <cellStyle name="40% - Accent4 2 2 4 2 2 2 2" xfId="27869" xr:uid="{00000000-0005-0000-0000-0000145F0000}"/>
    <cellStyle name="40% - Accent4 2 2 4 2 2 2 2 2" xfId="27870" xr:uid="{00000000-0005-0000-0000-0000155F0000}"/>
    <cellStyle name="40% - Accent4 2 2 4 2 2 2 3" xfId="27871" xr:uid="{00000000-0005-0000-0000-0000165F0000}"/>
    <cellStyle name="40% - Accent4 2 2 4 2 2 3" xfId="27872" xr:uid="{00000000-0005-0000-0000-0000175F0000}"/>
    <cellStyle name="40% - Accent4 2 2 4 2 2 3 2" xfId="27873" xr:uid="{00000000-0005-0000-0000-0000185F0000}"/>
    <cellStyle name="40% - Accent4 2 2 4 2 2 4" xfId="27874" xr:uid="{00000000-0005-0000-0000-0000195F0000}"/>
    <cellStyle name="40% - Accent4 2 2 4 2 2 5" xfId="27875" xr:uid="{00000000-0005-0000-0000-00001A5F0000}"/>
    <cellStyle name="40% - Accent4 2 2 4 2 2 6" xfId="27876" xr:uid="{00000000-0005-0000-0000-00001B5F0000}"/>
    <cellStyle name="40% - Accent4 2 2 4 2 3" xfId="27877" xr:uid="{00000000-0005-0000-0000-00001C5F0000}"/>
    <cellStyle name="40% - Accent4 2 2 4 2 3 2" xfId="27878" xr:uid="{00000000-0005-0000-0000-00001D5F0000}"/>
    <cellStyle name="40% - Accent4 2 2 4 2 3 2 2" xfId="27879" xr:uid="{00000000-0005-0000-0000-00001E5F0000}"/>
    <cellStyle name="40% - Accent4 2 2 4 2 3 3" xfId="27880" xr:uid="{00000000-0005-0000-0000-00001F5F0000}"/>
    <cellStyle name="40% - Accent4 2 2 4 2 4" xfId="27881" xr:uid="{00000000-0005-0000-0000-0000205F0000}"/>
    <cellStyle name="40% - Accent4 2 2 4 2 4 2" xfId="27882" xr:uid="{00000000-0005-0000-0000-0000215F0000}"/>
    <cellStyle name="40% - Accent4 2 2 4 2 5" xfId="27883" xr:uid="{00000000-0005-0000-0000-0000225F0000}"/>
    <cellStyle name="40% - Accent4 2 2 4 2 5 2" xfId="27884" xr:uid="{00000000-0005-0000-0000-0000235F0000}"/>
    <cellStyle name="40% - Accent4 2 2 4 2 6" xfId="27885" xr:uid="{00000000-0005-0000-0000-0000245F0000}"/>
    <cellStyle name="40% - Accent4 2 2 4 2 7" xfId="27886" xr:uid="{00000000-0005-0000-0000-0000255F0000}"/>
    <cellStyle name="40% - Accent4 2 2 4 2 8" xfId="27887" xr:uid="{00000000-0005-0000-0000-0000265F0000}"/>
    <cellStyle name="40% - Accent4 2 2 4 3" xfId="27888" xr:uid="{00000000-0005-0000-0000-0000275F0000}"/>
    <cellStyle name="40% - Accent4 2 2 4 3 2" xfId="27889" xr:uid="{00000000-0005-0000-0000-0000285F0000}"/>
    <cellStyle name="40% - Accent4 2 2 4 3 2 2" xfId="27890" xr:uid="{00000000-0005-0000-0000-0000295F0000}"/>
    <cellStyle name="40% - Accent4 2 2 4 3 2 2 2" xfId="27891" xr:uid="{00000000-0005-0000-0000-00002A5F0000}"/>
    <cellStyle name="40% - Accent4 2 2 4 3 2 2 2 2" xfId="27892" xr:uid="{00000000-0005-0000-0000-00002B5F0000}"/>
    <cellStyle name="40% - Accent4 2 2 4 3 2 2 3" xfId="27893" xr:uid="{00000000-0005-0000-0000-00002C5F0000}"/>
    <cellStyle name="40% - Accent4 2 2 4 3 2 3" xfId="27894" xr:uid="{00000000-0005-0000-0000-00002D5F0000}"/>
    <cellStyle name="40% - Accent4 2 2 4 3 2 3 2" xfId="27895" xr:uid="{00000000-0005-0000-0000-00002E5F0000}"/>
    <cellStyle name="40% - Accent4 2 2 4 3 2 4" xfId="27896" xr:uid="{00000000-0005-0000-0000-00002F5F0000}"/>
    <cellStyle name="40% - Accent4 2 2 4 3 2 5" xfId="27897" xr:uid="{00000000-0005-0000-0000-0000305F0000}"/>
    <cellStyle name="40% - Accent4 2 2 4 3 2 6" xfId="27898" xr:uid="{00000000-0005-0000-0000-0000315F0000}"/>
    <cellStyle name="40% - Accent4 2 2 4 3 3" xfId="27899" xr:uid="{00000000-0005-0000-0000-0000325F0000}"/>
    <cellStyle name="40% - Accent4 2 2 4 3 3 2" xfId="27900" xr:uid="{00000000-0005-0000-0000-0000335F0000}"/>
    <cellStyle name="40% - Accent4 2 2 4 3 3 2 2" xfId="27901" xr:uid="{00000000-0005-0000-0000-0000345F0000}"/>
    <cellStyle name="40% - Accent4 2 2 4 3 3 3" xfId="27902" xr:uid="{00000000-0005-0000-0000-0000355F0000}"/>
    <cellStyle name="40% - Accent4 2 2 4 3 4" xfId="27903" xr:uid="{00000000-0005-0000-0000-0000365F0000}"/>
    <cellStyle name="40% - Accent4 2 2 4 3 4 2" xfId="27904" xr:uid="{00000000-0005-0000-0000-0000375F0000}"/>
    <cellStyle name="40% - Accent4 2 2 4 3 5" xfId="27905" xr:uid="{00000000-0005-0000-0000-0000385F0000}"/>
    <cellStyle name="40% - Accent4 2 2 4 3 6" xfId="27906" xr:uid="{00000000-0005-0000-0000-0000395F0000}"/>
    <cellStyle name="40% - Accent4 2 2 4 3 7" xfId="27907" xr:uid="{00000000-0005-0000-0000-00003A5F0000}"/>
    <cellStyle name="40% - Accent4 2 2 4 4" xfId="27908" xr:uid="{00000000-0005-0000-0000-00003B5F0000}"/>
    <cellStyle name="40% - Accent4 2 2 4 4 2" xfId="27909" xr:uid="{00000000-0005-0000-0000-00003C5F0000}"/>
    <cellStyle name="40% - Accent4 2 2 4 4 2 2" xfId="27910" xr:uid="{00000000-0005-0000-0000-00003D5F0000}"/>
    <cellStyle name="40% - Accent4 2 2 4 4 2 2 2" xfId="27911" xr:uid="{00000000-0005-0000-0000-00003E5F0000}"/>
    <cellStyle name="40% - Accent4 2 2 4 4 2 3" xfId="27912" xr:uid="{00000000-0005-0000-0000-00003F5F0000}"/>
    <cellStyle name="40% - Accent4 2 2 4 4 3" xfId="27913" xr:uid="{00000000-0005-0000-0000-0000405F0000}"/>
    <cellStyle name="40% - Accent4 2 2 4 4 3 2" xfId="27914" xr:uid="{00000000-0005-0000-0000-0000415F0000}"/>
    <cellStyle name="40% - Accent4 2 2 4 4 4" xfId="27915" xr:uid="{00000000-0005-0000-0000-0000425F0000}"/>
    <cellStyle name="40% - Accent4 2 2 4 4 5" xfId="27916" xr:uid="{00000000-0005-0000-0000-0000435F0000}"/>
    <cellStyle name="40% - Accent4 2 2 4 4 6" xfId="27917" xr:uid="{00000000-0005-0000-0000-0000445F0000}"/>
    <cellStyle name="40% - Accent4 2 2 4 5" xfId="27918" xr:uid="{00000000-0005-0000-0000-0000455F0000}"/>
    <cellStyle name="40% - Accent4 2 2 4 5 2" xfId="27919" xr:uid="{00000000-0005-0000-0000-0000465F0000}"/>
    <cellStyle name="40% - Accent4 2 2 4 5 2 2" xfId="27920" xr:uid="{00000000-0005-0000-0000-0000475F0000}"/>
    <cellStyle name="40% - Accent4 2 2 4 5 3" xfId="27921" xr:uid="{00000000-0005-0000-0000-0000485F0000}"/>
    <cellStyle name="40% - Accent4 2 2 4 6" xfId="27922" xr:uid="{00000000-0005-0000-0000-0000495F0000}"/>
    <cellStyle name="40% - Accent4 2 2 4 6 2" xfId="27923" xr:uid="{00000000-0005-0000-0000-00004A5F0000}"/>
    <cellStyle name="40% - Accent4 2 2 4 6 2 2" xfId="27924" xr:uid="{00000000-0005-0000-0000-00004B5F0000}"/>
    <cellStyle name="40% - Accent4 2 2 4 6 3" xfId="27925" xr:uid="{00000000-0005-0000-0000-00004C5F0000}"/>
    <cellStyle name="40% - Accent4 2 2 4 7" xfId="27926" xr:uid="{00000000-0005-0000-0000-00004D5F0000}"/>
    <cellStyle name="40% - Accent4 2 2 4 7 2" xfId="27927" xr:uid="{00000000-0005-0000-0000-00004E5F0000}"/>
    <cellStyle name="40% - Accent4 2 2 4 8" xfId="27928" xr:uid="{00000000-0005-0000-0000-00004F5F0000}"/>
    <cellStyle name="40% - Accent4 2 2 4 8 2" xfId="27929" xr:uid="{00000000-0005-0000-0000-0000505F0000}"/>
    <cellStyle name="40% - Accent4 2 2 4 9" xfId="27930" xr:uid="{00000000-0005-0000-0000-0000515F0000}"/>
    <cellStyle name="40% - Accent4 2 2 5" xfId="27931" xr:uid="{00000000-0005-0000-0000-0000525F0000}"/>
    <cellStyle name="40% - Accent4 2 2 5 10" xfId="27932" xr:uid="{00000000-0005-0000-0000-0000535F0000}"/>
    <cellStyle name="40% - Accent4 2 2 5 11" xfId="27933" xr:uid="{00000000-0005-0000-0000-0000545F0000}"/>
    <cellStyle name="40% - Accent4 2 2 5 2" xfId="27934" xr:uid="{00000000-0005-0000-0000-0000555F0000}"/>
    <cellStyle name="40% - Accent4 2 2 5 2 2" xfId="27935" xr:uid="{00000000-0005-0000-0000-0000565F0000}"/>
    <cellStyle name="40% - Accent4 2 2 5 2 2 2" xfId="27936" xr:uid="{00000000-0005-0000-0000-0000575F0000}"/>
    <cellStyle name="40% - Accent4 2 2 5 2 2 2 2" xfId="27937" xr:uid="{00000000-0005-0000-0000-0000585F0000}"/>
    <cellStyle name="40% - Accent4 2 2 5 2 2 2 2 2" xfId="27938" xr:uid="{00000000-0005-0000-0000-0000595F0000}"/>
    <cellStyle name="40% - Accent4 2 2 5 2 2 2 3" xfId="27939" xr:uid="{00000000-0005-0000-0000-00005A5F0000}"/>
    <cellStyle name="40% - Accent4 2 2 5 2 2 3" xfId="27940" xr:uid="{00000000-0005-0000-0000-00005B5F0000}"/>
    <cellStyle name="40% - Accent4 2 2 5 2 2 3 2" xfId="27941" xr:uid="{00000000-0005-0000-0000-00005C5F0000}"/>
    <cellStyle name="40% - Accent4 2 2 5 2 2 4" xfId="27942" xr:uid="{00000000-0005-0000-0000-00005D5F0000}"/>
    <cellStyle name="40% - Accent4 2 2 5 2 2 5" xfId="27943" xr:uid="{00000000-0005-0000-0000-00005E5F0000}"/>
    <cellStyle name="40% - Accent4 2 2 5 2 2 6" xfId="27944" xr:uid="{00000000-0005-0000-0000-00005F5F0000}"/>
    <cellStyle name="40% - Accent4 2 2 5 2 3" xfId="27945" xr:uid="{00000000-0005-0000-0000-0000605F0000}"/>
    <cellStyle name="40% - Accent4 2 2 5 2 3 2" xfId="27946" xr:uid="{00000000-0005-0000-0000-0000615F0000}"/>
    <cellStyle name="40% - Accent4 2 2 5 2 3 2 2" xfId="27947" xr:uid="{00000000-0005-0000-0000-0000625F0000}"/>
    <cellStyle name="40% - Accent4 2 2 5 2 3 3" xfId="27948" xr:uid="{00000000-0005-0000-0000-0000635F0000}"/>
    <cellStyle name="40% - Accent4 2 2 5 2 4" xfId="27949" xr:uid="{00000000-0005-0000-0000-0000645F0000}"/>
    <cellStyle name="40% - Accent4 2 2 5 2 4 2" xfId="27950" xr:uid="{00000000-0005-0000-0000-0000655F0000}"/>
    <cellStyle name="40% - Accent4 2 2 5 2 5" xfId="27951" xr:uid="{00000000-0005-0000-0000-0000665F0000}"/>
    <cellStyle name="40% - Accent4 2 2 5 2 5 2" xfId="27952" xr:uid="{00000000-0005-0000-0000-0000675F0000}"/>
    <cellStyle name="40% - Accent4 2 2 5 2 6" xfId="27953" xr:uid="{00000000-0005-0000-0000-0000685F0000}"/>
    <cellStyle name="40% - Accent4 2 2 5 2 7" xfId="27954" xr:uid="{00000000-0005-0000-0000-0000695F0000}"/>
    <cellStyle name="40% - Accent4 2 2 5 2 8" xfId="27955" xr:uid="{00000000-0005-0000-0000-00006A5F0000}"/>
    <cellStyle name="40% - Accent4 2 2 5 3" xfId="27956" xr:uid="{00000000-0005-0000-0000-00006B5F0000}"/>
    <cellStyle name="40% - Accent4 2 2 5 3 2" xfId="27957" xr:uid="{00000000-0005-0000-0000-00006C5F0000}"/>
    <cellStyle name="40% - Accent4 2 2 5 3 2 2" xfId="27958" xr:uid="{00000000-0005-0000-0000-00006D5F0000}"/>
    <cellStyle name="40% - Accent4 2 2 5 3 2 2 2" xfId="27959" xr:uid="{00000000-0005-0000-0000-00006E5F0000}"/>
    <cellStyle name="40% - Accent4 2 2 5 3 2 2 2 2" xfId="27960" xr:uid="{00000000-0005-0000-0000-00006F5F0000}"/>
    <cellStyle name="40% - Accent4 2 2 5 3 2 2 3" xfId="27961" xr:uid="{00000000-0005-0000-0000-0000705F0000}"/>
    <cellStyle name="40% - Accent4 2 2 5 3 2 3" xfId="27962" xr:uid="{00000000-0005-0000-0000-0000715F0000}"/>
    <cellStyle name="40% - Accent4 2 2 5 3 2 3 2" xfId="27963" xr:uid="{00000000-0005-0000-0000-0000725F0000}"/>
    <cellStyle name="40% - Accent4 2 2 5 3 2 4" xfId="27964" xr:uid="{00000000-0005-0000-0000-0000735F0000}"/>
    <cellStyle name="40% - Accent4 2 2 5 3 2 5" xfId="27965" xr:uid="{00000000-0005-0000-0000-0000745F0000}"/>
    <cellStyle name="40% - Accent4 2 2 5 3 2 6" xfId="27966" xr:uid="{00000000-0005-0000-0000-0000755F0000}"/>
    <cellStyle name="40% - Accent4 2 2 5 3 3" xfId="27967" xr:uid="{00000000-0005-0000-0000-0000765F0000}"/>
    <cellStyle name="40% - Accent4 2 2 5 3 3 2" xfId="27968" xr:uid="{00000000-0005-0000-0000-0000775F0000}"/>
    <cellStyle name="40% - Accent4 2 2 5 3 3 2 2" xfId="27969" xr:uid="{00000000-0005-0000-0000-0000785F0000}"/>
    <cellStyle name="40% - Accent4 2 2 5 3 3 3" xfId="27970" xr:uid="{00000000-0005-0000-0000-0000795F0000}"/>
    <cellStyle name="40% - Accent4 2 2 5 3 4" xfId="27971" xr:uid="{00000000-0005-0000-0000-00007A5F0000}"/>
    <cellStyle name="40% - Accent4 2 2 5 3 4 2" xfId="27972" xr:uid="{00000000-0005-0000-0000-00007B5F0000}"/>
    <cellStyle name="40% - Accent4 2 2 5 3 5" xfId="27973" xr:uid="{00000000-0005-0000-0000-00007C5F0000}"/>
    <cellStyle name="40% - Accent4 2 2 5 3 6" xfId="27974" xr:uid="{00000000-0005-0000-0000-00007D5F0000}"/>
    <cellStyle name="40% - Accent4 2 2 5 3 7" xfId="27975" xr:uid="{00000000-0005-0000-0000-00007E5F0000}"/>
    <cellStyle name="40% - Accent4 2 2 5 4" xfId="27976" xr:uid="{00000000-0005-0000-0000-00007F5F0000}"/>
    <cellStyle name="40% - Accent4 2 2 5 4 2" xfId="27977" xr:uid="{00000000-0005-0000-0000-0000805F0000}"/>
    <cellStyle name="40% - Accent4 2 2 5 4 2 2" xfId="27978" xr:uid="{00000000-0005-0000-0000-0000815F0000}"/>
    <cellStyle name="40% - Accent4 2 2 5 4 2 2 2" xfId="27979" xr:uid="{00000000-0005-0000-0000-0000825F0000}"/>
    <cellStyle name="40% - Accent4 2 2 5 4 2 3" xfId="27980" xr:uid="{00000000-0005-0000-0000-0000835F0000}"/>
    <cellStyle name="40% - Accent4 2 2 5 4 3" xfId="27981" xr:uid="{00000000-0005-0000-0000-0000845F0000}"/>
    <cellStyle name="40% - Accent4 2 2 5 4 3 2" xfId="27982" xr:uid="{00000000-0005-0000-0000-0000855F0000}"/>
    <cellStyle name="40% - Accent4 2 2 5 4 4" xfId="27983" xr:uid="{00000000-0005-0000-0000-0000865F0000}"/>
    <cellStyle name="40% - Accent4 2 2 5 4 5" xfId="27984" xr:uid="{00000000-0005-0000-0000-0000875F0000}"/>
    <cellStyle name="40% - Accent4 2 2 5 4 6" xfId="27985" xr:uid="{00000000-0005-0000-0000-0000885F0000}"/>
    <cellStyle name="40% - Accent4 2 2 5 5" xfId="27986" xr:uid="{00000000-0005-0000-0000-0000895F0000}"/>
    <cellStyle name="40% - Accent4 2 2 5 5 2" xfId="27987" xr:uid="{00000000-0005-0000-0000-00008A5F0000}"/>
    <cellStyle name="40% - Accent4 2 2 5 5 2 2" xfId="27988" xr:uid="{00000000-0005-0000-0000-00008B5F0000}"/>
    <cellStyle name="40% - Accent4 2 2 5 5 3" xfId="27989" xr:uid="{00000000-0005-0000-0000-00008C5F0000}"/>
    <cellStyle name="40% - Accent4 2 2 5 6" xfId="27990" xr:uid="{00000000-0005-0000-0000-00008D5F0000}"/>
    <cellStyle name="40% - Accent4 2 2 5 6 2" xfId="27991" xr:uid="{00000000-0005-0000-0000-00008E5F0000}"/>
    <cellStyle name="40% - Accent4 2 2 5 6 2 2" xfId="27992" xr:uid="{00000000-0005-0000-0000-00008F5F0000}"/>
    <cellStyle name="40% - Accent4 2 2 5 6 3" xfId="27993" xr:uid="{00000000-0005-0000-0000-0000905F0000}"/>
    <cellStyle name="40% - Accent4 2 2 5 7" xfId="27994" xr:uid="{00000000-0005-0000-0000-0000915F0000}"/>
    <cellStyle name="40% - Accent4 2 2 5 7 2" xfId="27995" xr:uid="{00000000-0005-0000-0000-0000925F0000}"/>
    <cellStyle name="40% - Accent4 2 2 5 8" xfId="27996" xr:uid="{00000000-0005-0000-0000-0000935F0000}"/>
    <cellStyle name="40% - Accent4 2 2 5 8 2" xfId="27997" xr:uid="{00000000-0005-0000-0000-0000945F0000}"/>
    <cellStyle name="40% - Accent4 2 2 5 9" xfId="27998" xr:uid="{00000000-0005-0000-0000-0000955F0000}"/>
    <cellStyle name="40% - Accent4 2 2 6" xfId="27999" xr:uid="{00000000-0005-0000-0000-0000965F0000}"/>
    <cellStyle name="40% - Accent4 2 2 6 10" xfId="28000" xr:uid="{00000000-0005-0000-0000-0000975F0000}"/>
    <cellStyle name="40% - Accent4 2 2 6 11" xfId="28001" xr:uid="{00000000-0005-0000-0000-0000985F0000}"/>
    <cellStyle name="40% - Accent4 2 2 6 2" xfId="28002" xr:uid="{00000000-0005-0000-0000-0000995F0000}"/>
    <cellStyle name="40% - Accent4 2 2 6 2 2" xfId="28003" xr:uid="{00000000-0005-0000-0000-00009A5F0000}"/>
    <cellStyle name="40% - Accent4 2 2 6 2 2 2" xfId="28004" xr:uid="{00000000-0005-0000-0000-00009B5F0000}"/>
    <cellStyle name="40% - Accent4 2 2 6 2 2 2 2" xfId="28005" xr:uid="{00000000-0005-0000-0000-00009C5F0000}"/>
    <cellStyle name="40% - Accent4 2 2 6 2 2 2 2 2" xfId="28006" xr:uid="{00000000-0005-0000-0000-00009D5F0000}"/>
    <cellStyle name="40% - Accent4 2 2 6 2 2 2 3" xfId="28007" xr:uid="{00000000-0005-0000-0000-00009E5F0000}"/>
    <cellStyle name="40% - Accent4 2 2 6 2 2 3" xfId="28008" xr:uid="{00000000-0005-0000-0000-00009F5F0000}"/>
    <cellStyle name="40% - Accent4 2 2 6 2 2 3 2" xfId="28009" xr:uid="{00000000-0005-0000-0000-0000A05F0000}"/>
    <cellStyle name="40% - Accent4 2 2 6 2 2 4" xfId="28010" xr:uid="{00000000-0005-0000-0000-0000A15F0000}"/>
    <cellStyle name="40% - Accent4 2 2 6 2 2 5" xfId="28011" xr:uid="{00000000-0005-0000-0000-0000A25F0000}"/>
    <cellStyle name="40% - Accent4 2 2 6 2 2 6" xfId="28012" xr:uid="{00000000-0005-0000-0000-0000A35F0000}"/>
    <cellStyle name="40% - Accent4 2 2 6 2 3" xfId="28013" xr:uid="{00000000-0005-0000-0000-0000A45F0000}"/>
    <cellStyle name="40% - Accent4 2 2 6 2 3 2" xfId="28014" xr:uid="{00000000-0005-0000-0000-0000A55F0000}"/>
    <cellStyle name="40% - Accent4 2 2 6 2 3 2 2" xfId="28015" xr:uid="{00000000-0005-0000-0000-0000A65F0000}"/>
    <cellStyle name="40% - Accent4 2 2 6 2 3 3" xfId="28016" xr:uid="{00000000-0005-0000-0000-0000A75F0000}"/>
    <cellStyle name="40% - Accent4 2 2 6 2 4" xfId="28017" xr:uid="{00000000-0005-0000-0000-0000A85F0000}"/>
    <cellStyle name="40% - Accent4 2 2 6 2 4 2" xfId="28018" xr:uid="{00000000-0005-0000-0000-0000A95F0000}"/>
    <cellStyle name="40% - Accent4 2 2 6 2 5" xfId="28019" xr:uid="{00000000-0005-0000-0000-0000AA5F0000}"/>
    <cellStyle name="40% - Accent4 2 2 6 2 5 2" xfId="28020" xr:uid="{00000000-0005-0000-0000-0000AB5F0000}"/>
    <cellStyle name="40% - Accent4 2 2 6 2 6" xfId="28021" xr:uid="{00000000-0005-0000-0000-0000AC5F0000}"/>
    <cellStyle name="40% - Accent4 2 2 6 2 7" xfId="28022" xr:uid="{00000000-0005-0000-0000-0000AD5F0000}"/>
    <cellStyle name="40% - Accent4 2 2 6 2 8" xfId="28023" xr:uid="{00000000-0005-0000-0000-0000AE5F0000}"/>
    <cellStyle name="40% - Accent4 2 2 6 3" xfId="28024" xr:uid="{00000000-0005-0000-0000-0000AF5F0000}"/>
    <cellStyle name="40% - Accent4 2 2 6 3 2" xfId="28025" xr:uid="{00000000-0005-0000-0000-0000B05F0000}"/>
    <cellStyle name="40% - Accent4 2 2 6 3 2 2" xfId="28026" xr:uid="{00000000-0005-0000-0000-0000B15F0000}"/>
    <cellStyle name="40% - Accent4 2 2 6 3 2 2 2" xfId="28027" xr:uid="{00000000-0005-0000-0000-0000B25F0000}"/>
    <cellStyle name="40% - Accent4 2 2 6 3 2 2 2 2" xfId="28028" xr:uid="{00000000-0005-0000-0000-0000B35F0000}"/>
    <cellStyle name="40% - Accent4 2 2 6 3 2 2 3" xfId="28029" xr:uid="{00000000-0005-0000-0000-0000B45F0000}"/>
    <cellStyle name="40% - Accent4 2 2 6 3 2 3" xfId="28030" xr:uid="{00000000-0005-0000-0000-0000B55F0000}"/>
    <cellStyle name="40% - Accent4 2 2 6 3 2 3 2" xfId="28031" xr:uid="{00000000-0005-0000-0000-0000B65F0000}"/>
    <cellStyle name="40% - Accent4 2 2 6 3 2 4" xfId="28032" xr:uid="{00000000-0005-0000-0000-0000B75F0000}"/>
    <cellStyle name="40% - Accent4 2 2 6 3 2 5" xfId="28033" xr:uid="{00000000-0005-0000-0000-0000B85F0000}"/>
    <cellStyle name="40% - Accent4 2 2 6 3 2 6" xfId="28034" xr:uid="{00000000-0005-0000-0000-0000B95F0000}"/>
    <cellStyle name="40% - Accent4 2 2 6 3 3" xfId="28035" xr:uid="{00000000-0005-0000-0000-0000BA5F0000}"/>
    <cellStyle name="40% - Accent4 2 2 6 3 3 2" xfId="28036" xr:uid="{00000000-0005-0000-0000-0000BB5F0000}"/>
    <cellStyle name="40% - Accent4 2 2 6 3 3 2 2" xfId="28037" xr:uid="{00000000-0005-0000-0000-0000BC5F0000}"/>
    <cellStyle name="40% - Accent4 2 2 6 3 3 3" xfId="28038" xr:uid="{00000000-0005-0000-0000-0000BD5F0000}"/>
    <cellStyle name="40% - Accent4 2 2 6 3 4" xfId="28039" xr:uid="{00000000-0005-0000-0000-0000BE5F0000}"/>
    <cellStyle name="40% - Accent4 2 2 6 3 4 2" xfId="28040" xr:uid="{00000000-0005-0000-0000-0000BF5F0000}"/>
    <cellStyle name="40% - Accent4 2 2 6 3 5" xfId="28041" xr:uid="{00000000-0005-0000-0000-0000C05F0000}"/>
    <cellStyle name="40% - Accent4 2 2 6 3 6" xfId="28042" xr:uid="{00000000-0005-0000-0000-0000C15F0000}"/>
    <cellStyle name="40% - Accent4 2 2 6 3 7" xfId="28043" xr:uid="{00000000-0005-0000-0000-0000C25F0000}"/>
    <cellStyle name="40% - Accent4 2 2 6 4" xfId="28044" xr:uid="{00000000-0005-0000-0000-0000C35F0000}"/>
    <cellStyle name="40% - Accent4 2 2 6 4 2" xfId="28045" xr:uid="{00000000-0005-0000-0000-0000C45F0000}"/>
    <cellStyle name="40% - Accent4 2 2 6 4 2 2" xfId="28046" xr:uid="{00000000-0005-0000-0000-0000C55F0000}"/>
    <cellStyle name="40% - Accent4 2 2 6 4 2 2 2" xfId="28047" xr:uid="{00000000-0005-0000-0000-0000C65F0000}"/>
    <cellStyle name="40% - Accent4 2 2 6 4 2 3" xfId="28048" xr:uid="{00000000-0005-0000-0000-0000C75F0000}"/>
    <cellStyle name="40% - Accent4 2 2 6 4 3" xfId="28049" xr:uid="{00000000-0005-0000-0000-0000C85F0000}"/>
    <cellStyle name="40% - Accent4 2 2 6 4 3 2" xfId="28050" xr:uid="{00000000-0005-0000-0000-0000C95F0000}"/>
    <cellStyle name="40% - Accent4 2 2 6 4 4" xfId="28051" xr:uid="{00000000-0005-0000-0000-0000CA5F0000}"/>
    <cellStyle name="40% - Accent4 2 2 6 4 5" xfId="28052" xr:uid="{00000000-0005-0000-0000-0000CB5F0000}"/>
    <cellStyle name="40% - Accent4 2 2 6 4 6" xfId="28053" xr:uid="{00000000-0005-0000-0000-0000CC5F0000}"/>
    <cellStyle name="40% - Accent4 2 2 6 5" xfId="28054" xr:uid="{00000000-0005-0000-0000-0000CD5F0000}"/>
    <cellStyle name="40% - Accent4 2 2 6 5 2" xfId="28055" xr:uid="{00000000-0005-0000-0000-0000CE5F0000}"/>
    <cellStyle name="40% - Accent4 2 2 6 5 2 2" xfId="28056" xr:uid="{00000000-0005-0000-0000-0000CF5F0000}"/>
    <cellStyle name="40% - Accent4 2 2 6 5 3" xfId="28057" xr:uid="{00000000-0005-0000-0000-0000D05F0000}"/>
    <cellStyle name="40% - Accent4 2 2 6 6" xfId="28058" xr:uid="{00000000-0005-0000-0000-0000D15F0000}"/>
    <cellStyle name="40% - Accent4 2 2 6 6 2" xfId="28059" xr:uid="{00000000-0005-0000-0000-0000D25F0000}"/>
    <cellStyle name="40% - Accent4 2 2 6 6 2 2" xfId="28060" xr:uid="{00000000-0005-0000-0000-0000D35F0000}"/>
    <cellStyle name="40% - Accent4 2 2 6 6 3" xfId="28061" xr:uid="{00000000-0005-0000-0000-0000D45F0000}"/>
    <cellStyle name="40% - Accent4 2 2 6 7" xfId="28062" xr:uid="{00000000-0005-0000-0000-0000D55F0000}"/>
    <cellStyle name="40% - Accent4 2 2 6 7 2" xfId="28063" xr:uid="{00000000-0005-0000-0000-0000D65F0000}"/>
    <cellStyle name="40% - Accent4 2 2 6 8" xfId="28064" xr:uid="{00000000-0005-0000-0000-0000D75F0000}"/>
    <cellStyle name="40% - Accent4 2 2 6 8 2" xfId="28065" xr:uid="{00000000-0005-0000-0000-0000D85F0000}"/>
    <cellStyle name="40% - Accent4 2 2 6 9" xfId="28066" xr:uid="{00000000-0005-0000-0000-0000D95F0000}"/>
    <cellStyle name="40% - Accent4 2 2 7" xfId="28067" xr:uid="{00000000-0005-0000-0000-0000DA5F0000}"/>
    <cellStyle name="40% - Accent4 2 2 7 2" xfId="28068" xr:uid="{00000000-0005-0000-0000-0000DB5F0000}"/>
    <cellStyle name="40% - Accent4 2 2 7 2 2" xfId="28069" xr:uid="{00000000-0005-0000-0000-0000DC5F0000}"/>
    <cellStyle name="40% - Accent4 2 2 7 2 2 2" xfId="28070" xr:uid="{00000000-0005-0000-0000-0000DD5F0000}"/>
    <cellStyle name="40% - Accent4 2 2 7 2 2 2 2" xfId="28071" xr:uid="{00000000-0005-0000-0000-0000DE5F0000}"/>
    <cellStyle name="40% - Accent4 2 2 7 2 2 3" xfId="28072" xr:uid="{00000000-0005-0000-0000-0000DF5F0000}"/>
    <cellStyle name="40% - Accent4 2 2 7 2 3" xfId="28073" xr:uid="{00000000-0005-0000-0000-0000E05F0000}"/>
    <cellStyle name="40% - Accent4 2 2 7 2 3 2" xfId="28074" xr:uid="{00000000-0005-0000-0000-0000E15F0000}"/>
    <cellStyle name="40% - Accent4 2 2 7 2 4" xfId="28075" xr:uid="{00000000-0005-0000-0000-0000E25F0000}"/>
    <cellStyle name="40% - Accent4 2 2 7 2 5" xfId="28076" xr:uid="{00000000-0005-0000-0000-0000E35F0000}"/>
    <cellStyle name="40% - Accent4 2 2 7 2 6" xfId="28077" xr:uid="{00000000-0005-0000-0000-0000E45F0000}"/>
    <cellStyle name="40% - Accent4 2 2 7 3" xfId="28078" xr:uid="{00000000-0005-0000-0000-0000E55F0000}"/>
    <cellStyle name="40% - Accent4 2 2 7 3 2" xfId="28079" xr:uid="{00000000-0005-0000-0000-0000E65F0000}"/>
    <cellStyle name="40% - Accent4 2 2 7 3 2 2" xfId="28080" xr:uid="{00000000-0005-0000-0000-0000E75F0000}"/>
    <cellStyle name="40% - Accent4 2 2 7 3 3" xfId="28081" xr:uid="{00000000-0005-0000-0000-0000E85F0000}"/>
    <cellStyle name="40% - Accent4 2 2 7 4" xfId="28082" xr:uid="{00000000-0005-0000-0000-0000E95F0000}"/>
    <cellStyle name="40% - Accent4 2 2 7 4 2" xfId="28083" xr:uid="{00000000-0005-0000-0000-0000EA5F0000}"/>
    <cellStyle name="40% - Accent4 2 2 7 5" xfId="28084" xr:uid="{00000000-0005-0000-0000-0000EB5F0000}"/>
    <cellStyle name="40% - Accent4 2 2 7 5 2" xfId="28085" xr:uid="{00000000-0005-0000-0000-0000EC5F0000}"/>
    <cellStyle name="40% - Accent4 2 2 7 6" xfId="28086" xr:uid="{00000000-0005-0000-0000-0000ED5F0000}"/>
    <cellStyle name="40% - Accent4 2 2 7 7" xfId="28087" xr:uid="{00000000-0005-0000-0000-0000EE5F0000}"/>
    <cellStyle name="40% - Accent4 2 2 7 8" xfId="28088" xr:uid="{00000000-0005-0000-0000-0000EF5F0000}"/>
    <cellStyle name="40% - Accent4 2 2 8" xfId="28089" xr:uid="{00000000-0005-0000-0000-0000F05F0000}"/>
    <cellStyle name="40% - Accent4 2 2 8 2" xfId="28090" xr:uid="{00000000-0005-0000-0000-0000F15F0000}"/>
    <cellStyle name="40% - Accent4 2 2 8 2 2" xfId="28091" xr:uid="{00000000-0005-0000-0000-0000F25F0000}"/>
    <cellStyle name="40% - Accent4 2 2 8 2 2 2" xfId="28092" xr:uid="{00000000-0005-0000-0000-0000F35F0000}"/>
    <cellStyle name="40% - Accent4 2 2 8 2 2 2 2" xfId="28093" xr:uid="{00000000-0005-0000-0000-0000F45F0000}"/>
    <cellStyle name="40% - Accent4 2 2 8 2 2 3" xfId="28094" xr:uid="{00000000-0005-0000-0000-0000F55F0000}"/>
    <cellStyle name="40% - Accent4 2 2 8 2 3" xfId="28095" xr:uid="{00000000-0005-0000-0000-0000F65F0000}"/>
    <cellStyle name="40% - Accent4 2 2 8 2 3 2" xfId="28096" xr:uid="{00000000-0005-0000-0000-0000F75F0000}"/>
    <cellStyle name="40% - Accent4 2 2 8 2 4" xfId="28097" xr:uid="{00000000-0005-0000-0000-0000F85F0000}"/>
    <cellStyle name="40% - Accent4 2 2 8 2 5" xfId="28098" xr:uid="{00000000-0005-0000-0000-0000F95F0000}"/>
    <cellStyle name="40% - Accent4 2 2 8 2 6" xfId="28099" xr:uid="{00000000-0005-0000-0000-0000FA5F0000}"/>
    <cellStyle name="40% - Accent4 2 2 8 3" xfId="28100" xr:uid="{00000000-0005-0000-0000-0000FB5F0000}"/>
    <cellStyle name="40% - Accent4 2 2 8 3 2" xfId="28101" xr:uid="{00000000-0005-0000-0000-0000FC5F0000}"/>
    <cellStyle name="40% - Accent4 2 2 8 3 2 2" xfId="28102" xr:uid="{00000000-0005-0000-0000-0000FD5F0000}"/>
    <cellStyle name="40% - Accent4 2 2 8 3 3" xfId="28103" xr:uid="{00000000-0005-0000-0000-0000FE5F0000}"/>
    <cellStyle name="40% - Accent4 2 2 8 4" xfId="28104" xr:uid="{00000000-0005-0000-0000-0000FF5F0000}"/>
    <cellStyle name="40% - Accent4 2 2 8 4 2" xfId="28105" xr:uid="{00000000-0005-0000-0000-000000600000}"/>
    <cellStyle name="40% - Accent4 2 2 8 5" xfId="28106" xr:uid="{00000000-0005-0000-0000-000001600000}"/>
    <cellStyle name="40% - Accent4 2 2 8 6" xfId="28107" xr:uid="{00000000-0005-0000-0000-000002600000}"/>
    <cellStyle name="40% - Accent4 2 2 8 7" xfId="28108" xr:uid="{00000000-0005-0000-0000-000003600000}"/>
    <cellStyle name="40% - Accent4 2 2 9" xfId="28109" xr:uid="{00000000-0005-0000-0000-000004600000}"/>
    <cellStyle name="40% - Accent4 2 2 9 2" xfId="28110" xr:uid="{00000000-0005-0000-0000-000005600000}"/>
    <cellStyle name="40% - Accent4 2 2 9 2 2" xfId="28111" xr:uid="{00000000-0005-0000-0000-000006600000}"/>
    <cellStyle name="40% - Accent4 2 2 9 2 2 2" xfId="28112" xr:uid="{00000000-0005-0000-0000-000007600000}"/>
    <cellStyle name="40% - Accent4 2 2 9 2 3" xfId="28113" xr:uid="{00000000-0005-0000-0000-000008600000}"/>
    <cellStyle name="40% - Accent4 2 2 9 3" xfId="28114" xr:uid="{00000000-0005-0000-0000-000009600000}"/>
    <cellStyle name="40% - Accent4 2 2 9 3 2" xfId="28115" xr:uid="{00000000-0005-0000-0000-00000A600000}"/>
    <cellStyle name="40% - Accent4 2 2 9 4" xfId="28116" xr:uid="{00000000-0005-0000-0000-00000B600000}"/>
    <cellStyle name="40% - Accent4 2 2 9 5" xfId="28117" xr:uid="{00000000-0005-0000-0000-00000C600000}"/>
    <cellStyle name="40% - Accent4 2 2 9 6" xfId="28118" xr:uid="{00000000-0005-0000-0000-00000D600000}"/>
    <cellStyle name="40% - Accent4 2 3" xfId="28119" xr:uid="{00000000-0005-0000-0000-00000E600000}"/>
    <cellStyle name="40% - Accent4 2 3 2" xfId="28120" xr:uid="{00000000-0005-0000-0000-00000F600000}"/>
    <cellStyle name="40% - Accent4 2 3 2 2" xfId="28121" xr:uid="{00000000-0005-0000-0000-000010600000}"/>
    <cellStyle name="40% - Accent4 2 3 2 2 2" xfId="28122" xr:uid="{00000000-0005-0000-0000-000011600000}"/>
    <cellStyle name="40% - Accent4 2 3 2 2 2 2" xfId="28123" xr:uid="{00000000-0005-0000-0000-000012600000}"/>
    <cellStyle name="40% - Accent4 2 3 2 2 3" xfId="28124" xr:uid="{00000000-0005-0000-0000-000013600000}"/>
    <cellStyle name="40% - Accent4 2 3 2 3" xfId="28125" xr:uid="{00000000-0005-0000-0000-000014600000}"/>
    <cellStyle name="40% - Accent4 2 3 2 3 2" xfId="28126" xr:uid="{00000000-0005-0000-0000-000015600000}"/>
    <cellStyle name="40% - Accent4 2 3 2 4" xfId="28127" xr:uid="{00000000-0005-0000-0000-000016600000}"/>
    <cellStyle name="40% - Accent4 2 3 3" xfId="28128" xr:uid="{00000000-0005-0000-0000-000017600000}"/>
    <cellStyle name="40% - Accent4 2 3 3 2" xfId="28129" xr:uid="{00000000-0005-0000-0000-000018600000}"/>
    <cellStyle name="40% - Accent4 2 3 3 2 2" xfId="28130" xr:uid="{00000000-0005-0000-0000-000019600000}"/>
    <cellStyle name="40% - Accent4 2 3 3 2 2 2" xfId="28131" xr:uid="{00000000-0005-0000-0000-00001A600000}"/>
    <cellStyle name="40% - Accent4 2 3 3 2 3" xfId="28132" xr:uid="{00000000-0005-0000-0000-00001B600000}"/>
    <cellStyle name="40% - Accent4 2 3 3 3" xfId="28133" xr:uid="{00000000-0005-0000-0000-00001C600000}"/>
    <cellStyle name="40% - Accent4 2 3 3 3 2" xfId="28134" xr:uid="{00000000-0005-0000-0000-00001D600000}"/>
    <cellStyle name="40% - Accent4 2 3 3 4" xfId="28135" xr:uid="{00000000-0005-0000-0000-00001E600000}"/>
    <cellStyle name="40% - Accent4 2 3 4" xfId="28136" xr:uid="{00000000-0005-0000-0000-00001F600000}"/>
    <cellStyle name="40% - Accent4 2 3 4 2" xfId="28137" xr:uid="{00000000-0005-0000-0000-000020600000}"/>
    <cellStyle name="40% - Accent4 2 3 4 2 2" xfId="28138" xr:uid="{00000000-0005-0000-0000-000021600000}"/>
    <cellStyle name="40% - Accent4 2 3 4 2 2 2" xfId="28139" xr:uid="{00000000-0005-0000-0000-000022600000}"/>
    <cellStyle name="40% - Accent4 2 3 4 2 3" xfId="28140" xr:uid="{00000000-0005-0000-0000-000023600000}"/>
    <cellStyle name="40% - Accent4 2 3 4 3" xfId="28141" xr:uid="{00000000-0005-0000-0000-000024600000}"/>
    <cellStyle name="40% - Accent4 2 3 4 3 2" xfId="28142" xr:uid="{00000000-0005-0000-0000-000025600000}"/>
    <cellStyle name="40% - Accent4 2 3 4 4" xfId="28143" xr:uid="{00000000-0005-0000-0000-000026600000}"/>
    <cellStyle name="40% - Accent4 2 4" xfId="28144" xr:uid="{00000000-0005-0000-0000-000027600000}"/>
    <cellStyle name="40% - Accent4 2 4 2" xfId="28145" xr:uid="{00000000-0005-0000-0000-000028600000}"/>
    <cellStyle name="40% - Accent4 2 5" xfId="28146" xr:uid="{00000000-0005-0000-0000-000029600000}"/>
    <cellStyle name="40% - Accent4 2 5 2" xfId="28147" xr:uid="{00000000-0005-0000-0000-00002A600000}"/>
    <cellStyle name="40% - Accent4 2 6" xfId="28148" xr:uid="{00000000-0005-0000-0000-00002B600000}"/>
    <cellStyle name="40% - Accent4 2 6 2" xfId="28149" xr:uid="{00000000-0005-0000-0000-00002C600000}"/>
    <cellStyle name="40% - Accent4 2 7" xfId="28150" xr:uid="{00000000-0005-0000-0000-00002D600000}"/>
    <cellStyle name="40% - Accent4 2 7 2" xfId="28151" xr:uid="{00000000-0005-0000-0000-00002E600000}"/>
    <cellStyle name="40% - Accent4 2 7 2 2" xfId="28152" xr:uid="{00000000-0005-0000-0000-00002F600000}"/>
    <cellStyle name="40% - Accent4 2 7 3" xfId="28153" xr:uid="{00000000-0005-0000-0000-000030600000}"/>
    <cellStyle name="40% - Accent4 3" xfId="207" xr:uid="{00000000-0005-0000-0000-000031600000}"/>
    <cellStyle name="40% - Accent4 3 10" xfId="28154" xr:uid="{00000000-0005-0000-0000-000032600000}"/>
    <cellStyle name="40% - Accent4 3 10 2" xfId="28155" xr:uid="{00000000-0005-0000-0000-000033600000}"/>
    <cellStyle name="40% - Accent4 3 10 2 2" xfId="28156" xr:uid="{00000000-0005-0000-0000-000034600000}"/>
    <cellStyle name="40% - Accent4 3 10 2 2 2" xfId="28157" xr:uid="{00000000-0005-0000-0000-000035600000}"/>
    <cellStyle name="40% - Accent4 3 10 2 2 2 2" xfId="28158" xr:uid="{00000000-0005-0000-0000-000036600000}"/>
    <cellStyle name="40% - Accent4 3 10 2 2 3" xfId="28159" xr:uid="{00000000-0005-0000-0000-000037600000}"/>
    <cellStyle name="40% - Accent4 3 10 2 3" xfId="28160" xr:uid="{00000000-0005-0000-0000-000038600000}"/>
    <cellStyle name="40% - Accent4 3 10 2 3 2" xfId="28161" xr:uid="{00000000-0005-0000-0000-000039600000}"/>
    <cellStyle name="40% - Accent4 3 10 2 4" xfId="28162" xr:uid="{00000000-0005-0000-0000-00003A600000}"/>
    <cellStyle name="40% - Accent4 3 10 2 5" xfId="28163" xr:uid="{00000000-0005-0000-0000-00003B600000}"/>
    <cellStyle name="40% - Accent4 3 10 2 6" xfId="28164" xr:uid="{00000000-0005-0000-0000-00003C600000}"/>
    <cellStyle name="40% - Accent4 3 10 3" xfId="28165" xr:uid="{00000000-0005-0000-0000-00003D600000}"/>
    <cellStyle name="40% - Accent4 3 10 3 2" xfId="28166" xr:uid="{00000000-0005-0000-0000-00003E600000}"/>
    <cellStyle name="40% - Accent4 3 10 3 2 2" xfId="28167" xr:uid="{00000000-0005-0000-0000-00003F600000}"/>
    <cellStyle name="40% - Accent4 3 10 3 3" xfId="28168" xr:uid="{00000000-0005-0000-0000-000040600000}"/>
    <cellStyle name="40% - Accent4 3 10 4" xfId="28169" xr:uid="{00000000-0005-0000-0000-000041600000}"/>
    <cellStyle name="40% - Accent4 3 10 4 2" xfId="28170" xr:uid="{00000000-0005-0000-0000-000042600000}"/>
    <cellStyle name="40% - Accent4 3 10 4 2 2" xfId="28171" xr:uid="{00000000-0005-0000-0000-000043600000}"/>
    <cellStyle name="40% - Accent4 3 10 4 3" xfId="28172" xr:uid="{00000000-0005-0000-0000-000044600000}"/>
    <cellStyle name="40% - Accent4 3 10 5" xfId="28173" xr:uid="{00000000-0005-0000-0000-000045600000}"/>
    <cellStyle name="40% - Accent4 3 10 6" xfId="28174" xr:uid="{00000000-0005-0000-0000-000046600000}"/>
    <cellStyle name="40% - Accent4 3 11" xfId="28175" xr:uid="{00000000-0005-0000-0000-000047600000}"/>
    <cellStyle name="40% - Accent4 3 11 2" xfId="28176" xr:uid="{00000000-0005-0000-0000-000048600000}"/>
    <cellStyle name="40% - Accent4 3 11 2 2" xfId="28177" xr:uid="{00000000-0005-0000-0000-000049600000}"/>
    <cellStyle name="40% - Accent4 3 11 2 2 2" xfId="28178" xr:uid="{00000000-0005-0000-0000-00004A600000}"/>
    <cellStyle name="40% - Accent4 3 11 2 2 2 2" xfId="28179" xr:uid="{00000000-0005-0000-0000-00004B600000}"/>
    <cellStyle name="40% - Accent4 3 11 2 2 3" xfId="28180" xr:uid="{00000000-0005-0000-0000-00004C600000}"/>
    <cellStyle name="40% - Accent4 3 11 2 3" xfId="28181" xr:uid="{00000000-0005-0000-0000-00004D600000}"/>
    <cellStyle name="40% - Accent4 3 11 2 3 2" xfId="28182" xr:uid="{00000000-0005-0000-0000-00004E600000}"/>
    <cellStyle name="40% - Accent4 3 11 2 4" xfId="28183" xr:uid="{00000000-0005-0000-0000-00004F600000}"/>
    <cellStyle name="40% - Accent4 3 11 2 5" xfId="28184" xr:uid="{00000000-0005-0000-0000-000050600000}"/>
    <cellStyle name="40% - Accent4 3 11 2 6" xfId="28185" xr:uid="{00000000-0005-0000-0000-000051600000}"/>
    <cellStyle name="40% - Accent4 3 11 3" xfId="28186" xr:uid="{00000000-0005-0000-0000-000052600000}"/>
    <cellStyle name="40% - Accent4 3 11 3 2" xfId="28187" xr:uid="{00000000-0005-0000-0000-000053600000}"/>
    <cellStyle name="40% - Accent4 3 11 3 2 2" xfId="28188" xr:uid="{00000000-0005-0000-0000-000054600000}"/>
    <cellStyle name="40% - Accent4 3 11 3 3" xfId="28189" xr:uid="{00000000-0005-0000-0000-000055600000}"/>
    <cellStyle name="40% - Accent4 3 11 4" xfId="28190" xr:uid="{00000000-0005-0000-0000-000056600000}"/>
    <cellStyle name="40% - Accent4 3 11 4 2" xfId="28191" xr:uid="{00000000-0005-0000-0000-000057600000}"/>
    <cellStyle name="40% - Accent4 3 11 5" xfId="28192" xr:uid="{00000000-0005-0000-0000-000058600000}"/>
    <cellStyle name="40% - Accent4 3 11 6" xfId="28193" xr:uid="{00000000-0005-0000-0000-000059600000}"/>
    <cellStyle name="40% - Accent4 3 11 7" xfId="28194" xr:uid="{00000000-0005-0000-0000-00005A600000}"/>
    <cellStyle name="40% - Accent4 3 12" xfId="28195" xr:uid="{00000000-0005-0000-0000-00005B600000}"/>
    <cellStyle name="40% - Accent4 3 13" xfId="28196" xr:uid="{00000000-0005-0000-0000-00005C600000}"/>
    <cellStyle name="40% - Accent4 3 13 2" xfId="28197" xr:uid="{00000000-0005-0000-0000-00005D600000}"/>
    <cellStyle name="40% - Accent4 3 13 2 2" xfId="28198" xr:uid="{00000000-0005-0000-0000-00005E600000}"/>
    <cellStyle name="40% - Accent4 3 13 2 2 2" xfId="28199" xr:uid="{00000000-0005-0000-0000-00005F600000}"/>
    <cellStyle name="40% - Accent4 3 13 2 3" xfId="28200" xr:uid="{00000000-0005-0000-0000-000060600000}"/>
    <cellStyle name="40% - Accent4 3 13 3" xfId="28201" xr:uid="{00000000-0005-0000-0000-000061600000}"/>
    <cellStyle name="40% - Accent4 3 13 3 2" xfId="28202" xr:uid="{00000000-0005-0000-0000-000062600000}"/>
    <cellStyle name="40% - Accent4 3 13 4" xfId="28203" xr:uid="{00000000-0005-0000-0000-000063600000}"/>
    <cellStyle name="40% - Accent4 3 14" xfId="28204" xr:uid="{00000000-0005-0000-0000-000064600000}"/>
    <cellStyle name="40% - Accent4 3 14 2" xfId="28205" xr:uid="{00000000-0005-0000-0000-000065600000}"/>
    <cellStyle name="40% - Accent4 3 14 2 2" xfId="28206" xr:uid="{00000000-0005-0000-0000-000066600000}"/>
    <cellStyle name="40% - Accent4 3 14 2 2 2" xfId="28207" xr:uid="{00000000-0005-0000-0000-000067600000}"/>
    <cellStyle name="40% - Accent4 3 14 2 3" xfId="28208" xr:uid="{00000000-0005-0000-0000-000068600000}"/>
    <cellStyle name="40% - Accent4 3 14 3" xfId="28209" xr:uid="{00000000-0005-0000-0000-000069600000}"/>
    <cellStyle name="40% - Accent4 3 14 3 2" xfId="28210" xr:uid="{00000000-0005-0000-0000-00006A600000}"/>
    <cellStyle name="40% - Accent4 3 14 4" xfId="28211" xr:uid="{00000000-0005-0000-0000-00006B600000}"/>
    <cellStyle name="40% - Accent4 3 15" xfId="28212" xr:uid="{00000000-0005-0000-0000-00006C600000}"/>
    <cellStyle name="40% - Accent4 3 15 2" xfId="28213" xr:uid="{00000000-0005-0000-0000-00006D600000}"/>
    <cellStyle name="40% - Accent4 3 15 2 2" xfId="28214" xr:uid="{00000000-0005-0000-0000-00006E600000}"/>
    <cellStyle name="40% - Accent4 3 15 2 2 2" xfId="28215" xr:uid="{00000000-0005-0000-0000-00006F600000}"/>
    <cellStyle name="40% - Accent4 3 15 2 3" xfId="28216" xr:uid="{00000000-0005-0000-0000-000070600000}"/>
    <cellStyle name="40% - Accent4 3 15 3" xfId="28217" xr:uid="{00000000-0005-0000-0000-000071600000}"/>
    <cellStyle name="40% - Accent4 3 15 3 2" xfId="28218" xr:uid="{00000000-0005-0000-0000-000072600000}"/>
    <cellStyle name="40% - Accent4 3 15 4" xfId="28219" xr:uid="{00000000-0005-0000-0000-000073600000}"/>
    <cellStyle name="40% - Accent4 3 16" xfId="28220" xr:uid="{00000000-0005-0000-0000-000074600000}"/>
    <cellStyle name="40% - Accent4 3 16 2" xfId="28221" xr:uid="{00000000-0005-0000-0000-000075600000}"/>
    <cellStyle name="40% - Accent4 3 16 2 2" xfId="28222" xr:uid="{00000000-0005-0000-0000-000076600000}"/>
    <cellStyle name="40% - Accent4 3 16 3" xfId="28223" xr:uid="{00000000-0005-0000-0000-000077600000}"/>
    <cellStyle name="40% - Accent4 3 2" xfId="28224" xr:uid="{00000000-0005-0000-0000-000078600000}"/>
    <cellStyle name="40% - Accent4 3 2 10" xfId="28225" xr:uid="{00000000-0005-0000-0000-000079600000}"/>
    <cellStyle name="40% - Accent4 3 2 11" xfId="28226" xr:uid="{00000000-0005-0000-0000-00007A600000}"/>
    <cellStyle name="40% - Accent4 3 2 2" xfId="28227" xr:uid="{00000000-0005-0000-0000-00007B600000}"/>
    <cellStyle name="40% - Accent4 3 2 2 2" xfId="28228" xr:uid="{00000000-0005-0000-0000-00007C600000}"/>
    <cellStyle name="40% - Accent4 3 2 2 2 2" xfId="28229" xr:uid="{00000000-0005-0000-0000-00007D600000}"/>
    <cellStyle name="40% - Accent4 3 2 2 2 2 2" xfId="28230" xr:uid="{00000000-0005-0000-0000-00007E600000}"/>
    <cellStyle name="40% - Accent4 3 2 2 2 2 2 2" xfId="28231" xr:uid="{00000000-0005-0000-0000-00007F600000}"/>
    <cellStyle name="40% - Accent4 3 2 2 2 2 3" xfId="28232" xr:uid="{00000000-0005-0000-0000-000080600000}"/>
    <cellStyle name="40% - Accent4 3 2 2 2 3" xfId="28233" xr:uid="{00000000-0005-0000-0000-000081600000}"/>
    <cellStyle name="40% - Accent4 3 2 2 2 3 2" xfId="28234" xr:uid="{00000000-0005-0000-0000-000082600000}"/>
    <cellStyle name="40% - Accent4 3 2 2 2 4" xfId="28235" xr:uid="{00000000-0005-0000-0000-000083600000}"/>
    <cellStyle name="40% - Accent4 3 2 2 2 5" xfId="28236" xr:uid="{00000000-0005-0000-0000-000084600000}"/>
    <cellStyle name="40% - Accent4 3 2 2 2 6" xfId="28237" xr:uid="{00000000-0005-0000-0000-000085600000}"/>
    <cellStyle name="40% - Accent4 3 2 2 3" xfId="28238" xr:uid="{00000000-0005-0000-0000-000086600000}"/>
    <cellStyle name="40% - Accent4 3 2 2 3 2" xfId="28239" xr:uid="{00000000-0005-0000-0000-000087600000}"/>
    <cellStyle name="40% - Accent4 3 2 2 3 2 2" xfId="28240" xr:uid="{00000000-0005-0000-0000-000088600000}"/>
    <cellStyle name="40% - Accent4 3 2 2 3 3" xfId="28241" xr:uid="{00000000-0005-0000-0000-000089600000}"/>
    <cellStyle name="40% - Accent4 3 2 2 4" xfId="28242" xr:uid="{00000000-0005-0000-0000-00008A600000}"/>
    <cellStyle name="40% - Accent4 3 2 2 4 2" xfId="28243" xr:uid="{00000000-0005-0000-0000-00008B600000}"/>
    <cellStyle name="40% - Accent4 3 2 2 5" xfId="28244" xr:uid="{00000000-0005-0000-0000-00008C600000}"/>
    <cellStyle name="40% - Accent4 3 2 2 5 2" xfId="28245" xr:uid="{00000000-0005-0000-0000-00008D600000}"/>
    <cellStyle name="40% - Accent4 3 2 2 6" xfId="28246" xr:uid="{00000000-0005-0000-0000-00008E600000}"/>
    <cellStyle name="40% - Accent4 3 2 2 7" xfId="28247" xr:uid="{00000000-0005-0000-0000-00008F600000}"/>
    <cellStyle name="40% - Accent4 3 2 2 8" xfId="28248" xr:uid="{00000000-0005-0000-0000-000090600000}"/>
    <cellStyle name="40% - Accent4 3 2 3" xfId="28249" xr:uid="{00000000-0005-0000-0000-000091600000}"/>
    <cellStyle name="40% - Accent4 3 2 3 2" xfId="28250" xr:uid="{00000000-0005-0000-0000-000092600000}"/>
    <cellStyle name="40% - Accent4 3 2 3 2 2" xfId="28251" xr:uid="{00000000-0005-0000-0000-000093600000}"/>
    <cellStyle name="40% - Accent4 3 2 3 2 2 2" xfId="28252" xr:uid="{00000000-0005-0000-0000-000094600000}"/>
    <cellStyle name="40% - Accent4 3 2 3 2 2 2 2" xfId="28253" xr:uid="{00000000-0005-0000-0000-000095600000}"/>
    <cellStyle name="40% - Accent4 3 2 3 2 2 3" xfId="28254" xr:uid="{00000000-0005-0000-0000-000096600000}"/>
    <cellStyle name="40% - Accent4 3 2 3 2 3" xfId="28255" xr:uid="{00000000-0005-0000-0000-000097600000}"/>
    <cellStyle name="40% - Accent4 3 2 3 2 3 2" xfId="28256" xr:uid="{00000000-0005-0000-0000-000098600000}"/>
    <cellStyle name="40% - Accent4 3 2 3 2 4" xfId="28257" xr:uid="{00000000-0005-0000-0000-000099600000}"/>
    <cellStyle name="40% - Accent4 3 2 3 2 5" xfId="28258" xr:uid="{00000000-0005-0000-0000-00009A600000}"/>
    <cellStyle name="40% - Accent4 3 2 3 2 6" xfId="28259" xr:uid="{00000000-0005-0000-0000-00009B600000}"/>
    <cellStyle name="40% - Accent4 3 2 3 3" xfId="28260" xr:uid="{00000000-0005-0000-0000-00009C600000}"/>
    <cellStyle name="40% - Accent4 3 2 3 3 2" xfId="28261" xr:uid="{00000000-0005-0000-0000-00009D600000}"/>
    <cellStyle name="40% - Accent4 3 2 3 3 2 2" xfId="28262" xr:uid="{00000000-0005-0000-0000-00009E600000}"/>
    <cellStyle name="40% - Accent4 3 2 3 3 3" xfId="28263" xr:uid="{00000000-0005-0000-0000-00009F600000}"/>
    <cellStyle name="40% - Accent4 3 2 3 4" xfId="28264" xr:uid="{00000000-0005-0000-0000-0000A0600000}"/>
    <cellStyle name="40% - Accent4 3 2 3 4 2" xfId="28265" xr:uid="{00000000-0005-0000-0000-0000A1600000}"/>
    <cellStyle name="40% - Accent4 3 2 3 5" xfId="28266" xr:uid="{00000000-0005-0000-0000-0000A2600000}"/>
    <cellStyle name="40% - Accent4 3 2 3 6" xfId="28267" xr:uid="{00000000-0005-0000-0000-0000A3600000}"/>
    <cellStyle name="40% - Accent4 3 2 3 7" xfId="28268" xr:uid="{00000000-0005-0000-0000-0000A4600000}"/>
    <cellStyle name="40% - Accent4 3 2 4" xfId="28269" xr:uid="{00000000-0005-0000-0000-0000A5600000}"/>
    <cellStyle name="40% - Accent4 3 2 4 2" xfId="28270" xr:uid="{00000000-0005-0000-0000-0000A6600000}"/>
    <cellStyle name="40% - Accent4 3 2 4 2 2" xfId="28271" xr:uid="{00000000-0005-0000-0000-0000A7600000}"/>
    <cellStyle name="40% - Accent4 3 2 4 2 2 2" xfId="28272" xr:uid="{00000000-0005-0000-0000-0000A8600000}"/>
    <cellStyle name="40% - Accent4 3 2 4 2 3" xfId="28273" xr:uid="{00000000-0005-0000-0000-0000A9600000}"/>
    <cellStyle name="40% - Accent4 3 2 4 3" xfId="28274" xr:uid="{00000000-0005-0000-0000-0000AA600000}"/>
    <cellStyle name="40% - Accent4 3 2 4 3 2" xfId="28275" xr:uid="{00000000-0005-0000-0000-0000AB600000}"/>
    <cellStyle name="40% - Accent4 3 2 4 4" xfId="28276" xr:uid="{00000000-0005-0000-0000-0000AC600000}"/>
    <cellStyle name="40% - Accent4 3 2 4 5" xfId="28277" xr:uid="{00000000-0005-0000-0000-0000AD600000}"/>
    <cellStyle name="40% - Accent4 3 2 4 6" xfId="28278" xr:uid="{00000000-0005-0000-0000-0000AE600000}"/>
    <cellStyle name="40% - Accent4 3 2 5" xfId="28279" xr:uid="{00000000-0005-0000-0000-0000AF600000}"/>
    <cellStyle name="40% - Accent4 3 2 5 2" xfId="28280" xr:uid="{00000000-0005-0000-0000-0000B0600000}"/>
    <cellStyle name="40% - Accent4 3 2 5 2 2" xfId="28281" xr:uid="{00000000-0005-0000-0000-0000B1600000}"/>
    <cellStyle name="40% - Accent4 3 2 5 3" xfId="28282" xr:uid="{00000000-0005-0000-0000-0000B2600000}"/>
    <cellStyle name="40% - Accent4 3 2 6" xfId="28283" xr:uid="{00000000-0005-0000-0000-0000B3600000}"/>
    <cellStyle name="40% - Accent4 3 2 6 2" xfId="28284" xr:uid="{00000000-0005-0000-0000-0000B4600000}"/>
    <cellStyle name="40% - Accent4 3 2 6 2 2" xfId="28285" xr:uid="{00000000-0005-0000-0000-0000B5600000}"/>
    <cellStyle name="40% - Accent4 3 2 6 3" xfId="28286" xr:uid="{00000000-0005-0000-0000-0000B6600000}"/>
    <cellStyle name="40% - Accent4 3 2 7" xfId="28287" xr:uid="{00000000-0005-0000-0000-0000B7600000}"/>
    <cellStyle name="40% - Accent4 3 2 7 2" xfId="28288" xr:uid="{00000000-0005-0000-0000-0000B8600000}"/>
    <cellStyle name="40% - Accent4 3 2 8" xfId="28289" xr:uid="{00000000-0005-0000-0000-0000B9600000}"/>
    <cellStyle name="40% - Accent4 3 2 8 2" xfId="28290" xr:uid="{00000000-0005-0000-0000-0000BA600000}"/>
    <cellStyle name="40% - Accent4 3 2 9" xfId="28291" xr:uid="{00000000-0005-0000-0000-0000BB600000}"/>
    <cellStyle name="40% - Accent4 3 3" xfId="28292" xr:uid="{00000000-0005-0000-0000-0000BC600000}"/>
    <cellStyle name="40% - Accent4 3 3 10" xfId="28293" xr:uid="{00000000-0005-0000-0000-0000BD600000}"/>
    <cellStyle name="40% - Accent4 3 3 11" xfId="28294" xr:uid="{00000000-0005-0000-0000-0000BE600000}"/>
    <cellStyle name="40% - Accent4 3 3 2" xfId="28295" xr:uid="{00000000-0005-0000-0000-0000BF600000}"/>
    <cellStyle name="40% - Accent4 3 3 2 2" xfId="28296" xr:uid="{00000000-0005-0000-0000-0000C0600000}"/>
    <cellStyle name="40% - Accent4 3 3 2 2 2" xfId="28297" xr:uid="{00000000-0005-0000-0000-0000C1600000}"/>
    <cellStyle name="40% - Accent4 3 3 2 2 2 2" xfId="28298" xr:uid="{00000000-0005-0000-0000-0000C2600000}"/>
    <cellStyle name="40% - Accent4 3 3 2 2 2 2 2" xfId="28299" xr:uid="{00000000-0005-0000-0000-0000C3600000}"/>
    <cellStyle name="40% - Accent4 3 3 2 2 2 3" xfId="28300" xr:uid="{00000000-0005-0000-0000-0000C4600000}"/>
    <cellStyle name="40% - Accent4 3 3 2 2 3" xfId="28301" xr:uid="{00000000-0005-0000-0000-0000C5600000}"/>
    <cellStyle name="40% - Accent4 3 3 2 2 3 2" xfId="28302" xr:uid="{00000000-0005-0000-0000-0000C6600000}"/>
    <cellStyle name="40% - Accent4 3 3 2 2 4" xfId="28303" xr:uid="{00000000-0005-0000-0000-0000C7600000}"/>
    <cellStyle name="40% - Accent4 3 3 2 2 5" xfId="28304" xr:uid="{00000000-0005-0000-0000-0000C8600000}"/>
    <cellStyle name="40% - Accent4 3 3 2 2 6" xfId="28305" xr:uid="{00000000-0005-0000-0000-0000C9600000}"/>
    <cellStyle name="40% - Accent4 3 3 2 3" xfId="28306" xr:uid="{00000000-0005-0000-0000-0000CA600000}"/>
    <cellStyle name="40% - Accent4 3 3 2 3 2" xfId="28307" xr:uid="{00000000-0005-0000-0000-0000CB600000}"/>
    <cellStyle name="40% - Accent4 3 3 2 3 2 2" xfId="28308" xr:uid="{00000000-0005-0000-0000-0000CC600000}"/>
    <cellStyle name="40% - Accent4 3 3 2 3 3" xfId="28309" xr:uid="{00000000-0005-0000-0000-0000CD600000}"/>
    <cellStyle name="40% - Accent4 3 3 2 4" xfId="28310" xr:uid="{00000000-0005-0000-0000-0000CE600000}"/>
    <cellStyle name="40% - Accent4 3 3 2 4 2" xfId="28311" xr:uid="{00000000-0005-0000-0000-0000CF600000}"/>
    <cellStyle name="40% - Accent4 3 3 2 5" xfId="28312" xr:uid="{00000000-0005-0000-0000-0000D0600000}"/>
    <cellStyle name="40% - Accent4 3 3 2 5 2" xfId="28313" xr:uid="{00000000-0005-0000-0000-0000D1600000}"/>
    <cellStyle name="40% - Accent4 3 3 2 6" xfId="28314" xr:uid="{00000000-0005-0000-0000-0000D2600000}"/>
    <cellStyle name="40% - Accent4 3 3 2 7" xfId="28315" xr:uid="{00000000-0005-0000-0000-0000D3600000}"/>
    <cellStyle name="40% - Accent4 3 3 2 8" xfId="28316" xr:uid="{00000000-0005-0000-0000-0000D4600000}"/>
    <cellStyle name="40% - Accent4 3 3 3" xfId="28317" xr:uid="{00000000-0005-0000-0000-0000D5600000}"/>
    <cellStyle name="40% - Accent4 3 3 3 2" xfId="28318" xr:uid="{00000000-0005-0000-0000-0000D6600000}"/>
    <cellStyle name="40% - Accent4 3 3 3 2 2" xfId="28319" xr:uid="{00000000-0005-0000-0000-0000D7600000}"/>
    <cellStyle name="40% - Accent4 3 3 3 2 2 2" xfId="28320" xr:uid="{00000000-0005-0000-0000-0000D8600000}"/>
    <cellStyle name="40% - Accent4 3 3 3 2 2 2 2" xfId="28321" xr:uid="{00000000-0005-0000-0000-0000D9600000}"/>
    <cellStyle name="40% - Accent4 3 3 3 2 2 3" xfId="28322" xr:uid="{00000000-0005-0000-0000-0000DA600000}"/>
    <cellStyle name="40% - Accent4 3 3 3 2 3" xfId="28323" xr:uid="{00000000-0005-0000-0000-0000DB600000}"/>
    <cellStyle name="40% - Accent4 3 3 3 2 3 2" xfId="28324" xr:uid="{00000000-0005-0000-0000-0000DC600000}"/>
    <cellStyle name="40% - Accent4 3 3 3 2 4" xfId="28325" xr:uid="{00000000-0005-0000-0000-0000DD600000}"/>
    <cellStyle name="40% - Accent4 3 3 3 2 5" xfId="28326" xr:uid="{00000000-0005-0000-0000-0000DE600000}"/>
    <cellStyle name="40% - Accent4 3 3 3 2 6" xfId="28327" xr:uid="{00000000-0005-0000-0000-0000DF600000}"/>
    <cellStyle name="40% - Accent4 3 3 3 3" xfId="28328" xr:uid="{00000000-0005-0000-0000-0000E0600000}"/>
    <cellStyle name="40% - Accent4 3 3 3 3 2" xfId="28329" xr:uid="{00000000-0005-0000-0000-0000E1600000}"/>
    <cellStyle name="40% - Accent4 3 3 3 3 2 2" xfId="28330" xr:uid="{00000000-0005-0000-0000-0000E2600000}"/>
    <cellStyle name="40% - Accent4 3 3 3 3 3" xfId="28331" xr:uid="{00000000-0005-0000-0000-0000E3600000}"/>
    <cellStyle name="40% - Accent4 3 3 3 4" xfId="28332" xr:uid="{00000000-0005-0000-0000-0000E4600000}"/>
    <cellStyle name="40% - Accent4 3 3 3 4 2" xfId="28333" xr:uid="{00000000-0005-0000-0000-0000E5600000}"/>
    <cellStyle name="40% - Accent4 3 3 3 5" xfId="28334" xr:uid="{00000000-0005-0000-0000-0000E6600000}"/>
    <cellStyle name="40% - Accent4 3 3 3 6" xfId="28335" xr:uid="{00000000-0005-0000-0000-0000E7600000}"/>
    <cellStyle name="40% - Accent4 3 3 3 7" xfId="28336" xr:uid="{00000000-0005-0000-0000-0000E8600000}"/>
    <cellStyle name="40% - Accent4 3 3 4" xfId="28337" xr:uid="{00000000-0005-0000-0000-0000E9600000}"/>
    <cellStyle name="40% - Accent4 3 3 4 2" xfId="28338" xr:uid="{00000000-0005-0000-0000-0000EA600000}"/>
    <cellStyle name="40% - Accent4 3 3 4 2 2" xfId="28339" xr:uid="{00000000-0005-0000-0000-0000EB600000}"/>
    <cellStyle name="40% - Accent4 3 3 4 2 2 2" xfId="28340" xr:uid="{00000000-0005-0000-0000-0000EC600000}"/>
    <cellStyle name="40% - Accent4 3 3 4 2 3" xfId="28341" xr:uid="{00000000-0005-0000-0000-0000ED600000}"/>
    <cellStyle name="40% - Accent4 3 3 4 3" xfId="28342" xr:uid="{00000000-0005-0000-0000-0000EE600000}"/>
    <cellStyle name="40% - Accent4 3 3 4 3 2" xfId="28343" xr:uid="{00000000-0005-0000-0000-0000EF600000}"/>
    <cellStyle name="40% - Accent4 3 3 4 4" xfId="28344" xr:uid="{00000000-0005-0000-0000-0000F0600000}"/>
    <cellStyle name="40% - Accent4 3 3 4 5" xfId="28345" xr:uid="{00000000-0005-0000-0000-0000F1600000}"/>
    <cellStyle name="40% - Accent4 3 3 4 6" xfId="28346" xr:uid="{00000000-0005-0000-0000-0000F2600000}"/>
    <cellStyle name="40% - Accent4 3 3 5" xfId="28347" xr:uid="{00000000-0005-0000-0000-0000F3600000}"/>
    <cellStyle name="40% - Accent4 3 3 5 2" xfId="28348" xr:uid="{00000000-0005-0000-0000-0000F4600000}"/>
    <cellStyle name="40% - Accent4 3 3 5 2 2" xfId="28349" xr:uid="{00000000-0005-0000-0000-0000F5600000}"/>
    <cellStyle name="40% - Accent4 3 3 5 3" xfId="28350" xr:uid="{00000000-0005-0000-0000-0000F6600000}"/>
    <cellStyle name="40% - Accent4 3 3 6" xfId="28351" xr:uid="{00000000-0005-0000-0000-0000F7600000}"/>
    <cellStyle name="40% - Accent4 3 3 6 2" xfId="28352" xr:uid="{00000000-0005-0000-0000-0000F8600000}"/>
    <cellStyle name="40% - Accent4 3 3 6 2 2" xfId="28353" xr:uid="{00000000-0005-0000-0000-0000F9600000}"/>
    <cellStyle name="40% - Accent4 3 3 6 3" xfId="28354" xr:uid="{00000000-0005-0000-0000-0000FA600000}"/>
    <cellStyle name="40% - Accent4 3 3 7" xfId="28355" xr:uid="{00000000-0005-0000-0000-0000FB600000}"/>
    <cellStyle name="40% - Accent4 3 3 7 2" xfId="28356" xr:uid="{00000000-0005-0000-0000-0000FC600000}"/>
    <cellStyle name="40% - Accent4 3 3 8" xfId="28357" xr:uid="{00000000-0005-0000-0000-0000FD600000}"/>
    <cellStyle name="40% - Accent4 3 3 8 2" xfId="28358" xr:uid="{00000000-0005-0000-0000-0000FE600000}"/>
    <cellStyle name="40% - Accent4 3 3 9" xfId="28359" xr:uid="{00000000-0005-0000-0000-0000FF600000}"/>
    <cellStyle name="40% - Accent4 3 4" xfId="28360" xr:uid="{00000000-0005-0000-0000-000000610000}"/>
    <cellStyle name="40% - Accent4 3 4 10" xfId="28361" xr:uid="{00000000-0005-0000-0000-000001610000}"/>
    <cellStyle name="40% - Accent4 3 4 11" xfId="28362" xr:uid="{00000000-0005-0000-0000-000002610000}"/>
    <cellStyle name="40% - Accent4 3 4 2" xfId="28363" xr:uid="{00000000-0005-0000-0000-000003610000}"/>
    <cellStyle name="40% - Accent4 3 4 2 2" xfId="28364" xr:uid="{00000000-0005-0000-0000-000004610000}"/>
    <cellStyle name="40% - Accent4 3 4 2 2 2" xfId="28365" xr:uid="{00000000-0005-0000-0000-000005610000}"/>
    <cellStyle name="40% - Accent4 3 4 2 2 2 2" xfId="28366" xr:uid="{00000000-0005-0000-0000-000006610000}"/>
    <cellStyle name="40% - Accent4 3 4 2 2 2 2 2" xfId="28367" xr:uid="{00000000-0005-0000-0000-000007610000}"/>
    <cellStyle name="40% - Accent4 3 4 2 2 2 3" xfId="28368" xr:uid="{00000000-0005-0000-0000-000008610000}"/>
    <cellStyle name="40% - Accent4 3 4 2 2 3" xfId="28369" xr:uid="{00000000-0005-0000-0000-000009610000}"/>
    <cellStyle name="40% - Accent4 3 4 2 2 3 2" xfId="28370" xr:uid="{00000000-0005-0000-0000-00000A610000}"/>
    <cellStyle name="40% - Accent4 3 4 2 2 4" xfId="28371" xr:uid="{00000000-0005-0000-0000-00000B610000}"/>
    <cellStyle name="40% - Accent4 3 4 2 2 5" xfId="28372" xr:uid="{00000000-0005-0000-0000-00000C610000}"/>
    <cellStyle name="40% - Accent4 3 4 2 2 6" xfId="28373" xr:uid="{00000000-0005-0000-0000-00000D610000}"/>
    <cellStyle name="40% - Accent4 3 4 2 3" xfId="28374" xr:uid="{00000000-0005-0000-0000-00000E610000}"/>
    <cellStyle name="40% - Accent4 3 4 2 3 2" xfId="28375" xr:uid="{00000000-0005-0000-0000-00000F610000}"/>
    <cellStyle name="40% - Accent4 3 4 2 3 2 2" xfId="28376" xr:uid="{00000000-0005-0000-0000-000010610000}"/>
    <cellStyle name="40% - Accent4 3 4 2 3 3" xfId="28377" xr:uid="{00000000-0005-0000-0000-000011610000}"/>
    <cellStyle name="40% - Accent4 3 4 2 4" xfId="28378" xr:uid="{00000000-0005-0000-0000-000012610000}"/>
    <cellStyle name="40% - Accent4 3 4 2 4 2" xfId="28379" xr:uid="{00000000-0005-0000-0000-000013610000}"/>
    <cellStyle name="40% - Accent4 3 4 2 5" xfId="28380" xr:uid="{00000000-0005-0000-0000-000014610000}"/>
    <cellStyle name="40% - Accent4 3 4 2 5 2" xfId="28381" xr:uid="{00000000-0005-0000-0000-000015610000}"/>
    <cellStyle name="40% - Accent4 3 4 2 6" xfId="28382" xr:uid="{00000000-0005-0000-0000-000016610000}"/>
    <cellStyle name="40% - Accent4 3 4 2 7" xfId="28383" xr:uid="{00000000-0005-0000-0000-000017610000}"/>
    <cellStyle name="40% - Accent4 3 4 2 8" xfId="28384" xr:uid="{00000000-0005-0000-0000-000018610000}"/>
    <cellStyle name="40% - Accent4 3 4 3" xfId="28385" xr:uid="{00000000-0005-0000-0000-000019610000}"/>
    <cellStyle name="40% - Accent4 3 4 3 2" xfId="28386" xr:uid="{00000000-0005-0000-0000-00001A610000}"/>
    <cellStyle name="40% - Accent4 3 4 3 2 2" xfId="28387" xr:uid="{00000000-0005-0000-0000-00001B610000}"/>
    <cellStyle name="40% - Accent4 3 4 3 2 2 2" xfId="28388" xr:uid="{00000000-0005-0000-0000-00001C610000}"/>
    <cellStyle name="40% - Accent4 3 4 3 2 2 2 2" xfId="28389" xr:uid="{00000000-0005-0000-0000-00001D610000}"/>
    <cellStyle name="40% - Accent4 3 4 3 2 2 3" xfId="28390" xr:uid="{00000000-0005-0000-0000-00001E610000}"/>
    <cellStyle name="40% - Accent4 3 4 3 2 3" xfId="28391" xr:uid="{00000000-0005-0000-0000-00001F610000}"/>
    <cellStyle name="40% - Accent4 3 4 3 2 3 2" xfId="28392" xr:uid="{00000000-0005-0000-0000-000020610000}"/>
    <cellStyle name="40% - Accent4 3 4 3 2 4" xfId="28393" xr:uid="{00000000-0005-0000-0000-000021610000}"/>
    <cellStyle name="40% - Accent4 3 4 3 2 5" xfId="28394" xr:uid="{00000000-0005-0000-0000-000022610000}"/>
    <cellStyle name="40% - Accent4 3 4 3 2 6" xfId="28395" xr:uid="{00000000-0005-0000-0000-000023610000}"/>
    <cellStyle name="40% - Accent4 3 4 3 3" xfId="28396" xr:uid="{00000000-0005-0000-0000-000024610000}"/>
    <cellStyle name="40% - Accent4 3 4 3 3 2" xfId="28397" xr:uid="{00000000-0005-0000-0000-000025610000}"/>
    <cellStyle name="40% - Accent4 3 4 3 3 2 2" xfId="28398" xr:uid="{00000000-0005-0000-0000-000026610000}"/>
    <cellStyle name="40% - Accent4 3 4 3 3 3" xfId="28399" xr:uid="{00000000-0005-0000-0000-000027610000}"/>
    <cellStyle name="40% - Accent4 3 4 3 4" xfId="28400" xr:uid="{00000000-0005-0000-0000-000028610000}"/>
    <cellStyle name="40% - Accent4 3 4 3 4 2" xfId="28401" xr:uid="{00000000-0005-0000-0000-000029610000}"/>
    <cellStyle name="40% - Accent4 3 4 3 5" xfId="28402" xr:uid="{00000000-0005-0000-0000-00002A610000}"/>
    <cellStyle name="40% - Accent4 3 4 3 6" xfId="28403" xr:uid="{00000000-0005-0000-0000-00002B610000}"/>
    <cellStyle name="40% - Accent4 3 4 3 7" xfId="28404" xr:uid="{00000000-0005-0000-0000-00002C610000}"/>
    <cellStyle name="40% - Accent4 3 4 4" xfId="28405" xr:uid="{00000000-0005-0000-0000-00002D610000}"/>
    <cellStyle name="40% - Accent4 3 4 4 2" xfId="28406" xr:uid="{00000000-0005-0000-0000-00002E610000}"/>
    <cellStyle name="40% - Accent4 3 4 4 2 2" xfId="28407" xr:uid="{00000000-0005-0000-0000-00002F610000}"/>
    <cellStyle name="40% - Accent4 3 4 4 2 2 2" xfId="28408" xr:uid="{00000000-0005-0000-0000-000030610000}"/>
    <cellStyle name="40% - Accent4 3 4 4 2 3" xfId="28409" xr:uid="{00000000-0005-0000-0000-000031610000}"/>
    <cellStyle name="40% - Accent4 3 4 4 3" xfId="28410" xr:uid="{00000000-0005-0000-0000-000032610000}"/>
    <cellStyle name="40% - Accent4 3 4 4 3 2" xfId="28411" xr:uid="{00000000-0005-0000-0000-000033610000}"/>
    <cellStyle name="40% - Accent4 3 4 4 4" xfId="28412" xr:uid="{00000000-0005-0000-0000-000034610000}"/>
    <cellStyle name="40% - Accent4 3 4 4 5" xfId="28413" xr:uid="{00000000-0005-0000-0000-000035610000}"/>
    <cellStyle name="40% - Accent4 3 4 4 6" xfId="28414" xr:uid="{00000000-0005-0000-0000-000036610000}"/>
    <cellStyle name="40% - Accent4 3 4 5" xfId="28415" xr:uid="{00000000-0005-0000-0000-000037610000}"/>
    <cellStyle name="40% - Accent4 3 4 5 2" xfId="28416" xr:uid="{00000000-0005-0000-0000-000038610000}"/>
    <cellStyle name="40% - Accent4 3 4 5 2 2" xfId="28417" xr:uid="{00000000-0005-0000-0000-000039610000}"/>
    <cellStyle name="40% - Accent4 3 4 5 3" xfId="28418" xr:uid="{00000000-0005-0000-0000-00003A610000}"/>
    <cellStyle name="40% - Accent4 3 4 6" xfId="28419" xr:uid="{00000000-0005-0000-0000-00003B610000}"/>
    <cellStyle name="40% - Accent4 3 4 6 2" xfId="28420" xr:uid="{00000000-0005-0000-0000-00003C610000}"/>
    <cellStyle name="40% - Accent4 3 4 6 2 2" xfId="28421" xr:uid="{00000000-0005-0000-0000-00003D610000}"/>
    <cellStyle name="40% - Accent4 3 4 6 3" xfId="28422" xr:uid="{00000000-0005-0000-0000-00003E610000}"/>
    <cellStyle name="40% - Accent4 3 4 7" xfId="28423" xr:uid="{00000000-0005-0000-0000-00003F610000}"/>
    <cellStyle name="40% - Accent4 3 4 7 2" xfId="28424" xr:uid="{00000000-0005-0000-0000-000040610000}"/>
    <cellStyle name="40% - Accent4 3 4 8" xfId="28425" xr:uid="{00000000-0005-0000-0000-000041610000}"/>
    <cellStyle name="40% - Accent4 3 4 8 2" xfId="28426" xr:uid="{00000000-0005-0000-0000-000042610000}"/>
    <cellStyle name="40% - Accent4 3 4 9" xfId="28427" xr:uid="{00000000-0005-0000-0000-000043610000}"/>
    <cellStyle name="40% - Accent4 3 5" xfId="28428" xr:uid="{00000000-0005-0000-0000-000044610000}"/>
    <cellStyle name="40% - Accent4 3 5 10" xfId="28429" xr:uid="{00000000-0005-0000-0000-000045610000}"/>
    <cellStyle name="40% - Accent4 3 5 11" xfId="28430" xr:uid="{00000000-0005-0000-0000-000046610000}"/>
    <cellStyle name="40% - Accent4 3 5 2" xfId="28431" xr:uid="{00000000-0005-0000-0000-000047610000}"/>
    <cellStyle name="40% - Accent4 3 5 2 2" xfId="28432" xr:uid="{00000000-0005-0000-0000-000048610000}"/>
    <cellStyle name="40% - Accent4 3 5 2 2 2" xfId="28433" xr:uid="{00000000-0005-0000-0000-000049610000}"/>
    <cellStyle name="40% - Accent4 3 5 2 2 2 2" xfId="28434" xr:uid="{00000000-0005-0000-0000-00004A610000}"/>
    <cellStyle name="40% - Accent4 3 5 2 2 2 2 2" xfId="28435" xr:uid="{00000000-0005-0000-0000-00004B610000}"/>
    <cellStyle name="40% - Accent4 3 5 2 2 2 3" xfId="28436" xr:uid="{00000000-0005-0000-0000-00004C610000}"/>
    <cellStyle name="40% - Accent4 3 5 2 2 3" xfId="28437" xr:uid="{00000000-0005-0000-0000-00004D610000}"/>
    <cellStyle name="40% - Accent4 3 5 2 2 3 2" xfId="28438" xr:uid="{00000000-0005-0000-0000-00004E610000}"/>
    <cellStyle name="40% - Accent4 3 5 2 2 4" xfId="28439" xr:uid="{00000000-0005-0000-0000-00004F610000}"/>
    <cellStyle name="40% - Accent4 3 5 2 2 5" xfId="28440" xr:uid="{00000000-0005-0000-0000-000050610000}"/>
    <cellStyle name="40% - Accent4 3 5 2 2 6" xfId="28441" xr:uid="{00000000-0005-0000-0000-000051610000}"/>
    <cellStyle name="40% - Accent4 3 5 2 3" xfId="28442" xr:uid="{00000000-0005-0000-0000-000052610000}"/>
    <cellStyle name="40% - Accent4 3 5 2 3 2" xfId="28443" xr:uid="{00000000-0005-0000-0000-000053610000}"/>
    <cellStyle name="40% - Accent4 3 5 2 3 2 2" xfId="28444" xr:uid="{00000000-0005-0000-0000-000054610000}"/>
    <cellStyle name="40% - Accent4 3 5 2 3 3" xfId="28445" xr:uid="{00000000-0005-0000-0000-000055610000}"/>
    <cellStyle name="40% - Accent4 3 5 2 4" xfId="28446" xr:uid="{00000000-0005-0000-0000-000056610000}"/>
    <cellStyle name="40% - Accent4 3 5 2 4 2" xfId="28447" xr:uid="{00000000-0005-0000-0000-000057610000}"/>
    <cellStyle name="40% - Accent4 3 5 2 5" xfId="28448" xr:uid="{00000000-0005-0000-0000-000058610000}"/>
    <cellStyle name="40% - Accent4 3 5 2 5 2" xfId="28449" xr:uid="{00000000-0005-0000-0000-000059610000}"/>
    <cellStyle name="40% - Accent4 3 5 2 6" xfId="28450" xr:uid="{00000000-0005-0000-0000-00005A610000}"/>
    <cellStyle name="40% - Accent4 3 5 2 7" xfId="28451" xr:uid="{00000000-0005-0000-0000-00005B610000}"/>
    <cellStyle name="40% - Accent4 3 5 2 8" xfId="28452" xr:uid="{00000000-0005-0000-0000-00005C610000}"/>
    <cellStyle name="40% - Accent4 3 5 3" xfId="28453" xr:uid="{00000000-0005-0000-0000-00005D610000}"/>
    <cellStyle name="40% - Accent4 3 5 3 2" xfId="28454" xr:uid="{00000000-0005-0000-0000-00005E610000}"/>
    <cellStyle name="40% - Accent4 3 5 3 2 2" xfId="28455" xr:uid="{00000000-0005-0000-0000-00005F610000}"/>
    <cellStyle name="40% - Accent4 3 5 3 2 2 2" xfId="28456" xr:uid="{00000000-0005-0000-0000-000060610000}"/>
    <cellStyle name="40% - Accent4 3 5 3 2 2 2 2" xfId="28457" xr:uid="{00000000-0005-0000-0000-000061610000}"/>
    <cellStyle name="40% - Accent4 3 5 3 2 2 3" xfId="28458" xr:uid="{00000000-0005-0000-0000-000062610000}"/>
    <cellStyle name="40% - Accent4 3 5 3 2 3" xfId="28459" xr:uid="{00000000-0005-0000-0000-000063610000}"/>
    <cellStyle name="40% - Accent4 3 5 3 2 3 2" xfId="28460" xr:uid="{00000000-0005-0000-0000-000064610000}"/>
    <cellStyle name="40% - Accent4 3 5 3 2 4" xfId="28461" xr:uid="{00000000-0005-0000-0000-000065610000}"/>
    <cellStyle name="40% - Accent4 3 5 3 2 5" xfId="28462" xr:uid="{00000000-0005-0000-0000-000066610000}"/>
    <cellStyle name="40% - Accent4 3 5 3 2 6" xfId="28463" xr:uid="{00000000-0005-0000-0000-000067610000}"/>
    <cellStyle name="40% - Accent4 3 5 3 3" xfId="28464" xr:uid="{00000000-0005-0000-0000-000068610000}"/>
    <cellStyle name="40% - Accent4 3 5 3 3 2" xfId="28465" xr:uid="{00000000-0005-0000-0000-000069610000}"/>
    <cellStyle name="40% - Accent4 3 5 3 3 2 2" xfId="28466" xr:uid="{00000000-0005-0000-0000-00006A610000}"/>
    <cellStyle name="40% - Accent4 3 5 3 3 3" xfId="28467" xr:uid="{00000000-0005-0000-0000-00006B610000}"/>
    <cellStyle name="40% - Accent4 3 5 3 4" xfId="28468" xr:uid="{00000000-0005-0000-0000-00006C610000}"/>
    <cellStyle name="40% - Accent4 3 5 3 4 2" xfId="28469" xr:uid="{00000000-0005-0000-0000-00006D610000}"/>
    <cellStyle name="40% - Accent4 3 5 3 5" xfId="28470" xr:uid="{00000000-0005-0000-0000-00006E610000}"/>
    <cellStyle name="40% - Accent4 3 5 3 6" xfId="28471" xr:uid="{00000000-0005-0000-0000-00006F610000}"/>
    <cellStyle name="40% - Accent4 3 5 3 7" xfId="28472" xr:uid="{00000000-0005-0000-0000-000070610000}"/>
    <cellStyle name="40% - Accent4 3 5 4" xfId="28473" xr:uid="{00000000-0005-0000-0000-000071610000}"/>
    <cellStyle name="40% - Accent4 3 5 4 2" xfId="28474" xr:uid="{00000000-0005-0000-0000-000072610000}"/>
    <cellStyle name="40% - Accent4 3 5 4 2 2" xfId="28475" xr:uid="{00000000-0005-0000-0000-000073610000}"/>
    <cellStyle name="40% - Accent4 3 5 4 2 2 2" xfId="28476" xr:uid="{00000000-0005-0000-0000-000074610000}"/>
    <cellStyle name="40% - Accent4 3 5 4 2 3" xfId="28477" xr:uid="{00000000-0005-0000-0000-000075610000}"/>
    <cellStyle name="40% - Accent4 3 5 4 3" xfId="28478" xr:uid="{00000000-0005-0000-0000-000076610000}"/>
    <cellStyle name="40% - Accent4 3 5 4 3 2" xfId="28479" xr:uid="{00000000-0005-0000-0000-000077610000}"/>
    <cellStyle name="40% - Accent4 3 5 4 4" xfId="28480" xr:uid="{00000000-0005-0000-0000-000078610000}"/>
    <cellStyle name="40% - Accent4 3 5 4 5" xfId="28481" xr:uid="{00000000-0005-0000-0000-000079610000}"/>
    <cellStyle name="40% - Accent4 3 5 4 6" xfId="28482" xr:uid="{00000000-0005-0000-0000-00007A610000}"/>
    <cellStyle name="40% - Accent4 3 5 5" xfId="28483" xr:uid="{00000000-0005-0000-0000-00007B610000}"/>
    <cellStyle name="40% - Accent4 3 5 5 2" xfId="28484" xr:uid="{00000000-0005-0000-0000-00007C610000}"/>
    <cellStyle name="40% - Accent4 3 5 5 2 2" xfId="28485" xr:uid="{00000000-0005-0000-0000-00007D610000}"/>
    <cellStyle name="40% - Accent4 3 5 5 3" xfId="28486" xr:uid="{00000000-0005-0000-0000-00007E610000}"/>
    <cellStyle name="40% - Accent4 3 5 6" xfId="28487" xr:uid="{00000000-0005-0000-0000-00007F610000}"/>
    <cellStyle name="40% - Accent4 3 5 6 2" xfId="28488" xr:uid="{00000000-0005-0000-0000-000080610000}"/>
    <cellStyle name="40% - Accent4 3 5 6 2 2" xfId="28489" xr:uid="{00000000-0005-0000-0000-000081610000}"/>
    <cellStyle name="40% - Accent4 3 5 6 3" xfId="28490" xr:uid="{00000000-0005-0000-0000-000082610000}"/>
    <cellStyle name="40% - Accent4 3 5 7" xfId="28491" xr:uid="{00000000-0005-0000-0000-000083610000}"/>
    <cellStyle name="40% - Accent4 3 5 7 2" xfId="28492" xr:uid="{00000000-0005-0000-0000-000084610000}"/>
    <cellStyle name="40% - Accent4 3 5 8" xfId="28493" xr:uid="{00000000-0005-0000-0000-000085610000}"/>
    <cellStyle name="40% - Accent4 3 5 8 2" xfId="28494" xr:uid="{00000000-0005-0000-0000-000086610000}"/>
    <cellStyle name="40% - Accent4 3 5 9" xfId="28495" xr:uid="{00000000-0005-0000-0000-000087610000}"/>
    <cellStyle name="40% - Accent4 3 6" xfId="28496" xr:uid="{00000000-0005-0000-0000-000088610000}"/>
    <cellStyle name="40% - Accent4 3 6 10" xfId="28497" xr:uid="{00000000-0005-0000-0000-000089610000}"/>
    <cellStyle name="40% - Accent4 3 6 11" xfId="28498" xr:uid="{00000000-0005-0000-0000-00008A610000}"/>
    <cellStyle name="40% - Accent4 3 6 2" xfId="28499" xr:uid="{00000000-0005-0000-0000-00008B610000}"/>
    <cellStyle name="40% - Accent4 3 6 2 2" xfId="28500" xr:uid="{00000000-0005-0000-0000-00008C610000}"/>
    <cellStyle name="40% - Accent4 3 6 2 2 2" xfId="28501" xr:uid="{00000000-0005-0000-0000-00008D610000}"/>
    <cellStyle name="40% - Accent4 3 6 2 2 2 2" xfId="28502" xr:uid="{00000000-0005-0000-0000-00008E610000}"/>
    <cellStyle name="40% - Accent4 3 6 2 2 2 2 2" xfId="28503" xr:uid="{00000000-0005-0000-0000-00008F610000}"/>
    <cellStyle name="40% - Accent4 3 6 2 2 2 3" xfId="28504" xr:uid="{00000000-0005-0000-0000-000090610000}"/>
    <cellStyle name="40% - Accent4 3 6 2 2 3" xfId="28505" xr:uid="{00000000-0005-0000-0000-000091610000}"/>
    <cellStyle name="40% - Accent4 3 6 2 2 3 2" xfId="28506" xr:uid="{00000000-0005-0000-0000-000092610000}"/>
    <cellStyle name="40% - Accent4 3 6 2 2 4" xfId="28507" xr:uid="{00000000-0005-0000-0000-000093610000}"/>
    <cellStyle name="40% - Accent4 3 6 2 2 5" xfId="28508" xr:uid="{00000000-0005-0000-0000-000094610000}"/>
    <cellStyle name="40% - Accent4 3 6 2 2 6" xfId="28509" xr:uid="{00000000-0005-0000-0000-000095610000}"/>
    <cellStyle name="40% - Accent4 3 6 2 3" xfId="28510" xr:uid="{00000000-0005-0000-0000-000096610000}"/>
    <cellStyle name="40% - Accent4 3 6 2 3 2" xfId="28511" xr:uid="{00000000-0005-0000-0000-000097610000}"/>
    <cellStyle name="40% - Accent4 3 6 2 3 2 2" xfId="28512" xr:uid="{00000000-0005-0000-0000-000098610000}"/>
    <cellStyle name="40% - Accent4 3 6 2 3 3" xfId="28513" xr:uid="{00000000-0005-0000-0000-000099610000}"/>
    <cellStyle name="40% - Accent4 3 6 2 4" xfId="28514" xr:uid="{00000000-0005-0000-0000-00009A610000}"/>
    <cellStyle name="40% - Accent4 3 6 2 4 2" xfId="28515" xr:uid="{00000000-0005-0000-0000-00009B610000}"/>
    <cellStyle name="40% - Accent4 3 6 2 5" xfId="28516" xr:uid="{00000000-0005-0000-0000-00009C610000}"/>
    <cellStyle name="40% - Accent4 3 6 2 5 2" xfId="28517" xr:uid="{00000000-0005-0000-0000-00009D610000}"/>
    <cellStyle name="40% - Accent4 3 6 2 6" xfId="28518" xr:uid="{00000000-0005-0000-0000-00009E610000}"/>
    <cellStyle name="40% - Accent4 3 6 2 7" xfId="28519" xr:uid="{00000000-0005-0000-0000-00009F610000}"/>
    <cellStyle name="40% - Accent4 3 6 2 8" xfId="28520" xr:uid="{00000000-0005-0000-0000-0000A0610000}"/>
    <cellStyle name="40% - Accent4 3 6 3" xfId="28521" xr:uid="{00000000-0005-0000-0000-0000A1610000}"/>
    <cellStyle name="40% - Accent4 3 6 3 2" xfId="28522" xr:uid="{00000000-0005-0000-0000-0000A2610000}"/>
    <cellStyle name="40% - Accent4 3 6 3 2 2" xfId="28523" xr:uid="{00000000-0005-0000-0000-0000A3610000}"/>
    <cellStyle name="40% - Accent4 3 6 3 2 2 2" xfId="28524" xr:uid="{00000000-0005-0000-0000-0000A4610000}"/>
    <cellStyle name="40% - Accent4 3 6 3 2 2 2 2" xfId="28525" xr:uid="{00000000-0005-0000-0000-0000A5610000}"/>
    <cellStyle name="40% - Accent4 3 6 3 2 2 3" xfId="28526" xr:uid="{00000000-0005-0000-0000-0000A6610000}"/>
    <cellStyle name="40% - Accent4 3 6 3 2 3" xfId="28527" xr:uid="{00000000-0005-0000-0000-0000A7610000}"/>
    <cellStyle name="40% - Accent4 3 6 3 2 3 2" xfId="28528" xr:uid="{00000000-0005-0000-0000-0000A8610000}"/>
    <cellStyle name="40% - Accent4 3 6 3 2 4" xfId="28529" xr:uid="{00000000-0005-0000-0000-0000A9610000}"/>
    <cellStyle name="40% - Accent4 3 6 3 2 5" xfId="28530" xr:uid="{00000000-0005-0000-0000-0000AA610000}"/>
    <cellStyle name="40% - Accent4 3 6 3 2 6" xfId="28531" xr:uid="{00000000-0005-0000-0000-0000AB610000}"/>
    <cellStyle name="40% - Accent4 3 6 3 3" xfId="28532" xr:uid="{00000000-0005-0000-0000-0000AC610000}"/>
    <cellStyle name="40% - Accent4 3 6 3 3 2" xfId="28533" xr:uid="{00000000-0005-0000-0000-0000AD610000}"/>
    <cellStyle name="40% - Accent4 3 6 3 3 2 2" xfId="28534" xr:uid="{00000000-0005-0000-0000-0000AE610000}"/>
    <cellStyle name="40% - Accent4 3 6 3 3 3" xfId="28535" xr:uid="{00000000-0005-0000-0000-0000AF610000}"/>
    <cellStyle name="40% - Accent4 3 6 3 4" xfId="28536" xr:uid="{00000000-0005-0000-0000-0000B0610000}"/>
    <cellStyle name="40% - Accent4 3 6 3 4 2" xfId="28537" xr:uid="{00000000-0005-0000-0000-0000B1610000}"/>
    <cellStyle name="40% - Accent4 3 6 3 5" xfId="28538" xr:uid="{00000000-0005-0000-0000-0000B2610000}"/>
    <cellStyle name="40% - Accent4 3 6 3 6" xfId="28539" xr:uid="{00000000-0005-0000-0000-0000B3610000}"/>
    <cellStyle name="40% - Accent4 3 6 3 7" xfId="28540" xr:uid="{00000000-0005-0000-0000-0000B4610000}"/>
    <cellStyle name="40% - Accent4 3 6 4" xfId="28541" xr:uid="{00000000-0005-0000-0000-0000B5610000}"/>
    <cellStyle name="40% - Accent4 3 6 4 2" xfId="28542" xr:uid="{00000000-0005-0000-0000-0000B6610000}"/>
    <cellStyle name="40% - Accent4 3 6 4 2 2" xfId="28543" xr:uid="{00000000-0005-0000-0000-0000B7610000}"/>
    <cellStyle name="40% - Accent4 3 6 4 2 2 2" xfId="28544" xr:uid="{00000000-0005-0000-0000-0000B8610000}"/>
    <cellStyle name="40% - Accent4 3 6 4 2 3" xfId="28545" xr:uid="{00000000-0005-0000-0000-0000B9610000}"/>
    <cellStyle name="40% - Accent4 3 6 4 3" xfId="28546" xr:uid="{00000000-0005-0000-0000-0000BA610000}"/>
    <cellStyle name="40% - Accent4 3 6 4 3 2" xfId="28547" xr:uid="{00000000-0005-0000-0000-0000BB610000}"/>
    <cellStyle name="40% - Accent4 3 6 4 4" xfId="28548" xr:uid="{00000000-0005-0000-0000-0000BC610000}"/>
    <cellStyle name="40% - Accent4 3 6 4 5" xfId="28549" xr:uid="{00000000-0005-0000-0000-0000BD610000}"/>
    <cellStyle name="40% - Accent4 3 6 4 6" xfId="28550" xr:uid="{00000000-0005-0000-0000-0000BE610000}"/>
    <cellStyle name="40% - Accent4 3 6 5" xfId="28551" xr:uid="{00000000-0005-0000-0000-0000BF610000}"/>
    <cellStyle name="40% - Accent4 3 6 5 2" xfId="28552" xr:uid="{00000000-0005-0000-0000-0000C0610000}"/>
    <cellStyle name="40% - Accent4 3 6 5 2 2" xfId="28553" xr:uid="{00000000-0005-0000-0000-0000C1610000}"/>
    <cellStyle name="40% - Accent4 3 6 5 3" xfId="28554" xr:uid="{00000000-0005-0000-0000-0000C2610000}"/>
    <cellStyle name="40% - Accent4 3 6 6" xfId="28555" xr:uid="{00000000-0005-0000-0000-0000C3610000}"/>
    <cellStyle name="40% - Accent4 3 6 6 2" xfId="28556" xr:uid="{00000000-0005-0000-0000-0000C4610000}"/>
    <cellStyle name="40% - Accent4 3 6 6 2 2" xfId="28557" xr:uid="{00000000-0005-0000-0000-0000C5610000}"/>
    <cellStyle name="40% - Accent4 3 6 6 3" xfId="28558" xr:uid="{00000000-0005-0000-0000-0000C6610000}"/>
    <cellStyle name="40% - Accent4 3 6 7" xfId="28559" xr:uid="{00000000-0005-0000-0000-0000C7610000}"/>
    <cellStyle name="40% - Accent4 3 6 7 2" xfId="28560" xr:uid="{00000000-0005-0000-0000-0000C8610000}"/>
    <cellStyle name="40% - Accent4 3 6 8" xfId="28561" xr:uid="{00000000-0005-0000-0000-0000C9610000}"/>
    <cellStyle name="40% - Accent4 3 6 8 2" xfId="28562" xr:uid="{00000000-0005-0000-0000-0000CA610000}"/>
    <cellStyle name="40% - Accent4 3 6 9" xfId="28563" xr:uid="{00000000-0005-0000-0000-0000CB610000}"/>
    <cellStyle name="40% - Accent4 3 7" xfId="28564" xr:uid="{00000000-0005-0000-0000-0000CC610000}"/>
    <cellStyle name="40% - Accent4 3 7 10" xfId="28565" xr:uid="{00000000-0005-0000-0000-0000CD610000}"/>
    <cellStyle name="40% - Accent4 3 7 11" xfId="28566" xr:uid="{00000000-0005-0000-0000-0000CE610000}"/>
    <cellStyle name="40% - Accent4 3 7 2" xfId="28567" xr:uid="{00000000-0005-0000-0000-0000CF610000}"/>
    <cellStyle name="40% - Accent4 3 7 2 2" xfId="28568" xr:uid="{00000000-0005-0000-0000-0000D0610000}"/>
    <cellStyle name="40% - Accent4 3 7 2 2 2" xfId="28569" xr:uid="{00000000-0005-0000-0000-0000D1610000}"/>
    <cellStyle name="40% - Accent4 3 7 2 2 2 2" xfId="28570" xr:uid="{00000000-0005-0000-0000-0000D2610000}"/>
    <cellStyle name="40% - Accent4 3 7 2 2 2 2 2" xfId="28571" xr:uid="{00000000-0005-0000-0000-0000D3610000}"/>
    <cellStyle name="40% - Accent4 3 7 2 2 2 3" xfId="28572" xr:uid="{00000000-0005-0000-0000-0000D4610000}"/>
    <cellStyle name="40% - Accent4 3 7 2 2 3" xfId="28573" xr:uid="{00000000-0005-0000-0000-0000D5610000}"/>
    <cellStyle name="40% - Accent4 3 7 2 2 3 2" xfId="28574" xr:uid="{00000000-0005-0000-0000-0000D6610000}"/>
    <cellStyle name="40% - Accent4 3 7 2 2 4" xfId="28575" xr:uid="{00000000-0005-0000-0000-0000D7610000}"/>
    <cellStyle name="40% - Accent4 3 7 2 2 5" xfId="28576" xr:uid="{00000000-0005-0000-0000-0000D8610000}"/>
    <cellStyle name="40% - Accent4 3 7 2 2 6" xfId="28577" xr:uid="{00000000-0005-0000-0000-0000D9610000}"/>
    <cellStyle name="40% - Accent4 3 7 2 3" xfId="28578" xr:uid="{00000000-0005-0000-0000-0000DA610000}"/>
    <cellStyle name="40% - Accent4 3 7 2 3 2" xfId="28579" xr:uid="{00000000-0005-0000-0000-0000DB610000}"/>
    <cellStyle name="40% - Accent4 3 7 2 3 2 2" xfId="28580" xr:uid="{00000000-0005-0000-0000-0000DC610000}"/>
    <cellStyle name="40% - Accent4 3 7 2 3 3" xfId="28581" xr:uid="{00000000-0005-0000-0000-0000DD610000}"/>
    <cellStyle name="40% - Accent4 3 7 2 4" xfId="28582" xr:uid="{00000000-0005-0000-0000-0000DE610000}"/>
    <cellStyle name="40% - Accent4 3 7 2 4 2" xfId="28583" xr:uid="{00000000-0005-0000-0000-0000DF610000}"/>
    <cellStyle name="40% - Accent4 3 7 2 5" xfId="28584" xr:uid="{00000000-0005-0000-0000-0000E0610000}"/>
    <cellStyle name="40% - Accent4 3 7 2 5 2" xfId="28585" xr:uid="{00000000-0005-0000-0000-0000E1610000}"/>
    <cellStyle name="40% - Accent4 3 7 2 6" xfId="28586" xr:uid="{00000000-0005-0000-0000-0000E2610000}"/>
    <cellStyle name="40% - Accent4 3 7 2 7" xfId="28587" xr:uid="{00000000-0005-0000-0000-0000E3610000}"/>
    <cellStyle name="40% - Accent4 3 7 2 8" xfId="28588" xr:uid="{00000000-0005-0000-0000-0000E4610000}"/>
    <cellStyle name="40% - Accent4 3 7 3" xfId="28589" xr:uid="{00000000-0005-0000-0000-0000E5610000}"/>
    <cellStyle name="40% - Accent4 3 7 3 2" xfId="28590" xr:uid="{00000000-0005-0000-0000-0000E6610000}"/>
    <cellStyle name="40% - Accent4 3 7 3 2 2" xfId="28591" xr:uid="{00000000-0005-0000-0000-0000E7610000}"/>
    <cellStyle name="40% - Accent4 3 7 3 2 2 2" xfId="28592" xr:uid="{00000000-0005-0000-0000-0000E8610000}"/>
    <cellStyle name="40% - Accent4 3 7 3 2 2 2 2" xfId="28593" xr:uid="{00000000-0005-0000-0000-0000E9610000}"/>
    <cellStyle name="40% - Accent4 3 7 3 2 2 3" xfId="28594" xr:uid="{00000000-0005-0000-0000-0000EA610000}"/>
    <cellStyle name="40% - Accent4 3 7 3 2 3" xfId="28595" xr:uid="{00000000-0005-0000-0000-0000EB610000}"/>
    <cellStyle name="40% - Accent4 3 7 3 2 3 2" xfId="28596" xr:uid="{00000000-0005-0000-0000-0000EC610000}"/>
    <cellStyle name="40% - Accent4 3 7 3 2 4" xfId="28597" xr:uid="{00000000-0005-0000-0000-0000ED610000}"/>
    <cellStyle name="40% - Accent4 3 7 3 2 5" xfId="28598" xr:uid="{00000000-0005-0000-0000-0000EE610000}"/>
    <cellStyle name="40% - Accent4 3 7 3 2 6" xfId="28599" xr:uid="{00000000-0005-0000-0000-0000EF610000}"/>
    <cellStyle name="40% - Accent4 3 7 3 3" xfId="28600" xr:uid="{00000000-0005-0000-0000-0000F0610000}"/>
    <cellStyle name="40% - Accent4 3 7 3 3 2" xfId="28601" xr:uid="{00000000-0005-0000-0000-0000F1610000}"/>
    <cellStyle name="40% - Accent4 3 7 3 3 2 2" xfId="28602" xr:uid="{00000000-0005-0000-0000-0000F2610000}"/>
    <cellStyle name="40% - Accent4 3 7 3 3 3" xfId="28603" xr:uid="{00000000-0005-0000-0000-0000F3610000}"/>
    <cellStyle name="40% - Accent4 3 7 3 4" xfId="28604" xr:uid="{00000000-0005-0000-0000-0000F4610000}"/>
    <cellStyle name="40% - Accent4 3 7 3 4 2" xfId="28605" xr:uid="{00000000-0005-0000-0000-0000F5610000}"/>
    <cellStyle name="40% - Accent4 3 7 3 5" xfId="28606" xr:uid="{00000000-0005-0000-0000-0000F6610000}"/>
    <cellStyle name="40% - Accent4 3 7 3 6" xfId="28607" xr:uid="{00000000-0005-0000-0000-0000F7610000}"/>
    <cellStyle name="40% - Accent4 3 7 3 7" xfId="28608" xr:uid="{00000000-0005-0000-0000-0000F8610000}"/>
    <cellStyle name="40% - Accent4 3 7 4" xfId="28609" xr:uid="{00000000-0005-0000-0000-0000F9610000}"/>
    <cellStyle name="40% - Accent4 3 7 4 2" xfId="28610" xr:uid="{00000000-0005-0000-0000-0000FA610000}"/>
    <cellStyle name="40% - Accent4 3 7 4 2 2" xfId="28611" xr:uid="{00000000-0005-0000-0000-0000FB610000}"/>
    <cellStyle name="40% - Accent4 3 7 4 2 2 2" xfId="28612" xr:uid="{00000000-0005-0000-0000-0000FC610000}"/>
    <cellStyle name="40% - Accent4 3 7 4 2 3" xfId="28613" xr:uid="{00000000-0005-0000-0000-0000FD610000}"/>
    <cellStyle name="40% - Accent4 3 7 4 3" xfId="28614" xr:uid="{00000000-0005-0000-0000-0000FE610000}"/>
    <cellStyle name="40% - Accent4 3 7 4 3 2" xfId="28615" xr:uid="{00000000-0005-0000-0000-0000FF610000}"/>
    <cellStyle name="40% - Accent4 3 7 4 4" xfId="28616" xr:uid="{00000000-0005-0000-0000-000000620000}"/>
    <cellStyle name="40% - Accent4 3 7 4 5" xfId="28617" xr:uid="{00000000-0005-0000-0000-000001620000}"/>
    <cellStyle name="40% - Accent4 3 7 4 6" xfId="28618" xr:uid="{00000000-0005-0000-0000-000002620000}"/>
    <cellStyle name="40% - Accent4 3 7 5" xfId="28619" xr:uid="{00000000-0005-0000-0000-000003620000}"/>
    <cellStyle name="40% - Accent4 3 7 5 2" xfId="28620" xr:uid="{00000000-0005-0000-0000-000004620000}"/>
    <cellStyle name="40% - Accent4 3 7 5 2 2" xfId="28621" xr:uid="{00000000-0005-0000-0000-000005620000}"/>
    <cellStyle name="40% - Accent4 3 7 5 3" xfId="28622" xr:uid="{00000000-0005-0000-0000-000006620000}"/>
    <cellStyle name="40% - Accent4 3 7 6" xfId="28623" xr:uid="{00000000-0005-0000-0000-000007620000}"/>
    <cellStyle name="40% - Accent4 3 7 6 2" xfId="28624" xr:uid="{00000000-0005-0000-0000-000008620000}"/>
    <cellStyle name="40% - Accent4 3 7 6 2 2" xfId="28625" xr:uid="{00000000-0005-0000-0000-000009620000}"/>
    <cellStyle name="40% - Accent4 3 7 6 3" xfId="28626" xr:uid="{00000000-0005-0000-0000-00000A620000}"/>
    <cellStyle name="40% - Accent4 3 7 7" xfId="28627" xr:uid="{00000000-0005-0000-0000-00000B620000}"/>
    <cellStyle name="40% - Accent4 3 7 7 2" xfId="28628" xr:uid="{00000000-0005-0000-0000-00000C620000}"/>
    <cellStyle name="40% - Accent4 3 7 8" xfId="28629" xr:uid="{00000000-0005-0000-0000-00000D620000}"/>
    <cellStyle name="40% - Accent4 3 7 8 2" xfId="28630" xr:uid="{00000000-0005-0000-0000-00000E620000}"/>
    <cellStyle name="40% - Accent4 3 7 9" xfId="28631" xr:uid="{00000000-0005-0000-0000-00000F620000}"/>
    <cellStyle name="40% - Accent4 3 8" xfId="28632" xr:uid="{00000000-0005-0000-0000-000010620000}"/>
    <cellStyle name="40% - Accent4 3 8 10" xfId="28633" xr:uid="{00000000-0005-0000-0000-000011620000}"/>
    <cellStyle name="40% - Accent4 3 8 11" xfId="28634" xr:uid="{00000000-0005-0000-0000-000012620000}"/>
    <cellStyle name="40% - Accent4 3 8 2" xfId="28635" xr:uid="{00000000-0005-0000-0000-000013620000}"/>
    <cellStyle name="40% - Accent4 3 8 2 2" xfId="28636" xr:uid="{00000000-0005-0000-0000-000014620000}"/>
    <cellStyle name="40% - Accent4 3 8 2 2 2" xfId="28637" xr:uid="{00000000-0005-0000-0000-000015620000}"/>
    <cellStyle name="40% - Accent4 3 8 2 2 2 2" xfId="28638" xr:uid="{00000000-0005-0000-0000-000016620000}"/>
    <cellStyle name="40% - Accent4 3 8 2 2 2 2 2" xfId="28639" xr:uid="{00000000-0005-0000-0000-000017620000}"/>
    <cellStyle name="40% - Accent4 3 8 2 2 2 3" xfId="28640" xr:uid="{00000000-0005-0000-0000-000018620000}"/>
    <cellStyle name="40% - Accent4 3 8 2 2 3" xfId="28641" xr:uid="{00000000-0005-0000-0000-000019620000}"/>
    <cellStyle name="40% - Accent4 3 8 2 2 3 2" xfId="28642" xr:uid="{00000000-0005-0000-0000-00001A620000}"/>
    <cellStyle name="40% - Accent4 3 8 2 2 4" xfId="28643" xr:uid="{00000000-0005-0000-0000-00001B620000}"/>
    <cellStyle name="40% - Accent4 3 8 2 2 5" xfId="28644" xr:uid="{00000000-0005-0000-0000-00001C620000}"/>
    <cellStyle name="40% - Accent4 3 8 2 2 6" xfId="28645" xr:uid="{00000000-0005-0000-0000-00001D620000}"/>
    <cellStyle name="40% - Accent4 3 8 2 3" xfId="28646" xr:uid="{00000000-0005-0000-0000-00001E620000}"/>
    <cellStyle name="40% - Accent4 3 8 2 3 2" xfId="28647" xr:uid="{00000000-0005-0000-0000-00001F620000}"/>
    <cellStyle name="40% - Accent4 3 8 2 3 2 2" xfId="28648" xr:uid="{00000000-0005-0000-0000-000020620000}"/>
    <cellStyle name="40% - Accent4 3 8 2 3 3" xfId="28649" xr:uid="{00000000-0005-0000-0000-000021620000}"/>
    <cellStyle name="40% - Accent4 3 8 2 4" xfId="28650" xr:uid="{00000000-0005-0000-0000-000022620000}"/>
    <cellStyle name="40% - Accent4 3 8 2 4 2" xfId="28651" xr:uid="{00000000-0005-0000-0000-000023620000}"/>
    <cellStyle name="40% - Accent4 3 8 2 5" xfId="28652" xr:uid="{00000000-0005-0000-0000-000024620000}"/>
    <cellStyle name="40% - Accent4 3 8 2 5 2" xfId="28653" xr:uid="{00000000-0005-0000-0000-000025620000}"/>
    <cellStyle name="40% - Accent4 3 8 2 6" xfId="28654" xr:uid="{00000000-0005-0000-0000-000026620000}"/>
    <cellStyle name="40% - Accent4 3 8 2 7" xfId="28655" xr:uid="{00000000-0005-0000-0000-000027620000}"/>
    <cellStyle name="40% - Accent4 3 8 2 8" xfId="28656" xr:uid="{00000000-0005-0000-0000-000028620000}"/>
    <cellStyle name="40% - Accent4 3 8 3" xfId="28657" xr:uid="{00000000-0005-0000-0000-000029620000}"/>
    <cellStyle name="40% - Accent4 3 8 3 2" xfId="28658" xr:uid="{00000000-0005-0000-0000-00002A620000}"/>
    <cellStyle name="40% - Accent4 3 8 3 2 2" xfId="28659" xr:uid="{00000000-0005-0000-0000-00002B620000}"/>
    <cellStyle name="40% - Accent4 3 8 3 2 2 2" xfId="28660" xr:uid="{00000000-0005-0000-0000-00002C620000}"/>
    <cellStyle name="40% - Accent4 3 8 3 2 2 2 2" xfId="28661" xr:uid="{00000000-0005-0000-0000-00002D620000}"/>
    <cellStyle name="40% - Accent4 3 8 3 2 2 3" xfId="28662" xr:uid="{00000000-0005-0000-0000-00002E620000}"/>
    <cellStyle name="40% - Accent4 3 8 3 2 3" xfId="28663" xr:uid="{00000000-0005-0000-0000-00002F620000}"/>
    <cellStyle name="40% - Accent4 3 8 3 2 3 2" xfId="28664" xr:uid="{00000000-0005-0000-0000-000030620000}"/>
    <cellStyle name="40% - Accent4 3 8 3 2 4" xfId="28665" xr:uid="{00000000-0005-0000-0000-000031620000}"/>
    <cellStyle name="40% - Accent4 3 8 3 2 5" xfId="28666" xr:uid="{00000000-0005-0000-0000-000032620000}"/>
    <cellStyle name="40% - Accent4 3 8 3 2 6" xfId="28667" xr:uid="{00000000-0005-0000-0000-000033620000}"/>
    <cellStyle name="40% - Accent4 3 8 3 3" xfId="28668" xr:uid="{00000000-0005-0000-0000-000034620000}"/>
    <cellStyle name="40% - Accent4 3 8 3 3 2" xfId="28669" xr:uid="{00000000-0005-0000-0000-000035620000}"/>
    <cellStyle name="40% - Accent4 3 8 3 3 2 2" xfId="28670" xr:uid="{00000000-0005-0000-0000-000036620000}"/>
    <cellStyle name="40% - Accent4 3 8 3 3 3" xfId="28671" xr:uid="{00000000-0005-0000-0000-000037620000}"/>
    <cellStyle name="40% - Accent4 3 8 3 4" xfId="28672" xr:uid="{00000000-0005-0000-0000-000038620000}"/>
    <cellStyle name="40% - Accent4 3 8 3 4 2" xfId="28673" xr:uid="{00000000-0005-0000-0000-000039620000}"/>
    <cellStyle name="40% - Accent4 3 8 3 5" xfId="28674" xr:uid="{00000000-0005-0000-0000-00003A620000}"/>
    <cellStyle name="40% - Accent4 3 8 3 6" xfId="28675" xr:uid="{00000000-0005-0000-0000-00003B620000}"/>
    <cellStyle name="40% - Accent4 3 8 3 7" xfId="28676" xr:uid="{00000000-0005-0000-0000-00003C620000}"/>
    <cellStyle name="40% - Accent4 3 8 4" xfId="28677" xr:uid="{00000000-0005-0000-0000-00003D620000}"/>
    <cellStyle name="40% - Accent4 3 8 4 2" xfId="28678" xr:uid="{00000000-0005-0000-0000-00003E620000}"/>
    <cellStyle name="40% - Accent4 3 8 4 2 2" xfId="28679" xr:uid="{00000000-0005-0000-0000-00003F620000}"/>
    <cellStyle name="40% - Accent4 3 8 4 2 2 2" xfId="28680" xr:uid="{00000000-0005-0000-0000-000040620000}"/>
    <cellStyle name="40% - Accent4 3 8 4 2 3" xfId="28681" xr:uid="{00000000-0005-0000-0000-000041620000}"/>
    <cellStyle name="40% - Accent4 3 8 4 3" xfId="28682" xr:uid="{00000000-0005-0000-0000-000042620000}"/>
    <cellStyle name="40% - Accent4 3 8 4 3 2" xfId="28683" xr:uid="{00000000-0005-0000-0000-000043620000}"/>
    <cellStyle name="40% - Accent4 3 8 4 4" xfId="28684" xr:uid="{00000000-0005-0000-0000-000044620000}"/>
    <cellStyle name="40% - Accent4 3 8 4 5" xfId="28685" xr:uid="{00000000-0005-0000-0000-000045620000}"/>
    <cellStyle name="40% - Accent4 3 8 4 6" xfId="28686" xr:uid="{00000000-0005-0000-0000-000046620000}"/>
    <cellStyle name="40% - Accent4 3 8 5" xfId="28687" xr:uid="{00000000-0005-0000-0000-000047620000}"/>
    <cellStyle name="40% - Accent4 3 8 5 2" xfId="28688" xr:uid="{00000000-0005-0000-0000-000048620000}"/>
    <cellStyle name="40% - Accent4 3 8 5 2 2" xfId="28689" xr:uid="{00000000-0005-0000-0000-000049620000}"/>
    <cellStyle name="40% - Accent4 3 8 5 3" xfId="28690" xr:uid="{00000000-0005-0000-0000-00004A620000}"/>
    <cellStyle name="40% - Accent4 3 8 6" xfId="28691" xr:uid="{00000000-0005-0000-0000-00004B620000}"/>
    <cellStyle name="40% - Accent4 3 8 6 2" xfId="28692" xr:uid="{00000000-0005-0000-0000-00004C620000}"/>
    <cellStyle name="40% - Accent4 3 8 6 2 2" xfId="28693" xr:uid="{00000000-0005-0000-0000-00004D620000}"/>
    <cellStyle name="40% - Accent4 3 8 6 3" xfId="28694" xr:uid="{00000000-0005-0000-0000-00004E620000}"/>
    <cellStyle name="40% - Accent4 3 8 7" xfId="28695" xr:uid="{00000000-0005-0000-0000-00004F620000}"/>
    <cellStyle name="40% - Accent4 3 8 7 2" xfId="28696" xr:uid="{00000000-0005-0000-0000-000050620000}"/>
    <cellStyle name="40% - Accent4 3 8 8" xfId="28697" xr:uid="{00000000-0005-0000-0000-000051620000}"/>
    <cellStyle name="40% - Accent4 3 8 8 2" xfId="28698" xr:uid="{00000000-0005-0000-0000-000052620000}"/>
    <cellStyle name="40% - Accent4 3 8 9" xfId="28699" xr:uid="{00000000-0005-0000-0000-000053620000}"/>
    <cellStyle name="40% - Accent4 3 9" xfId="28700" xr:uid="{00000000-0005-0000-0000-000054620000}"/>
    <cellStyle name="40% - Accent4 3 9 2" xfId="28701" xr:uid="{00000000-0005-0000-0000-000055620000}"/>
    <cellStyle name="40% - Accent4 3 9 2 2" xfId="28702" xr:uid="{00000000-0005-0000-0000-000056620000}"/>
    <cellStyle name="40% - Accent4 4" xfId="208" xr:uid="{00000000-0005-0000-0000-000057620000}"/>
    <cellStyle name="40% - Accent4 4 10" xfId="28703" xr:uid="{00000000-0005-0000-0000-000058620000}"/>
    <cellStyle name="40% - Accent4 4 10 2" xfId="28704" xr:uid="{00000000-0005-0000-0000-000059620000}"/>
    <cellStyle name="40% - Accent4 4 10 2 2" xfId="28705" xr:uid="{00000000-0005-0000-0000-00005A620000}"/>
    <cellStyle name="40% - Accent4 4 10 2 2 2" xfId="28706" xr:uid="{00000000-0005-0000-0000-00005B620000}"/>
    <cellStyle name="40% - Accent4 4 10 2 2 2 2" xfId="28707" xr:uid="{00000000-0005-0000-0000-00005C620000}"/>
    <cellStyle name="40% - Accent4 4 10 2 2 3" xfId="28708" xr:uid="{00000000-0005-0000-0000-00005D620000}"/>
    <cellStyle name="40% - Accent4 4 10 2 3" xfId="28709" xr:uid="{00000000-0005-0000-0000-00005E620000}"/>
    <cellStyle name="40% - Accent4 4 10 2 3 2" xfId="28710" xr:uid="{00000000-0005-0000-0000-00005F620000}"/>
    <cellStyle name="40% - Accent4 4 10 2 4" xfId="28711" xr:uid="{00000000-0005-0000-0000-000060620000}"/>
    <cellStyle name="40% - Accent4 4 10 2 5" xfId="28712" xr:uid="{00000000-0005-0000-0000-000061620000}"/>
    <cellStyle name="40% - Accent4 4 10 2 6" xfId="28713" xr:uid="{00000000-0005-0000-0000-000062620000}"/>
    <cellStyle name="40% - Accent4 4 10 3" xfId="28714" xr:uid="{00000000-0005-0000-0000-000063620000}"/>
    <cellStyle name="40% - Accent4 4 10 3 2" xfId="28715" xr:uid="{00000000-0005-0000-0000-000064620000}"/>
    <cellStyle name="40% - Accent4 4 10 3 2 2" xfId="28716" xr:uid="{00000000-0005-0000-0000-000065620000}"/>
    <cellStyle name="40% - Accent4 4 10 3 3" xfId="28717" xr:uid="{00000000-0005-0000-0000-000066620000}"/>
    <cellStyle name="40% - Accent4 4 10 4" xfId="28718" xr:uid="{00000000-0005-0000-0000-000067620000}"/>
    <cellStyle name="40% - Accent4 4 10 4 2" xfId="28719" xr:uid="{00000000-0005-0000-0000-000068620000}"/>
    <cellStyle name="40% - Accent4 4 10 4 2 2" xfId="28720" xr:uid="{00000000-0005-0000-0000-000069620000}"/>
    <cellStyle name="40% - Accent4 4 10 4 3" xfId="28721" xr:uid="{00000000-0005-0000-0000-00006A620000}"/>
    <cellStyle name="40% - Accent4 4 10 5" xfId="28722" xr:uid="{00000000-0005-0000-0000-00006B620000}"/>
    <cellStyle name="40% - Accent4 4 10 6" xfId="28723" xr:uid="{00000000-0005-0000-0000-00006C620000}"/>
    <cellStyle name="40% - Accent4 4 11" xfId="28724" xr:uid="{00000000-0005-0000-0000-00006D620000}"/>
    <cellStyle name="40% - Accent4 4 11 2" xfId="28725" xr:uid="{00000000-0005-0000-0000-00006E620000}"/>
    <cellStyle name="40% - Accent4 4 11 2 2" xfId="28726" xr:uid="{00000000-0005-0000-0000-00006F620000}"/>
    <cellStyle name="40% - Accent4 4 11 2 2 2" xfId="28727" xr:uid="{00000000-0005-0000-0000-000070620000}"/>
    <cellStyle name="40% - Accent4 4 11 2 2 2 2" xfId="28728" xr:uid="{00000000-0005-0000-0000-000071620000}"/>
    <cellStyle name="40% - Accent4 4 11 2 2 3" xfId="28729" xr:uid="{00000000-0005-0000-0000-000072620000}"/>
    <cellStyle name="40% - Accent4 4 11 2 3" xfId="28730" xr:uid="{00000000-0005-0000-0000-000073620000}"/>
    <cellStyle name="40% - Accent4 4 11 2 3 2" xfId="28731" xr:uid="{00000000-0005-0000-0000-000074620000}"/>
    <cellStyle name="40% - Accent4 4 11 2 4" xfId="28732" xr:uid="{00000000-0005-0000-0000-000075620000}"/>
    <cellStyle name="40% - Accent4 4 11 2 5" xfId="28733" xr:uid="{00000000-0005-0000-0000-000076620000}"/>
    <cellStyle name="40% - Accent4 4 11 2 6" xfId="28734" xr:uid="{00000000-0005-0000-0000-000077620000}"/>
    <cellStyle name="40% - Accent4 4 11 3" xfId="28735" xr:uid="{00000000-0005-0000-0000-000078620000}"/>
    <cellStyle name="40% - Accent4 4 11 3 2" xfId="28736" xr:uid="{00000000-0005-0000-0000-000079620000}"/>
    <cellStyle name="40% - Accent4 4 11 3 2 2" xfId="28737" xr:uid="{00000000-0005-0000-0000-00007A620000}"/>
    <cellStyle name="40% - Accent4 4 11 3 3" xfId="28738" xr:uid="{00000000-0005-0000-0000-00007B620000}"/>
    <cellStyle name="40% - Accent4 4 11 4" xfId="28739" xr:uid="{00000000-0005-0000-0000-00007C620000}"/>
    <cellStyle name="40% - Accent4 4 11 4 2" xfId="28740" xr:uid="{00000000-0005-0000-0000-00007D620000}"/>
    <cellStyle name="40% - Accent4 4 11 5" xfId="28741" xr:uid="{00000000-0005-0000-0000-00007E620000}"/>
    <cellStyle name="40% - Accent4 4 11 6" xfId="28742" xr:uid="{00000000-0005-0000-0000-00007F620000}"/>
    <cellStyle name="40% - Accent4 4 11 7" xfId="28743" xr:uid="{00000000-0005-0000-0000-000080620000}"/>
    <cellStyle name="40% - Accent4 4 12" xfId="28744" xr:uid="{00000000-0005-0000-0000-000081620000}"/>
    <cellStyle name="40% - Accent4 4 13" xfId="28745" xr:uid="{00000000-0005-0000-0000-000082620000}"/>
    <cellStyle name="40% - Accent4 4 13 2" xfId="28746" xr:uid="{00000000-0005-0000-0000-000083620000}"/>
    <cellStyle name="40% - Accent4 4 13 2 2" xfId="28747" xr:uid="{00000000-0005-0000-0000-000084620000}"/>
    <cellStyle name="40% - Accent4 4 13 3" xfId="28748" xr:uid="{00000000-0005-0000-0000-000085620000}"/>
    <cellStyle name="40% - Accent4 4 14" xfId="28749" xr:uid="{00000000-0005-0000-0000-000086620000}"/>
    <cellStyle name="40% - Accent4 4 14 2" xfId="28750" xr:uid="{00000000-0005-0000-0000-000087620000}"/>
    <cellStyle name="40% - Accent4 4 15" xfId="28751" xr:uid="{00000000-0005-0000-0000-000088620000}"/>
    <cellStyle name="40% - Accent4 4 16" xfId="28752" xr:uid="{00000000-0005-0000-0000-000089620000}"/>
    <cellStyle name="40% - Accent4 4 2" xfId="28753" xr:uid="{00000000-0005-0000-0000-00008A620000}"/>
    <cellStyle name="40% - Accent4 4 2 10" xfId="28754" xr:uid="{00000000-0005-0000-0000-00008B620000}"/>
    <cellStyle name="40% - Accent4 4 2 11" xfId="28755" xr:uid="{00000000-0005-0000-0000-00008C620000}"/>
    <cellStyle name="40% - Accent4 4 2 2" xfId="28756" xr:uid="{00000000-0005-0000-0000-00008D620000}"/>
    <cellStyle name="40% - Accent4 4 2 2 2" xfId="28757" xr:uid="{00000000-0005-0000-0000-00008E620000}"/>
    <cellStyle name="40% - Accent4 4 2 2 2 2" xfId="28758" xr:uid="{00000000-0005-0000-0000-00008F620000}"/>
    <cellStyle name="40% - Accent4 4 2 2 2 2 2" xfId="28759" xr:uid="{00000000-0005-0000-0000-000090620000}"/>
    <cellStyle name="40% - Accent4 4 2 2 2 2 2 2" xfId="28760" xr:uid="{00000000-0005-0000-0000-000091620000}"/>
    <cellStyle name="40% - Accent4 4 2 2 2 2 3" xfId="28761" xr:uid="{00000000-0005-0000-0000-000092620000}"/>
    <cellStyle name="40% - Accent4 4 2 2 2 3" xfId="28762" xr:uid="{00000000-0005-0000-0000-000093620000}"/>
    <cellStyle name="40% - Accent4 4 2 2 2 3 2" xfId="28763" xr:uid="{00000000-0005-0000-0000-000094620000}"/>
    <cellStyle name="40% - Accent4 4 2 2 2 4" xfId="28764" xr:uid="{00000000-0005-0000-0000-000095620000}"/>
    <cellStyle name="40% - Accent4 4 2 2 2 5" xfId="28765" xr:uid="{00000000-0005-0000-0000-000096620000}"/>
    <cellStyle name="40% - Accent4 4 2 2 2 6" xfId="28766" xr:uid="{00000000-0005-0000-0000-000097620000}"/>
    <cellStyle name="40% - Accent4 4 2 2 3" xfId="28767" xr:uid="{00000000-0005-0000-0000-000098620000}"/>
    <cellStyle name="40% - Accent4 4 2 2 3 2" xfId="28768" xr:uid="{00000000-0005-0000-0000-000099620000}"/>
    <cellStyle name="40% - Accent4 4 2 2 3 2 2" xfId="28769" xr:uid="{00000000-0005-0000-0000-00009A620000}"/>
    <cellStyle name="40% - Accent4 4 2 2 3 3" xfId="28770" xr:uid="{00000000-0005-0000-0000-00009B620000}"/>
    <cellStyle name="40% - Accent4 4 2 2 4" xfId="28771" xr:uid="{00000000-0005-0000-0000-00009C620000}"/>
    <cellStyle name="40% - Accent4 4 2 2 4 2" xfId="28772" xr:uid="{00000000-0005-0000-0000-00009D620000}"/>
    <cellStyle name="40% - Accent4 4 2 2 5" xfId="28773" xr:uid="{00000000-0005-0000-0000-00009E620000}"/>
    <cellStyle name="40% - Accent4 4 2 2 5 2" xfId="28774" xr:uid="{00000000-0005-0000-0000-00009F620000}"/>
    <cellStyle name="40% - Accent4 4 2 2 6" xfId="28775" xr:uid="{00000000-0005-0000-0000-0000A0620000}"/>
    <cellStyle name="40% - Accent4 4 2 2 7" xfId="28776" xr:uid="{00000000-0005-0000-0000-0000A1620000}"/>
    <cellStyle name="40% - Accent4 4 2 2 8" xfId="28777" xr:uid="{00000000-0005-0000-0000-0000A2620000}"/>
    <cellStyle name="40% - Accent4 4 2 3" xfId="28778" xr:uid="{00000000-0005-0000-0000-0000A3620000}"/>
    <cellStyle name="40% - Accent4 4 2 3 2" xfId="28779" xr:uid="{00000000-0005-0000-0000-0000A4620000}"/>
    <cellStyle name="40% - Accent4 4 2 3 2 2" xfId="28780" xr:uid="{00000000-0005-0000-0000-0000A5620000}"/>
    <cellStyle name="40% - Accent4 4 2 3 2 2 2" xfId="28781" xr:uid="{00000000-0005-0000-0000-0000A6620000}"/>
    <cellStyle name="40% - Accent4 4 2 3 2 2 2 2" xfId="28782" xr:uid="{00000000-0005-0000-0000-0000A7620000}"/>
    <cellStyle name="40% - Accent4 4 2 3 2 2 3" xfId="28783" xr:uid="{00000000-0005-0000-0000-0000A8620000}"/>
    <cellStyle name="40% - Accent4 4 2 3 2 3" xfId="28784" xr:uid="{00000000-0005-0000-0000-0000A9620000}"/>
    <cellStyle name="40% - Accent4 4 2 3 2 3 2" xfId="28785" xr:uid="{00000000-0005-0000-0000-0000AA620000}"/>
    <cellStyle name="40% - Accent4 4 2 3 2 4" xfId="28786" xr:uid="{00000000-0005-0000-0000-0000AB620000}"/>
    <cellStyle name="40% - Accent4 4 2 3 2 5" xfId="28787" xr:uid="{00000000-0005-0000-0000-0000AC620000}"/>
    <cellStyle name="40% - Accent4 4 2 3 2 6" xfId="28788" xr:uid="{00000000-0005-0000-0000-0000AD620000}"/>
    <cellStyle name="40% - Accent4 4 2 3 3" xfId="28789" xr:uid="{00000000-0005-0000-0000-0000AE620000}"/>
    <cellStyle name="40% - Accent4 4 2 3 3 2" xfId="28790" xr:uid="{00000000-0005-0000-0000-0000AF620000}"/>
    <cellStyle name="40% - Accent4 4 2 3 3 2 2" xfId="28791" xr:uid="{00000000-0005-0000-0000-0000B0620000}"/>
    <cellStyle name="40% - Accent4 4 2 3 3 3" xfId="28792" xr:uid="{00000000-0005-0000-0000-0000B1620000}"/>
    <cellStyle name="40% - Accent4 4 2 3 4" xfId="28793" xr:uid="{00000000-0005-0000-0000-0000B2620000}"/>
    <cellStyle name="40% - Accent4 4 2 3 4 2" xfId="28794" xr:uid="{00000000-0005-0000-0000-0000B3620000}"/>
    <cellStyle name="40% - Accent4 4 2 3 5" xfId="28795" xr:uid="{00000000-0005-0000-0000-0000B4620000}"/>
    <cellStyle name="40% - Accent4 4 2 3 6" xfId="28796" xr:uid="{00000000-0005-0000-0000-0000B5620000}"/>
    <cellStyle name="40% - Accent4 4 2 3 7" xfId="28797" xr:uid="{00000000-0005-0000-0000-0000B6620000}"/>
    <cellStyle name="40% - Accent4 4 2 4" xfId="28798" xr:uid="{00000000-0005-0000-0000-0000B7620000}"/>
    <cellStyle name="40% - Accent4 4 2 4 2" xfId="28799" xr:uid="{00000000-0005-0000-0000-0000B8620000}"/>
    <cellStyle name="40% - Accent4 4 2 4 2 2" xfId="28800" xr:uid="{00000000-0005-0000-0000-0000B9620000}"/>
    <cellStyle name="40% - Accent4 4 2 4 2 2 2" xfId="28801" xr:uid="{00000000-0005-0000-0000-0000BA620000}"/>
    <cellStyle name="40% - Accent4 4 2 4 2 3" xfId="28802" xr:uid="{00000000-0005-0000-0000-0000BB620000}"/>
    <cellStyle name="40% - Accent4 4 2 4 3" xfId="28803" xr:uid="{00000000-0005-0000-0000-0000BC620000}"/>
    <cellStyle name="40% - Accent4 4 2 4 3 2" xfId="28804" xr:uid="{00000000-0005-0000-0000-0000BD620000}"/>
    <cellStyle name="40% - Accent4 4 2 4 4" xfId="28805" xr:uid="{00000000-0005-0000-0000-0000BE620000}"/>
    <cellStyle name="40% - Accent4 4 2 4 5" xfId="28806" xr:uid="{00000000-0005-0000-0000-0000BF620000}"/>
    <cellStyle name="40% - Accent4 4 2 4 6" xfId="28807" xr:uid="{00000000-0005-0000-0000-0000C0620000}"/>
    <cellStyle name="40% - Accent4 4 2 5" xfId="28808" xr:uid="{00000000-0005-0000-0000-0000C1620000}"/>
    <cellStyle name="40% - Accent4 4 2 5 2" xfId="28809" xr:uid="{00000000-0005-0000-0000-0000C2620000}"/>
    <cellStyle name="40% - Accent4 4 2 5 2 2" xfId="28810" xr:uid="{00000000-0005-0000-0000-0000C3620000}"/>
    <cellStyle name="40% - Accent4 4 2 5 3" xfId="28811" xr:uid="{00000000-0005-0000-0000-0000C4620000}"/>
    <cellStyle name="40% - Accent4 4 2 6" xfId="28812" xr:uid="{00000000-0005-0000-0000-0000C5620000}"/>
    <cellStyle name="40% - Accent4 4 2 6 2" xfId="28813" xr:uid="{00000000-0005-0000-0000-0000C6620000}"/>
    <cellStyle name="40% - Accent4 4 2 6 2 2" xfId="28814" xr:uid="{00000000-0005-0000-0000-0000C7620000}"/>
    <cellStyle name="40% - Accent4 4 2 6 3" xfId="28815" xr:uid="{00000000-0005-0000-0000-0000C8620000}"/>
    <cellStyle name="40% - Accent4 4 2 7" xfId="28816" xr:uid="{00000000-0005-0000-0000-0000C9620000}"/>
    <cellStyle name="40% - Accent4 4 2 7 2" xfId="28817" xr:uid="{00000000-0005-0000-0000-0000CA620000}"/>
    <cellStyle name="40% - Accent4 4 2 8" xfId="28818" xr:uid="{00000000-0005-0000-0000-0000CB620000}"/>
    <cellStyle name="40% - Accent4 4 2 8 2" xfId="28819" xr:uid="{00000000-0005-0000-0000-0000CC620000}"/>
    <cellStyle name="40% - Accent4 4 2 9" xfId="28820" xr:uid="{00000000-0005-0000-0000-0000CD620000}"/>
    <cellStyle name="40% - Accent4 4 3" xfId="28821" xr:uid="{00000000-0005-0000-0000-0000CE620000}"/>
    <cellStyle name="40% - Accent4 4 3 10" xfId="28822" xr:uid="{00000000-0005-0000-0000-0000CF620000}"/>
    <cellStyle name="40% - Accent4 4 3 11" xfId="28823" xr:uid="{00000000-0005-0000-0000-0000D0620000}"/>
    <cellStyle name="40% - Accent4 4 3 2" xfId="28824" xr:uid="{00000000-0005-0000-0000-0000D1620000}"/>
    <cellStyle name="40% - Accent4 4 3 2 2" xfId="28825" xr:uid="{00000000-0005-0000-0000-0000D2620000}"/>
    <cellStyle name="40% - Accent4 4 3 2 2 2" xfId="28826" xr:uid="{00000000-0005-0000-0000-0000D3620000}"/>
    <cellStyle name="40% - Accent4 4 3 2 2 2 2" xfId="28827" xr:uid="{00000000-0005-0000-0000-0000D4620000}"/>
    <cellStyle name="40% - Accent4 4 3 2 2 2 2 2" xfId="28828" xr:uid="{00000000-0005-0000-0000-0000D5620000}"/>
    <cellStyle name="40% - Accent4 4 3 2 2 2 3" xfId="28829" xr:uid="{00000000-0005-0000-0000-0000D6620000}"/>
    <cellStyle name="40% - Accent4 4 3 2 2 3" xfId="28830" xr:uid="{00000000-0005-0000-0000-0000D7620000}"/>
    <cellStyle name="40% - Accent4 4 3 2 2 3 2" xfId="28831" xr:uid="{00000000-0005-0000-0000-0000D8620000}"/>
    <cellStyle name="40% - Accent4 4 3 2 2 4" xfId="28832" xr:uid="{00000000-0005-0000-0000-0000D9620000}"/>
    <cellStyle name="40% - Accent4 4 3 2 2 5" xfId="28833" xr:uid="{00000000-0005-0000-0000-0000DA620000}"/>
    <cellStyle name="40% - Accent4 4 3 2 2 6" xfId="28834" xr:uid="{00000000-0005-0000-0000-0000DB620000}"/>
    <cellStyle name="40% - Accent4 4 3 2 3" xfId="28835" xr:uid="{00000000-0005-0000-0000-0000DC620000}"/>
    <cellStyle name="40% - Accent4 4 3 2 3 2" xfId="28836" xr:uid="{00000000-0005-0000-0000-0000DD620000}"/>
    <cellStyle name="40% - Accent4 4 3 2 3 2 2" xfId="28837" xr:uid="{00000000-0005-0000-0000-0000DE620000}"/>
    <cellStyle name="40% - Accent4 4 3 2 3 3" xfId="28838" xr:uid="{00000000-0005-0000-0000-0000DF620000}"/>
    <cellStyle name="40% - Accent4 4 3 2 4" xfId="28839" xr:uid="{00000000-0005-0000-0000-0000E0620000}"/>
    <cellStyle name="40% - Accent4 4 3 2 4 2" xfId="28840" xr:uid="{00000000-0005-0000-0000-0000E1620000}"/>
    <cellStyle name="40% - Accent4 4 3 2 5" xfId="28841" xr:uid="{00000000-0005-0000-0000-0000E2620000}"/>
    <cellStyle name="40% - Accent4 4 3 2 5 2" xfId="28842" xr:uid="{00000000-0005-0000-0000-0000E3620000}"/>
    <cellStyle name="40% - Accent4 4 3 2 6" xfId="28843" xr:uid="{00000000-0005-0000-0000-0000E4620000}"/>
    <cellStyle name="40% - Accent4 4 3 2 7" xfId="28844" xr:uid="{00000000-0005-0000-0000-0000E5620000}"/>
    <cellStyle name="40% - Accent4 4 3 2 8" xfId="28845" xr:uid="{00000000-0005-0000-0000-0000E6620000}"/>
    <cellStyle name="40% - Accent4 4 3 3" xfId="28846" xr:uid="{00000000-0005-0000-0000-0000E7620000}"/>
    <cellStyle name="40% - Accent4 4 3 3 2" xfId="28847" xr:uid="{00000000-0005-0000-0000-0000E8620000}"/>
    <cellStyle name="40% - Accent4 4 3 3 2 2" xfId="28848" xr:uid="{00000000-0005-0000-0000-0000E9620000}"/>
    <cellStyle name="40% - Accent4 4 3 3 2 2 2" xfId="28849" xr:uid="{00000000-0005-0000-0000-0000EA620000}"/>
    <cellStyle name="40% - Accent4 4 3 3 2 2 2 2" xfId="28850" xr:uid="{00000000-0005-0000-0000-0000EB620000}"/>
    <cellStyle name="40% - Accent4 4 3 3 2 2 3" xfId="28851" xr:uid="{00000000-0005-0000-0000-0000EC620000}"/>
    <cellStyle name="40% - Accent4 4 3 3 2 3" xfId="28852" xr:uid="{00000000-0005-0000-0000-0000ED620000}"/>
    <cellStyle name="40% - Accent4 4 3 3 2 3 2" xfId="28853" xr:uid="{00000000-0005-0000-0000-0000EE620000}"/>
    <cellStyle name="40% - Accent4 4 3 3 2 4" xfId="28854" xr:uid="{00000000-0005-0000-0000-0000EF620000}"/>
    <cellStyle name="40% - Accent4 4 3 3 2 5" xfId="28855" xr:uid="{00000000-0005-0000-0000-0000F0620000}"/>
    <cellStyle name="40% - Accent4 4 3 3 2 6" xfId="28856" xr:uid="{00000000-0005-0000-0000-0000F1620000}"/>
    <cellStyle name="40% - Accent4 4 3 3 3" xfId="28857" xr:uid="{00000000-0005-0000-0000-0000F2620000}"/>
    <cellStyle name="40% - Accent4 4 3 3 3 2" xfId="28858" xr:uid="{00000000-0005-0000-0000-0000F3620000}"/>
    <cellStyle name="40% - Accent4 4 3 3 3 2 2" xfId="28859" xr:uid="{00000000-0005-0000-0000-0000F4620000}"/>
    <cellStyle name="40% - Accent4 4 3 3 3 3" xfId="28860" xr:uid="{00000000-0005-0000-0000-0000F5620000}"/>
    <cellStyle name="40% - Accent4 4 3 3 4" xfId="28861" xr:uid="{00000000-0005-0000-0000-0000F6620000}"/>
    <cellStyle name="40% - Accent4 4 3 3 4 2" xfId="28862" xr:uid="{00000000-0005-0000-0000-0000F7620000}"/>
    <cellStyle name="40% - Accent4 4 3 3 5" xfId="28863" xr:uid="{00000000-0005-0000-0000-0000F8620000}"/>
    <cellStyle name="40% - Accent4 4 3 3 6" xfId="28864" xr:uid="{00000000-0005-0000-0000-0000F9620000}"/>
    <cellStyle name="40% - Accent4 4 3 3 7" xfId="28865" xr:uid="{00000000-0005-0000-0000-0000FA620000}"/>
    <cellStyle name="40% - Accent4 4 3 4" xfId="28866" xr:uid="{00000000-0005-0000-0000-0000FB620000}"/>
    <cellStyle name="40% - Accent4 4 3 4 2" xfId="28867" xr:uid="{00000000-0005-0000-0000-0000FC620000}"/>
    <cellStyle name="40% - Accent4 4 3 4 2 2" xfId="28868" xr:uid="{00000000-0005-0000-0000-0000FD620000}"/>
    <cellStyle name="40% - Accent4 4 3 4 2 2 2" xfId="28869" xr:uid="{00000000-0005-0000-0000-0000FE620000}"/>
    <cellStyle name="40% - Accent4 4 3 4 2 3" xfId="28870" xr:uid="{00000000-0005-0000-0000-0000FF620000}"/>
    <cellStyle name="40% - Accent4 4 3 4 3" xfId="28871" xr:uid="{00000000-0005-0000-0000-000000630000}"/>
    <cellStyle name="40% - Accent4 4 3 4 3 2" xfId="28872" xr:uid="{00000000-0005-0000-0000-000001630000}"/>
    <cellStyle name="40% - Accent4 4 3 4 4" xfId="28873" xr:uid="{00000000-0005-0000-0000-000002630000}"/>
    <cellStyle name="40% - Accent4 4 3 4 5" xfId="28874" xr:uid="{00000000-0005-0000-0000-000003630000}"/>
    <cellStyle name="40% - Accent4 4 3 4 6" xfId="28875" xr:uid="{00000000-0005-0000-0000-000004630000}"/>
    <cellStyle name="40% - Accent4 4 3 5" xfId="28876" xr:uid="{00000000-0005-0000-0000-000005630000}"/>
    <cellStyle name="40% - Accent4 4 3 5 2" xfId="28877" xr:uid="{00000000-0005-0000-0000-000006630000}"/>
    <cellStyle name="40% - Accent4 4 3 5 2 2" xfId="28878" xr:uid="{00000000-0005-0000-0000-000007630000}"/>
    <cellStyle name="40% - Accent4 4 3 5 3" xfId="28879" xr:uid="{00000000-0005-0000-0000-000008630000}"/>
    <cellStyle name="40% - Accent4 4 3 6" xfId="28880" xr:uid="{00000000-0005-0000-0000-000009630000}"/>
    <cellStyle name="40% - Accent4 4 3 6 2" xfId="28881" xr:uid="{00000000-0005-0000-0000-00000A630000}"/>
    <cellStyle name="40% - Accent4 4 3 6 2 2" xfId="28882" xr:uid="{00000000-0005-0000-0000-00000B630000}"/>
    <cellStyle name="40% - Accent4 4 3 6 3" xfId="28883" xr:uid="{00000000-0005-0000-0000-00000C630000}"/>
    <cellStyle name="40% - Accent4 4 3 7" xfId="28884" xr:uid="{00000000-0005-0000-0000-00000D630000}"/>
    <cellStyle name="40% - Accent4 4 3 7 2" xfId="28885" xr:uid="{00000000-0005-0000-0000-00000E630000}"/>
    <cellStyle name="40% - Accent4 4 3 8" xfId="28886" xr:uid="{00000000-0005-0000-0000-00000F630000}"/>
    <cellStyle name="40% - Accent4 4 3 8 2" xfId="28887" xr:uid="{00000000-0005-0000-0000-000010630000}"/>
    <cellStyle name="40% - Accent4 4 3 9" xfId="28888" xr:uid="{00000000-0005-0000-0000-000011630000}"/>
    <cellStyle name="40% - Accent4 4 4" xfId="28889" xr:uid="{00000000-0005-0000-0000-000012630000}"/>
    <cellStyle name="40% - Accent4 4 4 10" xfId="28890" xr:uid="{00000000-0005-0000-0000-000013630000}"/>
    <cellStyle name="40% - Accent4 4 4 11" xfId="28891" xr:uid="{00000000-0005-0000-0000-000014630000}"/>
    <cellStyle name="40% - Accent4 4 4 2" xfId="28892" xr:uid="{00000000-0005-0000-0000-000015630000}"/>
    <cellStyle name="40% - Accent4 4 4 2 2" xfId="28893" xr:uid="{00000000-0005-0000-0000-000016630000}"/>
    <cellStyle name="40% - Accent4 4 4 2 2 2" xfId="28894" xr:uid="{00000000-0005-0000-0000-000017630000}"/>
    <cellStyle name="40% - Accent4 4 4 2 2 2 2" xfId="28895" xr:uid="{00000000-0005-0000-0000-000018630000}"/>
    <cellStyle name="40% - Accent4 4 4 2 2 2 2 2" xfId="28896" xr:uid="{00000000-0005-0000-0000-000019630000}"/>
    <cellStyle name="40% - Accent4 4 4 2 2 2 3" xfId="28897" xr:uid="{00000000-0005-0000-0000-00001A630000}"/>
    <cellStyle name="40% - Accent4 4 4 2 2 3" xfId="28898" xr:uid="{00000000-0005-0000-0000-00001B630000}"/>
    <cellStyle name="40% - Accent4 4 4 2 2 3 2" xfId="28899" xr:uid="{00000000-0005-0000-0000-00001C630000}"/>
    <cellStyle name="40% - Accent4 4 4 2 2 4" xfId="28900" xr:uid="{00000000-0005-0000-0000-00001D630000}"/>
    <cellStyle name="40% - Accent4 4 4 2 2 5" xfId="28901" xr:uid="{00000000-0005-0000-0000-00001E630000}"/>
    <cellStyle name="40% - Accent4 4 4 2 2 6" xfId="28902" xr:uid="{00000000-0005-0000-0000-00001F630000}"/>
    <cellStyle name="40% - Accent4 4 4 2 3" xfId="28903" xr:uid="{00000000-0005-0000-0000-000020630000}"/>
    <cellStyle name="40% - Accent4 4 4 2 3 2" xfId="28904" xr:uid="{00000000-0005-0000-0000-000021630000}"/>
    <cellStyle name="40% - Accent4 4 4 2 3 2 2" xfId="28905" xr:uid="{00000000-0005-0000-0000-000022630000}"/>
    <cellStyle name="40% - Accent4 4 4 2 3 3" xfId="28906" xr:uid="{00000000-0005-0000-0000-000023630000}"/>
    <cellStyle name="40% - Accent4 4 4 2 4" xfId="28907" xr:uid="{00000000-0005-0000-0000-000024630000}"/>
    <cellStyle name="40% - Accent4 4 4 2 4 2" xfId="28908" xr:uid="{00000000-0005-0000-0000-000025630000}"/>
    <cellStyle name="40% - Accent4 4 4 2 5" xfId="28909" xr:uid="{00000000-0005-0000-0000-000026630000}"/>
    <cellStyle name="40% - Accent4 4 4 2 5 2" xfId="28910" xr:uid="{00000000-0005-0000-0000-000027630000}"/>
    <cellStyle name="40% - Accent4 4 4 2 6" xfId="28911" xr:uid="{00000000-0005-0000-0000-000028630000}"/>
    <cellStyle name="40% - Accent4 4 4 2 7" xfId="28912" xr:uid="{00000000-0005-0000-0000-000029630000}"/>
    <cellStyle name="40% - Accent4 4 4 2 8" xfId="28913" xr:uid="{00000000-0005-0000-0000-00002A630000}"/>
    <cellStyle name="40% - Accent4 4 4 3" xfId="28914" xr:uid="{00000000-0005-0000-0000-00002B630000}"/>
    <cellStyle name="40% - Accent4 4 4 3 2" xfId="28915" xr:uid="{00000000-0005-0000-0000-00002C630000}"/>
    <cellStyle name="40% - Accent4 4 4 3 2 2" xfId="28916" xr:uid="{00000000-0005-0000-0000-00002D630000}"/>
    <cellStyle name="40% - Accent4 4 4 3 2 2 2" xfId="28917" xr:uid="{00000000-0005-0000-0000-00002E630000}"/>
    <cellStyle name="40% - Accent4 4 4 3 2 2 2 2" xfId="28918" xr:uid="{00000000-0005-0000-0000-00002F630000}"/>
    <cellStyle name="40% - Accent4 4 4 3 2 2 3" xfId="28919" xr:uid="{00000000-0005-0000-0000-000030630000}"/>
    <cellStyle name="40% - Accent4 4 4 3 2 3" xfId="28920" xr:uid="{00000000-0005-0000-0000-000031630000}"/>
    <cellStyle name="40% - Accent4 4 4 3 2 3 2" xfId="28921" xr:uid="{00000000-0005-0000-0000-000032630000}"/>
    <cellStyle name="40% - Accent4 4 4 3 2 4" xfId="28922" xr:uid="{00000000-0005-0000-0000-000033630000}"/>
    <cellStyle name="40% - Accent4 4 4 3 2 5" xfId="28923" xr:uid="{00000000-0005-0000-0000-000034630000}"/>
    <cellStyle name="40% - Accent4 4 4 3 2 6" xfId="28924" xr:uid="{00000000-0005-0000-0000-000035630000}"/>
    <cellStyle name="40% - Accent4 4 4 3 3" xfId="28925" xr:uid="{00000000-0005-0000-0000-000036630000}"/>
    <cellStyle name="40% - Accent4 4 4 3 3 2" xfId="28926" xr:uid="{00000000-0005-0000-0000-000037630000}"/>
    <cellStyle name="40% - Accent4 4 4 3 3 2 2" xfId="28927" xr:uid="{00000000-0005-0000-0000-000038630000}"/>
    <cellStyle name="40% - Accent4 4 4 3 3 3" xfId="28928" xr:uid="{00000000-0005-0000-0000-000039630000}"/>
    <cellStyle name="40% - Accent4 4 4 3 4" xfId="28929" xr:uid="{00000000-0005-0000-0000-00003A630000}"/>
    <cellStyle name="40% - Accent4 4 4 3 4 2" xfId="28930" xr:uid="{00000000-0005-0000-0000-00003B630000}"/>
    <cellStyle name="40% - Accent4 4 4 3 5" xfId="28931" xr:uid="{00000000-0005-0000-0000-00003C630000}"/>
    <cellStyle name="40% - Accent4 4 4 3 6" xfId="28932" xr:uid="{00000000-0005-0000-0000-00003D630000}"/>
    <cellStyle name="40% - Accent4 4 4 3 7" xfId="28933" xr:uid="{00000000-0005-0000-0000-00003E630000}"/>
    <cellStyle name="40% - Accent4 4 4 4" xfId="28934" xr:uid="{00000000-0005-0000-0000-00003F630000}"/>
    <cellStyle name="40% - Accent4 4 4 4 2" xfId="28935" xr:uid="{00000000-0005-0000-0000-000040630000}"/>
    <cellStyle name="40% - Accent4 4 4 4 2 2" xfId="28936" xr:uid="{00000000-0005-0000-0000-000041630000}"/>
    <cellStyle name="40% - Accent4 4 4 4 2 2 2" xfId="28937" xr:uid="{00000000-0005-0000-0000-000042630000}"/>
    <cellStyle name="40% - Accent4 4 4 4 2 3" xfId="28938" xr:uid="{00000000-0005-0000-0000-000043630000}"/>
    <cellStyle name="40% - Accent4 4 4 4 3" xfId="28939" xr:uid="{00000000-0005-0000-0000-000044630000}"/>
    <cellStyle name="40% - Accent4 4 4 4 3 2" xfId="28940" xr:uid="{00000000-0005-0000-0000-000045630000}"/>
    <cellStyle name="40% - Accent4 4 4 4 4" xfId="28941" xr:uid="{00000000-0005-0000-0000-000046630000}"/>
    <cellStyle name="40% - Accent4 4 4 4 5" xfId="28942" xr:uid="{00000000-0005-0000-0000-000047630000}"/>
    <cellStyle name="40% - Accent4 4 4 4 6" xfId="28943" xr:uid="{00000000-0005-0000-0000-000048630000}"/>
    <cellStyle name="40% - Accent4 4 4 5" xfId="28944" xr:uid="{00000000-0005-0000-0000-000049630000}"/>
    <cellStyle name="40% - Accent4 4 4 5 2" xfId="28945" xr:uid="{00000000-0005-0000-0000-00004A630000}"/>
    <cellStyle name="40% - Accent4 4 4 5 2 2" xfId="28946" xr:uid="{00000000-0005-0000-0000-00004B630000}"/>
    <cellStyle name="40% - Accent4 4 4 5 3" xfId="28947" xr:uid="{00000000-0005-0000-0000-00004C630000}"/>
    <cellStyle name="40% - Accent4 4 4 6" xfId="28948" xr:uid="{00000000-0005-0000-0000-00004D630000}"/>
    <cellStyle name="40% - Accent4 4 4 6 2" xfId="28949" xr:uid="{00000000-0005-0000-0000-00004E630000}"/>
    <cellStyle name="40% - Accent4 4 4 6 2 2" xfId="28950" xr:uid="{00000000-0005-0000-0000-00004F630000}"/>
    <cellStyle name="40% - Accent4 4 4 6 3" xfId="28951" xr:uid="{00000000-0005-0000-0000-000050630000}"/>
    <cellStyle name="40% - Accent4 4 4 7" xfId="28952" xr:uid="{00000000-0005-0000-0000-000051630000}"/>
    <cellStyle name="40% - Accent4 4 4 7 2" xfId="28953" xr:uid="{00000000-0005-0000-0000-000052630000}"/>
    <cellStyle name="40% - Accent4 4 4 8" xfId="28954" xr:uid="{00000000-0005-0000-0000-000053630000}"/>
    <cellStyle name="40% - Accent4 4 4 8 2" xfId="28955" xr:uid="{00000000-0005-0000-0000-000054630000}"/>
    <cellStyle name="40% - Accent4 4 4 9" xfId="28956" xr:uid="{00000000-0005-0000-0000-000055630000}"/>
    <cellStyle name="40% - Accent4 4 5" xfId="28957" xr:uid="{00000000-0005-0000-0000-000056630000}"/>
    <cellStyle name="40% - Accent4 4 5 10" xfId="28958" xr:uid="{00000000-0005-0000-0000-000057630000}"/>
    <cellStyle name="40% - Accent4 4 5 11" xfId="28959" xr:uid="{00000000-0005-0000-0000-000058630000}"/>
    <cellStyle name="40% - Accent4 4 5 2" xfId="28960" xr:uid="{00000000-0005-0000-0000-000059630000}"/>
    <cellStyle name="40% - Accent4 4 5 2 2" xfId="28961" xr:uid="{00000000-0005-0000-0000-00005A630000}"/>
    <cellStyle name="40% - Accent4 4 5 2 2 2" xfId="28962" xr:uid="{00000000-0005-0000-0000-00005B630000}"/>
    <cellStyle name="40% - Accent4 4 5 2 2 2 2" xfId="28963" xr:uid="{00000000-0005-0000-0000-00005C630000}"/>
    <cellStyle name="40% - Accent4 4 5 2 2 2 2 2" xfId="28964" xr:uid="{00000000-0005-0000-0000-00005D630000}"/>
    <cellStyle name="40% - Accent4 4 5 2 2 2 3" xfId="28965" xr:uid="{00000000-0005-0000-0000-00005E630000}"/>
    <cellStyle name="40% - Accent4 4 5 2 2 3" xfId="28966" xr:uid="{00000000-0005-0000-0000-00005F630000}"/>
    <cellStyle name="40% - Accent4 4 5 2 2 3 2" xfId="28967" xr:uid="{00000000-0005-0000-0000-000060630000}"/>
    <cellStyle name="40% - Accent4 4 5 2 2 4" xfId="28968" xr:uid="{00000000-0005-0000-0000-000061630000}"/>
    <cellStyle name="40% - Accent4 4 5 2 2 5" xfId="28969" xr:uid="{00000000-0005-0000-0000-000062630000}"/>
    <cellStyle name="40% - Accent4 4 5 2 2 6" xfId="28970" xr:uid="{00000000-0005-0000-0000-000063630000}"/>
    <cellStyle name="40% - Accent4 4 5 2 3" xfId="28971" xr:uid="{00000000-0005-0000-0000-000064630000}"/>
    <cellStyle name="40% - Accent4 4 5 2 3 2" xfId="28972" xr:uid="{00000000-0005-0000-0000-000065630000}"/>
    <cellStyle name="40% - Accent4 4 5 2 3 2 2" xfId="28973" xr:uid="{00000000-0005-0000-0000-000066630000}"/>
    <cellStyle name="40% - Accent4 4 5 2 3 3" xfId="28974" xr:uid="{00000000-0005-0000-0000-000067630000}"/>
    <cellStyle name="40% - Accent4 4 5 2 4" xfId="28975" xr:uid="{00000000-0005-0000-0000-000068630000}"/>
    <cellStyle name="40% - Accent4 4 5 2 4 2" xfId="28976" xr:uid="{00000000-0005-0000-0000-000069630000}"/>
    <cellStyle name="40% - Accent4 4 5 2 5" xfId="28977" xr:uid="{00000000-0005-0000-0000-00006A630000}"/>
    <cellStyle name="40% - Accent4 4 5 2 5 2" xfId="28978" xr:uid="{00000000-0005-0000-0000-00006B630000}"/>
    <cellStyle name="40% - Accent4 4 5 2 6" xfId="28979" xr:uid="{00000000-0005-0000-0000-00006C630000}"/>
    <cellStyle name="40% - Accent4 4 5 2 7" xfId="28980" xr:uid="{00000000-0005-0000-0000-00006D630000}"/>
    <cellStyle name="40% - Accent4 4 5 2 8" xfId="28981" xr:uid="{00000000-0005-0000-0000-00006E630000}"/>
    <cellStyle name="40% - Accent4 4 5 3" xfId="28982" xr:uid="{00000000-0005-0000-0000-00006F630000}"/>
    <cellStyle name="40% - Accent4 4 5 3 2" xfId="28983" xr:uid="{00000000-0005-0000-0000-000070630000}"/>
    <cellStyle name="40% - Accent4 4 5 3 2 2" xfId="28984" xr:uid="{00000000-0005-0000-0000-000071630000}"/>
    <cellStyle name="40% - Accent4 4 5 3 2 2 2" xfId="28985" xr:uid="{00000000-0005-0000-0000-000072630000}"/>
    <cellStyle name="40% - Accent4 4 5 3 2 2 2 2" xfId="28986" xr:uid="{00000000-0005-0000-0000-000073630000}"/>
    <cellStyle name="40% - Accent4 4 5 3 2 2 3" xfId="28987" xr:uid="{00000000-0005-0000-0000-000074630000}"/>
    <cellStyle name="40% - Accent4 4 5 3 2 3" xfId="28988" xr:uid="{00000000-0005-0000-0000-000075630000}"/>
    <cellStyle name="40% - Accent4 4 5 3 2 3 2" xfId="28989" xr:uid="{00000000-0005-0000-0000-000076630000}"/>
    <cellStyle name="40% - Accent4 4 5 3 2 4" xfId="28990" xr:uid="{00000000-0005-0000-0000-000077630000}"/>
    <cellStyle name="40% - Accent4 4 5 3 2 5" xfId="28991" xr:uid="{00000000-0005-0000-0000-000078630000}"/>
    <cellStyle name="40% - Accent4 4 5 3 2 6" xfId="28992" xr:uid="{00000000-0005-0000-0000-000079630000}"/>
    <cellStyle name="40% - Accent4 4 5 3 3" xfId="28993" xr:uid="{00000000-0005-0000-0000-00007A630000}"/>
    <cellStyle name="40% - Accent4 4 5 3 3 2" xfId="28994" xr:uid="{00000000-0005-0000-0000-00007B630000}"/>
    <cellStyle name="40% - Accent4 4 5 3 3 2 2" xfId="28995" xr:uid="{00000000-0005-0000-0000-00007C630000}"/>
    <cellStyle name="40% - Accent4 4 5 3 3 3" xfId="28996" xr:uid="{00000000-0005-0000-0000-00007D630000}"/>
    <cellStyle name="40% - Accent4 4 5 3 4" xfId="28997" xr:uid="{00000000-0005-0000-0000-00007E630000}"/>
    <cellStyle name="40% - Accent4 4 5 3 4 2" xfId="28998" xr:uid="{00000000-0005-0000-0000-00007F630000}"/>
    <cellStyle name="40% - Accent4 4 5 3 5" xfId="28999" xr:uid="{00000000-0005-0000-0000-000080630000}"/>
    <cellStyle name="40% - Accent4 4 5 3 6" xfId="29000" xr:uid="{00000000-0005-0000-0000-000081630000}"/>
    <cellStyle name="40% - Accent4 4 5 3 7" xfId="29001" xr:uid="{00000000-0005-0000-0000-000082630000}"/>
    <cellStyle name="40% - Accent4 4 5 4" xfId="29002" xr:uid="{00000000-0005-0000-0000-000083630000}"/>
    <cellStyle name="40% - Accent4 4 5 4 2" xfId="29003" xr:uid="{00000000-0005-0000-0000-000084630000}"/>
    <cellStyle name="40% - Accent4 4 5 4 2 2" xfId="29004" xr:uid="{00000000-0005-0000-0000-000085630000}"/>
    <cellStyle name="40% - Accent4 4 5 4 2 2 2" xfId="29005" xr:uid="{00000000-0005-0000-0000-000086630000}"/>
    <cellStyle name="40% - Accent4 4 5 4 2 3" xfId="29006" xr:uid="{00000000-0005-0000-0000-000087630000}"/>
    <cellStyle name="40% - Accent4 4 5 4 3" xfId="29007" xr:uid="{00000000-0005-0000-0000-000088630000}"/>
    <cellStyle name="40% - Accent4 4 5 4 3 2" xfId="29008" xr:uid="{00000000-0005-0000-0000-000089630000}"/>
    <cellStyle name="40% - Accent4 4 5 4 4" xfId="29009" xr:uid="{00000000-0005-0000-0000-00008A630000}"/>
    <cellStyle name="40% - Accent4 4 5 4 5" xfId="29010" xr:uid="{00000000-0005-0000-0000-00008B630000}"/>
    <cellStyle name="40% - Accent4 4 5 4 6" xfId="29011" xr:uid="{00000000-0005-0000-0000-00008C630000}"/>
    <cellStyle name="40% - Accent4 4 5 5" xfId="29012" xr:uid="{00000000-0005-0000-0000-00008D630000}"/>
    <cellStyle name="40% - Accent4 4 5 5 2" xfId="29013" xr:uid="{00000000-0005-0000-0000-00008E630000}"/>
    <cellStyle name="40% - Accent4 4 5 5 2 2" xfId="29014" xr:uid="{00000000-0005-0000-0000-00008F630000}"/>
    <cellStyle name="40% - Accent4 4 5 5 3" xfId="29015" xr:uid="{00000000-0005-0000-0000-000090630000}"/>
    <cellStyle name="40% - Accent4 4 5 6" xfId="29016" xr:uid="{00000000-0005-0000-0000-000091630000}"/>
    <cellStyle name="40% - Accent4 4 5 6 2" xfId="29017" xr:uid="{00000000-0005-0000-0000-000092630000}"/>
    <cellStyle name="40% - Accent4 4 5 6 2 2" xfId="29018" xr:uid="{00000000-0005-0000-0000-000093630000}"/>
    <cellStyle name="40% - Accent4 4 5 6 3" xfId="29019" xr:uid="{00000000-0005-0000-0000-000094630000}"/>
    <cellStyle name="40% - Accent4 4 5 7" xfId="29020" xr:uid="{00000000-0005-0000-0000-000095630000}"/>
    <cellStyle name="40% - Accent4 4 5 7 2" xfId="29021" xr:uid="{00000000-0005-0000-0000-000096630000}"/>
    <cellStyle name="40% - Accent4 4 5 8" xfId="29022" xr:uid="{00000000-0005-0000-0000-000097630000}"/>
    <cellStyle name="40% - Accent4 4 5 8 2" xfId="29023" xr:uid="{00000000-0005-0000-0000-000098630000}"/>
    <cellStyle name="40% - Accent4 4 5 9" xfId="29024" xr:uid="{00000000-0005-0000-0000-000099630000}"/>
    <cellStyle name="40% - Accent4 4 6" xfId="29025" xr:uid="{00000000-0005-0000-0000-00009A630000}"/>
    <cellStyle name="40% - Accent4 4 6 10" xfId="29026" xr:uid="{00000000-0005-0000-0000-00009B630000}"/>
    <cellStyle name="40% - Accent4 4 6 11" xfId="29027" xr:uid="{00000000-0005-0000-0000-00009C630000}"/>
    <cellStyle name="40% - Accent4 4 6 2" xfId="29028" xr:uid="{00000000-0005-0000-0000-00009D630000}"/>
    <cellStyle name="40% - Accent4 4 6 2 2" xfId="29029" xr:uid="{00000000-0005-0000-0000-00009E630000}"/>
    <cellStyle name="40% - Accent4 4 6 2 2 2" xfId="29030" xr:uid="{00000000-0005-0000-0000-00009F630000}"/>
    <cellStyle name="40% - Accent4 4 6 2 2 2 2" xfId="29031" xr:uid="{00000000-0005-0000-0000-0000A0630000}"/>
    <cellStyle name="40% - Accent4 4 6 2 2 2 2 2" xfId="29032" xr:uid="{00000000-0005-0000-0000-0000A1630000}"/>
    <cellStyle name="40% - Accent4 4 6 2 2 2 3" xfId="29033" xr:uid="{00000000-0005-0000-0000-0000A2630000}"/>
    <cellStyle name="40% - Accent4 4 6 2 2 3" xfId="29034" xr:uid="{00000000-0005-0000-0000-0000A3630000}"/>
    <cellStyle name="40% - Accent4 4 6 2 2 3 2" xfId="29035" xr:uid="{00000000-0005-0000-0000-0000A4630000}"/>
    <cellStyle name="40% - Accent4 4 6 2 2 4" xfId="29036" xr:uid="{00000000-0005-0000-0000-0000A5630000}"/>
    <cellStyle name="40% - Accent4 4 6 2 2 5" xfId="29037" xr:uid="{00000000-0005-0000-0000-0000A6630000}"/>
    <cellStyle name="40% - Accent4 4 6 2 2 6" xfId="29038" xr:uid="{00000000-0005-0000-0000-0000A7630000}"/>
    <cellStyle name="40% - Accent4 4 6 2 3" xfId="29039" xr:uid="{00000000-0005-0000-0000-0000A8630000}"/>
    <cellStyle name="40% - Accent4 4 6 2 3 2" xfId="29040" xr:uid="{00000000-0005-0000-0000-0000A9630000}"/>
    <cellStyle name="40% - Accent4 4 6 2 3 2 2" xfId="29041" xr:uid="{00000000-0005-0000-0000-0000AA630000}"/>
    <cellStyle name="40% - Accent4 4 6 2 3 3" xfId="29042" xr:uid="{00000000-0005-0000-0000-0000AB630000}"/>
    <cellStyle name="40% - Accent4 4 6 2 4" xfId="29043" xr:uid="{00000000-0005-0000-0000-0000AC630000}"/>
    <cellStyle name="40% - Accent4 4 6 2 4 2" xfId="29044" xr:uid="{00000000-0005-0000-0000-0000AD630000}"/>
    <cellStyle name="40% - Accent4 4 6 2 5" xfId="29045" xr:uid="{00000000-0005-0000-0000-0000AE630000}"/>
    <cellStyle name="40% - Accent4 4 6 2 5 2" xfId="29046" xr:uid="{00000000-0005-0000-0000-0000AF630000}"/>
    <cellStyle name="40% - Accent4 4 6 2 6" xfId="29047" xr:uid="{00000000-0005-0000-0000-0000B0630000}"/>
    <cellStyle name="40% - Accent4 4 6 2 7" xfId="29048" xr:uid="{00000000-0005-0000-0000-0000B1630000}"/>
    <cellStyle name="40% - Accent4 4 6 2 8" xfId="29049" xr:uid="{00000000-0005-0000-0000-0000B2630000}"/>
    <cellStyle name="40% - Accent4 4 6 3" xfId="29050" xr:uid="{00000000-0005-0000-0000-0000B3630000}"/>
    <cellStyle name="40% - Accent4 4 6 3 2" xfId="29051" xr:uid="{00000000-0005-0000-0000-0000B4630000}"/>
    <cellStyle name="40% - Accent4 4 6 3 2 2" xfId="29052" xr:uid="{00000000-0005-0000-0000-0000B5630000}"/>
    <cellStyle name="40% - Accent4 4 6 3 2 2 2" xfId="29053" xr:uid="{00000000-0005-0000-0000-0000B6630000}"/>
    <cellStyle name="40% - Accent4 4 6 3 2 2 2 2" xfId="29054" xr:uid="{00000000-0005-0000-0000-0000B7630000}"/>
    <cellStyle name="40% - Accent4 4 6 3 2 2 3" xfId="29055" xr:uid="{00000000-0005-0000-0000-0000B8630000}"/>
    <cellStyle name="40% - Accent4 4 6 3 2 3" xfId="29056" xr:uid="{00000000-0005-0000-0000-0000B9630000}"/>
    <cellStyle name="40% - Accent4 4 6 3 2 3 2" xfId="29057" xr:uid="{00000000-0005-0000-0000-0000BA630000}"/>
    <cellStyle name="40% - Accent4 4 6 3 2 4" xfId="29058" xr:uid="{00000000-0005-0000-0000-0000BB630000}"/>
    <cellStyle name="40% - Accent4 4 6 3 2 5" xfId="29059" xr:uid="{00000000-0005-0000-0000-0000BC630000}"/>
    <cellStyle name="40% - Accent4 4 6 3 2 6" xfId="29060" xr:uid="{00000000-0005-0000-0000-0000BD630000}"/>
    <cellStyle name="40% - Accent4 4 6 3 3" xfId="29061" xr:uid="{00000000-0005-0000-0000-0000BE630000}"/>
    <cellStyle name="40% - Accent4 4 6 3 3 2" xfId="29062" xr:uid="{00000000-0005-0000-0000-0000BF630000}"/>
    <cellStyle name="40% - Accent4 4 6 3 3 2 2" xfId="29063" xr:uid="{00000000-0005-0000-0000-0000C0630000}"/>
    <cellStyle name="40% - Accent4 4 6 3 3 3" xfId="29064" xr:uid="{00000000-0005-0000-0000-0000C1630000}"/>
    <cellStyle name="40% - Accent4 4 6 3 4" xfId="29065" xr:uid="{00000000-0005-0000-0000-0000C2630000}"/>
    <cellStyle name="40% - Accent4 4 6 3 4 2" xfId="29066" xr:uid="{00000000-0005-0000-0000-0000C3630000}"/>
    <cellStyle name="40% - Accent4 4 6 3 5" xfId="29067" xr:uid="{00000000-0005-0000-0000-0000C4630000}"/>
    <cellStyle name="40% - Accent4 4 6 3 6" xfId="29068" xr:uid="{00000000-0005-0000-0000-0000C5630000}"/>
    <cellStyle name="40% - Accent4 4 6 3 7" xfId="29069" xr:uid="{00000000-0005-0000-0000-0000C6630000}"/>
    <cellStyle name="40% - Accent4 4 6 4" xfId="29070" xr:uid="{00000000-0005-0000-0000-0000C7630000}"/>
    <cellStyle name="40% - Accent4 4 6 4 2" xfId="29071" xr:uid="{00000000-0005-0000-0000-0000C8630000}"/>
    <cellStyle name="40% - Accent4 4 6 4 2 2" xfId="29072" xr:uid="{00000000-0005-0000-0000-0000C9630000}"/>
    <cellStyle name="40% - Accent4 4 6 4 2 2 2" xfId="29073" xr:uid="{00000000-0005-0000-0000-0000CA630000}"/>
    <cellStyle name="40% - Accent4 4 6 4 2 3" xfId="29074" xr:uid="{00000000-0005-0000-0000-0000CB630000}"/>
    <cellStyle name="40% - Accent4 4 6 4 3" xfId="29075" xr:uid="{00000000-0005-0000-0000-0000CC630000}"/>
    <cellStyle name="40% - Accent4 4 6 4 3 2" xfId="29076" xr:uid="{00000000-0005-0000-0000-0000CD630000}"/>
    <cellStyle name="40% - Accent4 4 6 4 4" xfId="29077" xr:uid="{00000000-0005-0000-0000-0000CE630000}"/>
    <cellStyle name="40% - Accent4 4 6 4 5" xfId="29078" xr:uid="{00000000-0005-0000-0000-0000CF630000}"/>
    <cellStyle name="40% - Accent4 4 6 4 6" xfId="29079" xr:uid="{00000000-0005-0000-0000-0000D0630000}"/>
    <cellStyle name="40% - Accent4 4 6 5" xfId="29080" xr:uid="{00000000-0005-0000-0000-0000D1630000}"/>
    <cellStyle name="40% - Accent4 4 6 5 2" xfId="29081" xr:uid="{00000000-0005-0000-0000-0000D2630000}"/>
    <cellStyle name="40% - Accent4 4 6 5 2 2" xfId="29082" xr:uid="{00000000-0005-0000-0000-0000D3630000}"/>
    <cellStyle name="40% - Accent4 4 6 5 3" xfId="29083" xr:uid="{00000000-0005-0000-0000-0000D4630000}"/>
    <cellStyle name="40% - Accent4 4 6 6" xfId="29084" xr:uid="{00000000-0005-0000-0000-0000D5630000}"/>
    <cellStyle name="40% - Accent4 4 6 6 2" xfId="29085" xr:uid="{00000000-0005-0000-0000-0000D6630000}"/>
    <cellStyle name="40% - Accent4 4 6 6 2 2" xfId="29086" xr:uid="{00000000-0005-0000-0000-0000D7630000}"/>
    <cellStyle name="40% - Accent4 4 6 6 3" xfId="29087" xr:uid="{00000000-0005-0000-0000-0000D8630000}"/>
    <cellStyle name="40% - Accent4 4 6 7" xfId="29088" xr:uid="{00000000-0005-0000-0000-0000D9630000}"/>
    <cellStyle name="40% - Accent4 4 6 7 2" xfId="29089" xr:uid="{00000000-0005-0000-0000-0000DA630000}"/>
    <cellStyle name="40% - Accent4 4 6 8" xfId="29090" xr:uid="{00000000-0005-0000-0000-0000DB630000}"/>
    <cellStyle name="40% - Accent4 4 6 8 2" xfId="29091" xr:uid="{00000000-0005-0000-0000-0000DC630000}"/>
    <cellStyle name="40% - Accent4 4 6 9" xfId="29092" xr:uid="{00000000-0005-0000-0000-0000DD630000}"/>
    <cellStyle name="40% - Accent4 4 7" xfId="29093" xr:uid="{00000000-0005-0000-0000-0000DE630000}"/>
    <cellStyle name="40% - Accent4 4 7 10" xfId="29094" xr:uid="{00000000-0005-0000-0000-0000DF630000}"/>
    <cellStyle name="40% - Accent4 4 7 11" xfId="29095" xr:uid="{00000000-0005-0000-0000-0000E0630000}"/>
    <cellStyle name="40% - Accent4 4 7 2" xfId="29096" xr:uid="{00000000-0005-0000-0000-0000E1630000}"/>
    <cellStyle name="40% - Accent4 4 7 2 2" xfId="29097" xr:uid="{00000000-0005-0000-0000-0000E2630000}"/>
    <cellStyle name="40% - Accent4 4 7 2 2 2" xfId="29098" xr:uid="{00000000-0005-0000-0000-0000E3630000}"/>
    <cellStyle name="40% - Accent4 4 7 2 2 2 2" xfId="29099" xr:uid="{00000000-0005-0000-0000-0000E4630000}"/>
    <cellStyle name="40% - Accent4 4 7 2 2 2 2 2" xfId="29100" xr:uid="{00000000-0005-0000-0000-0000E5630000}"/>
    <cellStyle name="40% - Accent4 4 7 2 2 2 3" xfId="29101" xr:uid="{00000000-0005-0000-0000-0000E6630000}"/>
    <cellStyle name="40% - Accent4 4 7 2 2 3" xfId="29102" xr:uid="{00000000-0005-0000-0000-0000E7630000}"/>
    <cellStyle name="40% - Accent4 4 7 2 2 3 2" xfId="29103" xr:uid="{00000000-0005-0000-0000-0000E8630000}"/>
    <cellStyle name="40% - Accent4 4 7 2 2 4" xfId="29104" xr:uid="{00000000-0005-0000-0000-0000E9630000}"/>
    <cellStyle name="40% - Accent4 4 7 2 2 5" xfId="29105" xr:uid="{00000000-0005-0000-0000-0000EA630000}"/>
    <cellStyle name="40% - Accent4 4 7 2 2 6" xfId="29106" xr:uid="{00000000-0005-0000-0000-0000EB630000}"/>
    <cellStyle name="40% - Accent4 4 7 2 3" xfId="29107" xr:uid="{00000000-0005-0000-0000-0000EC630000}"/>
    <cellStyle name="40% - Accent4 4 7 2 3 2" xfId="29108" xr:uid="{00000000-0005-0000-0000-0000ED630000}"/>
    <cellStyle name="40% - Accent4 4 7 2 3 2 2" xfId="29109" xr:uid="{00000000-0005-0000-0000-0000EE630000}"/>
    <cellStyle name="40% - Accent4 4 7 2 3 3" xfId="29110" xr:uid="{00000000-0005-0000-0000-0000EF630000}"/>
    <cellStyle name="40% - Accent4 4 7 2 4" xfId="29111" xr:uid="{00000000-0005-0000-0000-0000F0630000}"/>
    <cellStyle name="40% - Accent4 4 7 2 4 2" xfId="29112" xr:uid="{00000000-0005-0000-0000-0000F1630000}"/>
    <cellStyle name="40% - Accent4 4 7 2 5" xfId="29113" xr:uid="{00000000-0005-0000-0000-0000F2630000}"/>
    <cellStyle name="40% - Accent4 4 7 2 5 2" xfId="29114" xr:uid="{00000000-0005-0000-0000-0000F3630000}"/>
    <cellStyle name="40% - Accent4 4 7 2 6" xfId="29115" xr:uid="{00000000-0005-0000-0000-0000F4630000}"/>
    <cellStyle name="40% - Accent4 4 7 2 7" xfId="29116" xr:uid="{00000000-0005-0000-0000-0000F5630000}"/>
    <cellStyle name="40% - Accent4 4 7 2 8" xfId="29117" xr:uid="{00000000-0005-0000-0000-0000F6630000}"/>
    <cellStyle name="40% - Accent4 4 7 3" xfId="29118" xr:uid="{00000000-0005-0000-0000-0000F7630000}"/>
    <cellStyle name="40% - Accent4 4 7 3 2" xfId="29119" xr:uid="{00000000-0005-0000-0000-0000F8630000}"/>
    <cellStyle name="40% - Accent4 4 7 3 2 2" xfId="29120" xr:uid="{00000000-0005-0000-0000-0000F9630000}"/>
    <cellStyle name="40% - Accent4 4 7 3 2 2 2" xfId="29121" xr:uid="{00000000-0005-0000-0000-0000FA630000}"/>
    <cellStyle name="40% - Accent4 4 7 3 2 2 2 2" xfId="29122" xr:uid="{00000000-0005-0000-0000-0000FB630000}"/>
    <cellStyle name="40% - Accent4 4 7 3 2 2 3" xfId="29123" xr:uid="{00000000-0005-0000-0000-0000FC630000}"/>
    <cellStyle name="40% - Accent4 4 7 3 2 3" xfId="29124" xr:uid="{00000000-0005-0000-0000-0000FD630000}"/>
    <cellStyle name="40% - Accent4 4 7 3 2 3 2" xfId="29125" xr:uid="{00000000-0005-0000-0000-0000FE630000}"/>
    <cellStyle name="40% - Accent4 4 7 3 2 4" xfId="29126" xr:uid="{00000000-0005-0000-0000-0000FF630000}"/>
    <cellStyle name="40% - Accent4 4 7 3 2 5" xfId="29127" xr:uid="{00000000-0005-0000-0000-000000640000}"/>
    <cellStyle name="40% - Accent4 4 7 3 2 6" xfId="29128" xr:uid="{00000000-0005-0000-0000-000001640000}"/>
    <cellStyle name="40% - Accent4 4 7 3 3" xfId="29129" xr:uid="{00000000-0005-0000-0000-000002640000}"/>
    <cellStyle name="40% - Accent4 4 7 3 3 2" xfId="29130" xr:uid="{00000000-0005-0000-0000-000003640000}"/>
    <cellStyle name="40% - Accent4 4 7 3 3 2 2" xfId="29131" xr:uid="{00000000-0005-0000-0000-000004640000}"/>
    <cellStyle name="40% - Accent4 4 7 3 3 3" xfId="29132" xr:uid="{00000000-0005-0000-0000-000005640000}"/>
    <cellStyle name="40% - Accent4 4 7 3 4" xfId="29133" xr:uid="{00000000-0005-0000-0000-000006640000}"/>
    <cellStyle name="40% - Accent4 4 7 3 4 2" xfId="29134" xr:uid="{00000000-0005-0000-0000-000007640000}"/>
    <cellStyle name="40% - Accent4 4 7 3 5" xfId="29135" xr:uid="{00000000-0005-0000-0000-000008640000}"/>
    <cellStyle name="40% - Accent4 4 7 3 6" xfId="29136" xr:uid="{00000000-0005-0000-0000-000009640000}"/>
    <cellStyle name="40% - Accent4 4 7 3 7" xfId="29137" xr:uid="{00000000-0005-0000-0000-00000A640000}"/>
    <cellStyle name="40% - Accent4 4 7 4" xfId="29138" xr:uid="{00000000-0005-0000-0000-00000B640000}"/>
    <cellStyle name="40% - Accent4 4 7 4 2" xfId="29139" xr:uid="{00000000-0005-0000-0000-00000C640000}"/>
    <cellStyle name="40% - Accent4 4 7 4 2 2" xfId="29140" xr:uid="{00000000-0005-0000-0000-00000D640000}"/>
    <cellStyle name="40% - Accent4 4 7 4 2 2 2" xfId="29141" xr:uid="{00000000-0005-0000-0000-00000E640000}"/>
    <cellStyle name="40% - Accent4 4 7 4 2 3" xfId="29142" xr:uid="{00000000-0005-0000-0000-00000F640000}"/>
    <cellStyle name="40% - Accent4 4 7 4 3" xfId="29143" xr:uid="{00000000-0005-0000-0000-000010640000}"/>
    <cellStyle name="40% - Accent4 4 7 4 3 2" xfId="29144" xr:uid="{00000000-0005-0000-0000-000011640000}"/>
    <cellStyle name="40% - Accent4 4 7 4 4" xfId="29145" xr:uid="{00000000-0005-0000-0000-000012640000}"/>
    <cellStyle name="40% - Accent4 4 7 4 5" xfId="29146" xr:uid="{00000000-0005-0000-0000-000013640000}"/>
    <cellStyle name="40% - Accent4 4 7 4 6" xfId="29147" xr:uid="{00000000-0005-0000-0000-000014640000}"/>
    <cellStyle name="40% - Accent4 4 7 5" xfId="29148" xr:uid="{00000000-0005-0000-0000-000015640000}"/>
    <cellStyle name="40% - Accent4 4 7 5 2" xfId="29149" xr:uid="{00000000-0005-0000-0000-000016640000}"/>
    <cellStyle name="40% - Accent4 4 7 5 2 2" xfId="29150" xr:uid="{00000000-0005-0000-0000-000017640000}"/>
    <cellStyle name="40% - Accent4 4 7 5 3" xfId="29151" xr:uid="{00000000-0005-0000-0000-000018640000}"/>
    <cellStyle name="40% - Accent4 4 7 6" xfId="29152" xr:uid="{00000000-0005-0000-0000-000019640000}"/>
    <cellStyle name="40% - Accent4 4 7 6 2" xfId="29153" xr:uid="{00000000-0005-0000-0000-00001A640000}"/>
    <cellStyle name="40% - Accent4 4 7 6 2 2" xfId="29154" xr:uid="{00000000-0005-0000-0000-00001B640000}"/>
    <cellStyle name="40% - Accent4 4 7 6 3" xfId="29155" xr:uid="{00000000-0005-0000-0000-00001C640000}"/>
    <cellStyle name="40% - Accent4 4 7 7" xfId="29156" xr:uid="{00000000-0005-0000-0000-00001D640000}"/>
    <cellStyle name="40% - Accent4 4 7 7 2" xfId="29157" xr:uid="{00000000-0005-0000-0000-00001E640000}"/>
    <cellStyle name="40% - Accent4 4 7 8" xfId="29158" xr:uid="{00000000-0005-0000-0000-00001F640000}"/>
    <cellStyle name="40% - Accent4 4 7 8 2" xfId="29159" xr:uid="{00000000-0005-0000-0000-000020640000}"/>
    <cellStyle name="40% - Accent4 4 7 9" xfId="29160" xr:uid="{00000000-0005-0000-0000-000021640000}"/>
    <cellStyle name="40% - Accent4 4 8" xfId="29161" xr:uid="{00000000-0005-0000-0000-000022640000}"/>
    <cellStyle name="40% - Accent4 4 8 10" xfId="29162" xr:uid="{00000000-0005-0000-0000-000023640000}"/>
    <cellStyle name="40% - Accent4 4 8 11" xfId="29163" xr:uid="{00000000-0005-0000-0000-000024640000}"/>
    <cellStyle name="40% - Accent4 4 8 2" xfId="29164" xr:uid="{00000000-0005-0000-0000-000025640000}"/>
    <cellStyle name="40% - Accent4 4 8 2 2" xfId="29165" xr:uid="{00000000-0005-0000-0000-000026640000}"/>
    <cellStyle name="40% - Accent4 4 8 2 2 2" xfId="29166" xr:uid="{00000000-0005-0000-0000-000027640000}"/>
    <cellStyle name="40% - Accent4 4 8 2 2 2 2" xfId="29167" xr:uid="{00000000-0005-0000-0000-000028640000}"/>
    <cellStyle name="40% - Accent4 4 8 2 2 2 2 2" xfId="29168" xr:uid="{00000000-0005-0000-0000-000029640000}"/>
    <cellStyle name="40% - Accent4 4 8 2 2 2 3" xfId="29169" xr:uid="{00000000-0005-0000-0000-00002A640000}"/>
    <cellStyle name="40% - Accent4 4 8 2 2 3" xfId="29170" xr:uid="{00000000-0005-0000-0000-00002B640000}"/>
    <cellStyle name="40% - Accent4 4 8 2 2 3 2" xfId="29171" xr:uid="{00000000-0005-0000-0000-00002C640000}"/>
    <cellStyle name="40% - Accent4 4 8 2 2 4" xfId="29172" xr:uid="{00000000-0005-0000-0000-00002D640000}"/>
    <cellStyle name="40% - Accent4 4 8 2 2 5" xfId="29173" xr:uid="{00000000-0005-0000-0000-00002E640000}"/>
    <cellStyle name="40% - Accent4 4 8 2 2 6" xfId="29174" xr:uid="{00000000-0005-0000-0000-00002F640000}"/>
    <cellStyle name="40% - Accent4 4 8 2 3" xfId="29175" xr:uid="{00000000-0005-0000-0000-000030640000}"/>
    <cellStyle name="40% - Accent4 4 8 2 3 2" xfId="29176" xr:uid="{00000000-0005-0000-0000-000031640000}"/>
    <cellStyle name="40% - Accent4 4 8 2 3 2 2" xfId="29177" xr:uid="{00000000-0005-0000-0000-000032640000}"/>
    <cellStyle name="40% - Accent4 4 8 2 3 3" xfId="29178" xr:uid="{00000000-0005-0000-0000-000033640000}"/>
    <cellStyle name="40% - Accent4 4 8 2 4" xfId="29179" xr:uid="{00000000-0005-0000-0000-000034640000}"/>
    <cellStyle name="40% - Accent4 4 8 2 4 2" xfId="29180" xr:uid="{00000000-0005-0000-0000-000035640000}"/>
    <cellStyle name="40% - Accent4 4 8 2 5" xfId="29181" xr:uid="{00000000-0005-0000-0000-000036640000}"/>
    <cellStyle name="40% - Accent4 4 8 2 5 2" xfId="29182" xr:uid="{00000000-0005-0000-0000-000037640000}"/>
    <cellStyle name="40% - Accent4 4 8 2 6" xfId="29183" xr:uid="{00000000-0005-0000-0000-000038640000}"/>
    <cellStyle name="40% - Accent4 4 8 2 7" xfId="29184" xr:uid="{00000000-0005-0000-0000-000039640000}"/>
    <cellStyle name="40% - Accent4 4 8 2 8" xfId="29185" xr:uid="{00000000-0005-0000-0000-00003A640000}"/>
    <cellStyle name="40% - Accent4 4 8 3" xfId="29186" xr:uid="{00000000-0005-0000-0000-00003B640000}"/>
    <cellStyle name="40% - Accent4 4 8 3 2" xfId="29187" xr:uid="{00000000-0005-0000-0000-00003C640000}"/>
    <cellStyle name="40% - Accent4 4 8 3 2 2" xfId="29188" xr:uid="{00000000-0005-0000-0000-00003D640000}"/>
    <cellStyle name="40% - Accent4 4 8 3 2 2 2" xfId="29189" xr:uid="{00000000-0005-0000-0000-00003E640000}"/>
    <cellStyle name="40% - Accent4 4 8 3 2 2 2 2" xfId="29190" xr:uid="{00000000-0005-0000-0000-00003F640000}"/>
    <cellStyle name="40% - Accent4 4 8 3 2 2 3" xfId="29191" xr:uid="{00000000-0005-0000-0000-000040640000}"/>
    <cellStyle name="40% - Accent4 4 8 3 2 3" xfId="29192" xr:uid="{00000000-0005-0000-0000-000041640000}"/>
    <cellStyle name="40% - Accent4 4 8 3 2 3 2" xfId="29193" xr:uid="{00000000-0005-0000-0000-000042640000}"/>
    <cellStyle name="40% - Accent4 4 8 3 2 4" xfId="29194" xr:uid="{00000000-0005-0000-0000-000043640000}"/>
    <cellStyle name="40% - Accent4 4 8 3 2 5" xfId="29195" xr:uid="{00000000-0005-0000-0000-000044640000}"/>
    <cellStyle name="40% - Accent4 4 8 3 2 6" xfId="29196" xr:uid="{00000000-0005-0000-0000-000045640000}"/>
    <cellStyle name="40% - Accent4 4 8 3 3" xfId="29197" xr:uid="{00000000-0005-0000-0000-000046640000}"/>
    <cellStyle name="40% - Accent4 4 8 3 3 2" xfId="29198" xr:uid="{00000000-0005-0000-0000-000047640000}"/>
    <cellStyle name="40% - Accent4 4 8 3 3 2 2" xfId="29199" xr:uid="{00000000-0005-0000-0000-000048640000}"/>
    <cellStyle name="40% - Accent4 4 8 3 3 3" xfId="29200" xr:uid="{00000000-0005-0000-0000-000049640000}"/>
    <cellStyle name="40% - Accent4 4 8 3 4" xfId="29201" xr:uid="{00000000-0005-0000-0000-00004A640000}"/>
    <cellStyle name="40% - Accent4 4 8 3 4 2" xfId="29202" xr:uid="{00000000-0005-0000-0000-00004B640000}"/>
    <cellStyle name="40% - Accent4 4 8 3 5" xfId="29203" xr:uid="{00000000-0005-0000-0000-00004C640000}"/>
    <cellStyle name="40% - Accent4 4 8 3 6" xfId="29204" xr:uid="{00000000-0005-0000-0000-00004D640000}"/>
    <cellStyle name="40% - Accent4 4 8 3 7" xfId="29205" xr:uid="{00000000-0005-0000-0000-00004E640000}"/>
    <cellStyle name="40% - Accent4 4 8 4" xfId="29206" xr:uid="{00000000-0005-0000-0000-00004F640000}"/>
    <cellStyle name="40% - Accent4 4 8 4 2" xfId="29207" xr:uid="{00000000-0005-0000-0000-000050640000}"/>
    <cellStyle name="40% - Accent4 4 8 4 2 2" xfId="29208" xr:uid="{00000000-0005-0000-0000-000051640000}"/>
    <cellStyle name="40% - Accent4 4 8 4 2 2 2" xfId="29209" xr:uid="{00000000-0005-0000-0000-000052640000}"/>
    <cellStyle name="40% - Accent4 4 8 4 2 3" xfId="29210" xr:uid="{00000000-0005-0000-0000-000053640000}"/>
    <cellStyle name="40% - Accent4 4 8 4 3" xfId="29211" xr:uid="{00000000-0005-0000-0000-000054640000}"/>
    <cellStyle name="40% - Accent4 4 8 4 3 2" xfId="29212" xr:uid="{00000000-0005-0000-0000-000055640000}"/>
    <cellStyle name="40% - Accent4 4 8 4 4" xfId="29213" xr:uid="{00000000-0005-0000-0000-000056640000}"/>
    <cellStyle name="40% - Accent4 4 8 4 5" xfId="29214" xr:uid="{00000000-0005-0000-0000-000057640000}"/>
    <cellStyle name="40% - Accent4 4 8 4 6" xfId="29215" xr:uid="{00000000-0005-0000-0000-000058640000}"/>
    <cellStyle name="40% - Accent4 4 8 5" xfId="29216" xr:uid="{00000000-0005-0000-0000-000059640000}"/>
    <cellStyle name="40% - Accent4 4 8 5 2" xfId="29217" xr:uid="{00000000-0005-0000-0000-00005A640000}"/>
    <cellStyle name="40% - Accent4 4 8 5 2 2" xfId="29218" xr:uid="{00000000-0005-0000-0000-00005B640000}"/>
    <cellStyle name="40% - Accent4 4 8 5 3" xfId="29219" xr:uid="{00000000-0005-0000-0000-00005C640000}"/>
    <cellStyle name="40% - Accent4 4 8 6" xfId="29220" xr:uid="{00000000-0005-0000-0000-00005D640000}"/>
    <cellStyle name="40% - Accent4 4 8 6 2" xfId="29221" xr:uid="{00000000-0005-0000-0000-00005E640000}"/>
    <cellStyle name="40% - Accent4 4 8 6 2 2" xfId="29222" xr:uid="{00000000-0005-0000-0000-00005F640000}"/>
    <cellStyle name="40% - Accent4 4 8 6 3" xfId="29223" xr:uid="{00000000-0005-0000-0000-000060640000}"/>
    <cellStyle name="40% - Accent4 4 8 7" xfId="29224" xr:uid="{00000000-0005-0000-0000-000061640000}"/>
    <cellStyle name="40% - Accent4 4 8 7 2" xfId="29225" xr:uid="{00000000-0005-0000-0000-000062640000}"/>
    <cellStyle name="40% - Accent4 4 8 8" xfId="29226" xr:uid="{00000000-0005-0000-0000-000063640000}"/>
    <cellStyle name="40% - Accent4 4 8 8 2" xfId="29227" xr:uid="{00000000-0005-0000-0000-000064640000}"/>
    <cellStyle name="40% - Accent4 4 8 9" xfId="29228" xr:uid="{00000000-0005-0000-0000-000065640000}"/>
    <cellStyle name="40% - Accent4 4 9" xfId="29229" xr:uid="{00000000-0005-0000-0000-000066640000}"/>
    <cellStyle name="40% - Accent4 4 9 10" xfId="29230" xr:uid="{00000000-0005-0000-0000-000067640000}"/>
    <cellStyle name="40% - Accent4 4 9 2" xfId="29231" xr:uid="{00000000-0005-0000-0000-000068640000}"/>
    <cellStyle name="40% - Accent4 4 9 2 2" xfId="29232" xr:uid="{00000000-0005-0000-0000-000069640000}"/>
    <cellStyle name="40% - Accent4 4 9 2 2 2" xfId="29233" xr:uid="{00000000-0005-0000-0000-00006A640000}"/>
    <cellStyle name="40% - Accent4 4 9 2 2 2 2" xfId="29234" xr:uid="{00000000-0005-0000-0000-00006B640000}"/>
    <cellStyle name="40% - Accent4 4 9 2 2 2 2 2" xfId="29235" xr:uid="{00000000-0005-0000-0000-00006C640000}"/>
    <cellStyle name="40% - Accent4 4 9 2 2 2 3" xfId="29236" xr:uid="{00000000-0005-0000-0000-00006D640000}"/>
    <cellStyle name="40% - Accent4 4 9 2 2 3" xfId="29237" xr:uid="{00000000-0005-0000-0000-00006E640000}"/>
    <cellStyle name="40% - Accent4 4 9 2 2 3 2" xfId="29238" xr:uid="{00000000-0005-0000-0000-00006F640000}"/>
    <cellStyle name="40% - Accent4 4 9 2 2 4" xfId="29239" xr:uid="{00000000-0005-0000-0000-000070640000}"/>
    <cellStyle name="40% - Accent4 4 9 2 2 5" xfId="29240" xr:uid="{00000000-0005-0000-0000-000071640000}"/>
    <cellStyle name="40% - Accent4 4 9 2 2 6" xfId="29241" xr:uid="{00000000-0005-0000-0000-000072640000}"/>
    <cellStyle name="40% - Accent4 4 9 2 3" xfId="29242" xr:uid="{00000000-0005-0000-0000-000073640000}"/>
    <cellStyle name="40% - Accent4 4 9 2 3 2" xfId="29243" xr:uid="{00000000-0005-0000-0000-000074640000}"/>
    <cellStyle name="40% - Accent4 4 9 2 3 2 2" xfId="29244" xr:uid="{00000000-0005-0000-0000-000075640000}"/>
    <cellStyle name="40% - Accent4 4 9 2 3 3" xfId="29245" xr:uid="{00000000-0005-0000-0000-000076640000}"/>
    <cellStyle name="40% - Accent4 4 9 2 4" xfId="29246" xr:uid="{00000000-0005-0000-0000-000077640000}"/>
    <cellStyle name="40% - Accent4 4 9 2 4 2" xfId="29247" xr:uid="{00000000-0005-0000-0000-000078640000}"/>
    <cellStyle name="40% - Accent4 4 9 2 5" xfId="29248" xr:uid="{00000000-0005-0000-0000-000079640000}"/>
    <cellStyle name="40% - Accent4 4 9 2 6" xfId="29249" xr:uid="{00000000-0005-0000-0000-00007A640000}"/>
    <cellStyle name="40% - Accent4 4 9 2 7" xfId="29250" xr:uid="{00000000-0005-0000-0000-00007B640000}"/>
    <cellStyle name="40% - Accent4 4 9 3" xfId="29251" xr:uid="{00000000-0005-0000-0000-00007C640000}"/>
    <cellStyle name="40% - Accent4 4 9 3 2" xfId="29252" xr:uid="{00000000-0005-0000-0000-00007D640000}"/>
    <cellStyle name="40% - Accent4 4 9 3 2 2" xfId="29253" xr:uid="{00000000-0005-0000-0000-00007E640000}"/>
    <cellStyle name="40% - Accent4 4 9 3 2 2 2" xfId="29254" xr:uid="{00000000-0005-0000-0000-00007F640000}"/>
    <cellStyle name="40% - Accent4 4 9 3 2 3" xfId="29255" xr:uid="{00000000-0005-0000-0000-000080640000}"/>
    <cellStyle name="40% - Accent4 4 9 3 3" xfId="29256" xr:uid="{00000000-0005-0000-0000-000081640000}"/>
    <cellStyle name="40% - Accent4 4 9 3 3 2" xfId="29257" xr:uid="{00000000-0005-0000-0000-000082640000}"/>
    <cellStyle name="40% - Accent4 4 9 3 4" xfId="29258" xr:uid="{00000000-0005-0000-0000-000083640000}"/>
    <cellStyle name="40% - Accent4 4 9 3 5" xfId="29259" xr:uid="{00000000-0005-0000-0000-000084640000}"/>
    <cellStyle name="40% - Accent4 4 9 3 6" xfId="29260" xr:uid="{00000000-0005-0000-0000-000085640000}"/>
    <cellStyle name="40% - Accent4 4 9 4" xfId="29261" xr:uid="{00000000-0005-0000-0000-000086640000}"/>
    <cellStyle name="40% - Accent4 4 9 4 2" xfId="29262" xr:uid="{00000000-0005-0000-0000-000087640000}"/>
    <cellStyle name="40% - Accent4 4 9 4 2 2" xfId="29263" xr:uid="{00000000-0005-0000-0000-000088640000}"/>
    <cellStyle name="40% - Accent4 4 9 4 3" xfId="29264" xr:uid="{00000000-0005-0000-0000-000089640000}"/>
    <cellStyle name="40% - Accent4 4 9 5" xfId="29265" xr:uid="{00000000-0005-0000-0000-00008A640000}"/>
    <cellStyle name="40% - Accent4 4 9 5 2" xfId="29266" xr:uid="{00000000-0005-0000-0000-00008B640000}"/>
    <cellStyle name="40% - Accent4 4 9 5 2 2" xfId="29267" xr:uid="{00000000-0005-0000-0000-00008C640000}"/>
    <cellStyle name="40% - Accent4 4 9 5 3" xfId="29268" xr:uid="{00000000-0005-0000-0000-00008D640000}"/>
    <cellStyle name="40% - Accent4 4 9 6" xfId="29269" xr:uid="{00000000-0005-0000-0000-00008E640000}"/>
    <cellStyle name="40% - Accent4 4 9 6 2" xfId="29270" xr:uid="{00000000-0005-0000-0000-00008F640000}"/>
    <cellStyle name="40% - Accent4 4 9 7" xfId="29271" xr:uid="{00000000-0005-0000-0000-000090640000}"/>
    <cellStyle name="40% - Accent4 4 9 7 2" xfId="29272" xr:uid="{00000000-0005-0000-0000-000091640000}"/>
    <cellStyle name="40% - Accent4 4 9 8" xfId="29273" xr:uid="{00000000-0005-0000-0000-000092640000}"/>
    <cellStyle name="40% - Accent4 4 9 9" xfId="29274" xr:uid="{00000000-0005-0000-0000-000093640000}"/>
    <cellStyle name="40% - Accent4 5" xfId="209" xr:uid="{00000000-0005-0000-0000-000094640000}"/>
    <cellStyle name="40% - Accent4 5 10" xfId="29275" xr:uid="{00000000-0005-0000-0000-000095640000}"/>
    <cellStyle name="40% - Accent4 5 10 2" xfId="29276" xr:uid="{00000000-0005-0000-0000-000096640000}"/>
    <cellStyle name="40% - Accent4 5 11" xfId="29277" xr:uid="{00000000-0005-0000-0000-000097640000}"/>
    <cellStyle name="40% - Accent4 5 11 2" xfId="29278" xr:uid="{00000000-0005-0000-0000-000098640000}"/>
    <cellStyle name="40% - Accent4 5 11 2 2" xfId="29279" xr:uid="{00000000-0005-0000-0000-000099640000}"/>
    <cellStyle name="40% - Accent4 5 11 2 2 2" xfId="29280" xr:uid="{00000000-0005-0000-0000-00009A640000}"/>
    <cellStyle name="40% - Accent4 5 11 2 2 2 2" xfId="29281" xr:uid="{00000000-0005-0000-0000-00009B640000}"/>
    <cellStyle name="40% - Accent4 5 11 2 2 3" xfId="29282" xr:uid="{00000000-0005-0000-0000-00009C640000}"/>
    <cellStyle name="40% - Accent4 5 11 2 3" xfId="29283" xr:uid="{00000000-0005-0000-0000-00009D640000}"/>
    <cellStyle name="40% - Accent4 5 11 2 3 2" xfId="29284" xr:uid="{00000000-0005-0000-0000-00009E640000}"/>
    <cellStyle name="40% - Accent4 5 11 2 4" xfId="29285" xr:uid="{00000000-0005-0000-0000-00009F640000}"/>
    <cellStyle name="40% - Accent4 5 11 2 5" xfId="29286" xr:uid="{00000000-0005-0000-0000-0000A0640000}"/>
    <cellStyle name="40% - Accent4 5 11 2 6" xfId="29287" xr:uid="{00000000-0005-0000-0000-0000A1640000}"/>
    <cellStyle name="40% - Accent4 5 11 3" xfId="29288" xr:uid="{00000000-0005-0000-0000-0000A2640000}"/>
    <cellStyle name="40% - Accent4 5 11 3 2" xfId="29289" xr:uid="{00000000-0005-0000-0000-0000A3640000}"/>
    <cellStyle name="40% - Accent4 5 11 3 2 2" xfId="29290" xr:uid="{00000000-0005-0000-0000-0000A4640000}"/>
    <cellStyle name="40% - Accent4 5 11 3 3" xfId="29291" xr:uid="{00000000-0005-0000-0000-0000A5640000}"/>
    <cellStyle name="40% - Accent4 5 11 4" xfId="29292" xr:uid="{00000000-0005-0000-0000-0000A6640000}"/>
    <cellStyle name="40% - Accent4 5 11 4 2" xfId="29293" xr:uid="{00000000-0005-0000-0000-0000A7640000}"/>
    <cellStyle name="40% - Accent4 5 11 5" xfId="29294" xr:uid="{00000000-0005-0000-0000-0000A8640000}"/>
    <cellStyle name="40% - Accent4 5 11 6" xfId="29295" xr:uid="{00000000-0005-0000-0000-0000A9640000}"/>
    <cellStyle name="40% - Accent4 5 11 7" xfId="29296" xr:uid="{00000000-0005-0000-0000-0000AA640000}"/>
    <cellStyle name="40% - Accent4 5 12" xfId="29297" xr:uid="{00000000-0005-0000-0000-0000AB640000}"/>
    <cellStyle name="40% - Accent4 5 12 2" xfId="29298" xr:uid="{00000000-0005-0000-0000-0000AC640000}"/>
    <cellStyle name="40% - Accent4 5 12 2 2" xfId="29299" xr:uid="{00000000-0005-0000-0000-0000AD640000}"/>
    <cellStyle name="40% - Accent4 5 12 2 2 2" xfId="29300" xr:uid="{00000000-0005-0000-0000-0000AE640000}"/>
    <cellStyle name="40% - Accent4 5 12 2 2 2 2" xfId="29301" xr:uid="{00000000-0005-0000-0000-0000AF640000}"/>
    <cellStyle name="40% - Accent4 5 12 2 2 3" xfId="29302" xr:uid="{00000000-0005-0000-0000-0000B0640000}"/>
    <cellStyle name="40% - Accent4 5 12 2 3" xfId="29303" xr:uid="{00000000-0005-0000-0000-0000B1640000}"/>
    <cellStyle name="40% - Accent4 5 12 2 3 2" xfId="29304" xr:uid="{00000000-0005-0000-0000-0000B2640000}"/>
    <cellStyle name="40% - Accent4 5 12 2 4" xfId="29305" xr:uid="{00000000-0005-0000-0000-0000B3640000}"/>
    <cellStyle name="40% - Accent4 5 12 2 5" xfId="29306" xr:uid="{00000000-0005-0000-0000-0000B4640000}"/>
    <cellStyle name="40% - Accent4 5 12 2 6" xfId="29307" xr:uid="{00000000-0005-0000-0000-0000B5640000}"/>
    <cellStyle name="40% - Accent4 5 12 3" xfId="29308" xr:uid="{00000000-0005-0000-0000-0000B6640000}"/>
    <cellStyle name="40% - Accent4 5 12 3 2" xfId="29309" xr:uid="{00000000-0005-0000-0000-0000B7640000}"/>
    <cellStyle name="40% - Accent4 5 12 3 2 2" xfId="29310" xr:uid="{00000000-0005-0000-0000-0000B8640000}"/>
    <cellStyle name="40% - Accent4 5 12 3 3" xfId="29311" xr:uid="{00000000-0005-0000-0000-0000B9640000}"/>
    <cellStyle name="40% - Accent4 5 12 4" xfId="29312" xr:uid="{00000000-0005-0000-0000-0000BA640000}"/>
    <cellStyle name="40% - Accent4 5 12 4 2" xfId="29313" xr:uid="{00000000-0005-0000-0000-0000BB640000}"/>
    <cellStyle name="40% - Accent4 5 12 5" xfId="29314" xr:uid="{00000000-0005-0000-0000-0000BC640000}"/>
    <cellStyle name="40% - Accent4 5 12 6" xfId="29315" xr:uid="{00000000-0005-0000-0000-0000BD640000}"/>
    <cellStyle name="40% - Accent4 5 12 7" xfId="29316" xr:uid="{00000000-0005-0000-0000-0000BE640000}"/>
    <cellStyle name="40% - Accent4 5 13" xfId="29317" xr:uid="{00000000-0005-0000-0000-0000BF640000}"/>
    <cellStyle name="40% - Accent4 5 13 2" xfId="29318" xr:uid="{00000000-0005-0000-0000-0000C0640000}"/>
    <cellStyle name="40% - Accent4 5 13 2 2" xfId="29319" xr:uid="{00000000-0005-0000-0000-0000C1640000}"/>
    <cellStyle name="40% - Accent4 5 13 2 2 2" xfId="29320" xr:uid="{00000000-0005-0000-0000-0000C2640000}"/>
    <cellStyle name="40% - Accent4 5 13 2 3" xfId="29321" xr:uid="{00000000-0005-0000-0000-0000C3640000}"/>
    <cellStyle name="40% - Accent4 5 13 3" xfId="29322" xr:uid="{00000000-0005-0000-0000-0000C4640000}"/>
    <cellStyle name="40% - Accent4 5 13 3 2" xfId="29323" xr:uid="{00000000-0005-0000-0000-0000C5640000}"/>
    <cellStyle name="40% - Accent4 5 13 4" xfId="29324" xr:uid="{00000000-0005-0000-0000-0000C6640000}"/>
    <cellStyle name="40% - Accent4 5 13 5" xfId="29325" xr:uid="{00000000-0005-0000-0000-0000C7640000}"/>
    <cellStyle name="40% - Accent4 5 13 6" xfId="29326" xr:uid="{00000000-0005-0000-0000-0000C8640000}"/>
    <cellStyle name="40% - Accent4 5 14" xfId="29327" xr:uid="{00000000-0005-0000-0000-0000C9640000}"/>
    <cellStyle name="40% - Accent4 5 14 2" xfId="29328" xr:uid="{00000000-0005-0000-0000-0000CA640000}"/>
    <cellStyle name="40% - Accent4 5 14 2 2" xfId="29329" xr:uid="{00000000-0005-0000-0000-0000CB640000}"/>
    <cellStyle name="40% - Accent4 5 14 3" xfId="29330" xr:uid="{00000000-0005-0000-0000-0000CC640000}"/>
    <cellStyle name="40% - Accent4 5 15" xfId="29331" xr:uid="{00000000-0005-0000-0000-0000CD640000}"/>
    <cellStyle name="40% - Accent4 5 15 2" xfId="29332" xr:uid="{00000000-0005-0000-0000-0000CE640000}"/>
    <cellStyle name="40% - Accent4 5 15 2 2" xfId="29333" xr:uid="{00000000-0005-0000-0000-0000CF640000}"/>
    <cellStyle name="40% - Accent4 5 15 3" xfId="29334" xr:uid="{00000000-0005-0000-0000-0000D0640000}"/>
    <cellStyle name="40% - Accent4 5 16" xfId="29335" xr:uid="{00000000-0005-0000-0000-0000D1640000}"/>
    <cellStyle name="40% - Accent4 5 16 2" xfId="29336" xr:uid="{00000000-0005-0000-0000-0000D2640000}"/>
    <cellStyle name="40% - Accent4 5 17" xfId="29337" xr:uid="{00000000-0005-0000-0000-0000D3640000}"/>
    <cellStyle name="40% - Accent4 5 17 2" xfId="29338" xr:uid="{00000000-0005-0000-0000-0000D4640000}"/>
    <cellStyle name="40% - Accent4 5 18" xfId="29339" xr:uid="{00000000-0005-0000-0000-0000D5640000}"/>
    <cellStyle name="40% - Accent4 5 19" xfId="29340" xr:uid="{00000000-0005-0000-0000-0000D6640000}"/>
    <cellStyle name="40% - Accent4 5 2" xfId="29341" xr:uid="{00000000-0005-0000-0000-0000D7640000}"/>
    <cellStyle name="40% - Accent4 5 2 10" xfId="29342" xr:uid="{00000000-0005-0000-0000-0000D8640000}"/>
    <cellStyle name="40% - Accent4 5 2 11" xfId="29343" xr:uid="{00000000-0005-0000-0000-0000D9640000}"/>
    <cellStyle name="40% - Accent4 5 2 2" xfId="29344" xr:uid="{00000000-0005-0000-0000-0000DA640000}"/>
    <cellStyle name="40% - Accent4 5 2 2 2" xfId="29345" xr:uid="{00000000-0005-0000-0000-0000DB640000}"/>
    <cellStyle name="40% - Accent4 5 2 2 2 2" xfId="29346" xr:uid="{00000000-0005-0000-0000-0000DC640000}"/>
    <cellStyle name="40% - Accent4 5 2 2 2 2 2" xfId="29347" xr:uid="{00000000-0005-0000-0000-0000DD640000}"/>
    <cellStyle name="40% - Accent4 5 2 2 2 2 2 2" xfId="29348" xr:uid="{00000000-0005-0000-0000-0000DE640000}"/>
    <cellStyle name="40% - Accent4 5 2 2 2 2 3" xfId="29349" xr:uid="{00000000-0005-0000-0000-0000DF640000}"/>
    <cellStyle name="40% - Accent4 5 2 2 2 3" xfId="29350" xr:uid="{00000000-0005-0000-0000-0000E0640000}"/>
    <cellStyle name="40% - Accent4 5 2 2 2 3 2" xfId="29351" xr:uid="{00000000-0005-0000-0000-0000E1640000}"/>
    <cellStyle name="40% - Accent4 5 2 2 2 4" xfId="29352" xr:uid="{00000000-0005-0000-0000-0000E2640000}"/>
    <cellStyle name="40% - Accent4 5 2 2 2 5" xfId="29353" xr:uid="{00000000-0005-0000-0000-0000E3640000}"/>
    <cellStyle name="40% - Accent4 5 2 2 2 6" xfId="29354" xr:uid="{00000000-0005-0000-0000-0000E4640000}"/>
    <cellStyle name="40% - Accent4 5 2 2 3" xfId="29355" xr:uid="{00000000-0005-0000-0000-0000E5640000}"/>
    <cellStyle name="40% - Accent4 5 2 2 3 2" xfId="29356" xr:uid="{00000000-0005-0000-0000-0000E6640000}"/>
    <cellStyle name="40% - Accent4 5 2 2 3 2 2" xfId="29357" xr:uid="{00000000-0005-0000-0000-0000E7640000}"/>
    <cellStyle name="40% - Accent4 5 2 2 3 3" xfId="29358" xr:uid="{00000000-0005-0000-0000-0000E8640000}"/>
    <cellStyle name="40% - Accent4 5 2 2 4" xfId="29359" xr:uid="{00000000-0005-0000-0000-0000E9640000}"/>
    <cellStyle name="40% - Accent4 5 2 2 4 2" xfId="29360" xr:uid="{00000000-0005-0000-0000-0000EA640000}"/>
    <cellStyle name="40% - Accent4 5 2 2 5" xfId="29361" xr:uid="{00000000-0005-0000-0000-0000EB640000}"/>
    <cellStyle name="40% - Accent4 5 2 2 5 2" xfId="29362" xr:uid="{00000000-0005-0000-0000-0000EC640000}"/>
    <cellStyle name="40% - Accent4 5 2 2 6" xfId="29363" xr:uid="{00000000-0005-0000-0000-0000ED640000}"/>
    <cellStyle name="40% - Accent4 5 2 2 7" xfId="29364" xr:uid="{00000000-0005-0000-0000-0000EE640000}"/>
    <cellStyle name="40% - Accent4 5 2 2 8" xfId="29365" xr:uid="{00000000-0005-0000-0000-0000EF640000}"/>
    <cellStyle name="40% - Accent4 5 2 3" xfId="29366" xr:uid="{00000000-0005-0000-0000-0000F0640000}"/>
    <cellStyle name="40% - Accent4 5 2 3 2" xfId="29367" xr:uid="{00000000-0005-0000-0000-0000F1640000}"/>
    <cellStyle name="40% - Accent4 5 2 3 2 2" xfId="29368" xr:uid="{00000000-0005-0000-0000-0000F2640000}"/>
    <cellStyle name="40% - Accent4 5 2 3 2 2 2" xfId="29369" xr:uid="{00000000-0005-0000-0000-0000F3640000}"/>
    <cellStyle name="40% - Accent4 5 2 3 2 2 2 2" xfId="29370" xr:uid="{00000000-0005-0000-0000-0000F4640000}"/>
    <cellStyle name="40% - Accent4 5 2 3 2 2 3" xfId="29371" xr:uid="{00000000-0005-0000-0000-0000F5640000}"/>
    <cellStyle name="40% - Accent4 5 2 3 2 3" xfId="29372" xr:uid="{00000000-0005-0000-0000-0000F6640000}"/>
    <cellStyle name="40% - Accent4 5 2 3 2 3 2" xfId="29373" xr:uid="{00000000-0005-0000-0000-0000F7640000}"/>
    <cellStyle name="40% - Accent4 5 2 3 2 4" xfId="29374" xr:uid="{00000000-0005-0000-0000-0000F8640000}"/>
    <cellStyle name="40% - Accent4 5 2 3 2 5" xfId="29375" xr:uid="{00000000-0005-0000-0000-0000F9640000}"/>
    <cellStyle name="40% - Accent4 5 2 3 2 6" xfId="29376" xr:uid="{00000000-0005-0000-0000-0000FA640000}"/>
    <cellStyle name="40% - Accent4 5 2 3 3" xfId="29377" xr:uid="{00000000-0005-0000-0000-0000FB640000}"/>
    <cellStyle name="40% - Accent4 5 2 3 3 2" xfId="29378" xr:uid="{00000000-0005-0000-0000-0000FC640000}"/>
    <cellStyle name="40% - Accent4 5 2 3 3 2 2" xfId="29379" xr:uid="{00000000-0005-0000-0000-0000FD640000}"/>
    <cellStyle name="40% - Accent4 5 2 3 3 3" xfId="29380" xr:uid="{00000000-0005-0000-0000-0000FE640000}"/>
    <cellStyle name="40% - Accent4 5 2 3 4" xfId="29381" xr:uid="{00000000-0005-0000-0000-0000FF640000}"/>
    <cellStyle name="40% - Accent4 5 2 3 4 2" xfId="29382" xr:uid="{00000000-0005-0000-0000-000000650000}"/>
    <cellStyle name="40% - Accent4 5 2 3 5" xfId="29383" xr:uid="{00000000-0005-0000-0000-000001650000}"/>
    <cellStyle name="40% - Accent4 5 2 3 6" xfId="29384" xr:uid="{00000000-0005-0000-0000-000002650000}"/>
    <cellStyle name="40% - Accent4 5 2 3 7" xfId="29385" xr:uid="{00000000-0005-0000-0000-000003650000}"/>
    <cellStyle name="40% - Accent4 5 2 4" xfId="29386" xr:uid="{00000000-0005-0000-0000-000004650000}"/>
    <cellStyle name="40% - Accent4 5 2 4 2" xfId="29387" xr:uid="{00000000-0005-0000-0000-000005650000}"/>
    <cellStyle name="40% - Accent4 5 2 4 2 2" xfId="29388" xr:uid="{00000000-0005-0000-0000-000006650000}"/>
    <cellStyle name="40% - Accent4 5 2 4 2 2 2" xfId="29389" xr:uid="{00000000-0005-0000-0000-000007650000}"/>
    <cellStyle name="40% - Accent4 5 2 4 2 3" xfId="29390" xr:uid="{00000000-0005-0000-0000-000008650000}"/>
    <cellStyle name="40% - Accent4 5 2 4 3" xfId="29391" xr:uid="{00000000-0005-0000-0000-000009650000}"/>
    <cellStyle name="40% - Accent4 5 2 4 3 2" xfId="29392" xr:uid="{00000000-0005-0000-0000-00000A650000}"/>
    <cellStyle name="40% - Accent4 5 2 4 4" xfId="29393" xr:uid="{00000000-0005-0000-0000-00000B650000}"/>
    <cellStyle name="40% - Accent4 5 2 4 5" xfId="29394" xr:uid="{00000000-0005-0000-0000-00000C650000}"/>
    <cellStyle name="40% - Accent4 5 2 4 6" xfId="29395" xr:uid="{00000000-0005-0000-0000-00000D650000}"/>
    <cellStyle name="40% - Accent4 5 2 5" xfId="29396" xr:uid="{00000000-0005-0000-0000-00000E650000}"/>
    <cellStyle name="40% - Accent4 5 2 5 2" xfId="29397" xr:uid="{00000000-0005-0000-0000-00000F650000}"/>
    <cellStyle name="40% - Accent4 5 2 5 2 2" xfId="29398" xr:uid="{00000000-0005-0000-0000-000010650000}"/>
    <cellStyle name="40% - Accent4 5 2 5 3" xfId="29399" xr:uid="{00000000-0005-0000-0000-000011650000}"/>
    <cellStyle name="40% - Accent4 5 2 6" xfId="29400" xr:uid="{00000000-0005-0000-0000-000012650000}"/>
    <cellStyle name="40% - Accent4 5 2 6 2" xfId="29401" xr:uid="{00000000-0005-0000-0000-000013650000}"/>
    <cellStyle name="40% - Accent4 5 2 6 2 2" xfId="29402" xr:uid="{00000000-0005-0000-0000-000014650000}"/>
    <cellStyle name="40% - Accent4 5 2 6 3" xfId="29403" xr:uid="{00000000-0005-0000-0000-000015650000}"/>
    <cellStyle name="40% - Accent4 5 2 7" xfId="29404" xr:uid="{00000000-0005-0000-0000-000016650000}"/>
    <cellStyle name="40% - Accent4 5 2 7 2" xfId="29405" xr:uid="{00000000-0005-0000-0000-000017650000}"/>
    <cellStyle name="40% - Accent4 5 2 8" xfId="29406" xr:uid="{00000000-0005-0000-0000-000018650000}"/>
    <cellStyle name="40% - Accent4 5 2 8 2" xfId="29407" xr:uid="{00000000-0005-0000-0000-000019650000}"/>
    <cellStyle name="40% - Accent4 5 2 9" xfId="29408" xr:uid="{00000000-0005-0000-0000-00001A650000}"/>
    <cellStyle name="40% - Accent4 5 20" xfId="29409" xr:uid="{00000000-0005-0000-0000-00001B650000}"/>
    <cellStyle name="40% - Accent4 5 3" xfId="29410" xr:uid="{00000000-0005-0000-0000-00001C650000}"/>
    <cellStyle name="40% - Accent4 5 3 10" xfId="29411" xr:uid="{00000000-0005-0000-0000-00001D650000}"/>
    <cellStyle name="40% - Accent4 5 3 11" xfId="29412" xr:uid="{00000000-0005-0000-0000-00001E650000}"/>
    <cellStyle name="40% - Accent4 5 3 2" xfId="29413" xr:uid="{00000000-0005-0000-0000-00001F650000}"/>
    <cellStyle name="40% - Accent4 5 3 2 2" xfId="29414" xr:uid="{00000000-0005-0000-0000-000020650000}"/>
    <cellStyle name="40% - Accent4 5 3 2 2 2" xfId="29415" xr:uid="{00000000-0005-0000-0000-000021650000}"/>
    <cellStyle name="40% - Accent4 5 3 2 2 2 2" xfId="29416" xr:uid="{00000000-0005-0000-0000-000022650000}"/>
    <cellStyle name="40% - Accent4 5 3 2 2 2 2 2" xfId="29417" xr:uid="{00000000-0005-0000-0000-000023650000}"/>
    <cellStyle name="40% - Accent4 5 3 2 2 2 3" xfId="29418" xr:uid="{00000000-0005-0000-0000-000024650000}"/>
    <cellStyle name="40% - Accent4 5 3 2 2 3" xfId="29419" xr:uid="{00000000-0005-0000-0000-000025650000}"/>
    <cellStyle name="40% - Accent4 5 3 2 2 3 2" xfId="29420" xr:uid="{00000000-0005-0000-0000-000026650000}"/>
    <cellStyle name="40% - Accent4 5 3 2 2 4" xfId="29421" xr:uid="{00000000-0005-0000-0000-000027650000}"/>
    <cellStyle name="40% - Accent4 5 3 2 2 5" xfId="29422" xr:uid="{00000000-0005-0000-0000-000028650000}"/>
    <cellStyle name="40% - Accent4 5 3 2 2 6" xfId="29423" xr:uid="{00000000-0005-0000-0000-000029650000}"/>
    <cellStyle name="40% - Accent4 5 3 2 3" xfId="29424" xr:uid="{00000000-0005-0000-0000-00002A650000}"/>
    <cellStyle name="40% - Accent4 5 3 2 3 2" xfId="29425" xr:uid="{00000000-0005-0000-0000-00002B650000}"/>
    <cellStyle name="40% - Accent4 5 3 2 3 2 2" xfId="29426" xr:uid="{00000000-0005-0000-0000-00002C650000}"/>
    <cellStyle name="40% - Accent4 5 3 2 3 3" xfId="29427" xr:uid="{00000000-0005-0000-0000-00002D650000}"/>
    <cellStyle name="40% - Accent4 5 3 2 4" xfId="29428" xr:uid="{00000000-0005-0000-0000-00002E650000}"/>
    <cellStyle name="40% - Accent4 5 3 2 4 2" xfId="29429" xr:uid="{00000000-0005-0000-0000-00002F650000}"/>
    <cellStyle name="40% - Accent4 5 3 2 5" xfId="29430" xr:uid="{00000000-0005-0000-0000-000030650000}"/>
    <cellStyle name="40% - Accent4 5 3 2 5 2" xfId="29431" xr:uid="{00000000-0005-0000-0000-000031650000}"/>
    <cellStyle name="40% - Accent4 5 3 2 6" xfId="29432" xr:uid="{00000000-0005-0000-0000-000032650000}"/>
    <cellStyle name="40% - Accent4 5 3 2 7" xfId="29433" xr:uid="{00000000-0005-0000-0000-000033650000}"/>
    <cellStyle name="40% - Accent4 5 3 2 8" xfId="29434" xr:uid="{00000000-0005-0000-0000-000034650000}"/>
    <cellStyle name="40% - Accent4 5 3 3" xfId="29435" xr:uid="{00000000-0005-0000-0000-000035650000}"/>
    <cellStyle name="40% - Accent4 5 3 3 2" xfId="29436" xr:uid="{00000000-0005-0000-0000-000036650000}"/>
    <cellStyle name="40% - Accent4 5 3 3 2 2" xfId="29437" xr:uid="{00000000-0005-0000-0000-000037650000}"/>
    <cellStyle name="40% - Accent4 5 3 3 2 2 2" xfId="29438" xr:uid="{00000000-0005-0000-0000-000038650000}"/>
    <cellStyle name="40% - Accent4 5 3 3 2 2 2 2" xfId="29439" xr:uid="{00000000-0005-0000-0000-000039650000}"/>
    <cellStyle name="40% - Accent4 5 3 3 2 2 3" xfId="29440" xr:uid="{00000000-0005-0000-0000-00003A650000}"/>
    <cellStyle name="40% - Accent4 5 3 3 2 3" xfId="29441" xr:uid="{00000000-0005-0000-0000-00003B650000}"/>
    <cellStyle name="40% - Accent4 5 3 3 2 3 2" xfId="29442" xr:uid="{00000000-0005-0000-0000-00003C650000}"/>
    <cellStyle name="40% - Accent4 5 3 3 2 4" xfId="29443" xr:uid="{00000000-0005-0000-0000-00003D650000}"/>
    <cellStyle name="40% - Accent4 5 3 3 2 5" xfId="29444" xr:uid="{00000000-0005-0000-0000-00003E650000}"/>
    <cellStyle name="40% - Accent4 5 3 3 2 6" xfId="29445" xr:uid="{00000000-0005-0000-0000-00003F650000}"/>
    <cellStyle name="40% - Accent4 5 3 3 3" xfId="29446" xr:uid="{00000000-0005-0000-0000-000040650000}"/>
    <cellStyle name="40% - Accent4 5 3 3 3 2" xfId="29447" xr:uid="{00000000-0005-0000-0000-000041650000}"/>
    <cellStyle name="40% - Accent4 5 3 3 3 2 2" xfId="29448" xr:uid="{00000000-0005-0000-0000-000042650000}"/>
    <cellStyle name="40% - Accent4 5 3 3 3 3" xfId="29449" xr:uid="{00000000-0005-0000-0000-000043650000}"/>
    <cellStyle name="40% - Accent4 5 3 3 4" xfId="29450" xr:uid="{00000000-0005-0000-0000-000044650000}"/>
    <cellStyle name="40% - Accent4 5 3 3 4 2" xfId="29451" xr:uid="{00000000-0005-0000-0000-000045650000}"/>
    <cellStyle name="40% - Accent4 5 3 3 5" xfId="29452" xr:uid="{00000000-0005-0000-0000-000046650000}"/>
    <cellStyle name="40% - Accent4 5 3 3 6" xfId="29453" xr:uid="{00000000-0005-0000-0000-000047650000}"/>
    <cellStyle name="40% - Accent4 5 3 3 7" xfId="29454" xr:uid="{00000000-0005-0000-0000-000048650000}"/>
    <cellStyle name="40% - Accent4 5 3 4" xfId="29455" xr:uid="{00000000-0005-0000-0000-000049650000}"/>
    <cellStyle name="40% - Accent4 5 3 4 2" xfId="29456" xr:uid="{00000000-0005-0000-0000-00004A650000}"/>
    <cellStyle name="40% - Accent4 5 3 4 2 2" xfId="29457" xr:uid="{00000000-0005-0000-0000-00004B650000}"/>
    <cellStyle name="40% - Accent4 5 3 4 2 2 2" xfId="29458" xr:uid="{00000000-0005-0000-0000-00004C650000}"/>
    <cellStyle name="40% - Accent4 5 3 4 2 3" xfId="29459" xr:uid="{00000000-0005-0000-0000-00004D650000}"/>
    <cellStyle name="40% - Accent4 5 3 4 3" xfId="29460" xr:uid="{00000000-0005-0000-0000-00004E650000}"/>
    <cellStyle name="40% - Accent4 5 3 4 3 2" xfId="29461" xr:uid="{00000000-0005-0000-0000-00004F650000}"/>
    <cellStyle name="40% - Accent4 5 3 4 4" xfId="29462" xr:uid="{00000000-0005-0000-0000-000050650000}"/>
    <cellStyle name="40% - Accent4 5 3 4 5" xfId="29463" xr:uid="{00000000-0005-0000-0000-000051650000}"/>
    <cellStyle name="40% - Accent4 5 3 4 6" xfId="29464" xr:uid="{00000000-0005-0000-0000-000052650000}"/>
    <cellStyle name="40% - Accent4 5 3 5" xfId="29465" xr:uid="{00000000-0005-0000-0000-000053650000}"/>
    <cellStyle name="40% - Accent4 5 3 5 2" xfId="29466" xr:uid="{00000000-0005-0000-0000-000054650000}"/>
    <cellStyle name="40% - Accent4 5 3 5 2 2" xfId="29467" xr:uid="{00000000-0005-0000-0000-000055650000}"/>
    <cellStyle name="40% - Accent4 5 3 5 3" xfId="29468" xr:uid="{00000000-0005-0000-0000-000056650000}"/>
    <cellStyle name="40% - Accent4 5 3 6" xfId="29469" xr:uid="{00000000-0005-0000-0000-000057650000}"/>
    <cellStyle name="40% - Accent4 5 3 6 2" xfId="29470" xr:uid="{00000000-0005-0000-0000-000058650000}"/>
    <cellStyle name="40% - Accent4 5 3 6 2 2" xfId="29471" xr:uid="{00000000-0005-0000-0000-000059650000}"/>
    <cellStyle name="40% - Accent4 5 3 6 3" xfId="29472" xr:uid="{00000000-0005-0000-0000-00005A650000}"/>
    <cellStyle name="40% - Accent4 5 3 7" xfId="29473" xr:uid="{00000000-0005-0000-0000-00005B650000}"/>
    <cellStyle name="40% - Accent4 5 3 7 2" xfId="29474" xr:uid="{00000000-0005-0000-0000-00005C650000}"/>
    <cellStyle name="40% - Accent4 5 3 8" xfId="29475" xr:uid="{00000000-0005-0000-0000-00005D650000}"/>
    <cellStyle name="40% - Accent4 5 3 8 2" xfId="29476" xr:uid="{00000000-0005-0000-0000-00005E650000}"/>
    <cellStyle name="40% - Accent4 5 3 9" xfId="29477" xr:uid="{00000000-0005-0000-0000-00005F650000}"/>
    <cellStyle name="40% - Accent4 5 4" xfId="29478" xr:uid="{00000000-0005-0000-0000-000060650000}"/>
    <cellStyle name="40% - Accent4 5 4 10" xfId="29479" xr:uid="{00000000-0005-0000-0000-000061650000}"/>
    <cellStyle name="40% - Accent4 5 4 11" xfId="29480" xr:uid="{00000000-0005-0000-0000-000062650000}"/>
    <cellStyle name="40% - Accent4 5 4 2" xfId="29481" xr:uid="{00000000-0005-0000-0000-000063650000}"/>
    <cellStyle name="40% - Accent4 5 4 2 2" xfId="29482" xr:uid="{00000000-0005-0000-0000-000064650000}"/>
    <cellStyle name="40% - Accent4 5 4 2 2 2" xfId="29483" xr:uid="{00000000-0005-0000-0000-000065650000}"/>
    <cellStyle name="40% - Accent4 5 4 2 2 2 2" xfId="29484" xr:uid="{00000000-0005-0000-0000-000066650000}"/>
    <cellStyle name="40% - Accent4 5 4 2 2 2 2 2" xfId="29485" xr:uid="{00000000-0005-0000-0000-000067650000}"/>
    <cellStyle name="40% - Accent4 5 4 2 2 2 3" xfId="29486" xr:uid="{00000000-0005-0000-0000-000068650000}"/>
    <cellStyle name="40% - Accent4 5 4 2 2 3" xfId="29487" xr:uid="{00000000-0005-0000-0000-000069650000}"/>
    <cellStyle name="40% - Accent4 5 4 2 2 3 2" xfId="29488" xr:uid="{00000000-0005-0000-0000-00006A650000}"/>
    <cellStyle name="40% - Accent4 5 4 2 2 4" xfId="29489" xr:uid="{00000000-0005-0000-0000-00006B650000}"/>
    <cellStyle name="40% - Accent4 5 4 2 2 5" xfId="29490" xr:uid="{00000000-0005-0000-0000-00006C650000}"/>
    <cellStyle name="40% - Accent4 5 4 2 2 6" xfId="29491" xr:uid="{00000000-0005-0000-0000-00006D650000}"/>
    <cellStyle name="40% - Accent4 5 4 2 3" xfId="29492" xr:uid="{00000000-0005-0000-0000-00006E650000}"/>
    <cellStyle name="40% - Accent4 5 4 2 3 2" xfId="29493" xr:uid="{00000000-0005-0000-0000-00006F650000}"/>
    <cellStyle name="40% - Accent4 5 4 2 3 2 2" xfId="29494" xr:uid="{00000000-0005-0000-0000-000070650000}"/>
    <cellStyle name="40% - Accent4 5 4 2 3 3" xfId="29495" xr:uid="{00000000-0005-0000-0000-000071650000}"/>
    <cellStyle name="40% - Accent4 5 4 2 4" xfId="29496" xr:uid="{00000000-0005-0000-0000-000072650000}"/>
    <cellStyle name="40% - Accent4 5 4 2 4 2" xfId="29497" xr:uid="{00000000-0005-0000-0000-000073650000}"/>
    <cellStyle name="40% - Accent4 5 4 2 5" xfId="29498" xr:uid="{00000000-0005-0000-0000-000074650000}"/>
    <cellStyle name="40% - Accent4 5 4 2 5 2" xfId="29499" xr:uid="{00000000-0005-0000-0000-000075650000}"/>
    <cellStyle name="40% - Accent4 5 4 2 6" xfId="29500" xr:uid="{00000000-0005-0000-0000-000076650000}"/>
    <cellStyle name="40% - Accent4 5 4 2 7" xfId="29501" xr:uid="{00000000-0005-0000-0000-000077650000}"/>
    <cellStyle name="40% - Accent4 5 4 2 8" xfId="29502" xr:uid="{00000000-0005-0000-0000-000078650000}"/>
    <cellStyle name="40% - Accent4 5 4 3" xfId="29503" xr:uid="{00000000-0005-0000-0000-000079650000}"/>
    <cellStyle name="40% - Accent4 5 4 3 2" xfId="29504" xr:uid="{00000000-0005-0000-0000-00007A650000}"/>
    <cellStyle name="40% - Accent4 5 4 3 2 2" xfId="29505" xr:uid="{00000000-0005-0000-0000-00007B650000}"/>
    <cellStyle name="40% - Accent4 5 4 3 2 2 2" xfId="29506" xr:uid="{00000000-0005-0000-0000-00007C650000}"/>
    <cellStyle name="40% - Accent4 5 4 3 2 2 2 2" xfId="29507" xr:uid="{00000000-0005-0000-0000-00007D650000}"/>
    <cellStyle name="40% - Accent4 5 4 3 2 2 3" xfId="29508" xr:uid="{00000000-0005-0000-0000-00007E650000}"/>
    <cellStyle name="40% - Accent4 5 4 3 2 3" xfId="29509" xr:uid="{00000000-0005-0000-0000-00007F650000}"/>
    <cellStyle name="40% - Accent4 5 4 3 2 3 2" xfId="29510" xr:uid="{00000000-0005-0000-0000-000080650000}"/>
    <cellStyle name="40% - Accent4 5 4 3 2 4" xfId="29511" xr:uid="{00000000-0005-0000-0000-000081650000}"/>
    <cellStyle name="40% - Accent4 5 4 3 2 5" xfId="29512" xr:uid="{00000000-0005-0000-0000-000082650000}"/>
    <cellStyle name="40% - Accent4 5 4 3 2 6" xfId="29513" xr:uid="{00000000-0005-0000-0000-000083650000}"/>
    <cellStyle name="40% - Accent4 5 4 3 3" xfId="29514" xr:uid="{00000000-0005-0000-0000-000084650000}"/>
    <cellStyle name="40% - Accent4 5 4 3 3 2" xfId="29515" xr:uid="{00000000-0005-0000-0000-000085650000}"/>
    <cellStyle name="40% - Accent4 5 4 3 3 2 2" xfId="29516" xr:uid="{00000000-0005-0000-0000-000086650000}"/>
    <cellStyle name="40% - Accent4 5 4 3 3 3" xfId="29517" xr:uid="{00000000-0005-0000-0000-000087650000}"/>
    <cellStyle name="40% - Accent4 5 4 3 4" xfId="29518" xr:uid="{00000000-0005-0000-0000-000088650000}"/>
    <cellStyle name="40% - Accent4 5 4 3 4 2" xfId="29519" xr:uid="{00000000-0005-0000-0000-000089650000}"/>
    <cellStyle name="40% - Accent4 5 4 3 5" xfId="29520" xr:uid="{00000000-0005-0000-0000-00008A650000}"/>
    <cellStyle name="40% - Accent4 5 4 3 6" xfId="29521" xr:uid="{00000000-0005-0000-0000-00008B650000}"/>
    <cellStyle name="40% - Accent4 5 4 3 7" xfId="29522" xr:uid="{00000000-0005-0000-0000-00008C650000}"/>
    <cellStyle name="40% - Accent4 5 4 4" xfId="29523" xr:uid="{00000000-0005-0000-0000-00008D650000}"/>
    <cellStyle name="40% - Accent4 5 4 4 2" xfId="29524" xr:uid="{00000000-0005-0000-0000-00008E650000}"/>
    <cellStyle name="40% - Accent4 5 4 4 2 2" xfId="29525" xr:uid="{00000000-0005-0000-0000-00008F650000}"/>
    <cellStyle name="40% - Accent4 5 4 4 2 2 2" xfId="29526" xr:uid="{00000000-0005-0000-0000-000090650000}"/>
    <cellStyle name="40% - Accent4 5 4 4 2 3" xfId="29527" xr:uid="{00000000-0005-0000-0000-000091650000}"/>
    <cellStyle name="40% - Accent4 5 4 4 3" xfId="29528" xr:uid="{00000000-0005-0000-0000-000092650000}"/>
    <cellStyle name="40% - Accent4 5 4 4 3 2" xfId="29529" xr:uid="{00000000-0005-0000-0000-000093650000}"/>
    <cellStyle name="40% - Accent4 5 4 4 4" xfId="29530" xr:uid="{00000000-0005-0000-0000-000094650000}"/>
    <cellStyle name="40% - Accent4 5 4 4 5" xfId="29531" xr:uid="{00000000-0005-0000-0000-000095650000}"/>
    <cellStyle name="40% - Accent4 5 4 4 6" xfId="29532" xr:uid="{00000000-0005-0000-0000-000096650000}"/>
    <cellStyle name="40% - Accent4 5 4 5" xfId="29533" xr:uid="{00000000-0005-0000-0000-000097650000}"/>
    <cellStyle name="40% - Accent4 5 4 5 2" xfId="29534" xr:uid="{00000000-0005-0000-0000-000098650000}"/>
    <cellStyle name="40% - Accent4 5 4 5 2 2" xfId="29535" xr:uid="{00000000-0005-0000-0000-000099650000}"/>
    <cellStyle name="40% - Accent4 5 4 5 3" xfId="29536" xr:uid="{00000000-0005-0000-0000-00009A650000}"/>
    <cellStyle name="40% - Accent4 5 4 6" xfId="29537" xr:uid="{00000000-0005-0000-0000-00009B650000}"/>
    <cellStyle name="40% - Accent4 5 4 6 2" xfId="29538" xr:uid="{00000000-0005-0000-0000-00009C650000}"/>
    <cellStyle name="40% - Accent4 5 4 6 2 2" xfId="29539" xr:uid="{00000000-0005-0000-0000-00009D650000}"/>
    <cellStyle name="40% - Accent4 5 4 6 3" xfId="29540" xr:uid="{00000000-0005-0000-0000-00009E650000}"/>
    <cellStyle name="40% - Accent4 5 4 7" xfId="29541" xr:uid="{00000000-0005-0000-0000-00009F650000}"/>
    <cellStyle name="40% - Accent4 5 4 7 2" xfId="29542" xr:uid="{00000000-0005-0000-0000-0000A0650000}"/>
    <cellStyle name="40% - Accent4 5 4 8" xfId="29543" xr:uid="{00000000-0005-0000-0000-0000A1650000}"/>
    <cellStyle name="40% - Accent4 5 4 8 2" xfId="29544" xr:uid="{00000000-0005-0000-0000-0000A2650000}"/>
    <cellStyle name="40% - Accent4 5 4 9" xfId="29545" xr:uid="{00000000-0005-0000-0000-0000A3650000}"/>
    <cellStyle name="40% - Accent4 5 5" xfId="29546" xr:uid="{00000000-0005-0000-0000-0000A4650000}"/>
    <cellStyle name="40% - Accent4 5 5 10" xfId="29547" xr:uid="{00000000-0005-0000-0000-0000A5650000}"/>
    <cellStyle name="40% - Accent4 5 5 11" xfId="29548" xr:uid="{00000000-0005-0000-0000-0000A6650000}"/>
    <cellStyle name="40% - Accent4 5 5 2" xfId="29549" xr:uid="{00000000-0005-0000-0000-0000A7650000}"/>
    <cellStyle name="40% - Accent4 5 5 2 2" xfId="29550" xr:uid="{00000000-0005-0000-0000-0000A8650000}"/>
    <cellStyle name="40% - Accent4 5 5 2 2 2" xfId="29551" xr:uid="{00000000-0005-0000-0000-0000A9650000}"/>
    <cellStyle name="40% - Accent4 5 5 2 2 2 2" xfId="29552" xr:uid="{00000000-0005-0000-0000-0000AA650000}"/>
    <cellStyle name="40% - Accent4 5 5 2 2 2 2 2" xfId="29553" xr:uid="{00000000-0005-0000-0000-0000AB650000}"/>
    <cellStyle name="40% - Accent4 5 5 2 2 2 3" xfId="29554" xr:uid="{00000000-0005-0000-0000-0000AC650000}"/>
    <cellStyle name="40% - Accent4 5 5 2 2 3" xfId="29555" xr:uid="{00000000-0005-0000-0000-0000AD650000}"/>
    <cellStyle name="40% - Accent4 5 5 2 2 3 2" xfId="29556" xr:uid="{00000000-0005-0000-0000-0000AE650000}"/>
    <cellStyle name="40% - Accent4 5 5 2 2 4" xfId="29557" xr:uid="{00000000-0005-0000-0000-0000AF650000}"/>
    <cellStyle name="40% - Accent4 5 5 2 2 5" xfId="29558" xr:uid="{00000000-0005-0000-0000-0000B0650000}"/>
    <cellStyle name="40% - Accent4 5 5 2 2 6" xfId="29559" xr:uid="{00000000-0005-0000-0000-0000B1650000}"/>
    <cellStyle name="40% - Accent4 5 5 2 3" xfId="29560" xr:uid="{00000000-0005-0000-0000-0000B2650000}"/>
    <cellStyle name="40% - Accent4 5 5 2 3 2" xfId="29561" xr:uid="{00000000-0005-0000-0000-0000B3650000}"/>
    <cellStyle name="40% - Accent4 5 5 2 3 2 2" xfId="29562" xr:uid="{00000000-0005-0000-0000-0000B4650000}"/>
    <cellStyle name="40% - Accent4 5 5 2 3 3" xfId="29563" xr:uid="{00000000-0005-0000-0000-0000B5650000}"/>
    <cellStyle name="40% - Accent4 5 5 2 4" xfId="29564" xr:uid="{00000000-0005-0000-0000-0000B6650000}"/>
    <cellStyle name="40% - Accent4 5 5 2 4 2" xfId="29565" xr:uid="{00000000-0005-0000-0000-0000B7650000}"/>
    <cellStyle name="40% - Accent4 5 5 2 5" xfId="29566" xr:uid="{00000000-0005-0000-0000-0000B8650000}"/>
    <cellStyle name="40% - Accent4 5 5 2 5 2" xfId="29567" xr:uid="{00000000-0005-0000-0000-0000B9650000}"/>
    <cellStyle name="40% - Accent4 5 5 2 6" xfId="29568" xr:uid="{00000000-0005-0000-0000-0000BA650000}"/>
    <cellStyle name="40% - Accent4 5 5 2 7" xfId="29569" xr:uid="{00000000-0005-0000-0000-0000BB650000}"/>
    <cellStyle name="40% - Accent4 5 5 2 8" xfId="29570" xr:uid="{00000000-0005-0000-0000-0000BC650000}"/>
    <cellStyle name="40% - Accent4 5 5 3" xfId="29571" xr:uid="{00000000-0005-0000-0000-0000BD650000}"/>
    <cellStyle name="40% - Accent4 5 5 3 2" xfId="29572" xr:uid="{00000000-0005-0000-0000-0000BE650000}"/>
    <cellStyle name="40% - Accent4 5 5 3 2 2" xfId="29573" xr:uid="{00000000-0005-0000-0000-0000BF650000}"/>
    <cellStyle name="40% - Accent4 5 5 3 2 2 2" xfId="29574" xr:uid="{00000000-0005-0000-0000-0000C0650000}"/>
    <cellStyle name="40% - Accent4 5 5 3 2 2 2 2" xfId="29575" xr:uid="{00000000-0005-0000-0000-0000C1650000}"/>
    <cellStyle name="40% - Accent4 5 5 3 2 2 3" xfId="29576" xr:uid="{00000000-0005-0000-0000-0000C2650000}"/>
    <cellStyle name="40% - Accent4 5 5 3 2 3" xfId="29577" xr:uid="{00000000-0005-0000-0000-0000C3650000}"/>
    <cellStyle name="40% - Accent4 5 5 3 2 3 2" xfId="29578" xr:uid="{00000000-0005-0000-0000-0000C4650000}"/>
    <cellStyle name="40% - Accent4 5 5 3 2 4" xfId="29579" xr:uid="{00000000-0005-0000-0000-0000C5650000}"/>
    <cellStyle name="40% - Accent4 5 5 3 2 5" xfId="29580" xr:uid="{00000000-0005-0000-0000-0000C6650000}"/>
    <cellStyle name="40% - Accent4 5 5 3 2 6" xfId="29581" xr:uid="{00000000-0005-0000-0000-0000C7650000}"/>
    <cellStyle name="40% - Accent4 5 5 3 3" xfId="29582" xr:uid="{00000000-0005-0000-0000-0000C8650000}"/>
    <cellStyle name="40% - Accent4 5 5 3 3 2" xfId="29583" xr:uid="{00000000-0005-0000-0000-0000C9650000}"/>
    <cellStyle name="40% - Accent4 5 5 3 3 2 2" xfId="29584" xr:uid="{00000000-0005-0000-0000-0000CA650000}"/>
    <cellStyle name="40% - Accent4 5 5 3 3 3" xfId="29585" xr:uid="{00000000-0005-0000-0000-0000CB650000}"/>
    <cellStyle name="40% - Accent4 5 5 3 4" xfId="29586" xr:uid="{00000000-0005-0000-0000-0000CC650000}"/>
    <cellStyle name="40% - Accent4 5 5 3 4 2" xfId="29587" xr:uid="{00000000-0005-0000-0000-0000CD650000}"/>
    <cellStyle name="40% - Accent4 5 5 3 5" xfId="29588" xr:uid="{00000000-0005-0000-0000-0000CE650000}"/>
    <cellStyle name="40% - Accent4 5 5 3 6" xfId="29589" xr:uid="{00000000-0005-0000-0000-0000CF650000}"/>
    <cellStyle name="40% - Accent4 5 5 3 7" xfId="29590" xr:uid="{00000000-0005-0000-0000-0000D0650000}"/>
    <cellStyle name="40% - Accent4 5 5 4" xfId="29591" xr:uid="{00000000-0005-0000-0000-0000D1650000}"/>
    <cellStyle name="40% - Accent4 5 5 4 2" xfId="29592" xr:uid="{00000000-0005-0000-0000-0000D2650000}"/>
    <cellStyle name="40% - Accent4 5 5 4 2 2" xfId="29593" xr:uid="{00000000-0005-0000-0000-0000D3650000}"/>
    <cellStyle name="40% - Accent4 5 5 4 2 2 2" xfId="29594" xr:uid="{00000000-0005-0000-0000-0000D4650000}"/>
    <cellStyle name="40% - Accent4 5 5 4 2 3" xfId="29595" xr:uid="{00000000-0005-0000-0000-0000D5650000}"/>
    <cellStyle name="40% - Accent4 5 5 4 3" xfId="29596" xr:uid="{00000000-0005-0000-0000-0000D6650000}"/>
    <cellStyle name="40% - Accent4 5 5 4 3 2" xfId="29597" xr:uid="{00000000-0005-0000-0000-0000D7650000}"/>
    <cellStyle name="40% - Accent4 5 5 4 4" xfId="29598" xr:uid="{00000000-0005-0000-0000-0000D8650000}"/>
    <cellStyle name="40% - Accent4 5 5 4 5" xfId="29599" xr:uid="{00000000-0005-0000-0000-0000D9650000}"/>
    <cellStyle name="40% - Accent4 5 5 4 6" xfId="29600" xr:uid="{00000000-0005-0000-0000-0000DA650000}"/>
    <cellStyle name="40% - Accent4 5 5 5" xfId="29601" xr:uid="{00000000-0005-0000-0000-0000DB650000}"/>
    <cellStyle name="40% - Accent4 5 5 5 2" xfId="29602" xr:uid="{00000000-0005-0000-0000-0000DC650000}"/>
    <cellStyle name="40% - Accent4 5 5 5 2 2" xfId="29603" xr:uid="{00000000-0005-0000-0000-0000DD650000}"/>
    <cellStyle name="40% - Accent4 5 5 5 3" xfId="29604" xr:uid="{00000000-0005-0000-0000-0000DE650000}"/>
    <cellStyle name="40% - Accent4 5 5 6" xfId="29605" xr:uid="{00000000-0005-0000-0000-0000DF650000}"/>
    <cellStyle name="40% - Accent4 5 5 6 2" xfId="29606" xr:uid="{00000000-0005-0000-0000-0000E0650000}"/>
    <cellStyle name="40% - Accent4 5 5 6 2 2" xfId="29607" xr:uid="{00000000-0005-0000-0000-0000E1650000}"/>
    <cellStyle name="40% - Accent4 5 5 6 3" xfId="29608" xr:uid="{00000000-0005-0000-0000-0000E2650000}"/>
    <cellStyle name="40% - Accent4 5 5 7" xfId="29609" xr:uid="{00000000-0005-0000-0000-0000E3650000}"/>
    <cellStyle name="40% - Accent4 5 5 7 2" xfId="29610" xr:uid="{00000000-0005-0000-0000-0000E4650000}"/>
    <cellStyle name="40% - Accent4 5 5 8" xfId="29611" xr:uid="{00000000-0005-0000-0000-0000E5650000}"/>
    <cellStyle name="40% - Accent4 5 5 8 2" xfId="29612" xr:uid="{00000000-0005-0000-0000-0000E6650000}"/>
    <cellStyle name="40% - Accent4 5 5 9" xfId="29613" xr:uid="{00000000-0005-0000-0000-0000E7650000}"/>
    <cellStyle name="40% - Accent4 5 6" xfId="29614" xr:uid="{00000000-0005-0000-0000-0000E8650000}"/>
    <cellStyle name="40% - Accent4 5 6 10" xfId="29615" xr:uid="{00000000-0005-0000-0000-0000E9650000}"/>
    <cellStyle name="40% - Accent4 5 6 11" xfId="29616" xr:uid="{00000000-0005-0000-0000-0000EA650000}"/>
    <cellStyle name="40% - Accent4 5 6 2" xfId="29617" xr:uid="{00000000-0005-0000-0000-0000EB650000}"/>
    <cellStyle name="40% - Accent4 5 6 2 2" xfId="29618" xr:uid="{00000000-0005-0000-0000-0000EC650000}"/>
    <cellStyle name="40% - Accent4 5 6 2 2 2" xfId="29619" xr:uid="{00000000-0005-0000-0000-0000ED650000}"/>
    <cellStyle name="40% - Accent4 5 6 2 2 2 2" xfId="29620" xr:uid="{00000000-0005-0000-0000-0000EE650000}"/>
    <cellStyle name="40% - Accent4 5 6 2 2 2 2 2" xfId="29621" xr:uid="{00000000-0005-0000-0000-0000EF650000}"/>
    <cellStyle name="40% - Accent4 5 6 2 2 2 3" xfId="29622" xr:uid="{00000000-0005-0000-0000-0000F0650000}"/>
    <cellStyle name="40% - Accent4 5 6 2 2 3" xfId="29623" xr:uid="{00000000-0005-0000-0000-0000F1650000}"/>
    <cellStyle name="40% - Accent4 5 6 2 2 3 2" xfId="29624" xr:uid="{00000000-0005-0000-0000-0000F2650000}"/>
    <cellStyle name="40% - Accent4 5 6 2 2 4" xfId="29625" xr:uid="{00000000-0005-0000-0000-0000F3650000}"/>
    <cellStyle name="40% - Accent4 5 6 2 2 5" xfId="29626" xr:uid="{00000000-0005-0000-0000-0000F4650000}"/>
    <cellStyle name="40% - Accent4 5 6 2 2 6" xfId="29627" xr:uid="{00000000-0005-0000-0000-0000F5650000}"/>
    <cellStyle name="40% - Accent4 5 6 2 3" xfId="29628" xr:uid="{00000000-0005-0000-0000-0000F6650000}"/>
    <cellStyle name="40% - Accent4 5 6 2 3 2" xfId="29629" xr:uid="{00000000-0005-0000-0000-0000F7650000}"/>
    <cellStyle name="40% - Accent4 5 6 2 3 2 2" xfId="29630" xr:uid="{00000000-0005-0000-0000-0000F8650000}"/>
    <cellStyle name="40% - Accent4 5 6 2 3 3" xfId="29631" xr:uid="{00000000-0005-0000-0000-0000F9650000}"/>
    <cellStyle name="40% - Accent4 5 6 2 4" xfId="29632" xr:uid="{00000000-0005-0000-0000-0000FA650000}"/>
    <cellStyle name="40% - Accent4 5 6 2 4 2" xfId="29633" xr:uid="{00000000-0005-0000-0000-0000FB650000}"/>
    <cellStyle name="40% - Accent4 5 6 2 5" xfId="29634" xr:uid="{00000000-0005-0000-0000-0000FC650000}"/>
    <cellStyle name="40% - Accent4 5 6 2 5 2" xfId="29635" xr:uid="{00000000-0005-0000-0000-0000FD650000}"/>
    <cellStyle name="40% - Accent4 5 6 2 6" xfId="29636" xr:uid="{00000000-0005-0000-0000-0000FE650000}"/>
    <cellStyle name="40% - Accent4 5 6 2 7" xfId="29637" xr:uid="{00000000-0005-0000-0000-0000FF650000}"/>
    <cellStyle name="40% - Accent4 5 6 2 8" xfId="29638" xr:uid="{00000000-0005-0000-0000-000000660000}"/>
    <cellStyle name="40% - Accent4 5 6 3" xfId="29639" xr:uid="{00000000-0005-0000-0000-000001660000}"/>
    <cellStyle name="40% - Accent4 5 6 3 2" xfId="29640" xr:uid="{00000000-0005-0000-0000-000002660000}"/>
    <cellStyle name="40% - Accent4 5 6 3 2 2" xfId="29641" xr:uid="{00000000-0005-0000-0000-000003660000}"/>
    <cellStyle name="40% - Accent4 5 6 3 2 2 2" xfId="29642" xr:uid="{00000000-0005-0000-0000-000004660000}"/>
    <cellStyle name="40% - Accent4 5 6 3 2 2 2 2" xfId="29643" xr:uid="{00000000-0005-0000-0000-000005660000}"/>
    <cellStyle name="40% - Accent4 5 6 3 2 2 3" xfId="29644" xr:uid="{00000000-0005-0000-0000-000006660000}"/>
    <cellStyle name="40% - Accent4 5 6 3 2 3" xfId="29645" xr:uid="{00000000-0005-0000-0000-000007660000}"/>
    <cellStyle name="40% - Accent4 5 6 3 2 3 2" xfId="29646" xr:uid="{00000000-0005-0000-0000-000008660000}"/>
    <cellStyle name="40% - Accent4 5 6 3 2 4" xfId="29647" xr:uid="{00000000-0005-0000-0000-000009660000}"/>
    <cellStyle name="40% - Accent4 5 6 3 2 5" xfId="29648" xr:uid="{00000000-0005-0000-0000-00000A660000}"/>
    <cellStyle name="40% - Accent4 5 6 3 2 6" xfId="29649" xr:uid="{00000000-0005-0000-0000-00000B660000}"/>
    <cellStyle name="40% - Accent4 5 6 3 3" xfId="29650" xr:uid="{00000000-0005-0000-0000-00000C660000}"/>
    <cellStyle name="40% - Accent4 5 6 3 3 2" xfId="29651" xr:uid="{00000000-0005-0000-0000-00000D660000}"/>
    <cellStyle name="40% - Accent4 5 6 3 3 2 2" xfId="29652" xr:uid="{00000000-0005-0000-0000-00000E660000}"/>
    <cellStyle name="40% - Accent4 5 6 3 3 3" xfId="29653" xr:uid="{00000000-0005-0000-0000-00000F660000}"/>
    <cellStyle name="40% - Accent4 5 6 3 4" xfId="29654" xr:uid="{00000000-0005-0000-0000-000010660000}"/>
    <cellStyle name="40% - Accent4 5 6 3 4 2" xfId="29655" xr:uid="{00000000-0005-0000-0000-000011660000}"/>
    <cellStyle name="40% - Accent4 5 6 3 5" xfId="29656" xr:uid="{00000000-0005-0000-0000-000012660000}"/>
    <cellStyle name="40% - Accent4 5 6 3 6" xfId="29657" xr:uid="{00000000-0005-0000-0000-000013660000}"/>
    <cellStyle name="40% - Accent4 5 6 3 7" xfId="29658" xr:uid="{00000000-0005-0000-0000-000014660000}"/>
    <cellStyle name="40% - Accent4 5 6 4" xfId="29659" xr:uid="{00000000-0005-0000-0000-000015660000}"/>
    <cellStyle name="40% - Accent4 5 6 4 2" xfId="29660" xr:uid="{00000000-0005-0000-0000-000016660000}"/>
    <cellStyle name="40% - Accent4 5 6 4 2 2" xfId="29661" xr:uid="{00000000-0005-0000-0000-000017660000}"/>
    <cellStyle name="40% - Accent4 5 6 4 2 2 2" xfId="29662" xr:uid="{00000000-0005-0000-0000-000018660000}"/>
    <cellStyle name="40% - Accent4 5 6 4 2 3" xfId="29663" xr:uid="{00000000-0005-0000-0000-000019660000}"/>
    <cellStyle name="40% - Accent4 5 6 4 3" xfId="29664" xr:uid="{00000000-0005-0000-0000-00001A660000}"/>
    <cellStyle name="40% - Accent4 5 6 4 3 2" xfId="29665" xr:uid="{00000000-0005-0000-0000-00001B660000}"/>
    <cellStyle name="40% - Accent4 5 6 4 4" xfId="29666" xr:uid="{00000000-0005-0000-0000-00001C660000}"/>
    <cellStyle name="40% - Accent4 5 6 4 5" xfId="29667" xr:uid="{00000000-0005-0000-0000-00001D660000}"/>
    <cellStyle name="40% - Accent4 5 6 4 6" xfId="29668" xr:uid="{00000000-0005-0000-0000-00001E660000}"/>
    <cellStyle name="40% - Accent4 5 6 5" xfId="29669" xr:uid="{00000000-0005-0000-0000-00001F660000}"/>
    <cellStyle name="40% - Accent4 5 6 5 2" xfId="29670" xr:uid="{00000000-0005-0000-0000-000020660000}"/>
    <cellStyle name="40% - Accent4 5 6 5 2 2" xfId="29671" xr:uid="{00000000-0005-0000-0000-000021660000}"/>
    <cellStyle name="40% - Accent4 5 6 5 3" xfId="29672" xr:uid="{00000000-0005-0000-0000-000022660000}"/>
    <cellStyle name="40% - Accent4 5 6 6" xfId="29673" xr:uid="{00000000-0005-0000-0000-000023660000}"/>
    <cellStyle name="40% - Accent4 5 6 6 2" xfId="29674" xr:uid="{00000000-0005-0000-0000-000024660000}"/>
    <cellStyle name="40% - Accent4 5 6 6 2 2" xfId="29675" xr:uid="{00000000-0005-0000-0000-000025660000}"/>
    <cellStyle name="40% - Accent4 5 6 6 3" xfId="29676" xr:uid="{00000000-0005-0000-0000-000026660000}"/>
    <cellStyle name="40% - Accent4 5 6 7" xfId="29677" xr:uid="{00000000-0005-0000-0000-000027660000}"/>
    <cellStyle name="40% - Accent4 5 6 7 2" xfId="29678" xr:uid="{00000000-0005-0000-0000-000028660000}"/>
    <cellStyle name="40% - Accent4 5 6 8" xfId="29679" xr:uid="{00000000-0005-0000-0000-000029660000}"/>
    <cellStyle name="40% - Accent4 5 6 8 2" xfId="29680" xr:uid="{00000000-0005-0000-0000-00002A660000}"/>
    <cellStyle name="40% - Accent4 5 6 9" xfId="29681" xr:uid="{00000000-0005-0000-0000-00002B660000}"/>
    <cellStyle name="40% - Accent4 5 7" xfId="29682" xr:uid="{00000000-0005-0000-0000-00002C660000}"/>
    <cellStyle name="40% - Accent4 5 7 10" xfId="29683" xr:uid="{00000000-0005-0000-0000-00002D660000}"/>
    <cellStyle name="40% - Accent4 5 7 11" xfId="29684" xr:uid="{00000000-0005-0000-0000-00002E660000}"/>
    <cellStyle name="40% - Accent4 5 7 2" xfId="29685" xr:uid="{00000000-0005-0000-0000-00002F660000}"/>
    <cellStyle name="40% - Accent4 5 7 2 2" xfId="29686" xr:uid="{00000000-0005-0000-0000-000030660000}"/>
    <cellStyle name="40% - Accent4 5 7 2 2 2" xfId="29687" xr:uid="{00000000-0005-0000-0000-000031660000}"/>
    <cellStyle name="40% - Accent4 5 7 2 2 2 2" xfId="29688" xr:uid="{00000000-0005-0000-0000-000032660000}"/>
    <cellStyle name="40% - Accent4 5 7 2 2 2 2 2" xfId="29689" xr:uid="{00000000-0005-0000-0000-000033660000}"/>
    <cellStyle name="40% - Accent4 5 7 2 2 2 3" xfId="29690" xr:uid="{00000000-0005-0000-0000-000034660000}"/>
    <cellStyle name="40% - Accent4 5 7 2 2 3" xfId="29691" xr:uid="{00000000-0005-0000-0000-000035660000}"/>
    <cellStyle name="40% - Accent4 5 7 2 2 3 2" xfId="29692" xr:uid="{00000000-0005-0000-0000-000036660000}"/>
    <cellStyle name="40% - Accent4 5 7 2 2 4" xfId="29693" xr:uid="{00000000-0005-0000-0000-000037660000}"/>
    <cellStyle name="40% - Accent4 5 7 2 2 5" xfId="29694" xr:uid="{00000000-0005-0000-0000-000038660000}"/>
    <cellStyle name="40% - Accent4 5 7 2 2 6" xfId="29695" xr:uid="{00000000-0005-0000-0000-000039660000}"/>
    <cellStyle name="40% - Accent4 5 7 2 3" xfId="29696" xr:uid="{00000000-0005-0000-0000-00003A660000}"/>
    <cellStyle name="40% - Accent4 5 7 2 3 2" xfId="29697" xr:uid="{00000000-0005-0000-0000-00003B660000}"/>
    <cellStyle name="40% - Accent4 5 7 2 3 2 2" xfId="29698" xr:uid="{00000000-0005-0000-0000-00003C660000}"/>
    <cellStyle name="40% - Accent4 5 7 2 3 3" xfId="29699" xr:uid="{00000000-0005-0000-0000-00003D660000}"/>
    <cellStyle name="40% - Accent4 5 7 2 4" xfId="29700" xr:uid="{00000000-0005-0000-0000-00003E660000}"/>
    <cellStyle name="40% - Accent4 5 7 2 4 2" xfId="29701" xr:uid="{00000000-0005-0000-0000-00003F660000}"/>
    <cellStyle name="40% - Accent4 5 7 2 5" xfId="29702" xr:uid="{00000000-0005-0000-0000-000040660000}"/>
    <cellStyle name="40% - Accent4 5 7 2 5 2" xfId="29703" xr:uid="{00000000-0005-0000-0000-000041660000}"/>
    <cellStyle name="40% - Accent4 5 7 2 6" xfId="29704" xr:uid="{00000000-0005-0000-0000-000042660000}"/>
    <cellStyle name="40% - Accent4 5 7 2 7" xfId="29705" xr:uid="{00000000-0005-0000-0000-000043660000}"/>
    <cellStyle name="40% - Accent4 5 7 2 8" xfId="29706" xr:uid="{00000000-0005-0000-0000-000044660000}"/>
    <cellStyle name="40% - Accent4 5 7 3" xfId="29707" xr:uid="{00000000-0005-0000-0000-000045660000}"/>
    <cellStyle name="40% - Accent4 5 7 3 2" xfId="29708" xr:uid="{00000000-0005-0000-0000-000046660000}"/>
    <cellStyle name="40% - Accent4 5 7 3 2 2" xfId="29709" xr:uid="{00000000-0005-0000-0000-000047660000}"/>
    <cellStyle name="40% - Accent4 5 7 3 2 2 2" xfId="29710" xr:uid="{00000000-0005-0000-0000-000048660000}"/>
    <cellStyle name="40% - Accent4 5 7 3 2 2 2 2" xfId="29711" xr:uid="{00000000-0005-0000-0000-000049660000}"/>
    <cellStyle name="40% - Accent4 5 7 3 2 2 3" xfId="29712" xr:uid="{00000000-0005-0000-0000-00004A660000}"/>
    <cellStyle name="40% - Accent4 5 7 3 2 3" xfId="29713" xr:uid="{00000000-0005-0000-0000-00004B660000}"/>
    <cellStyle name="40% - Accent4 5 7 3 2 3 2" xfId="29714" xr:uid="{00000000-0005-0000-0000-00004C660000}"/>
    <cellStyle name="40% - Accent4 5 7 3 2 4" xfId="29715" xr:uid="{00000000-0005-0000-0000-00004D660000}"/>
    <cellStyle name="40% - Accent4 5 7 3 2 5" xfId="29716" xr:uid="{00000000-0005-0000-0000-00004E660000}"/>
    <cellStyle name="40% - Accent4 5 7 3 2 6" xfId="29717" xr:uid="{00000000-0005-0000-0000-00004F660000}"/>
    <cellStyle name="40% - Accent4 5 7 3 3" xfId="29718" xr:uid="{00000000-0005-0000-0000-000050660000}"/>
    <cellStyle name="40% - Accent4 5 7 3 3 2" xfId="29719" xr:uid="{00000000-0005-0000-0000-000051660000}"/>
    <cellStyle name="40% - Accent4 5 7 3 3 2 2" xfId="29720" xr:uid="{00000000-0005-0000-0000-000052660000}"/>
    <cellStyle name="40% - Accent4 5 7 3 3 3" xfId="29721" xr:uid="{00000000-0005-0000-0000-000053660000}"/>
    <cellStyle name="40% - Accent4 5 7 3 4" xfId="29722" xr:uid="{00000000-0005-0000-0000-000054660000}"/>
    <cellStyle name="40% - Accent4 5 7 3 4 2" xfId="29723" xr:uid="{00000000-0005-0000-0000-000055660000}"/>
    <cellStyle name="40% - Accent4 5 7 3 5" xfId="29724" xr:uid="{00000000-0005-0000-0000-000056660000}"/>
    <cellStyle name="40% - Accent4 5 7 3 6" xfId="29725" xr:uid="{00000000-0005-0000-0000-000057660000}"/>
    <cellStyle name="40% - Accent4 5 7 3 7" xfId="29726" xr:uid="{00000000-0005-0000-0000-000058660000}"/>
    <cellStyle name="40% - Accent4 5 7 4" xfId="29727" xr:uid="{00000000-0005-0000-0000-000059660000}"/>
    <cellStyle name="40% - Accent4 5 7 4 2" xfId="29728" xr:uid="{00000000-0005-0000-0000-00005A660000}"/>
    <cellStyle name="40% - Accent4 5 7 4 2 2" xfId="29729" xr:uid="{00000000-0005-0000-0000-00005B660000}"/>
    <cellStyle name="40% - Accent4 5 7 4 2 2 2" xfId="29730" xr:uid="{00000000-0005-0000-0000-00005C660000}"/>
    <cellStyle name="40% - Accent4 5 7 4 2 3" xfId="29731" xr:uid="{00000000-0005-0000-0000-00005D660000}"/>
    <cellStyle name="40% - Accent4 5 7 4 3" xfId="29732" xr:uid="{00000000-0005-0000-0000-00005E660000}"/>
    <cellStyle name="40% - Accent4 5 7 4 3 2" xfId="29733" xr:uid="{00000000-0005-0000-0000-00005F660000}"/>
    <cellStyle name="40% - Accent4 5 7 4 4" xfId="29734" xr:uid="{00000000-0005-0000-0000-000060660000}"/>
    <cellStyle name="40% - Accent4 5 7 4 5" xfId="29735" xr:uid="{00000000-0005-0000-0000-000061660000}"/>
    <cellStyle name="40% - Accent4 5 7 4 6" xfId="29736" xr:uid="{00000000-0005-0000-0000-000062660000}"/>
    <cellStyle name="40% - Accent4 5 7 5" xfId="29737" xr:uid="{00000000-0005-0000-0000-000063660000}"/>
    <cellStyle name="40% - Accent4 5 7 5 2" xfId="29738" xr:uid="{00000000-0005-0000-0000-000064660000}"/>
    <cellStyle name="40% - Accent4 5 7 5 2 2" xfId="29739" xr:uid="{00000000-0005-0000-0000-000065660000}"/>
    <cellStyle name="40% - Accent4 5 7 5 3" xfId="29740" xr:uid="{00000000-0005-0000-0000-000066660000}"/>
    <cellStyle name="40% - Accent4 5 7 6" xfId="29741" xr:uid="{00000000-0005-0000-0000-000067660000}"/>
    <cellStyle name="40% - Accent4 5 7 6 2" xfId="29742" xr:uid="{00000000-0005-0000-0000-000068660000}"/>
    <cellStyle name="40% - Accent4 5 7 6 2 2" xfId="29743" xr:uid="{00000000-0005-0000-0000-000069660000}"/>
    <cellStyle name="40% - Accent4 5 7 6 3" xfId="29744" xr:uid="{00000000-0005-0000-0000-00006A660000}"/>
    <cellStyle name="40% - Accent4 5 7 7" xfId="29745" xr:uid="{00000000-0005-0000-0000-00006B660000}"/>
    <cellStyle name="40% - Accent4 5 7 7 2" xfId="29746" xr:uid="{00000000-0005-0000-0000-00006C660000}"/>
    <cellStyle name="40% - Accent4 5 7 8" xfId="29747" xr:uid="{00000000-0005-0000-0000-00006D660000}"/>
    <cellStyle name="40% - Accent4 5 7 8 2" xfId="29748" xr:uid="{00000000-0005-0000-0000-00006E660000}"/>
    <cellStyle name="40% - Accent4 5 7 9" xfId="29749" xr:uid="{00000000-0005-0000-0000-00006F660000}"/>
    <cellStyle name="40% - Accent4 5 8" xfId="29750" xr:uid="{00000000-0005-0000-0000-000070660000}"/>
    <cellStyle name="40% - Accent4 5 8 10" xfId="29751" xr:uid="{00000000-0005-0000-0000-000071660000}"/>
    <cellStyle name="40% - Accent4 5 8 11" xfId="29752" xr:uid="{00000000-0005-0000-0000-000072660000}"/>
    <cellStyle name="40% - Accent4 5 8 2" xfId="29753" xr:uid="{00000000-0005-0000-0000-000073660000}"/>
    <cellStyle name="40% - Accent4 5 8 2 2" xfId="29754" xr:uid="{00000000-0005-0000-0000-000074660000}"/>
    <cellStyle name="40% - Accent4 5 8 2 2 2" xfId="29755" xr:uid="{00000000-0005-0000-0000-000075660000}"/>
    <cellStyle name="40% - Accent4 5 8 2 2 2 2" xfId="29756" xr:uid="{00000000-0005-0000-0000-000076660000}"/>
    <cellStyle name="40% - Accent4 5 8 2 2 2 2 2" xfId="29757" xr:uid="{00000000-0005-0000-0000-000077660000}"/>
    <cellStyle name="40% - Accent4 5 8 2 2 2 3" xfId="29758" xr:uid="{00000000-0005-0000-0000-000078660000}"/>
    <cellStyle name="40% - Accent4 5 8 2 2 3" xfId="29759" xr:uid="{00000000-0005-0000-0000-000079660000}"/>
    <cellStyle name="40% - Accent4 5 8 2 2 3 2" xfId="29760" xr:uid="{00000000-0005-0000-0000-00007A660000}"/>
    <cellStyle name="40% - Accent4 5 8 2 2 4" xfId="29761" xr:uid="{00000000-0005-0000-0000-00007B660000}"/>
    <cellStyle name="40% - Accent4 5 8 2 2 5" xfId="29762" xr:uid="{00000000-0005-0000-0000-00007C660000}"/>
    <cellStyle name="40% - Accent4 5 8 2 2 6" xfId="29763" xr:uid="{00000000-0005-0000-0000-00007D660000}"/>
    <cellStyle name="40% - Accent4 5 8 2 3" xfId="29764" xr:uid="{00000000-0005-0000-0000-00007E660000}"/>
    <cellStyle name="40% - Accent4 5 8 2 3 2" xfId="29765" xr:uid="{00000000-0005-0000-0000-00007F660000}"/>
    <cellStyle name="40% - Accent4 5 8 2 3 2 2" xfId="29766" xr:uid="{00000000-0005-0000-0000-000080660000}"/>
    <cellStyle name="40% - Accent4 5 8 2 3 3" xfId="29767" xr:uid="{00000000-0005-0000-0000-000081660000}"/>
    <cellStyle name="40% - Accent4 5 8 2 4" xfId="29768" xr:uid="{00000000-0005-0000-0000-000082660000}"/>
    <cellStyle name="40% - Accent4 5 8 2 4 2" xfId="29769" xr:uid="{00000000-0005-0000-0000-000083660000}"/>
    <cellStyle name="40% - Accent4 5 8 2 5" xfId="29770" xr:uid="{00000000-0005-0000-0000-000084660000}"/>
    <cellStyle name="40% - Accent4 5 8 2 5 2" xfId="29771" xr:uid="{00000000-0005-0000-0000-000085660000}"/>
    <cellStyle name="40% - Accent4 5 8 2 6" xfId="29772" xr:uid="{00000000-0005-0000-0000-000086660000}"/>
    <cellStyle name="40% - Accent4 5 8 2 7" xfId="29773" xr:uid="{00000000-0005-0000-0000-000087660000}"/>
    <cellStyle name="40% - Accent4 5 8 2 8" xfId="29774" xr:uid="{00000000-0005-0000-0000-000088660000}"/>
    <cellStyle name="40% - Accent4 5 8 3" xfId="29775" xr:uid="{00000000-0005-0000-0000-000089660000}"/>
    <cellStyle name="40% - Accent4 5 8 3 2" xfId="29776" xr:uid="{00000000-0005-0000-0000-00008A660000}"/>
    <cellStyle name="40% - Accent4 5 8 3 2 2" xfId="29777" xr:uid="{00000000-0005-0000-0000-00008B660000}"/>
    <cellStyle name="40% - Accent4 5 8 3 2 2 2" xfId="29778" xr:uid="{00000000-0005-0000-0000-00008C660000}"/>
    <cellStyle name="40% - Accent4 5 8 3 2 2 2 2" xfId="29779" xr:uid="{00000000-0005-0000-0000-00008D660000}"/>
    <cellStyle name="40% - Accent4 5 8 3 2 2 3" xfId="29780" xr:uid="{00000000-0005-0000-0000-00008E660000}"/>
    <cellStyle name="40% - Accent4 5 8 3 2 3" xfId="29781" xr:uid="{00000000-0005-0000-0000-00008F660000}"/>
    <cellStyle name="40% - Accent4 5 8 3 2 3 2" xfId="29782" xr:uid="{00000000-0005-0000-0000-000090660000}"/>
    <cellStyle name="40% - Accent4 5 8 3 2 4" xfId="29783" xr:uid="{00000000-0005-0000-0000-000091660000}"/>
    <cellStyle name="40% - Accent4 5 8 3 2 5" xfId="29784" xr:uid="{00000000-0005-0000-0000-000092660000}"/>
    <cellStyle name="40% - Accent4 5 8 3 2 6" xfId="29785" xr:uid="{00000000-0005-0000-0000-000093660000}"/>
    <cellStyle name="40% - Accent4 5 8 3 3" xfId="29786" xr:uid="{00000000-0005-0000-0000-000094660000}"/>
    <cellStyle name="40% - Accent4 5 8 3 3 2" xfId="29787" xr:uid="{00000000-0005-0000-0000-000095660000}"/>
    <cellStyle name="40% - Accent4 5 8 3 3 2 2" xfId="29788" xr:uid="{00000000-0005-0000-0000-000096660000}"/>
    <cellStyle name="40% - Accent4 5 8 3 3 3" xfId="29789" xr:uid="{00000000-0005-0000-0000-000097660000}"/>
    <cellStyle name="40% - Accent4 5 8 3 4" xfId="29790" xr:uid="{00000000-0005-0000-0000-000098660000}"/>
    <cellStyle name="40% - Accent4 5 8 3 4 2" xfId="29791" xr:uid="{00000000-0005-0000-0000-000099660000}"/>
    <cellStyle name="40% - Accent4 5 8 3 5" xfId="29792" xr:uid="{00000000-0005-0000-0000-00009A660000}"/>
    <cellStyle name="40% - Accent4 5 8 3 6" xfId="29793" xr:uid="{00000000-0005-0000-0000-00009B660000}"/>
    <cellStyle name="40% - Accent4 5 8 3 7" xfId="29794" xr:uid="{00000000-0005-0000-0000-00009C660000}"/>
    <cellStyle name="40% - Accent4 5 8 4" xfId="29795" xr:uid="{00000000-0005-0000-0000-00009D660000}"/>
    <cellStyle name="40% - Accent4 5 8 4 2" xfId="29796" xr:uid="{00000000-0005-0000-0000-00009E660000}"/>
    <cellStyle name="40% - Accent4 5 8 4 2 2" xfId="29797" xr:uid="{00000000-0005-0000-0000-00009F660000}"/>
    <cellStyle name="40% - Accent4 5 8 4 2 2 2" xfId="29798" xr:uid="{00000000-0005-0000-0000-0000A0660000}"/>
    <cellStyle name="40% - Accent4 5 8 4 2 3" xfId="29799" xr:uid="{00000000-0005-0000-0000-0000A1660000}"/>
    <cellStyle name="40% - Accent4 5 8 4 3" xfId="29800" xr:uid="{00000000-0005-0000-0000-0000A2660000}"/>
    <cellStyle name="40% - Accent4 5 8 4 3 2" xfId="29801" xr:uid="{00000000-0005-0000-0000-0000A3660000}"/>
    <cellStyle name="40% - Accent4 5 8 4 4" xfId="29802" xr:uid="{00000000-0005-0000-0000-0000A4660000}"/>
    <cellStyle name="40% - Accent4 5 8 4 5" xfId="29803" xr:uid="{00000000-0005-0000-0000-0000A5660000}"/>
    <cellStyle name="40% - Accent4 5 8 4 6" xfId="29804" xr:uid="{00000000-0005-0000-0000-0000A6660000}"/>
    <cellStyle name="40% - Accent4 5 8 5" xfId="29805" xr:uid="{00000000-0005-0000-0000-0000A7660000}"/>
    <cellStyle name="40% - Accent4 5 8 5 2" xfId="29806" xr:uid="{00000000-0005-0000-0000-0000A8660000}"/>
    <cellStyle name="40% - Accent4 5 8 5 2 2" xfId="29807" xr:uid="{00000000-0005-0000-0000-0000A9660000}"/>
    <cellStyle name="40% - Accent4 5 8 5 3" xfId="29808" xr:uid="{00000000-0005-0000-0000-0000AA660000}"/>
    <cellStyle name="40% - Accent4 5 8 6" xfId="29809" xr:uid="{00000000-0005-0000-0000-0000AB660000}"/>
    <cellStyle name="40% - Accent4 5 8 6 2" xfId="29810" xr:uid="{00000000-0005-0000-0000-0000AC660000}"/>
    <cellStyle name="40% - Accent4 5 8 6 2 2" xfId="29811" xr:uid="{00000000-0005-0000-0000-0000AD660000}"/>
    <cellStyle name="40% - Accent4 5 8 6 3" xfId="29812" xr:uid="{00000000-0005-0000-0000-0000AE660000}"/>
    <cellStyle name="40% - Accent4 5 8 7" xfId="29813" xr:uid="{00000000-0005-0000-0000-0000AF660000}"/>
    <cellStyle name="40% - Accent4 5 8 7 2" xfId="29814" xr:uid="{00000000-0005-0000-0000-0000B0660000}"/>
    <cellStyle name="40% - Accent4 5 8 8" xfId="29815" xr:uid="{00000000-0005-0000-0000-0000B1660000}"/>
    <cellStyle name="40% - Accent4 5 8 8 2" xfId="29816" xr:uid="{00000000-0005-0000-0000-0000B2660000}"/>
    <cellStyle name="40% - Accent4 5 8 9" xfId="29817" xr:uid="{00000000-0005-0000-0000-0000B3660000}"/>
    <cellStyle name="40% - Accent4 5 9" xfId="29818" xr:uid="{00000000-0005-0000-0000-0000B4660000}"/>
    <cellStyle name="40% - Accent4 5 9 10" xfId="29819" xr:uid="{00000000-0005-0000-0000-0000B5660000}"/>
    <cellStyle name="40% - Accent4 5 9 11" xfId="29820" xr:uid="{00000000-0005-0000-0000-0000B6660000}"/>
    <cellStyle name="40% - Accent4 5 9 2" xfId="29821" xr:uid="{00000000-0005-0000-0000-0000B7660000}"/>
    <cellStyle name="40% - Accent4 5 9 2 2" xfId="29822" xr:uid="{00000000-0005-0000-0000-0000B8660000}"/>
    <cellStyle name="40% - Accent4 5 9 2 2 2" xfId="29823" xr:uid="{00000000-0005-0000-0000-0000B9660000}"/>
    <cellStyle name="40% - Accent4 5 9 2 2 2 2" xfId="29824" xr:uid="{00000000-0005-0000-0000-0000BA660000}"/>
    <cellStyle name="40% - Accent4 5 9 2 2 2 2 2" xfId="29825" xr:uid="{00000000-0005-0000-0000-0000BB660000}"/>
    <cellStyle name="40% - Accent4 5 9 2 2 2 3" xfId="29826" xr:uid="{00000000-0005-0000-0000-0000BC660000}"/>
    <cellStyle name="40% - Accent4 5 9 2 2 3" xfId="29827" xr:uid="{00000000-0005-0000-0000-0000BD660000}"/>
    <cellStyle name="40% - Accent4 5 9 2 2 3 2" xfId="29828" xr:uid="{00000000-0005-0000-0000-0000BE660000}"/>
    <cellStyle name="40% - Accent4 5 9 2 2 4" xfId="29829" xr:uid="{00000000-0005-0000-0000-0000BF660000}"/>
    <cellStyle name="40% - Accent4 5 9 2 2 5" xfId="29830" xr:uid="{00000000-0005-0000-0000-0000C0660000}"/>
    <cellStyle name="40% - Accent4 5 9 2 2 6" xfId="29831" xr:uid="{00000000-0005-0000-0000-0000C1660000}"/>
    <cellStyle name="40% - Accent4 5 9 2 3" xfId="29832" xr:uid="{00000000-0005-0000-0000-0000C2660000}"/>
    <cellStyle name="40% - Accent4 5 9 2 3 2" xfId="29833" xr:uid="{00000000-0005-0000-0000-0000C3660000}"/>
    <cellStyle name="40% - Accent4 5 9 2 3 2 2" xfId="29834" xr:uid="{00000000-0005-0000-0000-0000C4660000}"/>
    <cellStyle name="40% - Accent4 5 9 2 3 3" xfId="29835" xr:uid="{00000000-0005-0000-0000-0000C5660000}"/>
    <cellStyle name="40% - Accent4 5 9 2 4" xfId="29836" xr:uid="{00000000-0005-0000-0000-0000C6660000}"/>
    <cellStyle name="40% - Accent4 5 9 2 4 2" xfId="29837" xr:uid="{00000000-0005-0000-0000-0000C7660000}"/>
    <cellStyle name="40% - Accent4 5 9 2 5" xfId="29838" xr:uid="{00000000-0005-0000-0000-0000C8660000}"/>
    <cellStyle name="40% - Accent4 5 9 2 6" xfId="29839" xr:uid="{00000000-0005-0000-0000-0000C9660000}"/>
    <cellStyle name="40% - Accent4 5 9 2 7" xfId="29840" xr:uid="{00000000-0005-0000-0000-0000CA660000}"/>
    <cellStyle name="40% - Accent4 5 9 3" xfId="29841" xr:uid="{00000000-0005-0000-0000-0000CB660000}"/>
    <cellStyle name="40% - Accent4 5 9 3 2" xfId="29842" xr:uid="{00000000-0005-0000-0000-0000CC660000}"/>
    <cellStyle name="40% - Accent4 5 9 3 2 2" xfId="29843" xr:uid="{00000000-0005-0000-0000-0000CD660000}"/>
    <cellStyle name="40% - Accent4 5 9 3 2 2 2" xfId="29844" xr:uid="{00000000-0005-0000-0000-0000CE660000}"/>
    <cellStyle name="40% - Accent4 5 9 3 2 2 2 2" xfId="29845" xr:uid="{00000000-0005-0000-0000-0000CF660000}"/>
    <cellStyle name="40% - Accent4 5 9 3 2 2 3" xfId="29846" xr:uid="{00000000-0005-0000-0000-0000D0660000}"/>
    <cellStyle name="40% - Accent4 5 9 3 2 3" xfId="29847" xr:uid="{00000000-0005-0000-0000-0000D1660000}"/>
    <cellStyle name="40% - Accent4 5 9 3 2 3 2" xfId="29848" xr:uid="{00000000-0005-0000-0000-0000D2660000}"/>
    <cellStyle name="40% - Accent4 5 9 3 2 4" xfId="29849" xr:uid="{00000000-0005-0000-0000-0000D3660000}"/>
    <cellStyle name="40% - Accent4 5 9 3 2 5" xfId="29850" xr:uid="{00000000-0005-0000-0000-0000D4660000}"/>
    <cellStyle name="40% - Accent4 5 9 3 2 6" xfId="29851" xr:uid="{00000000-0005-0000-0000-0000D5660000}"/>
    <cellStyle name="40% - Accent4 5 9 3 3" xfId="29852" xr:uid="{00000000-0005-0000-0000-0000D6660000}"/>
    <cellStyle name="40% - Accent4 5 9 3 3 2" xfId="29853" xr:uid="{00000000-0005-0000-0000-0000D7660000}"/>
    <cellStyle name="40% - Accent4 5 9 3 3 2 2" xfId="29854" xr:uid="{00000000-0005-0000-0000-0000D8660000}"/>
    <cellStyle name="40% - Accent4 5 9 3 3 3" xfId="29855" xr:uid="{00000000-0005-0000-0000-0000D9660000}"/>
    <cellStyle name="40% - Accent4 5 9 3 4" xfId="29856" xr:uid="{00000000-0005-0000-0000-0000DA660000}"/>
    <cellStyle name="40% - Accent4 5 9 3 4 2" xfId="29857" xr:uid="{00000000-0005-0000-0000-0000DB660000}"/>
    <cellStyle name="40% - Accent4 5 9 3 5" xfId="29858" xr:uid="{00000000-0005-0000-0000-0000DC660000}"/>
    <cellStyle name="40% - Accent4 5 9 3 6" xfId="29859" xr:uid="{00000000-0005-0000-0000-0000DD660000}"/>
    <cellStyle name="40% - Accent4 5 9 3 7" xfId="29860" xr:uid="{00000000-0005-0000-0000-0000DE660000}"/>
    <cellStyle name="40% - Accent4 5 9 4" xfId="29861" xr:uid="{00000000-0005-0000-0000-0000DF660000}"/>
    <cellStyle name="40% - Accent4 5 9 4 2" xfId="29862" xr:uid="{00000000-0005-0000-0000-0000E0660000}"/>
    <cellStyle name="40% - Accent4 5 9 4 2 2" xfId="29863" xr:uid="{00000000-0005-0000-0000-0000E1660000}"/>
    <cellStyle name="40% - Accent4 5 9 4 2 2 2" xfId="29864" xr:uid="{00000000-0005-0000-0000-0000E2660000}"/>
    <cellStyle name="40% - Accent4 5 9 4 2 3" xfId="29865" xr:uid="{00000000-0005-0000-0000-0000E3660000}"/>
    <cellStyle name="40% - Accent4 5 9 4 3" xfId="29866" xr:uid="{00000000-0005-0000-0000-0000E4660000}"/>
    <cellStyle name="40% - Accent4 5 9 4 3 2" xfId="29867" xr:uid="{00000000-0005-0000-0000-0000E5660000}"/>
    <cellStyle name="40% - Accent4 5 9 4 4" xfId="29868" xr:uid="{00000000-0005-0000-0000-0000E6660000}"/>
    <cellStyle name="40% - Accent4 5 9 4 5" xfId="29869" xr:uid="{00000000-0005-0000-0000-0000E7660000}"/>
    <cellStyle name="40% - Accent4 5 9 4 6" xfId="29870" xr:uid="{00000000-0005-0000-0000-0000E8660000}"/>
    <cellStyle name="40% - Accent4 5 9 5" xfId="29871" xr:uid="{00000000-0005-0000-0000-0000E9660000}"/>
    <cellStyle name="40% - Accent4 5 9 5 2" xfId="29872" xr:uid="{00000000-0005-0000-0000-0000EA660000}"/>
    <cellStyle name="40% - Accent4 5 9 5 2 2" xfId="29873" xr:uid="{00000000-0005-0000-0000-0000EB660000}"/>
    <cellStyle name="40% - Accent4 5 9 5 3" xfId="29874" xr:uid="{00000000-0005-0000-0000-0000EC660000}"/>
    <cellStyle name="40% - Accent4 5 9 6" xfId="29875" xr:uid="{00000000-0005-0000-0000-0000ED660000}"/>
    <cellStyle name="40% - Accent4 5 9 6 2" xfId="29876" xr:uid="{00000000-0005-0000-0000-0000EE660000}"/>
    <cellStyle name="40% - Accent4 5 9 6 2 2" xfId="29877" xr:uid="{00000000-0005-0000-0000-0000EF660000}"/>
    <cellStyle name="40% - Accent4 5 9 6 3" xfId="29878" xr:uid="{00000000-0005-0000-0000-0000F0660000}"/>
    <cellStyle name="40% - Accent4 5 9 7" xfId="29879" xr:uid="{00000000-0005-0000-0000-0000F1660000}"/>
    <cellStyle name="40% - Accent4 5 9 7 2" xfId="29880" xr:uid="{00000000-0005-0000-0000-0000F2660000}"/>
    <cellStyle name="40% - Accent4 5 9 8" xfId="29881" xr:uid="{00000000-0005-0000-0000-0000F3660000}"/>
    <cellStyle name="40% - Accent4 5 9 8 2" xfId="29882" xr:uid="{00000000-0005-0000-0000-0000F4660000}"/>
    <cellStyle name="40% - Accent4 5 9 9" xfId="29883" xr:uid="{00000000-0005-0000-0000-0000F5660000}"/>
    <cellStyle name="40% - Accent4 6" xfId="210" xr:uid="{00000000-0005-0000-0000-0000F6660000}"/>
    <cellStyle name="40% - Accent4 6 10" xfId="29884" xr:uid="{00000000-0005-0000-0000-0000F7660000}"/>
    <cellStyle name="40% - Accent4 6 11" xfId="29885" xr:uid="{00000000-0005-0000-0000-0000F8660000}"/>
    <cellStyle name="40% - Accent4 6 12" xfId="29886" xr:uid="{00000000-0005-0000-0000-0000F9660000}"/>
    <cellStyle name="40% - Accent4 6 2" xfId="29887" xr:uid="{00000000-0005-0000-0000-0000FA660000}"/>
    <cellStyle name="40% - Accent4 6 2 10" xfId="29888" xr:uid="{00000000-0005-0000-0000-0000FB660000}"/>
    <cellStyle name="40% - Accent4 6 2 2" xfId="29889" xr:uid="{00000000-0005-0000-0000-0000FC660000}"/>
    <cellStyle name="40% - Accent4 6 2 2 2" xfId="29890" xr:uid="{00000000-0005-0000-0000-0000FD660000}"/>
    <cellStyle name="40% - Accent4 6 2 2 2 2" xfId="29891" xr:uid="{00000000-0005-0000-0000-0000FE660000}"/>
    <cellStyle name="40% - Accent4 6 2 2 2 2 2" xfId="29892" xr:uid="{00000000-0005-0000-0000-0000FF660000}"/>
    <cellStyle name="40% - Accent4 6 2 2 2 2 2 2" xfId="29893" xr:uid="{00000000-0005-0000-0000-000000670000}"/>
    <cellStyle name="40% - Accent4 6 2 2 2 2 3" xfId="29894" xr:uid="{00000000-0005-0000-0000-000001670000}"/>
    <cellStyle name="40% - Accent4 6 2 2 2 3" xfId="29895" xr:uid="{00000000-0005-0000-0000-000002670000}"/>
    <cellStyle name="40% - Accent4 6 2 2 2 3 2" xfId="29896" xr:uid="{00000000-0005-0000-0000-000003670000}"/>
    <cellStyle name="40% - Accent4 6 2 2 2 4" xfId="29897" xr:uid="{00000000-0005-0000-0000-000004670000}"/>
    <cellStyle name="40% - Accent4 6 2 2 2 5" xfId="29898" xr:uid="{00000000-0005-0000-0000-000005670000}"/>
    <cellStyle name="40% - Accent4 6 2 2 2 6" xfId="29899" xr:uid="{00000000-0005-0000-0000-000006670000}"/>
    <cellStyle name="40% - Accent4 6 2 2 3" xfId="29900" xr:uid="{00000000-0005-0000-0000-000007670000}"/>
    <cellStyle name="40% - Accent4 6 2 2 3 2" xfId="29901" xr:uid="{00000000-0005-0000-0000-000008670000}"/>
    <cellStyle name="40% - Accent4 6 2 2 3 2 2" xfId="29902" xr:uid="{00000000-0005-0000-0000-000009670000}"/>
    <cellStyle name="40% - Accent4 6 2 2 3 3" xfId="29903" xr:uid="{00000000-0005-0000-0000-00000A670000}"/>
    <cellStyle name="40% - Accent4 6 2 2 4" xfId="29904" xr:uid="{00000000-0005-0000-0000-00000B670000}"/>
    <cellStyle name="40% - Accent4 6 2 2 4 2" xfId="29905" xr:uid="{00000000-0005-0000-0000-00000C670000}"/>
    <cellStyle name="40% - Accent4 6 2 2 5" xfId="29906" xr:uid="{00000000-0005-0000-0000-00000D670000}"/>
    <cellStyle name="40% - Accent4 6 2 2 6" xfId="29907" xr:uid="{00000000-0005-0000-0000-00000E670000}"/>
    <cellStyle name="40% - Accent4 6 2 2 7" xfId="29908" xr:uid="{00000000-0005-0000-0000-00000F670000}"/>
    <cellStyle name="40% - Accent4 6 2 3" xfId="29909" xr:uid="{00000000-0005-0000-0000-000010670000}"/>
    <cellStyle name="40% - Accent4 6 2 3 2" xfId="29910" xr:uid="{00000000-0005-0000-0000-000011670000}"/>
    <cellStyle name="40% - Accent4 6 2 3 2 2" xfId="29911" xr:uid="{00000000-0005-0000-0000-000012670000}"/>
    <cellStyle name="40% - Accent4 6 2 3 2 2 2" xfId="29912" xr:uid="{00000000-0005-0000-0000-000013670000}"/>
    <cellStyle name="40% - Accent4 6 2 3 2 3" xfId="29913" xr:uid="{00000000-0005-0000-0000-000014670000}"/>
    <cellStyle name="40% - Accent4 6 2 3 3" xfId="29914" xr:uid="{00000000-0005-0000-0000-000015670000}"/>
    <cellStyle name="40% - Accent4 6 2 3 3 2" xfId="29915" xr:uid="{00000000-0005-0000-0000-000016670000}"/>
    <cellStyle name="40% - Accent4 6 2 3 4" xfId="29916" xr:uid="{00000000-0005-0000-0000-000017670000}"/>
    <cellStyle name="40% - Accent4 6 2 3 5" xfId="29917" xr:uid="{00000000-0005-0000-0000-000018670000}"/>
    <cellStyle name="40% - Accent4 6 2 3 6" xfId="29918" xr:uid="{00000000-0005-0000-0000-000019670000}"/>
    <cellStyle name="40% - Accent4 6 2 4" xfId="29919" xr:uid="{00000000-0005-0000-0000-00001A670000}"/>
    <cellStyle name="40% - Accent4 6 2 4 2" xfId="29920" xr:uid="{00000000-0005-0000-0000-00001B670000}"/>
    <cellStyle name="40% - Accent4 6 2 4 2 2" xfId="29921" xr:uid="{00000000-0005-0000-0000-00001C670000}"/>
    <cellStyle name="40% - Accent4 6 2 4 3" xfId="29922" xr:uid="{00000000-0005-0000-0000-00001D670000}"/>
    <cellStyle name="40% - Accent4 6 2 5" xfId="29923" xr:uid="{00000000-0005-0000-0000-00001E670000}"/>
    <cellStyle name="40% - Accent4 6 2 5 2" xfId="29924" xr:uid="{00000000-0005-0000-0000-00001F670000}"/>
    <cellStyle name="40% - Accent4 6 2 5 2 2" xfId="29925" xr:uid="{00000000-0005-0000-0000-000020670000}"/>
    <cellStyle name="40% - Accent4 6 2 5 3" xfId="29926" xr:uid="{00000000-0005-0000-0000-000021670000}"/>
    <cellStyle name="40% - Accent4 6 2 6" xfId="29927" xr:uid="{00000000-0005-0000-0000-000022670000}"/>
    <cellStyle name="40% - Accent4 6 2 6 2" xfId="29928" xr:uid="{00000000-0005-0000-0000-000023670000}"/>
    <cellStyle name="40% - Accent4 6 2 7" xfId="29929" xr:uid="{00000000-0005-0000-0000-000024670000}"/>
    <cellStyle name="40% - Accent4 6 2 7 2" xfId="29930" xr:uid="{00000000-0005-0000-0000-000025670000}"/>
    <cellStyle name="40% - Accent4 6 2 8" xfId="29931" xr:uid="{00000000-0005-0000-0000-000026670000}"/>
    <cellStyle name="40% - Accent4 6 2 9" xfId="29932" xr:uid="{00000000-0005-0000-0000-000027670000}"/>
    <cellStyle name="40% - Accent4 6 3" xfId="29933" xr:uid="{00000000-0005-0000-0000-000028670000}"/>
    <cellStyle name="40% - Accent4 6 3 2" xfId="29934" xr:uid="{00000000-0005-0000-0000-000029670000}"/>
    <cellStyle name="40% - Accent4 6 3 2 2" xfId="29935" xr:uid="{00000000-0005-0000-0000-00002A670000}"/>
    <cellStyle name="40% - Accent4 6 3 2 2 2" xfId="29936" xr:uid="{00000000-0005-0000-0000-00002B670000}"/>
    <cellStyle name="40% - Accent4 6 3 2 2 2 2" xfId="29937" xr:uid="{00000000-0005-0000-0000-00002C670000}"/>
    <cellStyle name="40% - Accent4 6 3 2 2 3" xfId="29938" xr:uid="{00000000-0005-0000-0000-00002D670000}"/>
    <cellStyle name="40% - Accent4 6 3 2 3" xfId="29939" xr:uid="{00000000-0005-0000-0000-00002E670000}"/>
    <cellStyle name="40% - Accent4 6 3 2 3 2" xfId="29940" xr:uid="{00000000-0005-0000-0000-00002F670000}"/>
    <cellStyle name="40% - Accent4 6 3 2 4" xfId="29941" xr:uid="{00000000-0005-0000-0000-000030670000}"/>
    <cellStyle name="40% - Accent4 6 3 2 5" xfId="29942" xr:uid="{00000000-0005-0000-0000-000031670000}"/>
    <cellStyle name="40% - Accent4 6 3 2 6" xfId="29943" xr:uid="{00000000-0005-0000-0000-000032670000}"/>
    <cellStyle name="40% - Accent4 6 3 3" xfId="29944" xr:uid="{00000000-0005-0000-0000-000033670000}"/>
    <cellStyle name="40% - Accent4 6 3 3 2" xfId="29945" xr:uid="{00000000-0005-0000-0000-000034670000}"/>
    <cellStyle name="40% - Accent4 6 3 3 2 2" xfId="29946" xr:uid="{00000000-0005-0000-0000-000035670000}"/>
    <cellStyle name="40% - Accent4 6 3 3 3" xfId="29947" xr:uid="{00000000-0005-0000-0000-000036670000}"/>
    <cellStyle name="40% - Accent4 6 3 4" xfId="29948" xr:uid="{00000000-0005-0000-0000-000037670000}"/>
    <cellStyle name="40% - Accent4 6 3 4 2" xfId="29949" xr:uid="{00000000-0005-0000-0000-000038670000}"/>
    <cellStyle name="40% - Accent4 6 3 5" xfId="29950" xr:uid="{00000000-0005-0000-0000-000039670000}"/>
    <cellStyle name="40% - Accent4 6 3 6" xfId="29951" xr:uid="{00000000-0005-0000-0000-00003A670000}"/>
    <cellStyle name="40% - Accent4 6 3 7" xfId="29952" xr:uid="{00000000-0005-0000-0000-00003B670000}"/>
    <cellStyle name="40% - Accent4 6 4" xfId="29953" xr:uid="{00000000-0005-0000-0000-00003C670000}"/>
    <cellStyle name="40% - Accent4 6 4 2" xfId="29954" xr:uid="{00000000-0005-0000-0000-00003D670000}"/>
    <cellStyle name="40% - Accent4 6 4 2 2" xfId="29955" xr:uid="{00000000-0005-0000-0000-00003E670000}"/>
    <cellStyle name="40% - Accent4 6 4 2 2 2" xfId="29956" xr:uid="{00000000-0005-0000-0000-00003F670000}"/>
    <cellStyle name="40% - Accent4 6 4 2 2 2 2" xfId="29957" xr:uid="{00000000-0005-0000-0000-000040670000}"/>
    <cellStyle name="40% - Accent4 6 4 2 2 3" xfId="29958" xr:uid="{00000000-0005-0000-0000-000041670000}"/>
    <cellStyle name="40% - Accent4 6 4 2 3" xfId="29959" xr:uid="{00000000-0005-0000-0000-000042670000}"/>
    <cellStyle name="40% - Accent4 6 4 2 3 2" xfId="29960" xr:uid="{00000000-0005-0000-0000-000043670000}"/>
    <cellStyle name="40% - Accent4 6 4 2 4" xfId="29961" xr:uid="{00000000-0005-0000-0000-000044670000}"/>
    <cellStyle name="40% - Accent4 6 4 2 5" xfId="29962" xr:uid="{00000000-0005-0000-0000-000045670000}"/>
    <cellStyle name="40% - Accent4 6 4 2 6" xfId="29963" xr:uid="{00000000-0005-0000-0000-000046670000}"/>
    <cellStyle name="40% - Accent4 6 4 3" xfId="29964" xr:uid="{00000000-0005-0000-0000-000047670000}"/>
    <cellStyle name="40% - Accent4 6 4 3 2" xfId="29965" xr:uid="{00000000-0005-0000-0000-000048670000}"/>
    <cellStyle name="40% - Accent4 6 4 3 2 2" xfId="29966" xr:uid="{00000000-0005-0000-0000-000049670000}"/>
    <cellStyle name="40% - Accent4 6 4 3 3" xfId="29967" xr:uid="{00000000-0005-0000-0000-00004A670000}"/>
    <cellStyle name="40% - Accent4 6 4 4" xfId="29968" xr:uid="{00000000-0005-0000-0000-00004B670000}"/>
    <cellStyle name="40% - Accent4 6 4 4 2" xfId="29969" xr:uid="{00000000-0005-0000-0000-00004C670000}"/>
    <cellStyle name="40% - Accent4 6 4 5" xfId="29970" xr:uid="{00000000-0005-0000-0000-00004D670000}"/>
    <cellStyle name="40% - Accent4 6 4 6" xfId="29971" xr:uid="{00000000-0005-0000-0000-00004E670000}"/>
    <cellStyle name="40% - Accent4 6 4 7" xfId="29972" xr:uid="{00000000-0005-0000-0000-00004F670000}"/>
    <cellStyle name="40% - Accent4 6 5" xfId="29973" xr:uid="{00000000-0005-0000-0000-000050670000}"/>
    <cellStyle name="40% - Accent4 6 5 2" xfId="29974" xr:uid="{00000000-0005-0000-0000-000051670000}"/>
    <cellStyle name="40% - Accent4 6 5 2 2" xfId="29975" xr:uid="{00000000-0005-0000-0000-000052670000}"/>
    <cellStyle name="40% - Accent4 6 5 2 2 2" xfId="29976" xr:uid="{00000000-0005-0000-0000-000053670000}"/>
    <cellStyle name="40% - Accent4 6 5 2 3" xfId="29977" xr:uid="{00000000-0005-0000-0000-000054670000}"/>
    <cellStyle name="40% - Accent4 6 5 3" xfId="29978" xr:uid="{00000000-0005-0000-0000-000055670000}"/>
    <cellStyle name="40% - Accent4 6 5 3 2" xfId="29979" xr:uid="{00000000-0005-0000-0000-000056670000}"/>
    <cellStyle name="40% - Accent4 6 5 4" xfId="29980" xr:uid="{00000000-0005-0000-0000-000057670000}"/>
    <cellStyle name="40% - Accent4 6 5 5" xfId="29981" xr:uid="{00000000-0005-0000-0000-000058670000}"/>
    <cellStyle name="40% - Accent4 6 5 6" xfId="29982" xr:uid="{00000000-0005-0000-0000-000059670000}"/>
    <cellStyle name="40% - Accent4 6 6" xfId="29983" xr:uid="{00000000-0005-0000-0000-00005A670000}"/>
    <cellStyle name="40% - Accent4 6 6 2" xfId="29984" xr:uid="{00000000-0005-0000-0000-00005B670000}"/>
    <cellStyle name="40% - Accent4 6 6 2 2" xfId="29985" xr:uid="{00000000-0005-0000-0000-00005C670000}"/>
    <cellStyle name="40% - Accent4 6 6 3" xfId="29986" xr:uid="{00000000-0005-0000-0000-00005D670000}"/>
    <cellStyle name="40% - Accent4 6 7" xfId="29987" xr:uid="{00000000-0005-0000-0000-00005E670000}"/>
    <cellStyle name="40% - Accent4 6 7 2" xfId="29988" xr:uid="{00000000-0005-0000-0000-00005F670000}"/>
    <cellStyle name="40% - Accent4 6 7 2 2" xfId="29989" xr:uid="{00000000-0005-0000-0000-000060670000}"/>
    <cellStyle name="40% - Accent4 6 7 3" xfId="29990" xr:uid="{00000000-0005-0000-0000-000061670000}"/>
    <cellStyle name="40% - Accent4 6 8" xfId="29991" xr:uid="{00000000-0005-0000-0000-000062670000}"/>
    <cellStyle name="40% - Accent4 6 8 2" xfId="29992" xr:uid="{00000000-0005-0000-0000-000063670000}"/>
    <cellStyle name="40% - Accent4 6 9" xfId="29993" xr:uid="{00000000-0005-0000-0000-000064670000}"/>
    <cellStyle name="40% - Accent4 6 9 2" xfId="29994" xr:uid="{00000000-0005-0000-0000-000065670000}"/>
    <cellStyle name="40% - Accent4 7" xfId="29995" xr:uid="{00000000-0005-0000-0000-000066670000}"/>
    <cellStyle name="40% - Accent4 7 10" xfId="29996" xr:uid="{00000000-0005-0000-0000-000067670000}"/>
    <cellStyle name="40% - Accent4 7 11" xfId="29997" xr:uid="{00000000-0005-0000-0000-000068670000}"/>
    <cellStyle name="40% - Accent4 7 12" xfId="29998" xr:uid="{00000000-0005-0000-0000-000069670000}"/>
    <cellStyle name="40% - Accent4 7 2" xfId="29999" xr:uid="{00000000-0005-0000-0000-00006A670000}"/>
    <cellStyle name="40% - Accent4 7 2 10" xfId="30000" xr:uid="{00000000-0005-0000-0000-00006B670000}"/>
    <cellStyle name="40% - Accent4 7 2 2" xfId="30001" xr:uid="{00000000-0005-0000-0000-00006C670000}"/>
    <cellStyle name="40% - Accent4 7 2 2 2" xfId="30002" xr:uid="{00000000-0005-0000-0000-00006D670000}"/>
    <cellStyle name="40% - Accent4 7 2 2 2 2" xfId="30003" xr:uid="{00000000-0005-0000-0000-00006E670000}"/>
    <cellStyle name="40% - Accent4 7 2 2 2 2 2" xfId="30004" xr:uid="{00000000-0005-0000-0000-00006F670000}"/>
    <cellStyle name="40% - Accent4 7 2 2 2 2 2 2" xfId="30005" xr:uid="{00000000-0005-0000-0000-000070670000}"/>
    <cellStyle name="40% - Accent4 7 2 2 2 2 3" xfId="30006" xr:uid="{00000000-0005-0000-0000-000071670000}"/>
    <cellStyle name="40% - Accent4 7 2 2 2 3" xfId="30007" xr:uid="{00000000-0005-0000-0000-000072670000}"/>
    <cellStyle name="40% - Accent4 7 2 2 2 3 2" xfId="30008" xr:uid="{00000000-0005-0000-0000-000073670000}"/>
    <cellStyle name="40% - Accent4 7 2 2 2 4" xfId="30009" xr:uid="{00000000-0005-0000-0000-000074670000}"/>
    <cellStyle name="40% - Accent4 7 2 2 2 5" xfId="30010" xr:uid="{00000000-0005-0000-0000-000075670000}"/>
    <cellStyle name="40% - Accent4 7 2 2 2 6" xfId="30011" xr:uid="{00000000-0005-0000-0000-000076670000}"/>
    <cellStyle name="40% - Accent4 7 2 2 3" xfId="30012" xr:uid="{00000000-0005-0000-0000-000077670000}"/>
    <cellStyle name="40% - Accent4 7 2 2 3 2" xfId="30013" xr:uid="{00000000-0005-0000-0000-000078670000}"/>
    <cellStyle name="40% - Accent4 7 2 2 3 2 2" xfId="30014" xr:uid="{00000000-0005-0000-0000-000079670000}"/>
    <cellStyle name="40% - Accent4 7 2 2 3 3" xfId="30015" xr:uid="{00000000-0005-0000-0000-00007A670000}"/>
    <cellStyle name="40% - Accent4 7 2 2 4" xfId="30016" xr:uid="{00000000-0005-0000-0000-00007B670000}"/>
    <cellStyle name="40% - Accent4 7 2 2 4 2" xfId="30017" xr:uid="{00000000-0005-0000-0000-00007C670000}"/>
    <cellStyle name="40% - Accent4 7 2 2 5" xfId="30018" xr:uid="{00000000-0005-0000-0000-00007D670000}"/>
    <cellStyle name="40% - Accent4 7 2 2 6" xfId="30019" xr:uid="{00000000-0005-0000-0000-00007E670000}"/>
    <cellStyle name="40% - Accent4 7 2 2 7" xfId="30020" xr:uid="{00000000-0005-0000-0000-00007F670000}"/>
    <cellStyle name="40% - Accent4 7 2 3" xfId="30021" xr:uid="{00000000-0005-0000-0000-000080670000}"/>
    <cellStyle name="40% - Accent4 7 2 3 2" xfId="30022" xr:uid="{00000000-0005-0000-0000-000081670000}"/>
    <cellStyle name="40% - Accent4 7 2 3 2 2" xfId="30023" xr:uid="{00000000-0005-0000-0000-000082670000}"/>
    <cellStyle name="40% - Accent4 7 2 3 2 2 2" xfId="30024" xr:uid="{00000000-0005-0000-0000-000083670000}"/>
    <cellStyle name="40% - Accent4 7 2 3 2 3" xfId="30025" xr:uid="{00000000-0005-0000-0000-000084670000}"/>
    <cellStyle name="40% - Accent4 7 2 3 3" xfId="30026" xr:uid="{00000000-0005-0000-0000-000085670000}"/>
    <cellStyle name="40% - Accent4 7 2 3 3 2" xfId="30027" xr:uid="{00000000-0005-0000-0000-000086670000}"/>
    <cellStyle name="40% - Accent4 7 2 3 4" xfId="30028" xr:uid="{00000000-0005-0000-0000-000087670000}"/>
    <cellStyle name="40% - Accent4 7 2 3 5" xfId="30029" xr:uid="{00000000-0005-0000-0000-000088670000}"/>
    <cellStyle name="40% - Accent4 7 2 3 6" xfId="30030" xr:uid="{00000000-0005-0000-0000-000089670000}"/>
    <cellStyle name="40% - Accent4 7 2 4" xfId="30031" xr:uid="{00000000-0005-0000-0000-00008A670000}"/>
    <cellStyle name="40% - Accent4 7 2 4 2" xfId="30032" xr:uid="{00000000-0005-0000-0000-00008B670000}"/>
    <cellStyle name="40% - Accent4 7 2 4 2 2" xfId="30033" xr:uid="{00000000-0005-0000-0000-00008C670000}"/>
    <cellStyle name="40% - Accent4 7 2 4 3" xfId="30034" xr:uid="{00000000-0005-0000-0000-00008D670000}"/>
    <cellStyle name="40% - Accent4 7 2 5" xfId="30035" xr:uid="{00000000-0005-0000-0000-00008E670000}"/>
    <cellStyle name="40% - Accent4 7 2 5 2" xfId="30036" xr:uid="{00000000-0005-0000-0000-00008F670000}"/>
    <cellStyle name="40% - Accent4 7 2 5 2 2" xfId="30037" xr:uid="{00000000-0005-0000-0000-000090670000}"/>
    <cellStyle name="40% - Accent4 7 2 5 3" xfId="30038" xr:uid="{00000000-0005-0000-0000-000091670000}"/>
    <cellStyle name="40% - Accent4 7 2 6" xfId="30039" xr:uid="{00000000-0005-0000-0000-000092670000}"/>
    <cellStyle name="40% - Accent4 7 2 6 2" xfId="30040" xr:uid="{00000000-0005-0000-0000-000093670000}"/>
    <cellStyle name="40% - Accent4 7 2 7" xfId="30041" xr:uid="{00000000-0005-0000-0000-000094670000}"/>
    <cellStyle name="40% - Accent4 7 2 7 2" xfId="30042" xr:uid="{00000000-0005-0000-0000-000095670000}"/>
    <cellStyle name="40% - Accent4 7 2 8" xfId="30043" xr:uid="{00000000-0005-0000-0000-000096670000}"/>
    <cellStyle name="40% - Accent4 7 2 9" xfId="30044" xr:uid="{00000000-0005-0000-0000-000097670000}"/>
    <cellStyle name="40% - Accent4 7 3" xfId="30045" xr:uid="{00000000-0005-0000-0000-000098670000}"/>
    <cellStyle name="40% - Accent4 7 3 2" xfId="30046" xr:uid="{00000000-0005-0000-0000-000099670000}"/>
    <cellStyle name="40% - Accent4 7 3 2 2" xfId="30047" xr:uid="{00000000-0005-0000-0000-00009A670000}"/>
    <cellStyle name="40% - Accent4 7 3 2 2 2" xfId="30048" xr:uid="{00000000-0005-0000-0000-00009B670000}"/>
    <cellStyle name="40% - Accent4 7 3 2 2 2 2" xfId="30049" xr:uid="{00000000-0005-0000-0000-00009C670000}"/>
    <cellStyle name="40% - Accent4 7 3 2 2 3" xfId="30050" xr:uid="{00000000-0005-0000-0000-00009D670000}"/>
    <cellStyle name="40% - Accent4 7 3 2 3" xfId="30051" xr:uid="{00000000-0005-0000-0000-00009E670000}"/>
    <cellStyle name="40% - Accent4 7 3 2 3 2" xfId="30052" xr:uid="{00000000-0005-0000-0000-00009F670000}"/>
    <cellStyle name="40% - Accent4 7 3 2 4" xfId="30053" xr:uid="{00000000-0005-0000-0000-0000A0670000}"/>
    <cellStyle name="40% - Accent4 7 3 2 5" xfId="30054" xr:uid="{00000000-0005-0000-0000-0000A1670000}"/>
    <cellStyle name="40% - Accent4 7 3 2 6" xfId="30055" xr:uid="{00000000-0005-0000-0000-0000A2670000}"/>
    <cellStyle name="40% - Accent4 7 3 3" xfId="30056" xr:uid="{00000000-0005-0000-0000-0000A3670000}"/>
    <cellStyle name="40% - Accent4 7 3 3 2" xfId="30057" xr:uid="{00000000-0005-0000-0000-0000A4670000}"/>
    <cellStyle name="40% - Accent4 7 3 3 2 2" xfId="30058" xr:uid="{00000000-0005-0000-0000-0000A5670000}"/>
    <cellStyle name="40% - Accent4 7 3 3 3" xfId="30059" xr:uid="{00000000-0005-0000-0000-0000A6670000}"/>
    <cellStyle name="40% - Accent4 7 3 4" xfId="30060" xr:uid="{00000000-0005-0000-0000-0000A7670000}"/>
    <cellStyle name="40% - Accent4 7 3 4 2" xfId="30061" xr:uid="{00000000-0005-0000-0000-0000A8670000}"/>
    <cellStyle name="40% - Accent4 7 3 5" xfId="30062" xr:uid="{00000000-0005-0000-0000-0000A9670000}"/>
    <cellStyle name="40% - Accent4 7 3 6" xfId="30063" xr:uid="{00000000-0005-0000-0000-0000AA670000}"/>
    <cellStyle name="40% - Accent4 7 3 7" xfId="30064" xr:uid="{00000000-0005-0000-0000-0000AB670000}"/>
    <cellStyle name="40% - Accent4 7 4" xfId="30065" xr:uid="{00000000-0005-0000-0000-0000AC670000}"/>
    <cellStyle name="40% - Accent4 7 4 2" xfId="30066" xr:uid="{00000000-0005-0000-0000-0000AD670000}"/>
    <cellStyle name="40% - Accent4 7 4 2 2" xfId="30067" xr:uid="{00000000-0005-0000-0000-0000AE670000}"/>
    <cellStyle name="40% - Accent4 7 4 2 2 2" xfId="30068" xr:uid="{00000000-0005-0000-0000-0000AF670000}"/>
    <cellStyle name="40% - Accent4 7 4 2 2 2 2" xfId="30069" xr:uid="{00000000-0005-0000-0000-0000B0670000}"/>
    <cellStyle name="40% - Accent4 7 4 2 2 3" xfId="30070" xr:uid="{00000000-0005-0000-0000-0000B1670000}"/>
    <cellStyle name="40% - Accent4 7 4 2 3" xfId="30071" xr:uid="{00000000-0005-0000-0000-0000B2670000}"/>
    <cellStyle name="40% - Accent4 7 4 2 3 2" xfId="30072" xr:uid="{00000000-0005-0000-0000-0000B3670000}"/>
    <cellStyle name="40% - Accent4 7 4 2 4" xfId="30073" xr:uid="{00000000-0005-0000-0000-0000B4670000}"/>
    <cellStyle name="40% - Accent4 7 4 2 5" xfId="30074" xr:uid="{00000000-0005-0000-0000-0000B5670000}"/>
    <cellStyle name="40% - Accent4 7 4 2 6" xfId="30075" xr:uid="{00000000-0005-0000-0000-0000B6670000}"/>
    <cellStyle name="40% - Accent4 7 4 3" xfId="30076" xr:uid="{00000000-0005-0000-0000-0000B7670000}"/>
    <cellStyle name="40% - Accent4 7 4 3 2" xfId="30077" xr:uid="{00000000-0005-0000-0000-0000B8670000}"/>
    <cellStyle name="40% - Accent4 7 4 3 2 2" xfId="30078" xr:uid="{00000000-0005-0000-0000-0000B9670000}"/>
    <cellStyle name="40% - Accent4 7 4 3 3" xfId="30079" xr:uid="{00000000-0005-0000-0000-0000BA670000}"/>
    <cellStyle name="40% - Accent4 7 4 4" xfId="30080" xr:uid="{00000000-0005-0000-0000-0000BB670000}"/>
    <cellStyle name="40% - Accent4 7 4 4 2" xfId="30081" xr:uid="{00000000-0005-0000-0000-0000BC670000}"/>
    <cellStyle name="40% - Accent4 7 4 5" xfId="30082" xr:uid="{00000000-0005-0000-0000-0000BD670000}"/>
    <cellStyle name="40% - Accent4 7 4 6" xfId="30083" xr:uid="{00000000-0005-0000-0000-0000BE670000}"/>
    <cellStyle name="40% - Accent4 7 4 7" xfId="30084" xr:uid="{00000000-0005-0000-0000-0000BF670000}"/>
    <cellStyle name="40% - Accent4 7 5" xfId="30085" xr:uid="{00000000-0005-0000-0000-0000C0670000}"/>
    <cellStyle name="40% - Accent4 7 5 2" xfId="30086" xr:uid="{00000000-0005-0000-0000-0000C1670000}"/>
    <cellStyle name="40% - Accent4 7 5 2 2" xfId="30087" xr:uid="{00000000-0005-0000-0000-0000C2670000}"/>
    <cellStyle name="40% - Accent4 7 5 2 2 2" xfId="30088" xr:uid="{00000000-0005-0000-0000-0000C3670000}"/>
    <cellStyle name="40% - Accent4 7 5 2 3" xfId="30089" xr:uid="{00000000-0005-0000-0000-0000C4670000}"/>
    <cellStyle name="40% - Accent4 7 5 3" xfId="30090" xr:uid="{00000000-0005-0000-0000-0000C5670000}"/>
    <cellStyle name="40% - Accent4 7 5 3 2" xfId="30091" xr:uid="{00000000-0005-0000-0000-0000C6670000}"/>
    <cellStyle name="40% - Accent4 7 5 4" xfId="30092" xr:uid="{00000000-0005-0000-0000-0000C7670000}"/>
    <cellStyle name="40% - Accent4 7 5 5" xfId="30093" xr:uid="{00000000-0005-0000-0000-0000C8670000}"/>
    <cellStyle name="40% - Accent4 7 5 6" xfId="30094" xr:uid="{00000000-0005-0000-0000-0000C9670000}"/>
    <cellStyle name="40% - Accent4 7 6" xfId="30095" xr:uid="{00000000-0005-0000-0000-0000CA670000}"/>
    <cellStyle name="40% - Accent4 7 6 2" xfId="30096" xr:uid="{00000000-0005-0000-0000-0000CB670000}"/>
    <cellStyle name="40% - Accent4 7 6 2 2" xfId="30097" xr:uid="{00000000-0005-0000-0000-0000CC670000}"/>
    <cellStyle name="40% - Accent4 7 6 3" xfId="30098" xr:uid="{00000000-0005-0000-0000-0000CD670000}"/>
    <cellStyle name="40% - Accent4 7 7" xfId="30099" xr:uid="{00000000-0005-0000-0000-0000CE670000}"/>
    <cellStyle name="40% - Accent4 7 7 2" xfId="30100" xr:uid="{00000000-0005-0000-0000-0000CF670000}"/>
    <cellStyle name="40% - Accent4 7 7 2 2" xfId="30101" xr:uid="{00000000-0005-0000-0000-0000D0670000}"/>
    <cellStyle name="40% - Accent4 7 7 3" xfId="30102" xr:uid="{00000000-0005-0000-0000-0000D1670000}"/>
    <cellStyle name="40% - Accent4 7 8" xfId="30103" xr:uid="{00000000-0005-0000-0000-0000D2670000}"/>
    <cellStyle name="40% - Accent4 7 8 2" xfId="30104" xr:uid="{00000000-0005-0000-0000-0000D3670000}"/>
    <cellStyle name="40% - Accent4 7 9" xfId="30105" xr:uid="{00000000-0005-0000-0000-0000D4670000}"/>
    <cellStyle name="40% - Accent4 7 9 2" xfId="30106" xr:uid="{00000000-0005-0000-0000-0000D5670000}"/>
    <cellStyle name="40% - Accent4 8" xfId="30107" xr:uid="{00000000-0005-0000-0000-0000D6670000}"/>
    <cellStyle name="40% - Accent4 8 10" xfId="30108" xr:uid="{00000000-0005-0000-0000-0000D7670000}"/>
    <cellStyle name="40% - Accent4 8 11" xfId="30109" xr:uid="{00000000-0005-0000-0000-0000D8670000}"/>
    <cellStyle name="40% - Accent4 8 12" xfId="30110" xr:uid="{00000000-0005-0000-0000-0000D9670000}"/>
    <cellStyle name="40% - Accent4 8 2" xfId="30111" xr:uid="{00000000-0005-0000-0000-0000DA670000}"/>
    <cellStyle name="40% - Accent4 8 2 10" xfId="30112" xr:uid="{00000000-0005-0000-0000-0000DB670000}"/>
    <cellStyle name="40% - Accent4 8 2 2" xfId="30113" xr:uid="{00000000-0005-0000-0000-0000DC670000}"/>
    <cellStyle name="40% - Accent4 8 2 2 2" xfId="30114" xr:uid="{00000000-0005-0000-0000-0000DD670000}"/>
    <cellStyle name="40% - Accent4 8 2 2 2 2" xfId="30115" xr:uid="{00000000-0005-0000-0000-0000DE670000}"/>
    <cellStyle name="40% - Accent4 8 2 2 2 2 2" xfId="30116" xr:uid="{00000000-0005-0000-0000-0000DF670000}"/>
    <cellStyle name="40% - Accent4 8 2 2 2 2 2 2" xfId="30117" xr:uid="{00000000-0005-0000-0000-0000E0670000}"/>
    <cellStyle name="40% - Accent4 8 2 2 2 2 3" xfId="30118" xr:uid="{00000000-0005-0000-0000-0000E1670000}"/>
    <cellStyle name="40% - Accent4 8 2 2 2 3" xfId="30119" xr:uid="{00000000-0005-0000-0000-0000E2670000}"/>
    <cellStyle name="40% - Accent4 8 2 2 2 3 2" xfId="30120" xr:uid="{00000000-0005-0000-0000-0000E3670000}"/>
    <cellStyle name="40% - Accent4 8 2 2 2 4" xfId="30121" xr:uid="{00000000-0005-0000-0000-0000E4670000}"/>
    <cellStyle name="40% - Accent4 8 2 2 2 5" xfId="30122" xr:uid="{00000000-0005-0000-0000-0000E5670000}"/>
    <cellStyle name="40% - Accent4 8 2 2 2 6" xfId="30123" xr:uid="{00000000-0005-0000-0000-0000E6670000}"/>
    <cellStyle name="40% - Accent4 8 2 2 3" xfId="30124" xr:uid="{00000000-0005-0000-0000-0000E7670000}"/>
    <cellStyle name="40% - Accent4 8 2 2 3 2" xfId="30125" xr:uid="{00000000-0005-0000-0000-0000E8670000}"/>
    <cellStyle name="40% - Accent4 8 2 2 3 2 2" xfId="30126" xr:uid="{00000000-0005-0000-0000-0000E9670000}"/>
    <cellStyle name="40% - Accent4 8 2 2 3 3" xfId="30127" xr:uid="{00000000-0005-0000-0000-0000EA670000}"/>
    <cellStyle name="40% - Accent4 8 2 2 4" xfId="30128" xr:uid="{00000000-0005-0000-0000-0000EB670000}"/>
    <cellStyle name="40% - Accent4 8 2 2 4 2" xfId="30129" xr:uid="{00000000-0005-0000-0000-0000EC670000}"/>
    <cellStyle name="40% - Accent4 8 2 2 5" xfId="30130" xr:uid="{00000000-0005-0000-0000-0000ED670000}"/>
    <cellStyle name="40% - Accent4 8 2 2 6" xfId="30131" xr:uid="{00000000-0005-0000-0000-0000EE670000}"/>
    <cellStyle name="40% - Accent4 8 2 2 7" xfId="30132" xr:uid="{00000000-0005-0000-0000-0000EF670000}"/>
    <cellStyle name="40% - Accent4 8 2 3" xfId="30133" xr:uid="{00000000-0005-0000-0000-0000F0670000}"/>
    <cellStyle name="40% - Accent4 8 2 3 2" xfId="30134" xr:uid="{00000000-0005-0000-0000-0000F1670000}"/>
    <cellStyle name="40% - Accent4 8 2 3 2 2" xfId="30135" xr:uid="{00000000-0005-0000-0000-0000F2670000}"/>
    <cellStyle name="40% - Accent4 8 2 3 2 2 2" xfId="30136" xr:uid="{00000000-0005-0000-0000-0000F3670000}"/>
    <cellStyle name="40% - Accent4 8 2 3 2 3" xfId="30137" xr:uid="{00000000-0005-0000-0000-0000F4670000}"/>
    <cellStyle name="40% - Accent4 8 2 3 3" xfId="30138" xr:uid="{00000000-0005-0000-0000-0000F5670000}"/>
    <cellStyle name="40% - Accent4 8 2 3 3 2" xfId="30139" xr:uid="{00000000-0005-0000-0000-0000F6670000}"/>
    <cellStyle name="40% - Accent4 8 2 3 4" xfId="30140" xr:uid="{00000000-0005-0000-0000-0000F7670000}"/>
    <cellStyle name="40% - Accent4 8 2 3 5" xfId="30141" xr:uid="{00000000-0005-0000-0000-0000F8670000}"/>
    <cellStyle name="40% - Accent4 8 2 3 6" xfId="30142" xr:uid="{00000000-0005-0000-0000-0000F9670000}"/>
    <cellStyle name="40% - Accent4 8 2 4" xfId="30143" xr:uid="{00000000-0005-0000-0000-0000FA670000}"/>
    <cellStyle name="40% - Accent4 8 2 4 2" xfId="30144" xr:uid="{00000000-0005-0000-0000-0000FB670000}"/>
    <cellStyle name="40% - Accent4 8 2 4 2 2" xfId="30145" xr:uid="{00000000-0005-0000-0000-0000FC670000}"/>
    <cellStyle name="40% - Accent4 8 2 4 3" xfId="30146" xr:uid="{00000000-0005-0000-0000-0000FD670000}"/>
    <cellStyle name="40% - Accent4 8 2 5" xfId="30147" xr:uid="{00000000-0005-0000-0000-0000FE670000}"/>
    <cellStyle name="40% - Accent4 8 2 5 2" xfId="30148" xr:uid="{00000000-0005-0000-0000-0000FF670000}"/>
    <cellStyle name="40% - Accent4 8 2 5 2 2" xfId="30149" xr:uid="{00000000-0005-0000-0000-000000680000}"/>
    <cellStyle name="40% - Accent4 8 2 5 3" xfId="30150" xr:uid="{00000000-0005-0000-0000-000001680000}"/>
    <cellStyle name="40% - Accent4 8 2 6" xfId="30151" xr:uid="{00000000-0005-0000-0000-000002680000}"/>
    <cellStyle name="40% - Accent4 8 2 6 2" xfId="30152" xr:uid="{00000000-0005-0000-0000-000003680000}"/>
    <cellStyle name="40% - Accent4 8 2 7" xfId="30153" xr:uid="{00000000-0005-0000-0000-000004680000}"/>
    <cellStyle name="40% - Accent4 8 2 7 2" xfId="30154" xr:uid="{00000000-0005-0000-0000-000005680000}"/>
    <cellStyle name="40% - Accent4 8 2 8" xfId="30155" xr:uid="{00000000-0005-0000-0000-000006680000}"/>
    <cellStyle name="40% - Accent4 8 2 9" xfId="30156" xr:uid="{00000000-0005-0000-0000-000007680000}"/>
    <cellStyle name="40% - Accent4 8 3" xfId="30157" xr:uid="{00000000-0005-0000-0000-000008680000}"/>
    <cellStyle name="40% - Accent4 8 3 2" xfId="30158" xr:uid="{00000000-0005-0000-0000-000009680000}"/>
    <cellStyle name="40% - Accent4 8 3 2 2" xfId="30159" xr:uid="{00000000-0005-0000-0000-00000A680000}"/>
    <cellStyle name="40% - Accent4 8 3 2 2 2" xfId="30160" xr:uid="{00000000-0005-0000-0000-00000B680000}"/>
    <cellStyle name="40% - Accent4 8 3 2 2 2 2" xfId="30161" xr:uid="{00000000-0005-0000-0000-00000C680000}"/>
    <cellStyle name="40% - Accent4 8 3 2 2 3" xfId="30162" xr:uid="{00000000-0005-0000-0000-00000D680000}"/>
    <cellStyle name="40% - Accent4 8 3 2 3" xfId="30163" xr:uid="{00000000-0005-0000-0000-00000E680000}"/>
    <cellStyle name="40% - Accent4 8 3 2 3 2" xfId="30164" xr:uid="{00000000-0005-0000-0000-00000F680000}"/>
    <cellStyle name="40% - Accent4 8 3 2 4" xfId="30165" xr:uid="{00000000-0005-0000-0000-000010680000}"/>
    <cellStyle name="40% - Accent4 8 3 2 5" xfId="30166" xr:uid="{00000000-0005-0000-0000-000011680000}"/>
    <cellStyle name="40% - Accent4 8 3 2 6" xfId="30167" xr:uid="{00000000-0005-0000-0000-000012680000}"/>
    <cellStyle name="40% - Accent4 8 3 3" xfId="30168" xr:uid="{00000000-0005-0000-0000-000013680000}"/>
    <cellStyle name="40% - Accent4 8 3 3 2" xfId="30169" xr:uid="{00000000-0005-0000-0000-000014680000}"/>
    <cellStyle name="40% - Accent4 8 3 3 2 2" xfId="30170" xr:uid="{00000000-0005-0000-0000-000015680000}"/>
    <cellStyle name="40% - Accent4 8 3 3 3" xfId="30171" xr:uid="{00000000-0005-0000-0000-000016680000}"/>
    <cellStyle name="40% - Accent4 8 3 4" xfId="30172" xr:uid="{00000000-0005-0000-0000-000017680000}"/>
    <cellStyle name="40% - Accent4 8 3 4 2" xfId="30173" xr:uid="{00000000-0005-0000-0000-000018680000}"/>
    <cellStyle name="40% - Accent4 8 3 5" xfId="30174" xr:uid="{00000000-0005-0000-0000-000019680000}"/>
    <cellStyle name="40% - Accent4 8 3 6" xfId="30175" xr:uid="{00000000-0005-0000-0000-00001A680000}"/>
    <cellStyle name="40% - Accent4 8 3 7" xfId="30176" xr:uid="{00000000-0005-0000-0000-00001B680000}"/>
    <cellStyle name="40% - Accent4 8 4" xfId="30177" xr:uid="{00000000-0005-0000-0000-00001C680000}"/>
    <cellStyle name="40% - Accent4 8 4 2" xfId="30178" xr:uid="{00000000-0005-0000-0000-00001D680000}"/>
    <cellStyle name="40% - Accent4 8 4 2 2" xfId="30179" xr:uid="{00000000-0005-0000-0000-00001E680000}"/>
    <cellStyle name="40% - Accent4 8 4 2 2 2" xfId="30180" xr:uid="{00000000-0005-0000-0000-00001F680000}"/>
    <cellStyle name="40% - Accent4 8 4 2 2 2 2" xfId="30181" xr:uid="{00000000-0005-0000-0000-000020680000}"/>
    <cellStyle name="40% - Accent4 8 4 2 2 3" xfId="30182" xr:uid="{00000000-0005-0000-0000-000021680000}"/>
    <cellStyle name="40% - Accent4 8 4 2 3" xfId="30183" xr:uid="{00000000-0005-0000-0000-000022680000}"/>
    <cellStyle name="40% - Accent4 8 4 2 3 2" xfId="30184" xr:uid="{00000000-0005-0000-0000-000023680000}"/>
    <cellStyle name="40% - Accent4 8 4 2 4" xfId="30185" xr:uid="{00000000-0005-0000-0000-000024680000}"/>
    <cellStyle name="40% - Accent4 8 4 2 5" xfId="30186" xr:uid="{00000000-0005-0000-0000-000025680000}"/>
    <cellStyle name="40% - Accent4 8 4 2 6" xfId="30187" xr:uid="{00000000-0005-0000-0000-000026680000}"/>
    <cellStyle name="40% - Accent4 8 4 3" xfId="30188" xr:uid="{00000000-0005-0000-0000-000027680000}"/>
    <cellStyle name="40% - Accent4 8 4 3 2" xfId="30189" xr:uid="{00000000-0005-0000-0000-000028680000}"/>
    <cellStyle name="40% - Accent4 8 4 3 2 2" xfId="30190" xr:uid="{00000000-0005-0000-0000-000029680000}"/>
    <cellStyle name="40% - Accent4 8 4 3 3" xfId="30191" xr:uid="{00000000-0005-0000-0000-00002A680000}"/>
    <cellStyle name="40% - Accent4 8 4 4" xfId="30192" xr:uid="{00000000-0005-0000-0000-00002B680000}"/>
    <cellStyle name="40% - Accent4 8 4 4 2" xfId="30193" xr:uid="{00000000-0005-0000-0000-00002C680000}"/>
    <cellStyle name="40% - Accent4 8 4 5" xfId="30194" xr:uid="{00000000-0005-0000-0000-00002D680000}"/>
    <cellStyle name="40% - Accent4 8 4 6" xfId="30195" xr:uid="{00000000-0005-0000-0000-00002E680000}"/>
    <cellStyle name="40% - Accent4 8 4 7" xfId="30196" xr:uid="{00000000-0005-0000-0000-00002F680000}"/>
    <cellStyle name="40% - Accent4 8 5" xfId="30197" xr:uid="{00000000-0005-0000-0000-000030680000}"/>
    <cellStyle name="40% - Accent4 8 5 2" xfId="30198" xr:uid="{00000000-0005-0000-0000-000031680000}"/>
    <cellStyle name="40% - Accent4 8 5 2 2" xfId="30199" xr:uid="{00000000-0005-0000-0000-000032680000}"/>
    <cellStyle name="40% - Accent4 8 5 2 2 2" xfId="30200" xr:uid="{00000000-0005-0000-0000-000033680000}"/>
    <cellStyle name="40% - Accent4 8 5 2 3" xfId="30201" xr:uid="{00000000-0005-0000-0000-000034680000}"/>
    <cellStyle name="40% - Accent4 8 5 3" xfId="30202" xr:uid="{00000000-0005-0000-0000-000035680000}"/>
    <cellStyle name="40% - Accent4 8 5 3 2" xfId="30203" xr:uid="{00000000-0005-0000-0000-000036680000}"/>
    <cellStyle name="40% - Accent4 8 5 4" xfId="30204" xr:uid="{00000000-0005-0000-0000-000037680000}"/>
    <cellStyle name="40% - Accent4 8 5 5" xfId="30205" xr:uid="{00000000-0005-0000-0000-000038680000}"/>
    <cellStyle name="40% - Accent4 8 5 6" xfId="30206" xr:uid="{00000000-0005-0000-0000-000039680000}"/>
    <cellStyle name="40% - Accent4 8 6" xfId="30207" xr:uid="{00000000-0005-0000-0000-00003A680000}"/>
    <cellStyle name="40% - Accent4 8 6 2" xfId="30208" xr:uid="{00000000-0005-0000-0000-00003B680000}"/>
    <cellStyle name="40% - Accent4 8 6 2 2" xfId="30209" xr:uid="{00000000-0005-0000-0000-00003C680000}"/>
    <cellStyle name="40% - Accent4 8 6 3" xfId="30210" xr:uid="{00000000-0005-0000-0000-00003D680000}"/>
    <cellStyle name="40% - Accent4 8 7" xfId="30211" xr:uid="{00000000-0005-0000-0000-00003E680000}"/>
    <cellStyle name="40% - Accent4 8 7 2" xfId="30212" xr:uid="{00000000-0005-0000-0000-00003F680000}"/>
    <cellStyle name="40% - Accent4 8 7 2 2" xfId="30213" xr:uid="{00000000-0005-0000-0000-000040680000}"/>
    <cellStyle name="40% - Accent4 8 7 3" xfId="30214" xr:uid="{00000000-0005-0000-0000-000041680000}"/>
    <cellStyle name="40% - Accent4 8 8" xfId="30215" xr:uid="{00000000-0005-0000-0000-000042680000}"/>
    <cellStyle name="40% - Accent4 8 8 2" xfId="30216" xr:uid="{00000000-0005-0000-0000-000043680000}"/>
    <cellStyle name="40% - Accent4 8 9" xfId="30217" xr:uid="{00000000-0005-0000-0000-000044680000}"/>
    <cellStyle name="40% - Accent4 8 9 2" xfId="30218" xr:uid="{00000000-0005-0000-0000-000045680000}"/>
    <cellStyle name="40% - Accent4 9" xfId="30219" xr:uid="{00000000-0005-0000-0000-000046680000}"/>
    <cellStyle name="40% - Accent4 9 10" xfId="30220" xr:uid="{00000000-0005-0000-0000-000047680000}"/>
    <cellStyle name="40% - Accent4 9 11" xfId="30221" xr:uid="{00000000-0005-0000-0000-000048680000}"/>
    <cellStyle name="40% - Accent4 9 12" xfId="30222" xr:uid="{00000000-0005-0000-0000-000049680000}"/>
    <cellStyle name="40% - Accent4 9 2" xfId="30223" xr:uid="{00000000-0005-0000-0000-00004A680000}"/>
    <cellStyle name="40% - Accent4 9 2 10" xfId="30224" xr:uid="{00000000-0005-0000-0000-00004B680000}"/>
    <cellStyle name="40% - Accent4 9 2 2" xfId="30225" xr:uid="{00000000-0005-0000-0000-00004C680000}"/>
    <cellStyle name="40% - Accent4 9 2 2 2" xfId="30226" xr:uid="{00000000-0005-0000-0000-00004D680000}"/>
    <cellStyle name="40% - Accent4 9 2 2 2 2" xfId="30227" xr:uid="{00000000-0005-0000-0000-00004E680000}"/>
    <cellStyle name="40% - Accent4 9 2 2 2 2 2" xfId="30228" xr:uid="{00000000-0005-0000-0000-00004F680000}"/>
    <cellStyle name="40% - Accent4 9 2 2 2 2 2 2" xfId="30229" xr:uid="{00000000-0005-0000-0000-000050680000}"/>
    <cellStyle name="40% - Accent4 9 2 2 2 2 3" xfId="30230" xr:uid="{00000000-0005-0000-0000-000051680000}"/>
    <cellStyle name="40% - Accent4 9 2 2 2 3" xfId="30231" xr:uid="{00000000-0005-0000-0000-000052680000}"/>
    <cellStyle name="40% - Accent4 9 2 2 2 3 2" xfId="30232" xr:uid="{00000000-0005-0000-0000-000053680000}"/>
    <cellStyle name="40% - Accent4 9 2 2 2 4" xfId="30233" xr:uid="{00000000-0005-0000-0000-000054680000}"/>
    <cellStyle name="40% - Accent4 9 2 2 2 5" xfId="30234" xr:uid="{00000000-0005-0000-0000-000055680000}"/>
    <cellStyle name="40% - Accent4 9 2 2 2 6" xfId="30235" xr:uid="{00000000-0005-0000-0000-000056680000}"/>
    <cellStyle name="40% - Accent4 9 2 2 3" xfId="30236" xr:uid="{00000000-0005-0000-0000-000057680000}"/>
    <cellStyle name="40% - Accent4 9 2 2 3 2" xfId="30237" xr:uid="{00000000-0005-0000-0000-000058680000}"/>
    <cellStyle name="40% - Accent4 9 2 2 3 2 2" xfId="30238" xr:uid="{00000000-0005-0000-0000-000059680000}"/>
    <cellStyle name="40% - Accent4 9 2 2 3 3" xfId="30239" xr:uid="{00000000-0005-0000-0000-00005A680000}"/>
    <cellStyle name="40% - Accent4 9 2 2 4" xfId="30240" xr:uid="{00000000-0005-0000-0000-00005B680000}"/>
    <cellStyle name="40% - Accent4 9 2 2 4 2" xfId="30241" xr:uid="{00000000-0005-0000-0000-00005C680000}"/>
    <cellStyle name="40% - Accent4 9 2 2 5" xfId="30242" xr:uid="{00000000-0005-0000-0000-00005D680000}"/>
    <cellStyle name="40% - Accent4 9 2 2 6" xfId="30243" xr:uid="{00000000-0005-0000-0000-00005E680000}"/>
    <cellStyle name="40% - Accent4 9 2 2 7" xfId="30244" xr:uid="{00000000-0005-0000-0000-00005F680000}"/>
    <cellStyle name="40% - Accent4 9 2 3" xfId="30245" xr:uid="{00000000-0005-0000-0000-000060680000}"/>
    <cellStyle name="40% - Accent4 9 2 3 2" xfId="30246" xr:uid="{00000000-0005-0000-0000-000061680000}"/>
    <cellStyle name="40% - Accent4 9 2 3 2 2" xfId="30247" xr:uid="{00000000-0005-0000-0000-000062680000}"/>
    <cellStyle name="40% - Accent4 9 2 3 2 2 2" xfId="30248" xr:uid="{00000000-0005-0000-0000-000063680000}"/>
    <cellStyle name="40% - Accent4 9 2 3 2 3" xfId="30249" xr:uid="{00000000-0005-0000-0000-000064680000}"/>
    <cellStyle name="40% - Accent4 9 2 3 3" xfId="30250" xr:uid="{00000000-0005-0000-0000-000065680000}"/>
    <cellStyle name="40% - Accent4 9 2 3 3 2" xfId="30251" xr:uid="{00000000-0005-0000-0000-000066680000}"/>
    <cellStyle name="40% - Accent4 9 2 3 4" xfId="30252" xr:uid="{00000000-0005-0000-0000-000067680000}"/>
    <cellStyle name="40% - Accent4 9 2 3 5" xfId="30253" xr:uid="{00000000-0005-0000-0000-000068680000}"/>
    <cellStyle name="40% - Accent4 9 2 3 6" xfId="30254" xr:uid="{00000000-0005-0000-0000-000069680000}"/>
    <cellStyle name="40% - Accent4 9 2 4" xfId="30255" xr:uid="{00000000-0005-0000-0000-00006A680000}"/>
    <cellStyle name="40% - Accent4 9 2 4 2" xfId="30256" xr:uid="{00000000-0005-0000-0000-00006B680000}"/>
    <cellStyle name="40% - Accent4 9 2 4 2 2" xfId="30257" xr:uid="{00000000-0005-0000-0000-00006C680000}"/>
    <cellStyle name="40% - Accent4 9 2 4 3" xfId="30258" xr:uid="{00000000-0005-0000-0000-00006D680000}"/>
    <cellStyle name="40% - Accent4 9 2 5" xfId="30259" xr:uid="{00000000-0005-0000-0000-00006E680000}"/>
    <cellStyle name="40% - Accent4 9 2 5 2" xfId="30260" xr:uid="{00000000-0005-0000-0000-00006F680000}"/>
    <cellStyle name="40% - Accent4 9 2 5 2 2" xfId="30261" xr:uid="{00000000-0005-0000-0000-000070680000}"/>
    <cellStyle name="40% - Accent4 9 2 5 3" xfId="30262" xr:uid="{00000000-0005-0000-0000-000071680000}"/>
    <cellStyle name="40% - Accent4 9 2 6" xfId="30263" xr:uid="{00000000-0005-0000-0000-000072680000}"/>
    <cellStyle name="40% - Accent4 9 2 6 2" xfId="30264" xr:uid="{00000000-0005-0000-0000-000073680000}"/>
    <cellStyle name="40% - Accent4 9 2 7" xfId="30265" xr:uid="{00000000-0005-0000-0000-000074680000}"/>
    <cellStyle name="40% - Accent4 9 2 7 2" xfId="30266" xr:uid="{00000000-0005-0000-0000-000075680000}"/>
    <cellStyle name="40% - Accent4 9 2 8" xfId="30267" xr:uid="{00000000-0005-0000-0000-000076680000}"/>
    <cellStyle name="40% - Accent4 9 2 9" xfId="30268" xr:uid="{00000000-0005-0000-0000-000077680000}"/>
    <cellStyle name="40% - Accent4 9 3" xfId="30269" xr:uid="{00000000-0005-0000-0000-000078680000}"/>
    <cellStyle name="40% - Accent4 9 3 2" xfId="30270" xr:uid="{00000000-0005-0000-0000-000079680000}"/>
    <cellStyle name="40% - Accent4 9 3 2 2" xfId="30271" xr:uid="{00000000-0005-0000-0000-00007A680000}"/>
    <cellStyle name="40% - Accent4 9 3 2 2 2" xfId="30272" xr:uid="{00000000-0005-0000-0000-00007B680000}"/>
    <cellStyle name="40% - Accent4 9 3 2 2 2 2" xfId="30273" xr:uid="{00000000-0005-0000-0000-00007C680000}"/>
    <cellStyle name="40% - Accent4 9 3 2 2 3" xfId="30274" xr:uid="{00000000-0005-0000-0000-00007D680000}"/>
    <cellStyle name="40% - Accent4 9 3 2 3" xfId="30275" xr:uid="{00000000-0005-0000-0000-00007E680000}"/>
    <cellStyle name="40% - Accent4 9 3 2 3 2" xfId="30276" xr:uid="{00000000-0005-0000-0000-00007F680000}"/>
    <cellStyle name="40% - Accent4 9 3 2 4" xfId="30277" xr:uid="{00000000-0005-0000-0000-000080680000}"/>
    <cellStyle name="40% - Accent4 9 3 2 5" xfId="30278" xr:uid="{00000000-0005-0000-0000-000081680000}"/>
    <cellStyle name="40% - Accent4 9 3 2 6" xfId="30279" xr:uid="{00000000-0005-0000-0000-000082680000}"/>
    <cellStyle name="40% - Accent4 9 3 3" xfId="30280" xr:uid="{00000000-0005-0000-0000-000083680000}"/>
    <cellStyle name="40% - Accent4 9 3 3 2" xfId="30281" xr:uid="{00000000-0005-0000-0000-000084680000}"/>
    <cellStyle name="40% - Accent4 9 3 3 2 2" xfId="30282" xr:uid="{00000000-0005-0000-0000-000085680000}"/>
    <cellStyle name="40% - Accent4 9 3 3 3" xfId="30283" xr:uid="{00000000-0005-0000-0000-000086680000}"/>
    <cellStyle name="40% - Accent4 9 3 4" xfId="30284" xr:uid="{00000000-0005-0000-0000-000087680000}"/>
    <cellStyle name="40% - Accent4 9 3 4 2" xfId="30285" xr:uid="{00000000-0005-0000-0000-000088680000}"/>
    <cellStyle name="40% - Accent4 9 3 5" xfId="30286" xr:uid="{00000000-0005-0000-0000-000089680000}"/>
    <cellStyle name="40% - Accent4 9 3 6" xfId="30287" xr:uid="{00000000-0005-0000-0000-00008A680000}"/>
    <cellStyle name="40% - Accent4 9 3 7" xfId="30288" xr:uid="{00000000-0005-0000-0000-00008B680000}"/>
    <cellStyle name="40% - Accent4 9 4" xfId="30289" xr:uid="{00000000-0005-0000-0000-00008C680000}"/>
    <cellStyle name="40% - Accent4 9 4 2" xfId="30290" xr:uid="{00000000-0005-0000-0000-00008D680000}"/>
    <cellStyle name="40% - Accent4 9 4 2 2" xfId="30291" xr:uid="{00000000-0005-0000-0000-00008E680000}"/>
    <cellStyle name="40% - Accent4 9 4 2 2 2" xfId="30292" xr:uid="{00000000-0005-0000-0000-00008F680000}"/>
    <cellStyle name="40% - Accent4 9 4 2 2 2 2" xfId="30293" xr:uid="{00000000-0005-0000-0000-000090680000}"/>
    <cellStyle name="40% - Accent4 9 4 2 2 3" xfId="30294" xr:uid="{00000000-0005-0000-0000-000091680000}"/>
    <cellStyle name="40% - Accent4 9 4 2 3" xfId="30295" xr:uid="{00000000-0005-0000-0000-000092680000}"/>
    <cellStyle name="40% - Accent4 9 4 2 3 2" xfId="30296" xr:uid="{00000000-0005-0000-0000-000093680000}"/>
    <cellStyle name="40% - Accent4 9 4 2 4" xfId="30297" xr:uid="{00000000-0005-0000-0000-000094680000}"/>
    <cellStyle name="40% - Accent4 9 4 2 5" xfId="30298" xr:uid="{00000000-0005-0000-0000-000095680000}"/>
    <cellStyle name="40% - Accent4 9 4 2 6" xfId="30299" xr:uid="{00000000-0005-0000-0000-000096680000}"/>
    <cellStyle name="40% - Accent4 9 4 3" xfId="30300" xr:uid="{00000000-0005-0000-0000-000097680000}"/>
    <cellStyle name="40% - Accent4 9 4 3 2" xfId="30301" xr:uid="{00000000-0005-0000-0000-000098680000}"/>
    <cellStyle name="40% - Accent4 9 4 3 2 2" xfId="30302" xr:uid="{00000000-0005-0000-0000-000099680000}"/>
    <cellStyle name="40% - Accent4 9 4 3 3" xfId="30303" xr:uid="{00000000-0005-0000-0000-00009A680000}"/>
    <cellStyle name="40% - Accent4 9 4 4" xfId="30304" xr:uid="{00000000-0005-0000-0000-00009B680000}"/>
    <cellStyle name="40% - Accent4 9 4 4 2" xfId="30305" xr:uid="{00000000-0005-0000-0000-00009C680000}"/>
    <cellStyle name="40% - Accent4 9 4 5" xfId="30306" xr:uid="{00000000-0005-0000-0000-00009D680000}"/>
    <cellStyle name="40% - Accent4 9 4 6" xfId="30307" xr:uid="{00000000-0005-0000-0000-00009E680000}"/>
    <cellStyle name="40% - Accent4 9 4 7" xfId="30308" xr:uid="{00000000-0005-0000-0000-00009F680000}"/>
    <cellStyle name="40% - Accent4 9 5" xfId="30309" xr:uid="{00000000-0005-0000-0000-0000A0680000}"/>
    <cellStyle name="40% - Accent4 9 5 2" xfId="30310" xr:uid="{00000000-0005-0000-0000-0000A1680000}"/>
    <cellStyle name="40% - Accent4 9 5 2 2" xfId="30311" xr:uid="{00000000-0005-0000-0000-0000A2680000}"/>
    <cellStyle name="40% - Accent4 9 5 2 2 2" xfId="30312" xr:uid="{00000000-0005-0000-0000-0000A3680000}"/>
    <cellStyle name="40% - Accent4 9 5 2 3" xfId="30313" xr:uid="{00000000-0005-0000-0000-0000A4680000}"/>
    <cellStyle name="40% - Accent4 9 5 3" xfId="30314" xr:uid="{00000000-0005-0000-0000-0000A5680000}"/>
    <cellStyle name="40% - Accent4 9 5 3 2" xfId="30315" xr:uid="{00000000-0005-0000-0000-0000A6680000}"/>
    <cellStyle name="40% - Accent4 9 5 4" xfId="30316" xr:uid="{00000000-0005-0000-0000-0000A7680000}"/>
    <cellStyle name="40% - Accent4 9 5 5" xfId="30317" xr:uid="{00000000-0005-0000-0000-0000A8680000}"/>
    <cellStyle name="40% - Accent4 9 5 6" xfId="30318" xr:uid="{00000000-0005-0000-0000-0000A9680000}"/>
    <cellStyle name="40% - Accent4 9 6" xfId="30319" xr:uid="{00000000-0005-0000-0000-0000AA680000}"/>
    <cellStyle name="40% - Accent4 9 6 2" xfId="30320" xr:uid="{00000000-0005-0000-0000-0000AB680000}"/>
    <cellStyle name="40% - Accent4 9 6 2 2" xfId="30321" xr:uid="{00000000-0005-0000-0000-0000AC680000}"/>
    <cellStyle name="40% - Accent4 9 6 3" xfId="30322" xr:uid="{00000000-0005-0000-0000-0000AD680000}"/>
    <cellStyle name="40% - Accent4 9 7" xfId="30323" xr:uid="{00000000-0005-0000-0000-0000AE680000}"/>
    <cellStyle name="40% - Accent4 9 7 2" xfId="30324" xr:uid="{00000000-0005-0000-0000-0000AF680000}"/>
    <cellStyle name="40% - Accent4 9 7 2 2" xfId="30325" xr:uid="{00000000-0005-0000-0000-0000B0680000}"/>
    <cellStyle name="40% - Accent4 9 7 3" xfId="30326" xr:uid="{00000000-0005-0000-0000-0000B1680000}"/>
    <cellStyle name="40% - Accent4 9 8" xfId="30327" xr:uid="{00000000-0005-0000-0000-0000B2680000}"/>
    <cellStyle name="40% - Accent4 9 8 2" xfId="30328" xr:uid="{00000000-0005-0000-0000-0000B3680000}"/>
    <cellStyle name="40% - Accent4 9 9" xfId="30329" xr:uid="{00000000-0005-0000-0000-0000B4680000}"/>
    <cellStyle name="40% - Accent4 9 9 2" xfId="30330" xr:uid="{00000000-0005-0000-0000-0000B5680000}"/>
    <cellStyle name="40% - Accent5" xfId="136" builtinId="47" customBuiltin="1"/>
    <cellStyle name="40% - Accent5 10" xfId="30331" xr:uid="{00000000-0005-0000-0000-0000B6680000}"/>
    <cellStyle name="40% - Accent5 10 10" xfId="30332" xr:uid="{00000000-0005-0000-0000-0000B7680000}"/>
    <cellStyle name="40% - Accent5 10 11" xfId="30333" xr:uid="{00000000-0005-0000-0000-0000B8680000}"/>
    <cellStyle name="40% - Accent5 10 2" xfId="30334" xr:uid="{00000000-0005-0000-0000-0000B9680000}"/>
    <cellStyle name="40% - Accent5 10 2 2" xfId="30335" xr:uid="{00000000-0005-0000-0000-0000BA680000}"/>
    <cellStyle name="40% - Accent5 10 2 2 2" xfId="30336" xr:uid="{00000000-0005-0000-0000-0000BB680000}"/>
    <cellStyle name="40% - Accent5 10 2 2 2 2" xfId="30337" xr:uid="{00000000-0005-0000-0000-0000BC680000}"/>
    <cellStyle name="40% - Accent5 10 2 2 2 2 2" xfId="30338" xr:uid="{00000000-0005-0000-0000-0000BD680000}"/>
    <cellStyle name="40% - Accent5 10 2 2 2 3" xfId="30339" xr:uid="{00000000-0005-0000-0000-0000BE680000}"/>
    <cellStyle name="40% - Accent5 10 2 2 3" xfId="30340" xr:uid="{00000000-0005-0000-0000-0000BF680000}"/>
    <cellStyle name="40% - Accent5 10 2 2 3 2" xfId="30341" xr:uid="{00000000-0005-0000-0000-0000C0680000}"/>
    <cellStyle name="40% - Accent5 10 2 2 4" xfId="30342" xr:uid="{00000000-0005-0000-0000-0000C1680000}"/>
    <cellStyle name="40% - Accent5 10 2 2 5" xfId="30343" xr:uid="{00000000-0005-0000-0000-0000C2680000}"/>
    <cellStyle name="40% - Accent5 10 2 2 6" xfId="30344" xr:uid="{00000000-0005-0000-0000-0000C3680000}"/>
    <cellStyle name="40% - Accent5 10 2 3" xfId="30345" xr:uid="{00000000-0005-0000-0000-0000C4680000}"/>
    <cellStyle name="40% - Accent5 10 2 3 2" xfId="30346" xr:uid="{00000000-0005-0000-0000-0000C5680000}"/>
    <cellStyle name="40% - Accent5 10 2 3 2 2" xfId="30347" xr:uid="{00000000-0005-0000-0000-0000C6680000}"/>
    <cellStyle name="40% - Accent5 10 2 3 3" xfId="30348" xr:uid="{00000000-0005-0000-0000-0000C7680000}"/>
    <cellStyle name="40% - Accent5 10 2 4" xfId="30349" xr:uid="{00000000-0005-0000-0000-0000C8680000}"/>
    <cellStyle name="40% - Accent5 10 2 4 2" xfId="30350" xr:uid="{00000000-0005-0000-0000-0000C9680000}"/>
    <cellStyle name="40% - Accent5 10 2 5" xfId="30351" xr:uid="{00000000-0005-0000-0000-0000CA680000}"/>
    <cellStyle name="40% - Accent5 10 2 5 2" xfId="30352" xr:uid="{00000000-0005-0000-0000-0000CB680000}"/>
    <cellStyle name="40% - Accent5 10 2 6" xfId="30353" xr:uid="{00000000-0005-0000-0000-0000CC680000}"/>
    <cellStyle name="40% - Accent5 10 2 7" xfId="30354" xr:uid="{00000000-0005-0000-0000-0000CD680000}"/>
    <cellStyle name="40% - Accent5 10 2 8" xfId="30355" xr:uid="{00000000-0005-0000-0000-0000CE680000}"/>
    <cellStyle name="40% - Accent5 10 3" xfId="30356" xr:uid="{00000000-0005-0000-0000-0000CF680000}"/>
    <cellStyle name="40% - Accent5 10 3 2" xfId="30357" xr:uid="{00000000-0005-0000-0000-0000D0680000}"/>
    <cellStyle name="40% - Accent5 10 3 2 2" xfId="30358" xr:uid="{00000000-0005-0000-0000-0000D1680000}"/>
    <cellStyle name="40% - Accent5 10 3 2 2 2" xfId="30359" xr:uid="{00000000-0005-0000-0000-0000D2680000}"/>
    <cellStyle name="40% - Accent5 10 3 2 2 2 2" xfId="30360" xr:uid="{00000000-0005-0000-0000-0000D3680000}"/>
    <cellStyle name="40% - Accent5 10 3 2 2 3" xfId="30361" xr:uid="{00000000-0005-0000-0000-0000D4680000}"/>
    <cellStyle name="40% - Accent5 10 3 2 3" xfId="30362" xr:uid="{00000000-0005-0000-0000-0000D5680000}"/>
    <cellStyle name="40% - Accent5 10 3 2 3 2" xfId="30363" xr:uid="{00000000-0005-0000-0000-0000D6680000}"/>
    <cellStyle name="40% - Accent5 10 3 2 4" xfId="30364" xr:uid="{00000000-0005-0000-0000-0000D7680000}"/>
    <cellStyle name="40% - Accent5 10 3 2 5" xfId="30365" xr:uid="{00000000-0005-0000-0000-0000D8680000}"/>
    <cellStyle name="40% - Accent5 10 3 2 6" xfId="30366" xr:uid="{00000000-0005-0000-0000-0000D9680000}"/>
    <cellStyle name="40% - Accent5 10 3 3" xfId="30367" xr:uid="{00000000-0005-0000-0000-0000DA680000}"/>
    <cellStyle name="40% - Accent5 10 3 3 2" xfId="30368" xr:uid="{00000000-0005-0000-0000-0000DB680000}"/>
    <cellStyle name="40% - Accent5 10 3 3 2 2" xfId="30369" xr:uid="{00000000-0005-0000-0000-0000DC680000}"/>
    <cellStyle name="40% - Accent5 10 3 3 3" xfId="30370" xr:uid="{00000000-0005-0000-0000-0000DD680000}"/>
    <cellStyle name="40% - Accent5 10 3 4" xfId="30371" xr:uid="{00000000-0005-0000-0000-0000DE680000}"/>
    <cellStyle name="40% - Accent5 10 3 4 2" xfId="30372" xr:uid="{00000000-0005-0000-0000-0000DF680000}"/>
    <cellStyle name="40% - Accent5 10 3 5" xfId="30373" xr:uid="{00000000-0005-0000-0000-0000E0680000}"/>
    <cellStyle name="40% - Accent5 10 3 6" xfId="30374" xr:uid="{00000000-0005-0000-0000-0000E1680000}"/>
    <cellStyle name="40% - Accent5 10 3 7" xfId="30375" xr:uid="{00000000-0005-0000-0000-0000E2680000}"/>
    <cellStyle name="40% - Accent5 10 4" xfId="30376" xr:uid="{00000000-0005-0000-0000-0000E3680000}"/>
    <cellStyle name="40% - Accent5 10 4 2" xfId="30377" xr:uid="{00000000-0005-0000-0000-0000E4680000}"/>
    <cellStyle name="40% - Accent5 10 4 2 2" xfId="30378" xr:uid="{00000000-0005-0000-0000-0000E5680000}"/>
    <cellStyle name="40% - Accent5 10 4 2 2 2" xfId="30379" xr:uid="{00000000-0005-0000-0000-0000E6680000}"/>
    <cellStyle name="40% - Accent5 10 4 2 3" xfId="30380" xr:uid="{00000000-0005-0000-0000-0000E7680000}"/>
    <cellStyle name="40% - Accent5 10 4 3" xfId="30381" xr:uid="{00000000-0005-0000-0000-0000E8680000}"/>
    <cellStyle name="40% - Accent5 10 4 3 2" xfId="30382" xr:uid="{00000000-0005-0000-0000-0000E9680000}"/>
    <cellStyle name="40% - Accent5 10 4 4" xfId="30383" xr:uid="{00000000-0005-0000-0000-0000EA680000}"/>
    <cellStyle name="40% - Accent5 10 4 5" xfId="30384" xr:uid="{00000000-0005-0000-0000-0000EB680000}"/>
    <cellStyle name="40% - Accent5 10 4 6" xfId="30385" xr:uid="{00000000-0005-0000-0000-0000EC680000}"/>
    <cellStyle name="40% - Accent5 10 5" xfId="30386" xr:uid="{00000000-0005-0000-0000-0000ED680000}"/>
    <cellStyle name="40% - Accent5 10 5 2" xfId="30387" xr:uid="{00000000-0005-0000-0000-0000EE680000}"/>
    <cellStyle name="40% - Accent5 10 5 2 2" xfId="30388" xr:uid="{00000000-0005-0000-0000-0000EF680000}"/>
    <cellStyle name="40% - Accent5 10 5 3" xfId="30389" xr:uid="{00000000-0005-0000-0000-0000F0680000}"/>
    <cellStyle name="40% - Accent5 10 6" xfId="30390" xr:uid="{00000000-0005-0000-0000-0000F1680000}"/>
    <cellStyle name="40% - Accent5 10 6 2" xfId="30391" xr:uid="{00000000-0005-0000-0000-0000F2680000}"/>
    <cellStyle name="40% - Accent5 10 6 2 2" xfId="30392" xr:uid="{00000000-0005-0000-0000-0000F3680000}"/>
    <cellStyle name="40% - Accent5 10 6 3" xfId="30393" xr:uid="{00000000-0005-0000-0000-0000F4680000}"/>
    <cellStyle name="40% - Accent5 10 7" xfId="30394" xr:uid="{00000000-0005-0000-0000-0000F5680000}"/>
    <cellStyle name="40% - Accent5 10 7 2" xfId="30395" xr:uid="{00000000-0005-0000-0000-0000F6680000}"/>
    <cellStyle name="40% - Accent5 10 8" xfId="30396" xr:uid="{00000000-0005-0000-0000-0000F7680000}"/>
    <cellStyle name="40% - Accent5 10 8 2" xfId="30397" xr:uid="{00000000-0005-0000-0000-0000F8680000}"/>
    <cellStyle name="40% - Accent5 10 9" xfId="30398" xr:uid="{00000000-0005-0000-0000-0000F9680000}"/>
    <cellStyle name="40% - Accent5 11" xfId="30399" xr:uid="{00000000-0005-0000-0000-0000FA680000}"/>
    <cellStyle name="40% - Accent5 11 10" xfId="30400" xr:uid="{00000000-0005-0000-0000-0000FB680000}"/>
    <cellStyle name="40% - Accent5 11 11" xfId="30401" xr:uid="{00000000-0005-0000-0000-0000FC680000}"/>
    <cellStyle name="40% - Accent5 11 2" xfId="30402" xr:uid="{00000000-0005-0000-0000-0000FD680000}"/>
    <cellStyle name="40% - Accent5 11 2 2" xfId="30403" xr:uid="{00000000-0005-0000-0000-0000FE680000}"/>
    <cellStyle name="40% - Accent5 11 2 2 2" xfId="30404" xr:uid="{00000000-0005-0000-0000-0000FF680000}"/>
    <cellStyle name="40% - Accent5 11 2 2 2 2" xfId="30405" xr:uid="{00000000-0005-0000-0000-000000690000}"/>
    <cellStyle name="40% - Accent5 11 2 2 2 2 2" xfId="30406" xr:uid="{00000000-0005-0000-0000-000001690000}"/>
    <cellStyle name="40% - Accent5 11 2 2 2 3" xfId="30407" xr:uid="{00000000-0005-0000-0000-000002690000}"/>
    <cellStyle name="40% - Accent5 11 2 2 3" xfId="30408" xr:uid="{00000000-0005-0000-0000-000003690000}"/>
    <cellStyle name="40% - Accent5 11 2 2 3 2" xfId="30409" xr:uid="{00000000-0005-0000-0000-000004690000}"/>
    <cellStyle name="40% - Accent5 11 2 2 4" xfId="30410" xr:uid="{00000000-0005-0000-0000-000005690000}"/>
    <cellStyle name="40% - Accent5 11 2 2 5" xfId="30411" xr:uid="{00000000-0005-0000-0000-000006690000}"/>
    <cellStyle name="40% - Accent5 11 2 2 6" xfId="30412" xr:uid="{00000000-0005-0000-0000-000007690000}"/>
    <cellStyle name="40% - Accent5 11 2 3" xfId="30413" xr:uid="{00000000-0005-0000-0000-000008690000}"/>
    <cellStyle name="40% - Accent5 11 2 3 2" xfId="30414" xr:uid="{00000000-0005-0000-0000-000009690000}"/>
    <cellStyle name="40% - Accent5 11 2 3 2 2" xfId="30415" xr:uid="{00000000-0005-0000-0000-00000A690000}"/>
    <cellStyle name="40% - Accent5 11 2 3 3" xfId="30416" xr:uid="{00000000-0005-0000-0000-00000B690000}"/>
    <cellStyle name="40% - Accent5 11 2 4" xfId="30417" xr:uid="{00000000-0005-0000-0000-00000C690000}"/>
    <cellStyle name="40% - Accent5 11 2 4 2" xfId="30418" xr:uid="{00000000-0005-0000-0000-00000D690000}"/>
    <cellStyle name="40% - Accent5 11 2 5" xfId="30419" xr:uid="{00000000-0005-0000-0000-00000E690000}"/>
    <cellStyle name="40% - Accent5 11 2 5 2" xfId="30420" xr:uid="{00000000-0005-0000-0000-00000F690000}"/>
    <cellStyle name="40% - Accent5 11 2 6" xfId="30421" xr:uid="{00000000-0005-0000-0000-000010690000}"/>
    <cellStyle name="40% - Accent5 11 2 7" xfId="30422" xr:uid="{00000000-0005-0000-0000-000011690000}"/>
    <cellStyle name="40% - Accent5 11 2 8" xfId="30423" xr:uid="{00000000-0005-0000-0000-000012690000}"/>
    <cellStyle name="40% - Accent5 11 3" xfId="30424" xr:uid="{00000000-0005-0000-0000-000013690000}"/>
    <cellStyle name="40% - Accent5 11 3 2" xfId="30425" xr:uid="{00000000-0005-0000-0000-000014690000}"/>
    <cellStyle name="40% - Accent5 11 3 2 2" xfId="30426" xr:uid="{00000000-0005-0000-0000-000015690000}"/>
    <cellStyle name="40% - Accent5 11 3 2 2 2" xfId="30427" xr:uid="{00000000-0005-0000-0000-000016690000}"/>
    <cellStyle name="40% - Accent5 11 3 2 2 2 2" xfId="30428" xr:uid="{00000000-0005-0000-0000-000017690000}"/>
    <cellStyle name="40% - Accent5 11 3 2 2 3" xfId="30429" xr:uid="{00000000-0005-0000-0000-000018690000}"/>
    <cellStyle name="40% - Accent5 11 3 2 3" xfId="30430" xr:uid="{00000000-0005-0000-0000-000019690000}"/>
    <cellStyle name="40% - Accent5 11 3 2 3 2" xfId="30431" xr:uid="{00000000-0005-0000-0000-00001A690000}"/>
    <cellStyle name="40% - Accent5 11 3 2 4" xfId="30432" xr:uid="{00000000-0005-0000-0000-00001B690000}"/>
    <cellStyle name="40% - Accent5 11 3 2 5" xfId="30433" xr:uid="{00000000-0005-0000-0000-00001C690000}"/>
    <cellStyle name="40% - Accent5 11 3 2 6" xfId="30434" xr:uid="{00000000-0005-0000-0000-00001D690000}"/>
    <cellStyle name="40% - Accent5 11 3 3" xfId="30435" xr:uid="{00000000-0005-0000-0000-00001E690000}"/>
    <cellStyle name="40% - Accent5 11 3 3 2" xfId="30436" xr:uid="{00000000-0005-0000-0000-00001F690000}"/>
    <cellStyle name="40% - Accent5 11 3 3 2 2" xfId="30437" xr:uid="{00000000-0005-0000-0000-000020690000}"/>
    <cellStyle name="40% - Accent5 11 3 3 3" xfId="30438" xr:uid="{00000000-0005-0000-0000-000021690000}"/>
    <cellStyle name="40% - Accent5 11 3 4" xfId="30439" xr:uid="{00000000-0005-0000-0000-000022690000}"/>
    <cellStyle name="40% - Accent5 11 3 4 2" xfId="30440" xr:uid="{00000000-0005-0000-0000-000023690000}"/>
    <cellStyle name="40% - Accent5 11 3 5" xfId="30441" xr:uid="{00000000-0005-0000-0000-000024690000}"/>
    <cellStyle name="40% - Accent5 11 3 6" xfId="30442" xr:uid="{00000000-0005-0000-0000-000025690000}"/>
    <cellStyle name="40% - Accent5 11 3 7" xfId="30443" xr:uid="{00000000-0005-0000-0000-000026690000}"/>
    <cellStyle name="40% - Accent5 11 4" xfId="30444" xr:uid="{00000000-0005-0000-0000-000027690000}"/>
    <cellStyle name="40% - Accent5 11 4 2" xfId="30445" xr:uid="{00000000-0005-0000-0000-000028690000}"/>
    <cellStyle name="40% - Accent5 11 4 2 2" xfId="30446" xr:uid="{00000000-0005-0000-0000-000029690000}"/>
    <cellStyle name="40% - Accent5 11 4 2 2 2" xfId="30447" xr:uid="{00000000-0005-0000-0000-00002A690000}"/>
    <cellStyle name="40% - Accent5 11 4 2 3" xfId="30448" xr:uid="{00000000-0005-0000-0000-00002B690000}"/>
    <cellStyle name="40% - Accent5 11 4 3" xfId="30449" xr:uid="{00000000-0005-0000-0000-00002C690000}"/>
    <cellStyle name="40% - Accent5 11 4 3 2" xfId="30450" xr:uid="{00000000-0005-0000-0000-00002D690000}"/>
    <cellStyle name="40% - Accent5 11 4 4" xfId="30451" xr:uid="{00000000-0005-0000-0000-00002E690000}"/>
    <cellStyle name="40% - Accent5 11 4 5" xfId="30452" xr:uid="{00000000-0005-0000-0000-00002F690000}"/>
    <cellStyle name="40% - Accent5 11 4 6" xfId="30453" xr:uid="{00000000-0005-0000-0000-000030690000}"/>
    <cellStyle name="40% - Accent5 11 5" xfId="30454" xr:uid="{00000000-0005-0000-0000-000031690000}"/>
    <cellStyle name="40% - Accent5 11 5 2" xfId="30455" xr:uid="{00000000-0005-0000-0000-000032690000}"/>
    <cellStyle name="40% - Accent5 11 5 2 2" xfId="30456" xr:uid="{00000000-0005-0000-0000-000033690000}"/>
    <cellStyle name="40% - Accent5 11 5 3" xfId="30457" xr:uid="{00000000-0005-0000-0000-000034690000}"/>
    <cellStyle name="40% - Accent5 11 6" xfId="30458" xr:uid="{00000000-0005-0000-0000-000035690000}"/>
    <cellStyle name="40% - Accent5 11 6 2" xfId="30459" xr:uid="{00000000-0005-0000-0000-000036690000}"/>
    <cellStyle name="40% - Accent5 11 6 2 2" xfId="30460" xr:uid="{00000000-0005-0000-0000-000037690000}"/>
    <cellStyle name="40% - Accent5 11 6 3" xfId="30461" xr:uid="{00000000-0005-0000-0000-000038690000}"/>
    <cellStyle name="40% - Accent5 11 7" xfId="30462" xr:uid="{00000000-0005-0000-0000-000039690000}"/>
    <cellStyle name="40% - Accent5 11 7 2" xfId="30463" xr:uid="{00000000-0005-0000-0000-00003A690000}"/>
    <cellStyle name="40% - Accent5 11 8" xfId="30464" xr:uid="{00000000-0005-0000-0000-00003B690000}"/>
    <cellStyle name="40% - Accent5 11 8 2" xfId="30465" xr:uid="{00000000-0005-0000-0000-00003C690000}"/>
    <cellStyle name="40% - Accent5 11 9" xfId="30466" xr:uid="{00000000-0005-0000-0000-00003D690000}"/>
    <cellStyle name="40% - Accent5 12" xfId="30467" xr:uid="{00000000-0005-0000-0000-00003E690000}"/>
    <cellStyle name="40% - Accent5 12 2" xfId="30468" xr:uid="{00000000-0005-0000-0000-00003F690000}"/>
    <cellStyle name="40% - Accent5 12 2 2" xfId="30469" xr:uid="{00000000-0005-0000-0000-000040690000}"/>
    <cellStyle name="40% - Accent5 12 2 2 2" xfId="30470" xr:uid="{00000000-0005-0000-0000-000041690000}"/>
    <cellStyle name="40% - Accent5 12 2 2 2 2" xfId="30471" xr:uid="{00000000-0005-0000-0000-000042690000}"/>
    <cellStyle name="40% - Accent5 12 2 2 2 2 2" xfId="30472" xr:uid="{00000000-0005-0000-0000-000043690000}"/>
    <cellStyle name="40% - Accent5 12 2 2 2 3" xfId="30473" xr:uid="{00000000-0005-0000-0000-000044690000}"/>
    <cellStyle name="40% - Accent5 12 2 2 3" xfId="30474" xr:uid="{00000000-0005-0000-0000-000045690000}"/>
    <cellStyle name="40% - Accent5 12 2 2 3 2" xfId="30475" xr:uid="{00000000-0005-0000-0000-000046690000}"/>
    <cellStyle name="40% - Accent5 12 2 2 4" xfId="30476" xr:uid="{00000000-0005-0000-0000-000047690000}"/>
    <cellStyle name="40% - Accent5 12 2 2 5" xfId="30477" xr:uid="{00000000-0005-0000-0000-000048690000}"/>
    <cellStyle name="40% - Accent5 12 2 2 6" xfId="30478" xr:uid="{00000000-0005-0000-0000-000049690000}"/>
    <cellStyle name="40% - Accent5 12 2 3" xfId="30479" xr:uid="{00000000-0005-0000-0000-00004A690000}"/>
    <cellStyle name="40% - Accent5 12 2 3 2" xfId="30480" xr:uid="{00000000-0005-0000-0000-00004B690000}"/>
    <cellStyle name="40% - Accent5 12 2 3 2 2" xfId="30481" xr:uid="{00000000-0005-0000-0000-00004C690000}"/>
    <cellStyle name="40% - Accent5 12 2 3 3" xfId="30482" xr:uid="{00000000-0005-0000-0000-00004D690000}"/>
    <cellStyle name="40% - Accent5 12 2 4" xfId="30483" xr:uid="{00000000-0005-0000-0000-00004E690000}"/>
    <cellStyle name="40% - Accent5 12 2 4 2" xfId="30484" xr:uid="{00000000-0005-0000-0000-00004F690000}"/>
    <cellStyle name="40% - Accent5 12 2 5" xfId="30485" xr:uid="{00000000-0005-0000-0000-000050690000}"/>
    <cellStyle name="40% - Accent5 12 2 6" xfId="30486" xr:uid="{00000000-0005-0000-0000-000051690000}"/>
    <cellStyle name="40% - Accent5 12 2 7" xfId="30487" xr:uid="{00000000-0005-0000-0000-000052690000}"/>
    <cellStyle name="40% - Accent5 12 3" xfId="30488" xr:uid="{00000000-0005-0000-0000-000053690000}"/>
    <cellStyle name="40% - Accent5 12 3 2" xfId="30489" xr:uid="{00000000-0005-0000-0000-000054690000}"/>
    <cellStyle name="40% - Accent5 12 3 2 2" xfId="30490" xr:uid="{00000000-0005-0000-0000-000055690000}"/>
    <cellStyle name="40% - Accent5 12 3 2 2 2" xfId="30491" xr:uid="{00000000-0005-0000-0000-000056690000}"/>
    <cellStyle name="40% - Accent5 12 3 2 2 2 2" xfId="30492" xr:uid="{00000000-0005-0000-0000-000057690000}"/>
    <cellStyle name="40% - Accent5 12 3 2 2 3" xfId="30493" xr:uid="{00000000-0005-0000-0000-000058690000}"/>
    <cellStyle name="40% - Accent5 12 3 2 3" xfId="30494" xr:uid="{00000000-0005-0000-0000-000059690000}"/>
    <cellStyle name="40% - Accent5 12 3 2 3 2" xfId="30495" xr:uid="{00000000-0005-0000-0000-00005A690000}"/>
    <cellStyle name="40% - Accent5 12 3 2 4" xfId="30496" xr:uid="{00000000-0005-0000-0000-00005B690000}"/>
    <cellStyle name="40% - Accent5 12 3 2 5" xfId="30497" xr:uid="{00000000-0005-0000-0000-00005C690000}"/>
    <cellStyle name="40% - Accent5 12 3 2 6" xfId="30498" xr:uid="{00000000-0005-0000-0000-00005D690000}"/>
    <cellStyle name="40% - Accent5 12 3 3" xfId="30499" xr:uid="{00000000-0005-0000-0000-00005E690000}"/>
    <cellStyle name="40% - Accent5 12 3 3 2" xfId="30500" xr:uid="{00000000-0005-0000-0000-00005F690000}"/>
    <cellStyle name="40% - Accent5 12 3 3 2 2" xfId="30501" xr:uid="{00000000-0005-0000-0000-000060690000}"/>
    <cellStyle name="40% - Accent5 12 3 3 3" xfId="30502" xr:uid="{00000000-0005-0000-0000-000061690000}"/>
    <cellStyle name="40% - Accent5 12 3 4" xfId="30503" xr:uid="{00000000-0005-0000-0000-000062690000}"/>
    <cellStyle name="40% - Accent5 12 3 4 2" xfId="30504" xr:uid="{00000000-0005-0000-0000-000063690000}"/>
    <cellStyle name="40% - Accent5 12 3 5" xfId="30505" xr:uid="{00000000-0005-0000-0000-000064690000}"/>
    <cellStyle name="40% - Accent5 12 3 6" xfId="30506" xr:uid="{00000000-0005-0000-0000-000065690000}"/>
    <cellStyle name="40% - Accent5 12 3 7" xfId="30507" xr:uid="{00000000-0005-0000-0000-000066690000}"/>
    <cellStyle name="40% - Accent5 12 4" xfId="30508" xr:uid="{00000000-0005-0000-0000-000067690000}"/>
    <cellStyle name="40% - Accent5 12 5" xfId="30509" xr:uid="{00000000-0005-0000-0000-000068690000}"/>
    <cellStyle name="40% - Accent5 12 6" xfId="30510" xr:uid="{00000000-0005-0000-0000-000069690000}"/>
    <cellStyle name="40% - Accent5 12 6 2" xfId="30511" xr:uid="{00000000-0005-0000-0000-00006A690000}"/>
    <cellStyle name="40% - Accent5 12 7" xfId="30512" xr:uid="{00000000-0005-0000-0000-00006B690000}"/>
    <cellStyle name="40% - Accent5 12 8" xfId="30513" xr:uid="{00000000-0005-0000-0000-00006C690000}"/>
    <cellStyle name="40% - Accent5 13" xfId="30514" xr:uid="{00000000-0005-0000-0000-00006D690000}"/>
    <cellStyle name="40% - Accent5 13 2" xfId="30515" xr:uid="{00000000-0005-0000-0000-00006E690000}"/>
    <cellStyle name="40% - Accent5 13 2 2" xfId="30516" xr:uid="{00000000-0005-0000-0000-00006F690000}"/>
    <cellStyle name="40% - Accent5 13 2 2 2" xfId="30517" xr:uid="{00000000-0005-0000-0000-000070690000}"/>
    <cellStyle name="40% - Accent5 13 2 3" xfId="30518" xr:uid="{00000000-0005-0000-0000-000071690000}"/>
    <cellStyle name="40% - Accent5 13 3" xfId="30519" xr:uid="{00000000-0005-0000-0000-000072690000}"/>
    <cellStyle name="40% - Accent5 13 3 2" xfId="30520" xr:uid="{00000000-0005-0000-0000-000073690000}"/>
    <cellStyle name="40% - Accent5 13 4" xfId="30521" xr:uid="{00000000-0005-0000-0000-000074690000}"/>
    <cellStyle name="40% - Accent5 13 5" xfId="30522" xr:uid="{00000000-0005-0000-0000-000075690000}"/>
    <cellStyle name="40% - Accent5 13 6" xfId="30523" xr:uid="{00000000-0005-0000-0000-000076690000}"/>
    <cellStyle name="40% - Accent5 14" xfId="30524" xr:uid="{00000000-0005-0000-0000-000077690000}"/>
    <cellStyle name="40% - Accent5 14 2" xfId="30525" xr:uid="{00000000-0005-0000-0000-000078690000}"/>
    <cellStyle name="40% - Accent5 14 2 2" xfId="30526" xr:uid="{00000000-0005-0000-0000-000079690000}"/>
    <cellStyle name="40% - Accent5 14 2 2 2" xfId="30527" xr:uid="{00000000-0005-0000-0000-00007A690000}"/>
    <cellStyle name="40% - Accent5 14 2 3" xfId="30528" xr:uid="{00000000-0005-0000-0000-00007B690000}"/>
    <cellStyle name="40% - Accent5 14 3" xfId="30529" xr:uid="{00000000-0005-0000-0000-00007C690000}"/>
    <cellStyle name="40% - Accent5 14 3 2" xfId="30530" xr:uid="{00000000-0005-0000-0000-00007D690000}"/>
    <cellStyle name="40% - Accent5 14 4" xfId="30531" xr:uid="{00000000-0005-0000-0000-00007E690000}"/>
    <cellStyle name="40% - Accent5 15" xfId="30532" xr:uid="{00000000-0005-0000-0000-00007F690000}"/>
    <cellStyle name="40% - Accent5 15 2" xfId="30533" xr:uid="{00000000-0005-0000-0000-000080690000}"/>
    <cellStyle name="40% - Accent5 15 2 2" xfId="30534" xr:uid="{00000000-0005-0000-0000-000081690000}"/>
    <cellStyle name="40% - Accent5 15 2 2 2" xfId="30535" xr:uid="{00000000-0005-0000-0000-000082690000}"/>
    <cellStyle name="40% - Accent5 15 2 3" xfId="30536" xr:uid="{00000000-0005-0000-0000-000083690000}"/>
    <cellStyle name="40% - Accent5 15 3" xfId="30537" xr:uid="{00000000-0005-0000-0000-000084690000}"/>
    <cellStyle name="40% - Accent5 15 3 2" xfId="30538" xr:uid="{00000000-0005-0000-0000-000085690000}"/>
    <cellStyle name="40% - Accent5 15 4" xfId="30539" xr:uid="{00000000-0005-0000-0000-000086690000}"/>
    <cellStyle name="40% - Accent5 16" xfId="30540" xr:uid="{00000000-0005-0000-0000-000087690000}"/>
    <cellStyle name="40% - Accent5 16 2" xfId="30541" xr:uid="{00000000-0005-0000-0000-000088690000}"/>
    <cellStyle name="40% - Accent5 16 2 2" xfId="30542" xr:uid="{00000000-0005-0000-0000-000089690000}"/>
    <cellStyle name="40% - Accent5 16 3" xfId="30543" xr:uid="{00000000-0005-0000-0000-00008A690000}"/>
    <cellStyle name="40% - Accent5 17" xfId="30544" xr:uid="{00000000-0005-0000-0000-00008B690000}"/>
    <cellStyle name="40% - Accent5 18" xfId="30545" xr:uid="{00000000-0005-0000-0000-00008C690000}"/>
    <cellStyle name="40% - Accent5 19" xfId="30546" xr:uid="{00000000-0005-0000-0000-00008D690000}"/>
    <cellStyle name="40% - Accent5 2" xfId="211" xr:uid="{00000000-0005-0000-0000-00008E690000}"/>
    <cellStyle name="40% - Accent5 2 2" xfId="30547" xr:uid="{00000000-0005-0000-0000-00008F690000}"/>
    <cellStyle name="40% - Accent5 2 2 10" xfId="30548" xr:uid="{00000000-0005-0000-0000-000090690000}"/>
    <cellStyle name="40% - Accent5 2 2 10 2" xfId="30549" xr:uid="{00000000-0005-0000-0000-000091690000}"/>
    <cellStyle name="40% - Accent5 2 2 10 2 2" xfId="30550" xr:uid="{00000000-0005-0000-0000-000092690000}"/>
    <cellStyle name="40% - Accent5 2 2 10 3" xfId="30551" xr:uid="{00000000-0005-0000-0000-000093690000}"/>
    <cellStyle name="40% - Accent5 2 2 11" xfId="30552" xr:uid="{00000000-0005-0000-0000-000094690000}"/>
    <cellStyle name="40% - Accent5 2 2 11 2" xfId="30553" xr:uid="{00000000-0005-0000-0000-000095690000}"/>
    <cellStyle name="40% - Accent5 2 2 11 2 2" xfId="30554" xr:uid="{00000000-0005-0000-0000-000096690000}"/>
    <cellStyle name="40% - Accent5 2 2 11 3" xfId="30555" xr:uid="{00000000-0005-0000-0000-000097690000}"/>
    <cellStyle name="40% - Accent5 2 2 12" xfId="30556" xr:uid="{00000000-0005-0000-0000-000098690000}"/>
    <cellStyle name="40% - Accent5 2 2 12 2" xfId="30557" xr:uid="{00000000-0005-0000-0000-000099690000}"/>
    <cellStyle name="40% - Accent5 2 2 12 2 2" xfId="30558" xr:uid="{00000000-0005-0000-0000-00009A690000}"/>
    <cellStyle name="40% - Accent5 2 2 12 3" xfId="30559" xr:uid="{00000000-0005-0000-0000-00009B690000}"/>
    <cellStyle name="40% - Accent5 2 2 13" xfId="30560" xr:uid="{00000000-0005-0000-0000-00009C690000}"/>
    <cellStyle name="40% - Accent5 2 2 13 2" xfId="30561" xr:uid="{00000000-0005-0000-0000-00009D690000}"/>
    <cellStyle name="40% - Accent5 2 2 14" xfId="30562" xr:uid="{00000000-0005-0000-0000-00009E690000}"/>
    <cellStyle name="40% - Accent5 2 2 15" xfId="30563" xr:uid="{00000000-0005-0000-0000-00009F690000}"/>
    <cellStyle name="40% - Accent5 2 2 16" xfId="30564" xr:uid="{00000000-0005-0000-0000-0000A0690000}"/>
    <cellStyle name="40% - Accent5 2 2 2" xfId="30565" xr:uid="{00000000-0005-0000-0000-0000A1690000}"/>
    <cellStyle name="40% - Accent5 2 2 2 10" xfId="30566" xr:uid="{00000000-0005-0000-0000-0000A2690000}"/>
    <cellStyle name="40% - Accent5 2 2 2 11" xfId="30567" xr:uid="{00000000-0005-0000-0000-0000A3690000}"/>
    <cellStyle name="40% - Accent5 2 2 2 2" xfId="30568" xr:uid="{00000000-0005-0000-0000-0000A4690000}"/>
    <cellStyle name="40% - Accent5 2 2 2 2 2" xfId="30569" xr:uid="{00000000-0005-0000-0000-0000A5690000}"/>
    <cellStyle name="40% - Accent5 2 2 2 2 2 2" xfId="30570" xr:uid="{00000000-0005-0000-0000-0000A6690000}"/>
    <cellStyle name="40% - Accent5 2 2 2 2 2 2 2" xfId="30571" xr:uid="{00000000-0005-0000-0000-0000A7690000}"/>
    <cellStyle name="40% - Accent5 2 2 2 2 2 2 2 2" xfId="30572" xr:uid="{00000000-0005-0000-0000-0000A8690000}"/>
    <cellStyle name="40% - Accent5 2 2 2 2 2 2 3" xfId="30573" xr:uid="{00000000-0005-0000-0000-0000A9690000}"/>
    <cellStyle name="40% - Accent5 2 2 2 2 2 3" xfId="30574" xr:uid="{00000000-0005-0000-0000-0000AA690000}"/>
    <cellStyle name="40% - Accent5 2 2 2 2 2 3 2" xfId="30575" xr:uid="{00000000-0005-0000-0000-0000AB690000}"/>
    <cellStyle name="40% - Accent5 2 2 2 2 2 4" xfId="30576" xr:uid="{00000000-0005-0000-0000-0000AC690000}"/>
    <cellStyle name="40% - Accent5 2 2 2 2 2 5" xfId="30577" xr:uid="{00000000-0005-0000-0000-0000AD690000}"/>
    <cellStyle name="40% - Accent5 2 2 2 2 2 6" xfId="30578" xr:uid="{00000000-0005-0000-0000-0000AE690000}"/>
    <cellStyle name="40% - Accent5 2 2 2 2 3" xfId="30579" xr:uid="{00000000-0005-0000-0000-0000AF690000}"/>
    <cellStyle name="40% - Accent5 2 2 2 2 3 2" xfId="30580" xr:uid="{00000000-0005-0000-0000-0000B0690000}"/>
    <cellStyle name="40% - Accent5 2 2 2 2 3 2 2" xfId="30581" xr:uid="{00000000-0005-0000-0000-0000B1690000}"/>
    <cellStyle name="40% - Accent5 2 2 2 2 3 3" xfId="30582" xr:uid="{00000000-0005-0000-0000-0000B2690000}"/>
    <cellStyle name="40% - Accent5 2 2 2 2 4" xfId="30583" xr:uid="{00000000-0005-0000-0000-0000B3690000}"/>
    <cellStyle name="40% - Accent5 2 2 2 2 4 2" xfId="30584" xr:uid="{00000000-0005-0000-0000-0000B4690000}"/>
    <cellStyle name="40% - Accent5 2 2 2 2 5" xfId="30585" xr:uid="{00000000-0005-0000-0000-0000B5690000}"/>
    <cellStyle name="40% - Accent5 2 2 2 2 5 2" xfId="30586" xr:uid="{00000000-0005-0000-0000-0000B6690000}"/>
    <cellStyle name="40% - Accent5 2 2 2 2 6" xfId="30587" xr:uid="{00000000-0005-0000-0000-0000B7690000}"/>
    <cellStyle name="40% - Accent5 2 2 2 2 7" xfId="30588" xr:uid="{00000000-0005-0000-0000-0000B8690000}"/>
    <cellStyle name="40% - Accent5 2 2 2 2 8" xfId="30589" xr:uid="{00000000-0005-0000-0000-0000B9690000}"/>
    <cellStyle name="40% - Accent5 2 2 2 3" xfId="30590" xr:uid="{00000000-0005-0000-0000-0000BA690000}"/>
    <cellStyle name="40% - Accent5 2 2 2 3 2" xfId="30591" xr:uid="{00000000-0005-0000-0000-0000BB690000}"/>
    <cellStyle name="40% - Accent5 2 2 2 3 2 2" xfId="30592" xr:uid="{00000000-0005-0000-0000-0000BC690000}"/>
    <cellStyle name="40% - Accent5 2 2 2 3 2 2 2" xfId="30593" xr:uid="{00000000-0005-0000-0000-0000BD690000}"/>
    <cellStyle name="40% - Accent5 2 2 2 3 2 2 2 2" xfId="30594" xr:uid="{00000000-0005-0000-0000-0000BE690000}"/>
    <cellStyle name="40% - Accent5 2 2 2 3 2 2 3" xfId="30595" xr:uid="{00000000-0005-0000-0000-0000BF690000}"/>
    <cellStyle name="40% - Accent5 2 2 2 3 2 3" xfId="30596" xr:uid="{00000000-0005-0000-0000-0000C0690000}"/>
    <cellStyle name="40% - Accent5 2 2 2 3 2 3 2" xfId="30597" xr:uid="{00000000-0005-0000-0000-0000C1690000}"/>
    <cellStyle name="40% - Accent5 2 2 2 3 2 4" xfId="30598" xr:uid="{00000000-0005-0000-0000-0000C2690000}"/>
    <cellStyle name="40% - Accent5 2 2 2 3 2 5" xfId="30599" xr:uid="{00000000-0005-0000-0000-0000C3690000}"/>
    <cellStyle name="40% - Accent5 2 2 2 3 2 6" xfId="30600" xr:uid="{00000000-0005-0000-0000-0000C4690000}"/>
    <cellStyle name="40% - Accent5 2 2 2 3 3" xfId="30601" xr:uid="{00000000-0005-0000-0000-0000C5690000}"/>
    <cellStyle name="40% - Accent5 2 2 2 3 3 2" xfId="30602" xr:uid="{00000000-0005-0000-0000-0000C6690000}"/>
    <cellStyle name="40% - Accent5 2 2 2 3 3 2 2" xfId="30603" xr:uid="{00000000-0005-0000-0000-0000C7690000}"/>
    <cellStyle name="40% - Accent5 2 2 2 3 3 3" xfId="30604" xr:uid="{00000000-0005-0000-0000-0000C8690000}"/>
    <cellStyle name="40% - Accent5 2 2 2 3 4" xfId="30605" xr:uid="{00000000-0005-0000-0000-0000C9690000}"/>
    <cellStyle name="40% - Accent5 2 2 2 3 4 2" xfId="30606" xr:uid="{00000000-0005-0000-0000-0000CA690000}"/>
    <cellStyle name="40% - Accent5 2 2 2 3 5" xfId="30607" xr:uid="{00000000-0005-0000-0000-0000CB690000}"/>
    <cellStyle name="40% - Accent5 2 2 2 3 6" xfId="30608" xr:uid="{00000000-0005-0000-0000-0000CC690000}"/>
    <cellStyle name="40% - Accent5 2 2 2 3 7" xfId="30609" xr:uid="{00000000-0005-0000-0000-0000CD690000}"/>
    <cellStyle name="40% - Accent5 2 2 2 4" xfId="30610" xr:uid="{00000000-0005-0000-0000-0000CE690000}"/>
    <cellStyle name="40% - Accent5 2 2 2 4 2" xfId="30611" xr:uid="{00000000-0005-0000-0000-0000CF690000}"/>
    <cellStyle name="40% - Accent5 2 2 2 4 2 2" xfId="30612" xr:uid="{00000000-0005-0000-0000-0000D0690000}"/>
    <cellStyle name="40% - Accent5 2 2 2 4 2 2 2" xfId="30613" xr:uid="{00000000-0005-0000-0000-0000D1690000}"/>
    <cellStyle name="40% - Accent5 2 2 2 4 2 3" xfId="30614" xr:uid="{00000000-0005-0000-0000-0000D2690000}"/>
    <cellStyle name="40% - Accent5 2 2 2 4 3" xfId="30615" xr:uid="{00000000-0005-0000-0000-0000D3690000}"/>
    <cellStyle name="40% - Accent5 2 2 2 4 3 2" xfId="30616" xr:uid="{00000000-0005-0000-0000-0000D4690000}"/>
    <cellStyle name="40% - Accent5 2 2 2 4 4" xfId="30617" xr:uid="{00000000-0005-0000-0000-0000D5690000}"/>
    <cellStyle name="40% - Accent5 2 2 2 4 5" xfId="30618" xr:uid="{00000000-0005-0000-0000-0000D6690000}"/>
    <cellStyle name="40% - Accent5 2 2 2 4 6" xfId="30619" xr:uid="{00000000-0005-0000-0000-0000D7690000}"/>
    <cellStyle name="40% - Accent5 2 2 2 5" xfId="30620" xr:uid="{00000000-0005-0000-0000-0000D8690000}"/>
    <cellStyle name="40% - Accent5 2 2 2 5 2" xfId="30621" xr:uid="{00000000-0005-0000-0000-0000D9690000}"/>
    <cellStyle name="40% - Accent5 2 2 2 5 2 2" xfId="30622" xr:uid="{00000000-0005-0000-0000-0000DA690000}"/>
    <cellStyle name="40% - Accent5 2 2 2 5 3" xfId="30623" xr:uid="{00000000-0005-0000-0000-0000DB690000}"/>
    <cellStyle name="40% - Accent5 2 2 2 6" xfId="30624" xr:uid="{00000000-0005-0000-0000-0000DC690000}"/>
    <cellStyle name="40% - Accent5 2 2 2 6 2" xfId="30625" xr:uid="{00000000-0005-0000-0000-0000DD690000}"/>
    <cellStyle name="40% - Accent5 2 2 2 6 2 2" xfId="30626" xr:uid="{00000000-0005-0000-0000-0000DE690000}"/>
    <cellStyle name="40% - Accent5 2 2 2 6 3" xfId="30627" xr:uid="{00000000-0005-0000-0000-0000DF690000}"/>
    <cellStyle name="40% - Accent5 2 2 2 7" xfId="30628" xr:uid="{00000000-0005-0000-0000-0000E0690000}"/>
    <cellStyle name="40% - Accent5 2 2 2 7 2" xfId="30629" xr:uid="{00000000-0005-0000-0000-0000E1690000}"/>
    <cellStyle name="40% - Accent5 2 2 2 8" xfId="30630" xr:uid="{00000000-0005-0000-0000-0000E2690000}"/>
    <cellStyle name="40% - Accent5 2 2 2 8 2" xfId="30631" xr:uid="{00000000-0005-0000-0000-0000E3690000}"/>
    <cellStyle name="40% - Accent5 2 2 2 9" xfId="30632" xr:uid="{00000000-0005-0000-0000-0000E4690000}"/>
    <cellStyle name="40% - Accent5 2 2 3" xfId="30633" xr:uid="{00000000-0005-0000-0000-0000E5690000}"/>
    <cellStyle name="40% - Accent5 2 2 3 10" xfId="30634" xr:uid="{00000000-0005-0000-0000-0000E6690000}"/>
    <cellStyle name="40% - Accent5 2 2 3 11" xfId="30635" xr:uid="{00000000-0005-0000-0000-0000E7690000}"/>
    <cellStyle name="40% - Accent5 2 2 3 2" xfId="30636" xr:uid="{00000000-0005-0000-0000-0000E8690000}"/>
    <cellStyle name="40% - Accent5 2 2 3 2 2" xfId="30637" xr:uid="{00000000-0005-0000-0000-0000E9690000}"/>
    <cellStyle name="40% - Accent5 2 2 3 2 2 2" xfId="30638" xr:uid="{00000000-0005-0000-0000-0000EA690000}"/>
    <cellStyle name="40% - Accent5 2 2 3 2 2 2 2" xfId="30639" xr:uid="{00000000-0005-0000-0000-0000EB690000}"/>
    <cellStyle name="40% - Accent5 2 2 3 2 2 2 2 2" xfId="30640" xr:uid="{00000000-0005-0000-0000-0000EC690000}"/>
    <cellStyle name="40% - Accent5 2 2 3 2 2 2 3" xfId="30641" xr:uid="{00000000-0005-0000-0000-0000ED690000}"/>
    <cellStyle name="40% - Accent5 2 2 3 2 2 3" xfId="30642" xr:uid="{00000000-0005-0000-0000-0000EE690000}"/>
    <cellStyle name="40% - Accent5 2 2 3 2 2 3 2" xfId="30643" xr:uid="{00000000-0005-0000-0000-0000EF690000}"/>
    <cellStyle name="40% - Accent5 2 2 3 2 2 4" xfId="30644" xr:uid="{00000000-0005-0000-0000-0000F0690000}"/>
    <cellStyle name="40% - Accent5 2 2 3 2 2 5" xfId="30645" xr:uid="{00000000-0005-0000-0000-0000F1690000}"/>
    <cellStyle name="40% - Accent5 2 2 3 2 2 6" xfId="30646" xr:uid="{00000000-0005-0000-0000-0000F2690000}"/>
    <cellStyle name="40% - Accent5 2 2 3 2 3" xfId="30647" xr:uid="{00000000-0005-0000-0000-0000F3690000}"/>
    <cellStyle name="40% - Accent5 2 2 3 2 3 2" xfId="30648" xr:uid="{00000000-0005-0000-0000-0000F4690000}"/>
    <cellStyle name="40% - Accent5 2 2 3 2 3 2 2" xfId="30649" xr:uid="{00000000-0005-0000-0000-0000F5690000}"/>
    <cellStyle name="40% - Accent5 2 2 3 2 3 3" xfId="30650" xr:uid="{00000000-0005-0000-0000-0000F6690000}"/>
    <cellStyle name="40% - Accent5 2 2 3 2 4" xfId="30651" xr:uid="{00000000-0005-0000-0000-0000F7690000}"/>
    <cellStyle name="40% - Accent5 2 2 3 2 4 2" xfId="30652" xr:uid="{00000000-0005-0000-0000-0000F8690000}"/>
    <cellStyle name="40% - Accent5 2 2 3 2 5" xfId="30653" xr:uid="{00000000-0005-0000-0000-0000F9690000}"/>
    <cellStyle name="40% - Accent5 2 2 3 2 5 2" xfId="30654" xr:uid="{00000000-0005-0000-0000-0000FA690000}"/>
    <cellStyle name="40% - Accent5 2 2 3 2 6" xfId="30655" xr:uid="{00000000-0005-0000-0000-0000FB690000}"/>
    <cellStyle name="40% - Accent5 2 2 3 2 7" xfId="30656" xr:uid="{00000000-0005-0000-0000-0000FC690000}"/>
    <cellStyle name="40% - Accent5 2 2 3 2 8" xfId="30657" xr:uid="{00000000-0005-0000-0000-0000FD690000}"/>
    <cellStyle name="40% - Accent5 2 2 3 3" xfId="30658" xr:uid="{00000000-0005-0000-0000-0000FE690000}"/>
    <cellStyle name="40% - Accent5 2 2 3 3 2" xfId="30659" xr:uid="{00000000-0005-0000-0000-0000FF690000}"/>
    <cellStyle name="40% - Accent5 2 2 3 3 2 2" xfId="30660" xr:uid="{00000000-0005-0000-0000-0000006A0000}"/>
    <cellStyle name="40% - Accent5 2 2 3 3 2 2 2" xfId="30661" xr:uid="{00000000-0005-0000-0000-0000016A0000}"/>
    <cellStyle name="40% - Accent5 2 2 3 3 2 2 2 2" xfId="30662" xr:uid="{00000000-0005-0000-0000-0000026A0000}"/>
    <cellStyle name="40% - Accent5 2 2 3 3 2 2 3" xfId="30663" xr:uid="{00000000-0005-0000-0000-0000036A0000}"/>
    <cellStyle name="40% - Accent5 2 2 3 3 2 3" xfId="30664" xr:uid="{00000000-0005-0000-0000-0000046A0000}"/>
    <cellStyle name="40% - Accent5 2 2 3 3 2 3 2" xfId="30665" xr:uid="{00000000-0005-0000-0000-0000056A0000}"/>
    <cellStyle name="40% - Accent5 2 2 3 3 2 4" xfId="30666" xr:uid="{00000000-0005-0000-0000-0000066A0000}"/>
    <cellStyle name="40% - Accent5 2 2 3 3 2 5" xfId="30667" xr:uid="{00000000-0005-0000-0000-0000076A0000}"/>
    <cellStyle name="40% - Accent5 2 2 3 3 2 6" xfId="30668" xr:uid="{00000000-0005-0000-0000-0000086A0000}"/>
    <cellStyle name="40% - Accent5 2 2 3 3 3" xfId="30669" xr:uid="{00000000-0005-0000-0000-0000096A0000}"/>
    <cellStyle name="40% - Accent5 2 2 3 3 3 2" xfId="30670" xr:uid="{00000000-0005-0000-0000-00000A6A0000}"/>
    <cellStyle name="40% - Accent5 2 2 3 3 3 2 2" xfId="30671" xr:uid="{00000000-0005-0000-0000-00000B6A0000}"/>
    <cellStyle name="40% - Accent5 2 2 3 3 3 3" xfId="30672" xr:uid="{00000000-0005-0000-0000-00000C6A0000}"/>
    <cellStyle name="40% - Accent5 2 2 3 3 4" xfId="30673" xr:uid="{00000000-0005-0000-0000-00000D6A0000}"/>
    <cellStyle name="40% - Accent5 2 2 3 3 4 2" xfId="30674" xr:uid="{00000000-0005-0000-0000-00000E6A0000}"/>
    <cellStyle name="40% - Accent5 2 2 3 3 5" xfId="30675" xr:uid="{00000000-0005-0000-0000-00000F6A0000}"/>
    <cellStyle name="40% - Accent5 2 2 3 3 6" xfId="30676" xr:uid="{00000000-0005-0000-0000-0000106A0000}"/>
    <cellStyle name="40% - Accent5 2 2 3 3 7" xfId="30677" xr:uid="{00000000-0005-0000-0000-0000116A0000}"/>
    <cellStyle name="40% - Accent5 2 2 3 4" xfId="30678" xr:uid="{00000000-0005-0000-0000-0000126A0000}"/>
    <cellStyle name="40% - Accent5 2 2 3 4 2" xfId="30679" xr:uid="{00000000-0005-0000-0000-0000136A0000}"/>
    <cellStyle name="40% - Accent5 2 2 3 4 2 2" xfId="30680" xr:uid="{00000000-0005-0000-0000-0000146A0000}"/>
    <cellStyle name="40% - Accent5 2 2 3 4 2 2 2" xfId="30681" xr:uid="{00000000-0005-0000-0000-0000156A0000}"/>
    <cellStyle name="40% - Accent5 2 2 3 4 2 3" xfId="30682" xr:uid="{00000000-0005-0000-0000-0000166A0000}"/>
    <cellStyle name="40% - Accent5 2 2 3 4 3" xfId="30683" xr:uid="{00000000-0005-0000-0000-0000176A0000}"/>
    <cellStyle name="40% - Accent5 2 2 3 4 3 2" xfId="30684" xr:uid="{00000000-0005-0000-0000-0000186A0000}"/>
    <cellStyle name="40% - Accent5 2 2 3 4 4" xfId="30685" xr:uid="{00000000-0005-0000-0000-0000196A0000}"/>
    <cellStyle name="40% - Accent5 2 2 3 4 5" xfId="30686" xr:uid="{00000000-0005-0000-0000-00001A6A0000}"/>
    <cellStyle name="40% - Accent5 2 2 3 4 6" xfId="30687" xr:uid="{00000000-0005-0000-0000-00001B6A0000}"/>
    <cellStyle name="40% - Accent5 2 2 3 5" xfId="30688" xr:uid="{00000000-0005-0000-0000-00001C6A0000}"/>
    <cellStyle name="40% - Accent5 2 2 3 5 2" xfId="30689" xr:uid="{00000000-0005-0000-0000-00001D6A0000}"/>
    <cellStyle name="40% - Accent5 2 2 3 5 2 2" xfId="30690" xr:uid="{00000000-0005-0000-0000-00001E6A0000}"/>
    <cellStyle name="40% - Accent5 2 2 3 5 3" xfId="30691" xr:uid="{00000000-0005-0000-0000-00001F6A0000}"/>
    <cellStyle name="40% - Accent5 2 2 3 6" xfId="30692" xr:uid="{00000000-0005-0000-0000-0000206A0000}"/>
    <cellStyle name="40% - Accent5 2 2 3 6 2" xfId="30693" xr:uid="{00000000-0005-0000-0000-0000216A0000}"/>
    <cellStyle name="40% - Accent5 2 2 3 6 2 2" xfId="30694" xr:uid="{00000000-0005-0000-0000-0000226A0000}"/>
    <cellStyle name="40% - Accent5 2 2 3 6 3" xfId="30695" xr:uid="{00000000-0005-0000-0000-0000236A0000}"/>
    <cellStyle name="40% - Accent5 2 2 3 7" xfId="30696" xr:uid="{00000000-0005-0000-0000-0000246A0000}"/>
    <cellStyle name="40% - Accent5 2 2 3 7 2" xfId="30697" xr:uid="{00000000-0005-0000-0000-0000256A0000}"/>
    <cellStyle name="40% - Accent5 2 2 3 8" xfId="30698" xr:uid="{00000000-0005-0000-0000-0000266A0000}"/>
    <cellStyle name="40% - Accent5 2 2 3 8 2" xfId="30699" xr:uid="{00000000-0005-0000-0000-0000276A0000}"/>
    <cellStyle name="40% - Accent5 2 2 3 9" xfId="30700" xr:uid="{00000000-0005-0000-0000-0000286A0000}"/>
    <cellStyle name="40% - Accent5 2 2 4" xfId="30701" xr:uid="{00000000-0005-0000-0000-0000296A0000}"/>
    <cellStyle name="40% - Accent5 2 2 4 10" xfId="30702" xr:uid="{00000000-0005-0000-0000-00002A6A0000}"/>
    <cellStyle name="40% - Accent5 2 2 4 11" xfId="30703" xr:uid="{00000000-0005-0000-0000-00002B6A0000}"/>
    <cellStyle name="40% - Accent5 2 2 4 2" xfId="30704" xr:uid="{00000000-0005-0000-0000-00002C6A0000}"/>
    <cellStyle name="40% - Accent5 2 2 4 2 2" xfId="30705" xr:uid="{00000000-0005-0000-0000-00002D6A0000}"/>
    <cellStyle name="40% - Accent5 2 2 4 2 2 2" xfId="30706" xr:uid="{00000000-0005-0000-0000-00002E6A0000}"/>
    <cellStyle name="40% - Accent5 2 2 4 2 2 2 2" xfId="30707" xr:uid="{00000000-0005-0000-0000-00002F6A0000}"/>
    <cellStyle name="40% - Accent5 2 2 4 2 2 2 2 2" xfId="30708" xr:uid="{00000000-0005-0000-0000-0000306A0000}"/>
    <cellStyle name="40% - Accent5 2 2 4 2 2 2 3" xfId="30709" xr:uid="{00000000-0005-0000-0000-0000316A0000}"/>
    <cellStyle name="40% - Accent5 2 2 4 2 2 3" xfId="30710" xr:uid="{00000000-0005-0000-0000-0000326A0000}"/>
    <cellStyle name="40% - Accent5 2 2 4 2 2 3 2" xfId="30711" xr:uid="{00000000-0005-0000-0000-0000336A0000}"/>
    <cellStyle name="40% - Accent5 2 2 4 2 2 4" xfId="30712" xr:uid="{00000000-0005-0000-0000-0000346A0000}"/>
    <cellStyle name="40% - Accent5 2 2 4 2 2 5" xfId="30713" xr:uid="{00000000-0005-0000-0000-0000356A0000}"/>
    <cellStyle name="40% - Accent5 2 2 4 2 2 6" xfId="30714" xr:uid="{00000000-0005-0000-0000-0000366A0000}"/>
    <cellStyle name="40% - Accent5 2 2 4 2 3" xfId="30715" xr:uid="{00000000-0005-0000-0000-0000376A0000}"/>
    <cellStyle name="40% - Accent5 2 2 4 2 3 2" xfId="30716" xr:uid="{00000000-0005-0000-0000-0000386A0000}"/>
    <cellStyle name="40% - Accent5 2 2 4 2 3 2 2" xfId="30717" xr:uid="{00000000-0005-0000-0000-0000396A0000}"/>
    <cellStyle name="40% - Accent5 2 2 4 2 3 3" xfId="30718" xr:uid="{00000000-0005-0000-0000-00003A6A0000}"/>
    <cellStyle name="40% - Accent5 2 2 4 2 4" xfId="30719" xr:uid="{00000000-0005-0000-0000-00003B6A0000}"/>
    <cellStyle name="40% - Accent5 2 2 4 2 4 2" xfId="30720" xr:uid="{00000000-0005-0000-0000-00003C6A0000}"/>
    <cellStyle name="40% - Accent5 2 2 4 2 5" xfId="30721" xr:uid="{00000000-0005-0000-0000-00003D6A0000}"/>
    <cellStyle name="40% - Accent5 2 2 4 2 5 2" xfId="30722" xr:uid="{00000000-0005-0000-0000-00003E6A0000}"/>
    <cellStyle name="40% - Accent5 2 2 4 2 6" xfId="30723" xr:uid="{00000000-0005-0000-0000-00003F6A0000}"/>
    <cellStyle name="40% - Accent5 2 2 4 2 7" xfId="30724" xr:uid="{00000000-0005-0000-0000-0000406A0000}"/>
    <cellStyle name="40% - Accent5 2 2 4 2 8" xfId="30725" xr:uid="{00000000-0005-0000-0000-0000416A0000}"/>
    <cellStyle name="40% - Accent5 2 2 4 3" xfId="30726" xr:uid="{00000000-0005-0000-0000-0000426A0000}"/>
    <cellStyle name="40% - Accent5 2 2 4 3 2" xfId="30727" xr:uid="{00000000-0005-0000-0000-0000436A0000}"/>
    <cellStyle name="40% - Accent5 2 2 4 3 2 2" xfId="30728" xr:uid="{00000000-0005-0000-0000-0000446A0000}"/>
    <cellStyle name="40% - Accent5 2 2 4 3 2 2 2" xfId="30729" xr:uid="{00000000-0005-0000-0000-0000456A0000}"/>
    <cellStyle name="40% - Accent5 2 2 4 3 2 2 2 2" xfId="30730" xr:uid="{00000000-0005-0000-0000-0000466A0000}"/>
    <cellStyle name="40% - Accent5 2 2 4 3 2 2 3" xfId="30731" xr:uid="{00000000-0005-0000-0000-0000476A0000}"/>
    <cellStyle name="40% - Accent5 2 2 4 3 2 3" xfId="30732" xr:uid="{00000000-0005-0000-0000-0000486A0000}"/>
    <cellStyle name="40% - Accent5 2 2 4 3 2 3 2" xfId="30733" xr:uid="{00000000-0005-0000-0000-0000496A0000}"/>
    <cellStyle name="40% - Accent5 2 2 4 3 2 4" xfId="30734" xr:uid="{00000000-0005-0000-0000-00004A6A0000}"/>
    <cellStyle name="40% - Accent5 2 2 4 3 2 5" xfId="30735" xr:uid="{00000000-0005-0000-0000-00004B6A0000}"/>
    <cellStyle name="40% - Accent5 2 2 4 3 2 6" xfId="30736" xr:uid="{00000000-0005-0000-0000-00004C6A0000}"/>
    <cellStyle name="40% - Accent5 2 2 4 3 3" xfId="30737" xr:uid="{00000000-0005-0000-0000-00004D6A0000}"/>
    <cellStyle name="40% - Accent5 2 2 4 3 3 2" xfId="30738" xr:uid="{00000000-0005-0000-0000-00004E6A0000}"/>
    <cellStyle name="40% - Accent5 2 2 4 3 3 2 2" xfId="30739" xr:uid="{00000000-0005-0000-0000-00004F6A0000}"/>
    <cellStyle name="40% - Accent5 2 2 4 3 3 3" xfId="30740" xr:uid="{00000000-0005-0000-0000-0000506A0000}"/>
    <cellStyle name="40% - Accent5 2 2 4 3 4" xfId="30741" xr:uid="{00000000-0005-0000-0000-0000516A0000}"/>
    <cellStyle name="40% - Accent5 2 2 4 3 4 2" xfId="30742" xr:uid="{00000000-0005-0000-0000-0000526A0000}"/>
    <cellStyle name="40% - Accent5 2 2 4 3 5" xfId="30743" xr:uid="{00000000-0005-0000-0000-0000536A0000}"/>
    <cellStyle name="40% - Accent5 2 2 4 3 6" xfId="30744" xr:uid="{00000000-0005-0000-0000-0000546A0000}"/>
    <cellStyle name="40% - Accent5 2 2 4 3 7" xfId="30745" xr:uid="{00000000-0005-0000-0000-0000556A0000}"/>
    <cellStyle name="40% - Accent5 2 2 4 4" xfId="30746" xr:uid="{00000000-0005-0000-0000-0000566A0000}"/>
    <cellStyle name="40% - Accent5 2 2 4 4 2" xfId="30747" xr:uid="{00000000-0005-0000-0000-0000576A0000}"/>
    <cellStyle name="40% - Accent5 2 2 4 4 2 2" xfId="30748" xr:uid="{00000000-0005-0000-0000-0000586A0000}"/>
    <cellStyle name="40% - Accent5 2 2 4 4 2 2 2" xfId="30749" xr:uid="{00000000-0005-0000-0000-0000596A0000}"/>
    <cellStyle name="40% - Accent5 2 2 4 4 2 3" xfId="30750" xr:uid="{00000000-0005-0000-0000-00005A6A0000}"/>
    <cellStyle name="40% - Accent5 2 2 4 4 3" xfId="30751" xr:uid="{00000000-0005-0000-0000-00005B6A0000}"/>
    <cellStyle name="40% - Accent5 2 2 4 4 3 2" xfId="30752" xr:uid="{00000000-0005-0000-0000-00005C6A0000}"/>
    <cellStyle name="40% - Accent5 2 2 4 4 4" xfId="30753" xr:uid="{00000000-0005-0000-0000-00005D6A0000}"/>
    <cellStyle name="40% - Accent5 2 2 4 4 5" xfId="30754" xr:uid="{00000000-0005-0000-0000-00005E6A0000}"/>
    <cellStyle name="40% - Accent5 2 2 4 4 6" xfId="30755" xr:uid="{00000000-0005-0000-0000-00005F6A0000}"/>
    <cellStyle name="40% - Accent5 2 2 4 5" xfId="30756" xr:uid="{00000000-0005-0000-0000-0000606A0000}"/>
    <cellStyle name="40% - Accent5 2 2 4 5 2" xfId="30757" xr:uid="{00000000-0005-0000-0000-0000616A0000}"/>
    <cellStyle name="40% - Accent5 2 2 4 5 2 2" xfId="30758" xr:uid="{00000000-0005-0000-0000-0000626A0000}"/>
    <cellStyle name="40% - Accent5 2 2 4 5 3" xfId="30759" xr:uid="{00000000-0005-0000-0000-0000636A0000}"/>
    <cellStyle name="40% - Accent5 2 2 4 6" xfId="30760" xr:uid="{00000000-0005-0000-0000-0000646A0000}"/>
    <cellStyle name="40% - Accent5 2 2 4 6 2" xfId="30761" xr:uid="{00000000-0005-0000-0000-0000656A0000}"/>
    <cellStyle name="40% - Accent5 2 2 4 6 2 2" xfId="30762" xr:uid="{00000000-0005-0000-0000-0000666A0000}"/>
    <cellStyle name="40% - Accent5 2 2 4 6 3" xfId="30763" xr:uid="{00000000-0005-0000-0000-0000676A0000}"/>
    <cellStyle name="40% - Accent5 2 2 4 7" xfId="30764" xr:uid="{00000000-0005-0000-0000-0000686A0000}"/>
    <cellStyle name="40% - Accent5 2 2 4 7 2" xfId="30765" xr:uid="{00000000-0005-0000-0000-0000696A0000}"/>
    <cellStyle name="40% - Accent5 2 2 4 8" xfId="30766" xr:uid="{00000000-0005-0000-0000-00006A6A0000}"/>
    <cellStyle name="40% - Accent5 2 2 4 8 2" xfId="30767" xr:uid="{00000000-0005-0000-0000-00006B6A0000}"/>
    <cellStyle name="40% - Accent5 2 2 4 9" xfId="30768" xr:uid="{00000000-0005-0000-0000-00006C6A0000}"/>
    <cellStyle name="40% - Accent5 2 2 5" xfId="30769" xr:uid="{00000000-0005-0000-0000-00006D6A0000}"/>
    <cellStyle name="40% - Accent5 2 2 5 10" xfId="30770" xr:uid="{00000000-0005-0000-0000-00006E6A0000}"/>
    <cellStyle name="40% - Accent5 2 2 5 11" xfId="30771" xr:uid="{00000000-0005-0000-0000-00006F6A0000}"/>
    <cellStyle name="40% - Accent5 2 2 5 2" xfId="30772" xr:uid="{00000000-0005-0000-0000-0000706A0000}"/>
    <cellStyle name="40% - Accent5 2 2 5 2 2" xfId="30773" xr:uid="{00000000-0005-0000-0000-0000716A0000}"/>
    <cellStyle name="40% - Accent5 2 2 5 2 2 2" xfId="30774" xr:uid="{00000000-0005-0000-0000-0000726A0000}"/>
    <cellStyle name="40% - Accent5 2 2 5 2 2 2 2" xfId="30775" xr:uid="{00000000-0005-0000-0000-0000736A0000}"/>
    <cellStyle name="40% - Accent5 2 2 5 2 2 2 2 2" xfId="30776" xr:uid="{00000000-0005-0000-0000-0000746A0000}"/>
    <cellStyle name="40% - Accent5 2 2 5 2 2 2 3" xfId="30777" xr:uid="{00000000-0005-0000-0000-0000756A0000}"/>
    <cellStyle name="40% - Accent5 2 2 5 2 2 3" xfId="30778" xr:uid="{00000000-0005-0000-0000-0000766A0000}"/>
    <cellStyle name="40% - Accent5 2 2 5 2 2 3 2" xfId="30779" xr:uid="{00000000-0005-0000-0000-0000776A0000}"/>
    <cellStyle name="40% - Accent5 2 2 5 2 2 4" xfId="30780" xr:uid="{00000000-0005-0000-0000-0000786A0000}"/>
    <cellStyle name="40% - Accent5 2 2 5 2 2 5" xfId="30781" xr:uid="{00000000-0005-0000-0000-0000796A0000}"/>
    <cellStyle name="40% - Accent5 2 2 5 2 2 6" xfId="30782" xr:uid="{00000000-0005-0000-0000-00007A6A0000}"/>
    <cellStyle name="40% - Accent5 2 2 5 2 3" xfId="30783" xr:uid="{00000000-0005-0000-0000-00007B6A0000}"/>
    <cellStyle name="40% - Accent5 2 2 5 2 3 2" xfId="30784" xr:uid="{00000000-0005-0000-0000-00007C6A0000}"/>
    <cellStyle name="40% - Accent5 2 2 5 2 3 2 2" xfId="30785" xr:uid="{00000000-0005-0000-0000-00007D6A0000}"/>
    <cellStyle name="40% - Accent5 2 2 5 2 3 3" xfId="30786" xr:uid="{00000000-0005-0000-0000-00007E6A0000}"/>
    <cellStyle name="40% - Accent5 2 2 5 2 4" xfId="30787" xr:uid="{00000000-0005-0000-0000-00007F6A0000}"/>
    <cellStyle name="40% - Accent5 2 2 5 2 4 2" xfId="30788" xr:uid="{00000000-0005-0000-0000-0000806A0000}"/>
    <cellStyle name="40% - Accent5 2 2 5 2 5" xfId="30789" xr:uid="{00000000-0005-0000-0000-0000816A0000}"/>
    <cellStyle name="40% - Accent5 2 2 5 2 5 2" xfId="30790" xr:uid="{00000000-0005-0000-0000-0000826A0000}"/>
    <cellStyle name="40% - Accent5 2 2 5 2 6" xfId="30791" xr:uid="{00000000-0005-0000-0000-0000836A0000}"/>
    <cellStyle name="40% - Accent5 2 2 5 2 7" xfId="30792" xr:uid="{00000000-0005-0000-0000-0000846A0000}"/>
    <cellStyle name="40% - Accent5 2 2 5 2 8" xfId="30793" xr:uid="{00000000-0005-0000-0000-0000856A0000}"/>
    <cellStyle name="40% - Accent5 2 2 5 3" xfId="30794" xr:uid="{00000000-0005-0000-0000-0000866A0000}"/>
    <cellStyle name="40% - Accent5 2 2 5 3 2" xfId="30795" xr:uid="{00000000-0005-0000-0000-0000876A0000}"/>
    <cellStyle name="40% - Accent5 2 2 5 3 2 2" xfId="30796" xr:uid="{00000000-0005-0000-0000-0000886A0000}"/>
    <cellStyle name="40% - Accent5 2 2 5 3 2 2 2" xfId="30797" xr:uid="{00000000-0005-0000-0000-0000896A0000}"/>
    <cellStyle name="40% - Accent5 2 2 5 3 2 2 2 2" xfId="30798" xr:uid="{00000000-0005-0000-0000-00008A6A0000}"/>
    <cellStyle name="40% - Accent5 2 2 5 3 2 2 3" xfId="30799" xr:uid="{00000000-0005-0000-0000-00008B6A0000}"/>
    <cellStyle name="40% - Accent5 2 2 5 3 2 3" xfId="30800" xr:uid="{00000000-0005-0000-0000-00008C6A0000}"/>
    <cellStyle name="40% - Accent5 2 2 5 3 2 3 2" xfId="30801" xr:uid="{00000000-0005-0000-0000-00008D6A0000}"/>
    <cellStyle name="40% - Accent5 2 2 5 3 2 4" xfId="30802" xr:uid="{00000000-0005-0000-0000-00008E6A0000}"/>
    <cellStyle name="40% - Accent5 2 2 5 3 2 5" xfId="30803" xr:uid="{00000000-0005-0000-0000-00008F6A0000}"/>
    <cellStyle name="40% - Accent5 2 2 5 3 2 6" xfId="30804" xr:uid="{00000000-0005-0000-0000-0000906A0000}"/>
    <cellStyle name="40% - Accent5 2 2 5 3 3" xfId="30805" xr:uid="{00000000-0005-0000-0000-0000916A0000}"/>
    <cellStyle name="40% - Accent5 2 2 5 3 3 2" xfId="30806" xr:uid="{00000000-0005-0000-0000-0000926A0000}"/>
    <cellStyle name="40% - Accent5 2 2 5 3 3 2 2" xfId="30807" xr:uid="{00000000-0005-0000-0000-0000936A0000}"/>
    <cellStyle name="40% - Accent5 2 2 5 3 3 3" xfId="30808" xr:uid="{00000000-0005-0000-0000-0000946A0000}"/>
    <cellStyle name="40% - Accent5 2 2 5 3 4" xfId="30809" xr:uid="{00000000-0005-0000-0000-0000956A0000}"/>
    <cellStyle name="40% - Accent5 2 2 5 3 4 2" xfId="30810" xr:uid="{00000000-0005-0000-0000-0000966A0000}"/>
    <cellStyle name="40% - Accent5 2 2 5 3 5" xfId="30811" xr:uid="{00000000-0005-0000-0000-0000976A0000}"/>
    <cellStyle name="40% - Accent5 2 2 5 3 6" xfId="30812" xr:uid="{00000000-0005-0000-0000-0000986A0000}"/>
    <cellStyle name="40% - Accent5 2 2 5 3 7" xfId="30813" xr:uid="{00000000-0005-0000-0000-0000996A0000}"/>
    <cellStyle name="40% - Accent5 2 2 5 4" xfId="30814" xr:uid="{00000000-0005-0000-0000-00009A6A0000}"/>
    <cellStyle name="40% - Accent5 2 2 5 4 2" xfId="30815" xr:uid="{00000000-0005-0000-0000-00009B6A0000}"/>
    <cellStyle name="40% - Accent5 2 2 5 4 2 2" xfId="30816" xr:uid="{00000000-0005-0000-0000-00009C6A0000}"/>
    <cellStyle name="40% - Accent5 2 2 5 4 2 2 2" xfId="30817" xr:uid="{00000000-0005-0000-0000-00009D6A0000}"/>
    <cellStyle name="40% - Accent5 2 2 5 4 2 3" xfId="30818" xr:uid="{00000000-0005-0000-0000-00009E6A0000}"/>
    <cellStyle name="40% - Accent5 2 2 5 4 3" xfId="30819" xr:uid="{00000000-0005-0000-0000-00009F6A0000}"/>
    <cellStyle name="40% - Accent5 2 2 5 4 3 2" xfId="30820" xr:uid="{00000000-0005-0000-0000-0000A06A0000}"/>
    <cellStyle name="40% - Accent5 2 2 5 4 4" xfId="30821" xr:uid="{00000000-0005-0000-0000-0000A16A0000}"/>
    <cellStyle name="40% - Accent5 2 2 5 4 5" xfId="30822" xr:uid="{00000000-0005-0000-0000-0000A26A0000}"/>
    <cellStyle name="40% - Accent5 2 2 5 4 6" xfId="30823" xr:uid="{00000000-0005-0000-0000-0000A36A0000}"/>
    <cellStyle name="40% - Accent5 2 2 5 5" xfId="30824" xr:uid="{00000000-0005-0000-0000-0000A46A0000}"/>
    <cellStyle name="40% - Accent5 2 2 5 5 2" xfId="30825" xr:uid="{00000000-0005-0000-0000-0000A56A0000}"/>
    <cellStyle name="40% - Accent5 2 2 5 5 2 2" xfId="30826" xr:uid="{00000000-0005-0000-0000-0000A66A0000}"/>
    <cellStyle name="40% - Accent5 2 2 5 5 3" xfId="30827" xr:uid="{00000000-0005-0000-0000-0000A76A0000}"/>
    <cellStyle name="40% - Accent5 2 2 5 6" xfId="30828" xr:uid="{00000000-0005-0000-0000-0000A86A0000}"/>
    <cellStyle name="40% - Accent5 2 2 5 6 2" xfId="30829" xr:uid="{00000000-0005-0000-0000-0000A96A0000}"/>
    <cellStyle name="40% - Accent5 2 2 5 6 2 2" xfId="30830" xr:uid="{00000000-0005-0000-0000-0000AA6A0000}"/>
    <cellStyle name="40% - Accent5 2 2 5 6 3" xfId="30831" xr:uid="{00000000-0005-0000-0000-0000AB6A0000}"/>
    <cellStyle name="40% - Accent5 2 2 5 7" xfId="30832" xr:uid="{00000000-0005-0000-0000-0000AC6A0000}"/>
    <cellStyle name="40% - Accent5 2 2 5 7 2" xfId="30833" xr:uid="{00000000-0005-0000-0000-0000AD6A0000}"/>
    <cellStyle name="40% - Accent5 2 2 5 8" xfId="30834" xr:uid="{00000000-0005-0000-0000-0000AE6A0000}"/>
    <cellStyle name="40% - Accent5 2 2 5 8 2" xfId="30835" xr:uid="{00000000-0005-0000-0000-0000AF6A0000}"/>
    <cellStyle name="40% - Accent5 2 2 5 9" xfId="30836" xr:uid="{00000000-0005-0000-0000-0000B06A0000}"/>
    <cellStyle name="40% - Accent5 2 2 6" xfId="30837" xr:uid="{00000000-0005-0000-0000-0000B16A0000}"/>
    <cellStyle name="40% - Accent5 2 2 6 10" xfId="30838" xr:uid="{00000000-0005-0000-0000-0000B26A0000}"/>
    <cellStyle name="40% - Accent5 2 2 6 11" xfId="30839" xr:uid="{00000000-0005-0000-0000-0000B36A0000}"/>
    <cellStyle name="40% - Accent5 2 2 6 2" xfId="30840" xr:uid="{00000000-0005-0000-0000-0000B46A0000}"/>
    <cellStyle name="40% - Accent5 2 2 6 2 2" xfId="30841" xr:uid="{00000000-0005-0000-0000-0000B56A0000}"/>
    <cellStyle name="40% - Accent5 2 2 6 2 2 2" xfId="30842" xr:uid="{00000000-0005-0000-0000-0000B66A0000}"/>
    <cellStyle name="40% - Accent5 2 2 6 2 2 2 2" xfId="30843" xr:uid="{00000000-0005-0000-0000-0000B76A0000}"/>
    <cellStyle name="40% - Accent5 2 2 6 2 2 2 2 2" xfId="30844" xr:uid="{00000000-0005-0000-0000-0000B86A0000}"/>
    <cellStyle name="40% - Accent5 2 2 6 2 2 2 3" xfId="30845" xr:uid="{00000000-0005-0000-0000-0000B96A0000}"/>
    <cellStyle name="40% - Accent5 2 2 6 2 2 3" xfId="30846" xr:uid="{00000000-0005-0000-0000-0000BA6A0000}"/>
    <cellStyle name="40% - Accent5 2 2 6 2 2 3 2" xfId="30847" xr:uid="{00000000-0005-0000-0000-0000BB6A0000}"/>
    <cellStyle name="40% - Accent5 2 2 6 2 2 4" xfId="30848" xr:uid="{00000000-0005-0000-0000-0000BC6A0000}"/>
    <cellStyle name="40% - Accent5 2 2 6 2 2 5" xfId="30849" xr:uid="{00000000-0005-0000-0000-0000BD6A0000}"/>
    <cellStyle name="40% - Accent5 2 2 6 2 2 6" xfId="30850" xr:uid="{00000000-0005-0000-0000-0000BE6A0000}"/>
    <cellStyle name="40% - Accent5 2 2 6 2 3" xfId="30851" xr:uid="{00000000-0005-0000-0000-0000BF6A0000}"/>
    <cellStyle name="40% - Accent5 2 2 6 2 3 2" xfId="30852" xr:uid="{00000000-0005-0000-0000-0000C06A0000}"/>
    <cellStyle name="40% - Accent5 2 2 6 2 3 2 2" xfId="30853" xr:uid="{00000000-0005-0000-0000-0000C16A0000}"/>
    <cellStyle name="40% - Accent5 2 2 6 2 3 3" xfId="30854" xr:uid="{00000000-0005-0000-0000-0000C26A0000}"/>
    <cellStyle name="40% - Accent5 2 2 6 2 4" xfId="30855" xr:uid="{00000000-0005-0000-0000-0000C36A0000}"/>
    <cellStyle name="40% - Accent5 2 2 6 2 4 2" xfId="30856" xr:uid="{00000000-0005-0000-0000-0000C46A0000}"/>
    <cellStyle name="40% - Accent5 2 2 6 2 5" xfId="30857" xr:uid="{00000000-0005-0000-0000-0000C56A0000}"/>
    <cellStyle name="40% - Accent5 2 2 6 2 5 2" xfId="30858" xr:uid="{00000000-0005-0000-0000-0000C66A0000}"/>
    <cellStyle name="40% - Accent5 2 2 6 2 6" xfId="30859" xr:uid="{00000000-0005-0000-0000-0000C76A0000}"/>
    <cellStyle name="40% - Accent5 2 2 6 2 7" xfId="30860" xr:uid="{00000000-0005-0000-0000-0000C86A0000}"/>
    <cellStyle name="40% - Accent5 2 2 6 2 8" xfId="30861" xr:uid="{00000000-0005-0000-0000-0000C96A0000}"/>
    <cellStyle name="40% - Accent5 2 2 6 3" xfId="30862" xr:uid="{00000000-0005-0000-0000-0000CA6A0000}"/>
    <cellStyle name="40% - Accent5 2 2 6 3 2" xfId="30863" xr:uid="{00000000-0005-0000-0000-0000CB6A0000}"/>
    <cellStyle name="40% - Accent5 2 2 6 3 2 2" xfId="30864" xr:uid="{00000000-0005-0000-0000-0000CC6A0000}"/>
    <cellStyle name="40% - Accent5 2 2 6 3 2 2 2" xfId="30865" xr:uid="{00000000-0005-0000-0000-0000CD6A0000}"/>
    <cellStyle name="40% - Accent5 2 2 6 3 2 2 2 2" xfId="30866" xr:uid="{00000000-0005-0000-0000-0000CE6A0000}"/>
    <cellStyle name="40% - Accent5 2 2 6 3 2 2 3" xfId="30867" xr:uid="{00000000-0005-0000-0000-0000CF6A0000}"/>
    <cellStyle name="40% - Accent5 2 2 6 3 2 3" xfId="30868" xr:uid="{00000000-0005-0000-0000-0000D06A0000}"/>
    <cellStyle name="40% - Accent5 2 2 6 3 2 3 2" xfId="30869" xr:uid="{00000000-0005-0000-0000-0000D16A0000}"/>
    <cellStyle name="40% - Accent5 2 2 6 3 2 4" xfId="30870" xr:uid="{00000000-0005-0000-0000-0000D26A0000}"/>
    <cellStyle name="40% - Accent5 2 2 6 3 2 5" xfId="30871" xr:uid="{00000000-0005-0000-0000-0000D36A0000}"/>
    <cellStyle name="40% - Accent5 2 2 6 3 2 6" xfId="30872" xr:uid="{00000000-0005-0000-0000-0000D46A0000}"/>
    <cellStyle name="40% - Accent5 2 2 6 3 3" xfId="30873" xr:uid="{00000000-0005-0000-0000-0000D56A0000}"/>
    <cellStyle name="40% - Accent5 2 2 6 3 3 2" xfId="30874" xr:uid="{00000000-0005-0000-0000-0000D66A0000}"/>
    <cellStyle name="40% - Accent5 2 2 6 3 3 2 2" xfId="30875" xr:uid="{00000000-0005-0000-0000-0000D76A0000}"/>
    <cellStyle name="40% - Accent5 2 2 6 3 3 3" xfId="30876" xr:uid="{00000000-0005-0000-0000-0000D86A0000}"/>
    <cellStyle name="40% - Accent5 2 2 6 3 4" xfId="30877" xr:uid="{00000000-0005-0000-0000-0000D96A0000}"/>
    <cellStyle name="40% - Accent5 2 2 6 3 4 2" xfId="30878" xr:uid="{00000000-0005-0000-0000-0000DA6A0000}"/>
    <cellStyle name="40% - Accent5 2 2 6 3 5" xfId="30879" xr:uid="{00000000-0005-0000-0000-0000DB6A0000}"/>
    <cellStyle name="40% - Accent5 2 2 6 3 6" xfId="30880" xr:uid="{00000000-0005-0000-0000-0000DC6A0000}"/>
    <cellStyle name="40% - Accent5 2 2 6 3 7" xfId="30881" xr:uid="{00000000-0005-0000-0000-0000DD6A0000}"/>
    <cellStyle name="40% - Accent5 2 2 6 4" xfId="30882" xr:uid="{00000000-0005-0000-0000-0000DE6A0000}"/>
    <cellStyle name="40% - Accent5 2 2 6 4 2" xfId="30883" xr:uid="{00000000-0005-0000-0000-0000DF6A0000}"/>
    <cellStyle name="40% - Accent5 2 2 6 4 2 2" xfId="30884" xr:uid="{00000000-0005-0000-0000-0000E06A0000}"/>
    <cellStyle name="40% - Accent5 2 2 6 4 2 2 2" xfId="30885" xr:uid="{00000000-0005-0000-0000-0000E16A0000}"/>
    <cellStyle name="40% - Accent5 2 2 6 4 2 3" xfId="30886" xr:uid="{00000000-0005-0000-0000-0000E26A0000}"/>
    <cellStyle name="40% - Accent5 2 2 6 4 3" xfId="30887" xr:uid="{00000000-0005-0000-0000-0000E36A0000}"/>
    <cellStyle name="40% - Accent5 2 2 6 4 3 2" xfId="30888" xr:uid="{00000000-0005-0000-0000-0000E46A0000}"/>
    <cellStyle name="40% - Accent5 2 2 6 4 4" xfId="30889" xr:uid="{00000000-0005-0000-0000-0000E56A0000}"/>
    <cellStyle name="40% - Accent5 2 2 6 4 5" xfId="30890" xr:uid="{00000000-0005-0000-0000-0000E66A0000}"/>
    <cellStyle name="40% - Accent5 2 2 6 4 6" xfId="30891" xr:uid="{00000000-0005-0000-0000-0000E76A0000}"/>
    <cellStyle name="40% - Accent5 2 2 6 5" xfId="30892" xr:uid="{00000000-0005-0000-0000-0000E86A0000}"/>
    <cellStyle name="40% - Accent5 2 2 6 5 2" xfId="30893" xr:uid="{00000000-0005-0000-0000-0000E96A0000}"/>
    <cellStyle name="40% - Accent5 2 2 6 5 2 2" xfId="30894" xr:uid="{00000000-0005-0000-0000-0000EA6A0000}"/>
    <cellStyle name="40% - Accent5 2 2 6 5 3" xfId="30895" xr:uid="{00000000-0005-0000-0000-0000EB6A0000}"/>
    <cellStyle name="40% - Accent5 2 2 6 6" xfId="30896" xr:uid="{00000000-0005-0000-0000-0000EC6A0000}"/>
    <cellStyle name="40% - Accent5 2 2 6 6 2" xfId="30897" xr:uid="{00000000-0005-0000-0000-0000ED6A0000}"/>
    <cellStyle name="40% - Accent5 2 2 6 6 2 2" xfId="30898" xr:uid="{00000000-0005-0000-0000-0000EE6A0000}"/>
    <cellStyle name="40% - Accent5 2 2 6 6 3" xfId="30899" xr:uid="{00000000-0005-0000-0000-0000EF6A0000}"/>
    <cellStyle name="40% - Accent5 2 2 6 7" xfId="30900" xr:uid="{00000000-0005-0000-0000-0000F06A0000}"/>
    <cellStyle name="40% - Accent5 2 2 6 7 2" xfId="30901" xr:uid="{00000000-0005-0000-0000-0000F16A0000}"/>
    <cellStyle name="40% - Accent5 2 2 6 8" xfId="30902" xr:uid="{00000000-0005-0000-0000-0000F26A0000}"/>
    <cellStyle name="40% - Accent5 2 2 6 8 2" xfId="30903" xr:uid="{00000000-0005-0000-0000-0000F36A0000}"/>
    <cellStyle name="40% - Accent5 2 2 6 9" xfId="30904" xr:uid="{00000000-0005-0000-0000-0000F46A0000}"/>
    <cellStyle name="40% - Accent5 2 2 7" xfId="30905" xr:uid="{00000000-0005-0000-0000-0000F56A0000}"/>
    <cellStyle name="40% - Accent5 2 2 7 2" xfId="30906" xr:uid="{00000000-0005-0000-0000-0000F66A0000}"/>
    <cellStyle name="40% - Accent5 2 2 7 2 2" xfId="30907" xr:uid="{00000000-0005-0000-0000-0000F76A0000}"/>
    <cellStyle name="40% - Accent5 2 2 7 2 2 2" xfId="30908" xr:uid="{00000000-0005-0000-0000-0000F86A0000}"/>
    <cellStyle name="40% - Accent5 2 2 7 2 2 2 2" xfId="30909" xr:uid="{00000000-0005-0000-0000-0000F96A0000}"/>
    <cellStyle name="40% - Accent5 2 2 7 2 2 3" xfId="30910" xr:uid="{00000000-0005-0000-0000-0000FA6A0000}"/>
    <cellStyle name="40% - Accent5 2 2 7 2 3" xfId="30911" xr:uid="{00000000-0005-0000-0000-0000FB6A0000}"/>
    <cellStyle name="40% - Accent5 2 2 7 2 3 2" xfId="30912" xr:uid="{00000000-0005-0000-0000-0000FC6A0000}"/>
    <cellStyle name="40% - Accent5 2 2 7 2 4" xfId="30913" xr:uid="{00000000-0005-0000-0000-0000FD6A0000}"/>
    <cellStyle name="40% - Accent5 2 2 7 2 5" xfId="30914" xr:uid="{00000000-0005-0000-0000-0000FE6A0000}"/>
    <cellStyle name="40% - Accent5 2 2 7 2 6" xfId="30915" xr:uid="{00000000-0005-0000-0000-0000FF6A0000}"/>
    <cellStyle name="40% - Accent5 2 2 7 3" xfId="30916" xr:uid="{00000000-0005-0000-0000-0000006B0000}"/>
    <cellStyle name="40% - Accent5 2 2 7 3 2" xfId="30917" xr:uid="{00000000-0005-0000-0000-0000016B0000}"/>
    <cellStyle name="40% - Accent5 2 2 7 3 2 2" xfId="30918" xr:uid="{00000000-0005-0000-0000-0000026B0000}"/>
    <cellStyle name="40% - Accent5 2 2 7 3 3" xfId="30919" xr:uid="{00000000-0005-0000-0000-0000036B0000}"/>
    <cellStyle name="40% - Accent5 2 2 7 4" xfId="30920" xr:uid="{00000000-0005-0000-0000-0000046B0000}"/>
    <cellStyle name="40% - Accent5 2 2 7 4 2" xfId="30921" xr:uid="{00000000-0005-0000-0000-0000056B0000}"/>
    <cellStyle name="40% - Accent5 2 2 7 5" xfId="30922" xr:uid="{00000000-0005-0000-0000-0000066B0000}"/>
    <cellStyle name="40% - Accent5 2 2 7 5 2" xfId="30923" xr:uid="{00000000-0005-0000-0000-0000076B0000}"/>
    <cellStyle name="40% - Accent5 2 2 7 6" xfId="30924" xr:uid="{00000000-0005-0000-0000-0000086B0000}"/>
    <cellStyle name="40% - Accent5 2 2 7 7" xfId="30925" xr:uid="{00000000-0005-0000-0000-0000096B0000}"/>
    <cellStyle name="40% - Accent5 2 2 7 8" xfId="30926" xr:uid="{00000000-0005-0000-0000-00000A6B0000}"/>
    <cellStyle name="40% - Accent5 2 2 8" xfId="30927" xr:uid="{00000000-0005-0000-0000-00000B6B0000}"/>
    <cellStyle name="40% - Accent5 2 2 8 2" xfId="30928" xr:uid="{00000000-0005-0000-0000-00000C6B0000}"/>
    <cellStyle name="40% - Accent5 2 2 8 2 2" xfId="30929" xr:uid="{00000000-0005-0000-0000-00000D6B0000}"/>
    <cellStyle name="40% - Accent5 2 2 8 2 2 2" xfId="30930" xr:uid="{00000000-0005-0000-0000-00000E6B0000}"/>
    <cellStyle name="40% - Accent5 2 2 8 2 2 2 2" xfId="30931" xr:uid="{00000000-0005-0000-0000-00000F6B0000}"/>
    <cellStyle name="40% - Accent5 2 2 8 2 2 3" xfId="30932" xr:uid="{00000000-0005-0000-0000-0000106B0000}"/>
    <cellStyle name="40% - Accent5 2 2 8 2 3" xfId="30933" xr:uid="{00000000-0005-0000-0000-0000116B0000}"/>
    <cellStyle name="40% - Accent5 2 2 8 2 3 2" xfId="30934" xr:uid="{00000000-0005-0000-0000-0000126B0000}"/>
    <cellStyle name="40% - Accent5 2 2 8 2 4" xfId="30935" xr:uid="{00000000-0005-0000-0000-0000136B0000}"/>
    <cellStyle name="40% - Accent5 2 2 8 2 5" xfId="30936" xr:uid="{00000000-0005-0000-0000-0000146B0000}"/>
    <cellStyle name="40% - Accent5 2 2 8 2 6" xfId="30937" xr:uid="{00000000-0005-0000-0000-0000156B0000}"/>
    <cellStyle name="40% - Accent5 2 2 8 3" xfId="30938" xr:uid="{00000000-0005-0000-0000-0000166B0000}"/>
    <cellStyle name="40% - Accent5 2 2 8 3 2" xfId="30939" xr:uid="{00000000-0005-0000-0000-0000176B0000}"/>
    <cellStyle name="40% - Accent5 2 2 8 3 2 2" xfId="30940" xr:uid="{00000000-0005-0000-0000-0000186B0000}"/>
    <cellStyle name="40% - Accent5 2 2 8 3 3" xfId="30941" xr:uid="{00000000-0005-0000-0000-0000196B0000}"/>
    <cellStyle name="40% - Accent5 2 2 8 4" xfId="30942" xr:uid="{00000000-0005-0000-0000-00001A6B0000}"/>
    <cellStyle name="40% - Accent5 2 2 8 4 2" xfId="30943" xr:uid="{00000000-0005-0000-0000-00001B6B0000}"/>
    <cellStyle name="40% - Accent5 2 2 8 5" xfId="30944" xr:uid="{00000000-0005-0000-0000-00001C6B0000}"/>
    <cellStyle name="40% - Accent5 2 2 8 6" xfId="30945" xr:uid="{00000000-0005-0000-0000-00001D6B0000}"/>
    <cellStyle name="40% - Accent5 2 2 8 7" xfId="30946" xr:uid="{00000000-0005-0000-0000-00001E6B0000}"/>
    <cellStyle name="40% - Accent5 2 2 9" xfId="30947" xr:uid="{00000000-0005-0000-0000-00001F6B0000}"/>
    <cellStyle name="40% - Accent5 2 2 9 2" xfId="30948" xr:uid="{00000000-0005-0000-0000-0000206B0000}"/>
    <cellStyle name="40% - Accent5 2 2 9 2 2" xfId="30949" xr:uid="{00000000-0005-0000-0000-0000216B0000}"/>
    <cellStyle name="40% - Accent5 2 2 9 2 2 2" xfId="30950" xr:uid="{00000000-0005-0000-0000-0000226B0000}"/>
    <cellStyle name="40% - Accent5 2 2 9 2 3" xfId="30951" xr:uid="{00000000-0005-0000-0000-0000236B0000}"/>
    <cellStyle name="40% - Accent5 2 2 9 3" xfId="30952" xr:uid="{00000000-0005-0000-0000-0000246B0000}"/>
    <cellStyle name="40% - Accent5 2 2 9 3 2" xfId="30953" xr:uid="{00000000-0005-0000-0000-0000256B0000}"/>
    <cellStyle name="40% - Accent5 2 2 9 4" xfId="30954" xr:uid="{00000000-0005-0000-0000-0000266B0000}"/>
    <cellStyle name="40% - Accent5 2 2 9 5" xfId="30955" xr:uid="{00000000-0005-0000-0000-0000276B0000}"/>
    <cellStyle name="40% - Accent5 2 2 9 6" xfId="30956" xr:uid="{00000000-0005-0000-0000-0000286B0000}"/>
    <cellStyle name="40% - Accent5 2 3" xfId="30957" xr:uid="{00000000-0005-0000-0000-0000296B0000}"/>
    <cellStyle name="40% - Accent5 2 3 2" xfId="30958" xr:uid="{00000000-0005-0000-0000-00002A6B0000}"/>
    <cellStyle name="40% - Accent5 2 3 2 2" xfId="30959" xr:uid="{00000000-0005-0000-0000-00002B6B0000}"/>
    <cellStyle name="40% - Accent5 2 3 2 2 2" xfId="30960" xr:uid="{00000000-0005-0000-0000-00002C6B0000}"/>
    <cellStyle name="40% - Accent5 2 3 2 2 2 2" xfId="30961" xr:uid="{00000000-0005-0000-0000-00002D6B0000}"/>
    <cellStyle name="40% - Accent5 2 3 2 2 3" xfId="30962" xr:uid="{00000000-0005-0000-0000-00002E6B0000}"/>
    <cellStyle name="40% - Accent5 2 3 2 3" xfId="30963" xr:uid="{00000000-0005-0000-0000-00002F6B0000}"/>
    <cellStyle name="40% - Accent5 2 3 2 3 2" xfId="30964" xr:uid="{00000000-0005-0000-0000-0000306B0000}"/>
    <cellStyle name="40% - Accent5 2 3 2 4" xfId="30965" xr:uid="{00000000-0005-0000-0000-0000316B0000}"/>
    <cellStyle name="40% - Accent5 2 3 3" xfId="30966" xr:uid="{00000000-0005-0000-0000-0000326B0000}"/>
    <cellStyle name="40% - Accent5 2 3 3 2" xfId="30967" xr:uid="{00000000-0005-0000-0000-0000336B0000}"/>
    <cellStyle name="40% - Accent5 2 3 3 2 2" xfId="30968" xr:uid="{00000000-0005-0000-0000-0000346B0000}"/>
    <cellStyle name="40% - Accent5 2 3 3 2 2 2" xfId="30969" xr:uid="{00000000-0005-0000-0000-0000356B0000}"/>
    <cellStyle name="40% - Accent5 2 3 3 2 3" xfId="30970" xr:uid="{00000000-0005-0000-0000-0000366B0000}"/>
    <cellStyle name="40% - Accent5 2 3 3 3" xfId="30971" xr:uid="{00000000-0005-0000-0000-0000376B0000}"/>
    <cellStyle name="40% - Accent5 2 3 3 3 2" xfId="30972" xr:uid="{00000000-0005-0000-0000-0000386B0000}"/>
    <cellStyle name="40% - Accent5 2 3 3 4" xfId="30973" xr:uid="{00000000-0005-0000-0000-0000396B0000}"/>
    <cellStyle name="40% - Accent5 2 3 4" xfId="30974" xr:uid="{00000000-0005-0000-0000-00003A6B0000}"/>
    <cellStyle name="40% - Accent5 2 3 4 2" xfId="30975" xr:uid="{00000000-0005-0000-0000-00003B6B0000}"/>
    <cellStyle name="40% - Accent5 2 3 4 2 2" xfId="30976" xr:uid="{00000000-0005-0000-0000-00003C6B0000}"/>
    <cellStyle name="40% - Accent5 2 3 4 2 2 2" xfId="30977" xr:uid="{00000000-0005-0000-0000-00003D6B0000}"/>
    <cellStyle name="40% - Accent5 2 3 4 2 3" xfId="30978" xr:uid="{00000000-0005-0000-0000-00003E6B0000}"/>
    <cellStyle name="40% - Accent5 2 3 4 3" xfId="30979" xr:uid="{00000000-0005-0000-0000-00003F6B0000}"/>
    <cellStyle name="40% - Accent5 2 3 4 3 2" xfId="30980" xr:uid="{00000000-0005-0000-0000-0000406B0000}"/>
    <cellStyle name="40% - Accent5 2 3 4 4" xfId="30981" xr:uid="{00000000-0005-0000-0000-0000416B0000}"/>
    <cellStyle name="40% - Accent5 2 4" xfId="30982" xr:uid="{00000000-0005-0000-0000-0000426B0000}"/>
    <cellStyle name="40% - Accent5 2 4 2" xfId="30983" xr:uid="{00000000-0005-0000-0000-0000436B0000}"/>
    <cellStyle name="40% - Accent5 2 5" xfId="30984" xr:uid="{00000000-0005-0000-0000-0000446B0000}"/>
    <cellStyle name="40% - Accent5 2 5 2" xfId="30985" xr:uid="{00000000-0005-0000-0000-0000456B0000}"/>
    <cellStyle name="40% - Accent5 2 6" xfId="30986" xr:uid="{00000000-0005-0000-0000-0000466B0000}"/>
    <cellStyle name="40% - Accent5 2 6 2" xfId="30987" xr:uid="{00000000-0005-0000-0000-0000476B0000}"/>
    <cellStyle name="40% - Accent5 2 7" xfId="30988" xr:uid="{00000000-0005-0000-0000-0000486B0000}"/>
    <cellStyle name="40% - Accent5 2 7 2" xfId="30989" xr:uid="{00000000-0005-0000-0000-0000496B0000}"/>
    <cellStyle name="40% - Accent5 2 7 2 2" xfId="30990" xr:uid="{00000000-0005-0000-0000-00004A6B0000}"/>
    <cellStyle name="40% - Accent5 2 7 3" xfId="30991" xr:uid="{00000000-0005-0000-0000-00004B6B0000}"/>
    <cellStyle name="40% - Accent5 3" xfId="212" xr:uid="{00000000-0005-0000-0000-00004C6B0000}"/>
    <cellStyle name="40% - Accent5 3 10" xfId="30992" xr:uid="{00000000-0005-0000-0000-00004D6B0000}"/>
    <cellStyle name="40% - Accent5 3 10 2" xfId="30993" xr:uid="{00000000-0005-0000-0000-00004E6B0000}"/>
    <cellStyle name="40% - Accent5 3 10 2 2" xfId="30994" xr:uid="{00000000-0005-0000-0000-00004F6B0000}"/>
    <cellStyle name="40% - Accent5 3 10 2 2 2" xfId="30995" xr:uid="{00000000-0005-0000-0000-0000506B0000}"/>
    <cellStyle name="40% - Accent5 3 10 2 2 2 2" xfId="30996" xr:uid="{00000000-0005-0000-0000-0000516B0000}"/>
    <cellStyle name="40% - Accent5 3 10 2 2 3" xfId="30997" xr:uid="{00000000-0005-0000-0000-0000526B0000}"/>
    <cellStyle name="40% - Accent5 3 10 2 3" xfId="30998" xr:uid="{00000000-0005-0000-0000-0000536B0000}"/>
    <cellStyle name="40% - Accent5 3 10 2 3 2" xfId="30999" xr:uid="{00000000-0005-0000-0000-0000546B0000}"/>
    <cellStyle name="40% - Accent5 3 10 2 4" xfId="31000" xr:uid="{00000000-0005-0000-0000-0000556B0000}"/>
    <cellStyle name="40% - Accent5 3 10 2 5" xfId="31001" xr:uid="{00000000-0005-0000-0000-0000566B0000}"/>
    <cellStyle name="40% - Accent5 3 10 2 6" xfId="31002" xr:uid="{00000000-0005-0000-0000-0000576B0000}"/>
    <cellStyle name="40% - Accent5 3 10 3" xfId="31003" xr:uid="{00000000-0005-0000-0000-0000586B0000}"/>
    <cellStyle name="40% - Accent5 3 10 3 2" xfId="31004" xr:uid="{00000000-0005-0000-0000-0000596B0000}"/>
    <cellStyle name="40% - Accent5 3 10 3 2 2" xfId="31005" xr:uid="{00000000-0005-0000-0000-00005A6B0000}"/>
    <cellStyle name="40% - Accent5 3 10 3 3" xfId="31006" xr:uid="{00000000-0005-0000-0000-00005B6B0000}"/>
    <cellStyle name="40% - Accent5 3 10 4" xfId="31007" xr:uid="{00000000-0005-0000-0000-00005C6B0000}"/>
    <cellStyle name="40% - Accent5 3 10 4 2" xfId="31008" xr:uid="{00000000-0005-0000-0000-00005D6B0000}"/>
    <cellStyle name="40% - Accent5 3 10 4 2 2" xfId="31009" xr:uid="{00000000-0005-0000-0000-00005E6B0000}"/>
    <cellStyle name="40% - Accent5 3 10 4 3" xfId="31010" xr:uid="{00000000-0005-0000-0000-00005F6B0000}"/>
    <cellStyle name="40% - Accent5 3 10 5" xfId="31011" xr:uid="{00000000-0005-0000-0000-0000606B0000}"/>
    <cellStyle name="40% - Accent5 3 10 6" xfId="31012" xr:uid="{00000000-0005-0000-0000-0000616B0000}"/>
    <cellStyle name="40% - Accent5 3 11" xfId="31013" xr:uid="{00000000-0005-0000-0000-0000626B0000}"/>
    <cellStyle name="40% - Accent5 3 11 2" xfId="31014" xr:uid="{00000000-0005-0000-0000-0000636B0000}"/>
    <cellStyle name="40% - Accent5 3 11 2 2" xfId="31015" xr:uid="{00000000-0005-0000-0000-0000646B0000}"/>
    <cellStyle name="40% - Accent5 3 11 2 2 2" xfId="31016" xr:uid="{00000000-0005-0000-0000-0000656B0000}"/>
    <cellStyle name="40% - Accent5 3 11 2 2 2 2" xfId="31017" xr:uid="{00000000-0005-0000-0000-0000666B0000}"/>
    <cellStyle name="40% - Accent5 3 11 2 2 3" xfId="31018" xr:uid="{00000000-0005-0000-0000-0000676B0000}"/>
    <cellStyle name="40% - Accent5 3 11 2 3" xfId="31019" xr:uid="{00000000-0005-0000-0000-0000686B0000}"/>
    <cellStyle name="40% - Accent5 3 11 2 3 2" xfId="31020" xr:uid="{00000000-0005-0000-0000-0000696B0000}"/>
    <cellStyle name="40% - Accent5 3 11 2 4" xfId="31021" xr:uid="{00000000-0005-0000-0000-00006A6B0000}"/>
    <cellStyle name="40% - Accent5 3 11 2 5" xfId="31022" xr:uid="{00000000-0005-0000-0000-00006B6B0000}"/>
    <cellStyle name="40% - Accent5 3 11 2 6" xfId="31023" xr:uid="{00000000-0005-0000-0000-00006C6B0000}"/>
    <cellStyle name="40% - Accent5 3 11 3" xfId="31024" xr:uid="{00000000-0005-0000-0000-00006D6B0000}"/>
    <cellStyle name="40% - Accent5 3 11 3 2" xfId="31025" xr:uid="{00000000-0005-0000-0000-00006E6B0000}"/>
    <cellStyle name="40% - Accent5 3 11 3 2 2" xfId="31026" xr:uid="{00000000-0005-0000-0000-00006F6B0000}"/>
    <cellStyle name="40% - Accent5 3 11 3 3" xfId="31027" xr:uid="{00000000-0005-0000-0000-0000706B0000}"/>
    <cellStyle name="40% - Accent5 3 11 4" xfId="31028" xr:uid="{00000000-0005-0000-0000-0000716B0000}"/>
    <cellStyle name="40% - Accent5 3 11 4 2" xfId="31029" xr:uid="{00000000-0005-0000-0000-0000726B0000}"/>
    <cellStyle name="40% - Accent5 3 11 5" xfId="31030" xr:uid="{00000000-0005-0000-0000-0000736B0000}"/>
    <cellStyle name="40% - Accent5 3 11 6" xfId="31031" xr:uid="{00000000-0005-0000-0000-0000746B0000}"/>
    <cellStyle name="40% - Accent5 3 11 7" xfId="31032" xr:uid="{00000000-0005-0000-0000-0000756B0000}"/>
    <cellStyle name="40% - Accent5 3 12" xfId="31033" xr:uid="{00000000-0005-0000-0000-0000766B0000}"/>
    <cellStyle name="40% - Accent5 3 13" xfId="31034" xr:uid="{00000000-0005-0000-0000-0000776B0000}"/>
    <cellStyle name="40% - Accent5 3 13 2" xfId="31035" xr:uid="{00000000-0005-0000-0000-0000786B0000}"/>
    <cellStyle name="40% - Accent5 3 13 2 2" xfId="31036" xr:uid="{00000000-0005-0000-0000-0000796B0000}"/>
    <cellStyle name="40% - Accent5 3 13 2 2 2" xfId="31037" xr:uid="{00000000-0005-0000-0000-00007A6B0000}"/>
    <cellStyle name="40% - Accent5 3 13 2 3" xfId="31038" xr:uid="{00000000-0005-0000-0000-00007B6B0000}"/>
    <cellStyle name="40% - Accent5 3 13 3" xfId="31039" xr:uid="{00000000-0005-0000-0000-00007C6B0000}"/>
    <cellStyle name="40% - Accent5 3 13 3 2" xfId="31040" xr:uid="{00000000-0005-0000-0000-00007D6B0000}"/>
    <cellStyle name="40% - Accent5 3 13 4" xfId="31041" xr:uid="{00000000-0005-0000-0000-00007E6B0000}"/>
    <cellStyle name="40% - Accent5 3 14" xfId="31042" xr:uid="{00000000-0005-0000-0000-00007F6B0000}"/>
    <cellStyle name="40% - Accent5 3 14 2" xfId="31043" xr:uid="{00000000-0005-0000-0000-0000806B0000}"/>
    <cellStyle name="40% - Accent5 3 14 2 2" xfId="31044" xr:uid="{00000000-0005-0000-0000-0000816B0000}"/>
    <cellStyle name="40% - Accent5 3 14 2 2 2" xfId="31045" xr:uid="{00000000-0005-0000-0000-0000826B0000}"/>
    <cellStyle name="40% - Accent5 3 14 2 3" xfId="31046" xr:uid="{00000000-0005-0000-0000-0000836B0000}"/>
    <cellStyle name="40% - Accent5 3 14 3" xfId="31047" xr:uid="{00000000-0005-0000-0000-0000846B0000}"/>
    <cellStyle name="40% - Accent5 3 14 3 2" xfId="31048" xr:uid="{00000000-0005-0000-0000-0000856B0000}"/>
    <cellStyle name="40% - Accent5 3 14 4" xfId="31049" xr:uid="{00000000-0005-0000-0000-0000866B0000}"/>
    <cellStyle name="40% - Accent5 3 15" xfId="31050" xr:uid="{00000000-0005-0000-0000-0000876B0000}"/>
    <cellStyle name="40% - Accent5 3 15 2" xfId="31051" xr:uid="{00000000-0005-0000-0000-0000886B0000}"/>
    <cellStyle name="40% - Accent5 3 15 2 2" xfId="31052" xr:uid="{00000000-0005-0000-0000-0000896B0000}"/>
    <cellStyle name="40% - Accent5 3 15 2 2 2" xfId="31053" xr:uid="{00000000-0005-0000-0000-00008A6B0000}"/>
    <cellStyle name="40% - Accent5 3 15 2 3" xfId="31054" xr:uid="{00000000-0005-0000-0000-00008B6B0000}"/>
    <cellStyle name="40% - Accent5 3 15 3" xfId="31055" xr:uid="{00000000-0005-0000-0000-00008C6B0000}"/>
    <cellStyle name="40% - Accent5 3 15 3 2" xfId="31056" xr:uid="{00000000-0005-0000-0000-00008D6B0000}"/>
    <cellStyle name="40% - Accent5 3 15 4" xfId="31057" xr:uid="{00000000-0005-0000-0000-00008E6B0000}"/>
    <cellStyle name="40% - Accent5 3 16" xfId="31058" xr:uid="{00000000-0005-0000-0000-00008F6B0000}"/>
    <cellStyle name="40% - Accent5 3 16 2" xfId="31059" xr:uid="{00000000-0005-0000-0000-0000906B0000}"/>
    <cellStyle name="40% - Accent5 3 16 2 2" xfId="31060" xr:uid="{00000000-0005-0000-0000-0000916B0000}"/>
    <cellStyle name="40% - Accent5 3 16 3" xfId="31061" xr:uid="{00000000-0005-0000-0000-0000926B0000}"/>
    <cellStyle name="40% - Accent5 3 2" xfId="31062" xr:uid="{00000000-0005-0000-0000-0000936B0000}"/>
    <cellStyle name="40% - Accent5 3 2 10" xfId="31063" xr:uid="{00000000-0005-0000-0000-0000946B0000}"/>
    <cellStyle name="40% - Accent5 3 2 11" xfId="31064" xr:uid="{00000000-0005-0000-0000-0000956B0000}"/>
    <cellStyle name="40% - Accent5 3 2 2" xfId="31065" xr:uid="{00000000-0005-0000-0000-0000966B0000}"/>
    <cellStyle name="40% - Accent5 3 2 2 2" xfId="31066" xr:uid="{00000000-0005-0000-0000-0000976B0000}"/>
    <cellStyle name="40% - Accent5 3 2 2 2 2" xfId="31067" xr:uid="{00000000-0005-0000-0000-0000986B0000}"/>
    <cellStyle name="40% - Accent5 3 2 2 2 2 2" xfId="31068" xr:uid="{00000000-0005-0000-0000-0000996B0000}"/>
    <cellStyle name="40% - Accent5 3 2 2 2 2 2 2" xfId="31069" xr:uid="{00000000-0005-0000-0000-00009A6B0000}"/>
    <cellStyle name="40% - Accent5 3 2 2 2 2 3" xfId="31070" xr:uid="{00000000-0005-0000-0000-00009B6B0000}"/>
    <cellStyle name="40% - Accent5 3 2 2 2 3" xfId="31071" xr:uid="{00000000-0005-0000-0000-00009C6B0000}"/>
    <cellStyle name="40% - Accent5 3 2 2 2 3 2" xfId="31072" xr:uid="{00000000-0005-0000-0000-00009D6B0000}"/>
    <cellStyle name="40% - Accent5 3 2 2 2 4" xfId="31073" xr:uid="{00000000-0005-0000-0000-00009E6B0000}"/>
    <cellStyle name="40% - Accent5 3 2 2 2 5" xfId="31074" xr:uid="{00000000-0005-0000-0000-00009F6B0000}"/>
    <cellStyle name="40% - Accent5 3 2 2 2 6" xfId="31075" xr:uid="{00000000-0005-0000-0000-0000A06B0000}"/>
    <cellStyle name="40% - Accent5 3 2 2 3" xfId="31076" xr:uid="{00000000-0005-0000-0000-0000A16B0000}"/>
    <cellStyle name="40% - Accent5 3 2 2 3 2" xfId="31077" xr:uid="{00000000-0005-0000-0000-0000A26B0000}"/>
    <cellStyle name="40% - Accent5 3 2 2 3 2 2" xfId="31078" xr:uid="{00000000-0005-0000-0000-0000A36B0000}"/>
    <cellStyle name="40% - Accent5 3 2 2 3 3" xfId="31079" xr:uid="{00000000-0005-0000-0000-0000A46B0000}"/>
    <cellStyle name="40% - Accent5 3 2 2 4" xfId="31080" xr:uid="{00000000-0005-0000-0000-0000A56B0000}"/>
    <cellStyle name="40% - Accent5 3 2 2 4 2" xfId="31081" xr:uid="{00000000-0005-0000-0000-0000A66B0000}"/>
    <cellStyle name="40% - Accent5 3 2 2 5" xfId="31082" xr:uid="{00000000-0005-0000-0000-0000A76B0000}"/>
    <cellStyle name="40% - Accent5 3 2 2 5 2" xfId="31083" xr:uid="{00000000-0005-0000-0000-0000A86B0000}"/>
    <cellStyle name="40% - Accent5 3 2 2 6" xfId="31084" xr:uid="{00000000-0005-0000-0000-0000A96B0000}"/>
    <cellStyle name="40% - Accent5 3 2 2 7" xfId="31085" xr:uid="{00000000-0005-0000-0000-0000AA6B0000}"/>
    <cellStyle name="40% - Accent5 3 2 2 8" xfId="31086" xr:uid="{00000000-0005-0000-0000-0000AB6B0000}"/>
    <cellStyle name="40% - Accent5 3 2 3" xfId="31087" xr:uid="{00000000-0005-0000-0000-0000AC6B0000}"/>
    <cellStyle name="40% - Accent5 3 2 3 2" xfId="31088" xr:uid="{00000000-0005-0000-0000-0000AD6B0000}"/>
    <cellStyle name="40% - Accent5 3 2 3 2 2" xfId="31089" xr:uid="{00000000-0005-0000-0000-0000AE6B0000}"/>
    <cellStyle name="40% - Accent5 3 2 3 2 2 2" xfId="31090" xr:uid="{00000000-0005-0000-0000-0000AF6B0000}"/>
    <cellStyle name="40% - Accent5 3 2 3 2 2 2 2" xfId="31091" xr:uid="{00000000-0005-0000-0000-0000B06B0000}"/>
    <cellStyle name="40% - Accent5 3 2 3 2 2 3" xfId="31092" xr:uid="{00000000-0005-0000-0000-0000B16B0000}"/>
    <cellStyle name="40% - Accent5 3 2 3 2 3" xfId="31093" xr:uid="{00000000-0005-0000-0000-0000B26B0000}"/>
    <cellStyle name="40% - Accent5 3 2 3 2 3 2" xfId="31094" xr:uid="{00000000-0005-0000-0000-0000B36B0000}"/>
    <cellStyle name="40% - Accent5 3 2 3 2 4" xfId="31095" xr:uid="{00000000-0005-0000-0000-0000B46B0000}"/>
    <cellStyle name="40% - Accent5 3 2 3 2 5" xfId="31096" xr:uid="{00000000-0005-0000-0000-0000B56B0000}"/>
    <cellStyle name="40% - Accent5 3 2 3 2 6" xfId="31097" xr:uid="{00000000-0005-0000-0000-0000B66B0000}"/>
    <cellStyle name="40% - Accent5 3 2 3 3" xfId="31098" xr:uid="{00000000-0005-0000-0000-0000B76B0000}"/>
    <cellStyle name="40% - Accent5 3 2 3 3 2" xfId="31099" xr:uid="{00000000-0005-0000-0000-0000B86B0000}"/>
    <cellStyle name="40% - Accent5 3 2 3 3 2 2" xfId="31100" xr:uid="{00000000-0005-0000-0000-0000B96B0000}"/>
    <cellStyle name="40% - Accent5 3 2 3 3 3" xfId="31101" xr:uid="{00000000-0005-0000-0000-0000BA6B0000}"/>
    <cellStyle name="40% - Accent5 3 2 3 4" xfId="31102" xr:uid="{00000000-0005-0000-0000-0000BB6B0000}"/>
    <cellStyle name="40% - Accent5 3 2 3 4 2" xfId="31103" xr:uid="{00000000-0005-0000-0000-0000BC6B0000}"/>
    <cellStyle name="40% - Accent5 3 2 3 5" xfId="31104" xr:uid="{00000000-0005-0000-0000-0000BD6B0000}"/>
    <cellStyle name="40% - Accent5 3 2 3 6" xfId="31105" xr:uid="{00000000-0005-0000-0000-0000BE6B0000}"/>
    <cellStyle name="40% - Accent5 3 2 3 7" xfId="31106" xr:uid="{00000000-0005-0000-0000-0000BF6B0000}"/>
    <cellStyle name="40% - Accent5 3 2 4" xfId="31107" xr:uid="{00000000-0005-0000-0000-0000C06B0000}"/>
    <cellStyle name="40% - Accent5 3 2 4 2" xfId="31108" xr:uid="{00000000-0005-0000-0000-0000C16B0000}"/>
    <cellStyle name="40% - Accent5 3 2 4 2 2" xfId="31109" xr:uid="{00000000-0005-0000-0000-0000C26B0000}"/>
    <cellStyle name="40% - Accent5 3 2 4 2 2 2" xfId="31110" xr:uid="{00000000-0005-0000-0000-0000C36B0000}"/>
    <cellStyle name="40% - Accent5 3 2 4 2 3" xfId="31111" xr:uid="{00000000-0005-0000-0000-0000C46B0000}"/>
    <cellStyle name="40% - Accent5 3 2 4 3" xfId="31112" xr:uid="{00000000-0005-0000-0000-0000C56B0000}"/>
    <cellStyle name="40% - Accent5 3 2 4 3 2" xfId="31113" xr:uid="{00000000-0005-0000-0000-0000C66B0000}"/>
    <cellStyle name="40% - Accent5 3 2 4 4" xfId="31114" xr:uid="{00000000-0005-0000-0000-0000C76B0000}"/>
    <cellStyle name="40% - Accent5 3 2 4 5" xfId="31115" xr:uid="{00000000-0005-0000-0000-0000C86B0000}"/>
    <cellStyle name="40% - Accent5 3 2 4 6" xfId="31116" xr:uid="{00000000-0005-0000-0000-0000C96B0000}"/>
    <cellStyle name="40% - Accent5 3 2 5" xfId="31117" xr:uid="{00000000-0005-0000-0000-0000CA6B0000}"/>
    <cellStyle name="40% - Accent5 3 2 5 2" xfId="31118" xr:uid="{00000000-0005-0000-0000-0000CB6B0000}"/>
    <cellStyle name="40% - Accent5 3 2 5 2 2" xfId="31119" xr:uid="{00000000-0005-0000-0000-0000CC6B0000}"/>
    <cellStyle name="40% - Accent5 3 2 5 3" xfId="31120" xr:uid="{00000000-0005-0000-0000-0000CD6B0000}"/>
    <cellStyle name="40% - Accent5 3 2 6" xfId="31121" xr:uid="{00000000-0005-0000-0000-0000CE6B0000}"/>
    <cellStyle name="40% - Accent5 3 2 6 2" xfId="31122" xr:uid="{00000000-0005-0000-0000-0000CF6B0000}"/>
    <cellStyle name="40% - Accent5 3 2 6 2 2" xfId="31123" xr:uid="{00000000-0005-0000-0000-0000D06B0000}"/>
    <cellStyle name="40% - Accent5 3 2 6 3" xfId="31124" xr:uid="{00000000-0005-0000-0000-0000D16B0000}"/>
    <cellStyle name="40% - Accent5 3 2 7" xfId="31125" xr:uid="{00000000-0005-0000-0000-0000D26B0000}"/>
    <cellStyle name="40% - Accent5 3 2 7 2" xfId="31126" xr:uid="{00000000-0005-0000-0000-0000D36B0000}"/>
    <cellStyle name="40% - Accent5 3 2 8" xfId="31127" xr:uid="{00000000-0005-0000-0000-0000D46B0000}"/>
    <cellStyle name="40% - Accent5 3 2 8 2" xfId="31128" xr:uid="{00000000-0005-0000-0000-0000D56B0000}"/>
    <cellStyle name="40% - Accent5 3 2 9" xfId="31129" xr:uid="{00000000-0005-0000-0000-0000D66B0000}"/>
    <cellStyle name="40% - Accent5 3 3" xfId="31130" xr:uid="{00000000-0005-0000-0000-0000D76B0000}"/>
    <cellStyle name="40% - Accent5 3 3 10" xfId="31131" xr:uid="{00000000-0005-0000-0000-0000D86B0000}"/>
    <cellStyle name="40% - Accent5 3 3 11" xfId="31132" xr:uid="{00000000-0005-0000-0000-0000D96B0000}"/>
    <cellStyle name="40% - Accent5 3 3 2" xfId="31133" xr:uid="{00000000-0005-0000-0000-0000DA6B0000}"/>
    <cellStyle name="40% - Accent5 3 3 2 2" xfId="31134" xr:uid="{00000000-0005-0000-0000-0000DB6B0000}"/>
    <cellStyle name="40% - Accent5 3 3 2 2 2" xfId="31135" xr:uid="{00000000-0005-0000-0000-0000DC6B0000}"/>
    <cellStyle name="40% - Accent5 3 3 2 2 2 2" xfId="31136" xr:uid="{00000000-0005-0000-0000-0000DD6B0000}"/>
    <cellStyle name="40% - Accent5 3 3 2 2 2 2 2" xfId="31137" xr:uid="{00000000-0005-0000-0000-0000DE6B0000}"/>
    <cellStyle name="40% - Accent5 3 3 2 2 2 3" xfId="31138" xr:uid="{00000000-0005-0000-0000-0000DF6B0000}"/>
    <cellStyle name="40% - Accent5 3 3 2 2 3" xfId="31139" xr:uid="{00000000-0005-0000-0000-0000E06B0000}"/>
    <cellStyle name="40% - Accent5 3 3 2 2 3 2" xfId="31140" xr:uid="{00000000-0005-0000-0000-0000E16B0000}"/>
    <cellStyle name="40% - Accent5 3 3 2 2 4" xfId="31141" xr:uid="{00000000-0005-0000-0000-0000E26B0000}"/>
    <cellStyle name="40% - Accent5 3 3 2 2 5" xfId="31142" xr:uid="{00000000-0005-0000-0000-0000E36B0000}"/>
    <cellStyle name="40% - Accent5 3 3 2 2 6" xfId="31143" xr:uid="{00000000-0005-0000-0000-0000E46B0000}"/>
    <cellStyle name="40% - Accent5 3 3 2 3" xfId="31144" xr:uid="{00000000-0005-0000-0000-0000E56B0000}"/>
    <cellStyle name="40% - Accent5 3 3 2 3 2" xfId="31145" xr:uid="{00000000-0005-0000-0000-0000E66B0000}"/>
    <cellStyle name="40% - Accent5 3 3 2 3 2 2" xfId="31146" xr:uid="{00000000-0005-0000-0000-0000E76B0000}"/>
    <cellStyle name="40% - Accent5 3 3 2 3 3" xfId="31147" xr:uid="{00000000-0005-0000-0000-0000E86B0000}"/>
    <cellStyle name="40% - Accent5 3 3 2 4" xfId="31148" xr:uid="{00000000-0005-0000-0000-0000E96B0000}"/>
    <cellStyle name="40% - Accent5 3 3 2 4 2" xfId="31149" xr:uid="{00000000-0005-0000-0000-0000EA6B0000}"/>
    <cellStyle name="40% - Accent5 3 3 2 5" xfId="31150" xr:uid="{00000000-0005-0000-0000-0000EB6B0000}"/>
    <cellStyle name="40% - Accent5 3 3 2 5 2" xfId="31151" xr:uid="{00000000-0005-0000-0000-0000EC6B0000}"/>
    <cellStyle name="40% - Accent5 3 3 2 6" xfId="31152" xr:uid="{00000000-0005-0000-0000-0000ED6B0000}"/>
    <cellStyle name="40% - Accent5 3 3 2 7" xfId="31153" xr:uid="{00000000-0005-0000-0000-0000EE6B0000}"/>
    <cellStyle name="40% - Accent5 3 3 2 8" xfId="31154" xr:uid="{00000000-0005-0000-0000-0000EF6B0000}"/>
    <cellStyle name="40% - Accent5 3 3 3" xfId="31155" xr:uid="{00000000-0005-0000-0000-0000F06B0000}"/>
    <cellStyle name="40% - Accent5 3 3 3 2" xfId="31156" xr:uid="{00000000-0005-0000-0000-0000F16B0000}"/>
    <cellStyle name="40% - Accent5 3 3 3 2 2" xfId="31157" xr:uid="{00000000-0005-0000-0000-0000F26B0000}"/>
    <cellStyle name="40% - Accent5 3 3 3 2 2 2" xfId="31158" xr:uid="{00000000-0005-0000-0000-0000F36B0000}"/>
    <cellStyle name="40% - Accent5 3 3 3 2 2 2 2" xfId="31159" xr:uid="{00000000-0005-0000-0000-0000F46B0000}"/>
    <cellStyle name="40% - Accent5 3 3 3 2 2 3" xfId="31160" xr:uid="{00000000-0005-0000-0000-0000F56B0000}"/>
    <cellStyle name="40% - Accent5 3 3 3 2 3" xfId="31161" xr:uid="{00000000-0005-0000-0000-0000F66B0000}"/>
    <cellStyle name="40% - Accent5 3 3 3 2 3 2" xfId="31162" xr:uid="{00000000-0005-0000-0000-0000F76B0000}"/>
    <cellStyle name="40% - Accent5 3 3 3 2 4" xfId="31163" xr:uid="{00000000-0005-0000-0000-0000F86B0000}"/>
    <cellStyle name="40% - Accent5 3 3 3 2 5" xfId="31164" xr:uid="{00000000-0005-0000-0000-0000F96B0000}"/>
    <cellStyle name="40% - Accent5 3 3 3 2 6" xfId="31165" xr:uid="{00000000-0005-0000-0000-0000FA6B0000}"/>
    <cellStyle name="40% - Accent5 3 3 3 3" xfId="31166" xr:uid="{00000000-0005-0000-0000-0000FB6B0000}"/>
    <cellStyle name="40% - Accent5 3 3 3 3 2" xfId="31167" xr:uid="{00000000-0005-0000-0000-0000FC6B0000}"/>
    <cellStyle name="40% - Accent5 3 3 3 3 2 2" xfId="31168" xr:uid="{00000000-0005-0000-0000-0000FD6B0000}"/>
    <cellStyle name="40% - Accent5 3 3 3 3 3" xfId="31169" xr:uid="{00000000-0005-0000-0000-0000FE6B0000}"/>
    <cellStyle name="40% - Accent5 3 3 3 4" xfId="31170" xr:uid="{00000000-0005-0000-0000-0000FF6B0000}"/>
    <cellStyle name="40% - Accent5 3 3 3 4 2" xfId="31171" xr:uid="{00000000-0005-0000-0000-0000006C0000}"/>
    <cellStyle name="40% - Accent5 3 3 3 5" xfId="31172" xr:uid="{00000000-0005-0000-0000-0000016C0000}"/>
    <cellStyle name="40% - Accent5 3 3 3 6" xfId="31173" xr:uid="{00000000-0005-0000-0000-0000026C0000}"/>
    <cellStyle name="40% - Accent5 3 3 3 7" xfId="31174" xr:uid="{00000000-0005-0000-0000-0000036C0000}"/>
    <cellStyle name="40% - Accent5 3 3 4" xfId="31175" xr:uid="{00000000-0005-0000-0000-0000046C0000}"/>
    <cellStyle name="40% - Accent5 3 3 4 2" xfId="31176" xr:uid="{00000000-0005-0000-0000-0000056C0000}"/>
    <cellStyle name="40% - Accent5 3 3 4 2 2" xfId="31177" xr:uid="{00000000-0005-0000-0000-0000066C0000}"/>
    <cellStyle name="40% - Accent5 3 3 4 2 2 2" xfId="31178" xr:uid="{00000000-0005-0000-0000-0000076C0000}"/>
    <cellStyle name="40% - Accent5 3 3 4 2 3" xfId="31179" xr:uid="{00000000-0005-0000-0000-0000086C0000}"/>
    <cellStyle name="40% - Accent5 3 3 4 3" xfId="31180" xr:uid="{00000000-0005-0000-0000-0000096C0000}"/>
    <cellStyle name="40% - Accent5 3 3 4 3 2" xfId="31181" xr:uid="{00000000-0005-0000-0000-00000A6C0000}"/>
    <cellStyle name="40% - Accent5 3 3 4 4" xfId="31182" xr:uid="{00000000-0005-0000-0000-00000B6C0000}"/>
    <cellStyle name="40% - Accent5 3 3 4 5" xfId="31183" xr:uid="{00000000-0005-0000-0000-00000C6C0000}"/>
    <cellStyle name="40% - Accent5 3 3 4 6" xfId="31184" xr:uid="{00000000-0005-0000-0000-00000D6C0000}"/>
    <cellStyle name="40% - Accent5 3 3 5" xfId="31185" xr:uid="{00000000-0005-0000-0000-00000E6C0000}"/>
    <cellStyle name="40% - Accent5 3 3 5 2" xfId="31186" xr:uid="{00000000-0005-0000-0000-00000F6C0000}"/>
    <cellStyle name="40% - Accent5 3 3 5 2 2" xfId="31187" xr:uid="{00000000-0005-0000-0000-0000106C0000}"/>
    <cellStyle name="40% - Accent5 3 3 5 3" xfId="31188" xr:uid="{00000000-0005-0000-0000-0000116C0000}"/>
    <cellStyle name="40% - Accent5 3 3 6" xfId="31189" xr:uid="{00000000-0005-0000-0000-0000126C0000}"/>
    <cellStyle name="40% - Accent5 3 3 6 2" xfId="31190" xr:uid="{00000000-0005-0000-0000-0000136C0000}"/>
    <cellStyle name="40% - Accent5 3 3 6 2 2" xfId="31191" xr:uid="{00000000-0005-0000-0000-0000146C0000}"/>
    <cellStyle name="40% - Accent5 3 3 6 3" xfId="31192" xr:uid="{00000000-0005-0000-0000-0000156C0000}"/>
    <cellStyle name="40% - Accent5 3 3 7" xfId="31193" xr:uid="{00000000-0005-0000-0000-0000166C0000}"/>
    <cellStyle name="40% - Accent5 3 3 7 2" xfId="31194" xr:uid="{00000000-0005-0000-0000-0000176C0000}"/>
    <cellStyle name="40% - Accent5 3 3 8" xfId="31195" xr:uid="{00000000-0005-0000-0000-0000186C0000}"/>
    <cellStyle name="40% - Accent5 3 3 8 2" xfId="31196" xr:uid="{00000000-0005-0000-0000-0000196C0000}"/>
    <cellStyle name="40% - Accent5 3 3 9" xfId="31197" xr:uid="{00000000-0005-0000-0000-00001A6C0000}"/>
    <cellStyle name="40% - Accent5 3 4" xfId="31198" xr:uid="{00000000-0005-0000-0000-00001B6C0000}"/>
    <cellStyle name="40% - Accent5 3 4 10" xfId="31199" xr:uid="{00000000-0005-0000-0000-00001C6C0000}"/>
    <cellStyle name="40% - Accent5 3 4 11" xfId="31200" xr:uid="{00000000-0005-0000-0000-00001D6C0000}"/>
    <cellStyle name="40% - Accent5 3 4 2" xfId="31201" xr:uid="{00000000-0005-0000-0000-00001E6C0000}"/>
    <cellStyle name="40% - Accent5 3 4 2 2" xfId="31202" xr:uid="{00000000-0005-0000-0000-00001F6C0000}"/>
    <cellStyle name="40% - Accent5 3 4 2 2 2" xfId="31203" xr:uid="{00000000-0005-0000-0000-0000206C0000}"/>
    <cellStyle name="40% - Accent5 3 4 2 2 2 2" xfId="31204" xr:uid="{00000000-0005-0000-0000-0000216C0000}"/>
    <cellStyle name="40% - Accent5 3 4 2 2 2 2 2" xfId="31205" xr:uid="{00000000-0005-0000-0000-0000226C0000}"/>
    <cellStyle name="40% - Accent5 3 4 2 2 2 3" xfId="31206" xr:uid="{00000000-0005-0000-0000-0000236C0000}"/>
    <cellStyle name="40% - Accent5 3 4 2 2 3" xfId="31207" xr:uid="{00000000-0005-0000-0000-0000246C0000}"/>
    <cellStyle name="40% - Accent5 3 4 2 2 3 2" xfId="31208" xr:uid="{00000000-0005-0000-0000-0000256C0000}"/>
    <cellStyle name="40% - Accent5 3 4 2 2 4" xfId="31209" xr:uid="{00000000-0005-0000-0000-0000266C0000}"/>
    <cellStyle name="40% - Accent5 3 4 2 2 5" xfId="31210" xr:uid="{00000000-0005-0000-0000-0000276C0000}"/>
    <cellStyle name="40% - Accent5 3 4 2 2 6" xfId="31211" xr:uid="{00000000-0005-0000-0000-0000286C0000}"/>
    <cellStyle name="40% - Accent5 3 4 2 3" xfId="31212" xr:uid="{00000000-0005-0000-0000-0000296C0000}"/>
    <cellStyle name="40% - Accent5 3 4 2 3 2" xfId="31213" xr:uid="{00000000-0005-0000-0000-00002A6C0000}"/>
    <cellStyle name="40% - Accent5 3 4 2 3 2 2" xfId="31214" xr:uid="{00000000-0005-0000-0000-00002B6C0000}"/>
    <cellStyle name="40% - Accent5 3 4 2 3 3" xfId="31215" xr:uid="{00000000-0005-0000-0000-00002C6C0000}"/>
    <cellStyle name="40% - Accent5 3 4 2 4" xfId="31216" xr:uid="{00000000-0005-0000-0000-00002D6C0000}"/>
    <cellStyle name="40% - Accent5 3 4 2 4 2" xfId="31217" xr:uid="{00000000-0005-0000-0000-00002E6C0000}"/>
    <cellStyle name="40% - Accent5 3 4 2 5" xfId="31218" xr:uid="{00000000-0005-0000-0000-00002F6C0000}"/>
    <cellStyle name="40% - Accent5 3 4 2 5 2" xfId="31219" xr:uid="{00000000-0005-0000-0000-0000306C0000}"/>
    <cellStyle name="40% - Accent5 3 4 2 6" xfId="31220" xr:uid="{00000000-0005-0000-0000-0000316C0000}"/>
    <cellStyle name="40% - Accent5 3 4 2 7" xfId="31221" xr:uid="{00000000-0005-0000-0000-0000326C0000}"/>
    <cellStyle name="40% - Accent5 3 4 2 8" xfId="31222" xr:uid="{00000000-0005-0000-0000-0000336C0000}"/>
    <cellStyle name="40% - Accent5 3 4 3" xfId="31223" xr:uid="{00000000-0005-0000-0000-0000346C0000}"/>
    <cellStyle name="40% - Accent5 3 4 3 2" xfId="31224" xr:uid="{00000000-0005-0000-0000-0000356C0000}"/>
    <cellStyle name="40% - Accent5 3 4 3 2 2" xfId="31225" xr:uid="{00000000-0005-0000-0000-0000366C0000}"/>
    <cellStyle name="40% - Accent5 3 4 3 2 2 2" xfId="31226" xr:uid="{00000000-0005-0000-0000-0000376C0000}"/>
    <cellStyle name="40% - Accent5 3 4 3 2 2 2 2" xfId="31227" xr:uid="{00000000-0005-0000-0000-0000386C0000}"/>
    <cellStyle name="40% - Accent5 3 4 3 2 2 3" xfId="31228" xr:uid="{00000000-0005-0000-0000-0000396C0000}"/>
    <cellStyle name="40% - Accent5 3 4 3 2 3" xfId="31229" xr:uid="{00000000-0005-0000-0000-00003A6C0000}"/>
    <cellStyle name="40% - Accent5 3 4 3 2 3 2" xfId="31230" xr:uid="{00000000-0005-0000-0000-00003B6C0000}"/>
    <cellStyle name="40% - Accent5 3 4 3 2 4" xfId="31231" xr:uid="{00000000-0005-0000-0000-00003C6C0000}"/>
    <cellStyle name="40% - Accent5 3 4 3 2 5" xfId="31232" xr:uid="{00000000-0005-0000-0000-00003D6C0000}"/>
    <cellStyle name="40% - Accent5 3 4 3 2 6" xfId="31233" xr:uid="{00000000-0005-0000-0000-00003E6C0000}"/>
    <cellStyle name="40% - Accent5 3 4 3 3" xfId="31234" xr:uid="{00000000-0005-0000-0000-00003F6C0000}"/>
    <cellStyle name="40% - Accent5 3 4 3 3 2" xfId="31235" xr:uid="{00000000-0005-0000-0000-0000406C0000}"/>
    <cellStyle name="40% - Accent5 3 4 3 3 2 2" xfId="31236" xr:uid="{00000000-0005-0000-0000-0000416C0000}"/>
    <cellStyle name="40% - Accent5 3 4 3 3 3" xfId="31237" xr:uid="{00000000-0005-0000-0000-0000426C0000}"/>
    <cellStyle name="40% - Accent5 3 4 3 4" xfId="31238" xr:uid="{00000000-0005-0000-0000-0000436C0000}"/>
    <cellStyle name="40% - Accent5 3 4 3 4 2" xfId="31239" xr:uid="{00000000-0005-0000-0000-0000446C0000}"/>
    <cellStyle name="40% - Accent5 3 4 3 5" xfId="31240" xr:uid="{00000000-0005-0000-0000-0000456C0000}"/>
    <cellStyle name="40% - Accent5 3 4 3 6" xfId="31241" xr:uid="{00000000-0005-0000-0000-0000466C0000}"/>
    <cellStyle name="40% - Accent5 3 4 3 7" xfId="31242" xr:uid="{00000000-0005-0000-0000-0000476C0000}"/>
    <cellStyle name="40% - Accent5 3 4 4" xfId="31243" xr:uid="{00000000-0005-0000-0000-0000486C0000}"/>
    <cellStyle name="40% - Accent5 3 4 4 2" xfId="31244" xr:uid="{00000000-0005-0000-0000-0000496C0000}"/>
    <cellStyle name="40% - Accent5 3 4 4 2 2" xfId="31245" xr:uid="{00000000-0005-0000-0000-00004A6C0000}"/>
    <cellStyle name="40% - Accent5 3 4 4 2 2 2" xfId="31246" xr:uid="{00000000-0005-0000-0000-00004B6C0000}"/>
    <cellStyle name="40% - Accent5 3 4 4 2 3" xfId="31247" xr:uid="{00000000-0005-0000-0000-00004C6C0000}"/>
    <cellStyle name="40% - Accent5 3 4 4 3" xfId="31248" xr:uid="{00000000-0005-0000-0000-00004D6C0000}"/>
    <cellStyle name="40% - Accent5 3 4 4 3 2" xfId="31249" xr:uid="{00000000-0005-0000-0000-00004E6C0000}"/>
    <cellStyle name="40% - Accent5 3 4 4 4" xfId="31250" xr:uid="{00000000-0005-0000-0000-00004F6C0000}"/>
    <cellStyle name="40% - Accent5 3 4 4 5" xfId="31251" xr:uid="{00000000-0005-0000-0000-0000506C0000}"/>
    <cellStyle name="40% - Accent5 3 4 4 6" xfId="31252" xr:uid="{00000000-0005-0000-0000-0000516C0000}"/>
    <cellStyle name="40% - Accent5 3 4 5" xfId="31253" xr:uid="{00000000-0005-0000-0000-0000526C0000}"/>
    <cellStyle name="40% - Accent5 3 4 5 2" xfId="31254" xr:uid="{00000000-0005-0000-0000-0000536C0000}"/>
    <cellStyle name="40% - Accent5 3 4 5 2 2" xfId="31255" xr:uid="{00000000-0005-0000-0000-0000546C0000}"/>
    <cellStyle name="40% - Accent5 3 4 5 3" xfId="31256" xr:uid="{00000000-0005-0000-0000-0000556C0000}"/>
    <cellStyle name="40% - Accent5 3 4 6" xfId="31257" xr:uid="{00000000-0005-0000-0000-0000566C0000}"/>
    <cellStyle name="40% - Accent5 3 4 6 2" xfId="31258" xr:uid="{00000000-0005-0000-0000-0000576C0000}"/>
    <cellStyle name="40% - Accent5 3 4 6 2 2" xfId="31259" xr:uid="{00000000-0005-0000-0000-0000586C0000}"/>
    <cellStyle name="40% - Accent5 3 4 6 3" xfId="31260" xr:uid="{00000000-0005-0000-0000-0000596C0000}"/>
    <cellStyle name="40% - Accent5 3 4 7" xfId="31261" xr:uid="{00000000-0005-0000-0000-00005A6C0000}"/>
    <cellStyle name="40% - Accent5 3 4 7 2" xfId="31262" xr:uid="{00000000-0005-0000-0000-00005B6C0000}"/>
    <cellStyle name="40% - Accent5 3 4 8" xfId="31263" xr:uid="{00000000-0005-0000-0000-00005C6C0000}"/>
    <cellStyle name="40% - Accent5 3 4 8 2" xfId="31264" xr:uid="{00000000-0005-0000-0000-00005D6C0000}"/>
    <cellStyle name="40% - Accent5 3 4 9" xfId="31265" xr:uid="{00000000-0005-0000-0000-00005E6C0000}"/>
    <cellStyle name="40% - Accent5 3 5" xfId="31266" xr:uid="{00000000-0005-0000-0000-00005F6C0000}"/>
    <cellStyle name="40% - Accent5 3 5 10" xfId="31267" xr:uid="{00000000-0005-0000-0000-0000606C0000}"/>
    <cellStyle name="40% - Accent5 3 5 11" xfId="31268" xr:uid="{00000000-0005-0000-0000-0000616C0000}"/>
    <cellStyle name="40% - Accent5 3 5 2" xfId="31269" xr:uid="{00000000-0005-0000-0000-0000626C0000}"/>
    <cellStyle name="40% - Accent5 3 5 2 2" xfId="31270" xr:uid="{00000000-0005-0000-0000-0000636C0000}"/>
    <cellStyle name="40% - Accent5 3 5 2 2 2" xfId="31271" xr:uid="{00000000-0005-0000-0000-0000646C0000}"/>
    <cellStyle name="40% - Accent5 3 5 2 2 2 2" xfId="31272" xr:uid="{00000000-0005-0000-0000-0000656C0000}"/>
    <cellStyle name="40% - Accent5 3 5 2 2 2 2 2" xfId="31273" xr:uid="{00000000-0005-0000-0000-0000666C0000}"/>
    <cellStyle name="40% - Accent5 3 5 2 2 2 3" xfId="31274" xr:uid="{00000000-0005-0000-0000-0000676C0000}"/>
    <cellStyle name="40% - Accent5 3 5 2 2 3" xfId="31275" xr:uid="{00000000-0005-0000-0000-0000686C0000}"/>
    <cellStyle name="40% - Accent5 3 5 2 2 3 2" xfId="31276" xr:uid="{00000000-0005-0000-0000-0000696C0000}"/>
    <cellStyle name="40% - Accent5 3 5 2 2 4" xfId="31277" xr:uid="{00000000-0005-0000-0000-00006A6C0000}"/>
    <cellStyle name="40% - Accent5 3 5 2 2 5" xfId="31278" xr:uid="{00000000-0005-0000-0000-00006B6C0000}"/>
    <cellStyle name="40% - Accent5 3 5 2 2 6" xfId="31279" xr:uid="{00000000-0005-0000-0000-00006C6C0000}"/>
    <cellStyle name="40% - Accent5 3 5 2 3" xfId="31280" xr:uid="{00000000-0005-0000-0000-00006D6C0000}"/>
    <cellStyle name="40% - Accent5 3 5 2 3 2" xfId="31281" xr:uid="{00000000-0005-0000-0000-00006E6C0000}"/>
    <cellStyle name="40% - Accent5 3 5 2 3 2 2" xfId="31282" xr:uid="{00000000-0005-0000-0000-00006F6C0000}"/>
    <cellStyle name="40% - Accent5 3 5 2 3 3" xfId="31283" xr:uid="{00000000-0005-0000-0000-0000706C0000}"/>
    <cellStyle name="40% - Accent5 3 5 2 4" xfId="31284" xr:uid="{00000000-0005-0000-0000-0000716C0000}"/>
    <cellStyle name="40% - Accent5 3 5 2 4 2" xfId="31285" xr:uid="{00000000-0005-0000-0000-0000726C0000}"/>
    <cellStyle name="40% - Accent5 3 5 2 5" xfId="31286" xr:uid="{00000000-0005-0000-0000-0000736C0000}"/>
    <cellStyle name="40% - Accent5 3 5 2 5 2" xfId="31287" xr:uid="{00000000-0005-0000-0000-0000746C0000}"/>
    <cellStyle name="40% - Accent5 3 5 2 6" xfId="31288" xr:uid="{00000000-0005-0000-0000-0000756C0000}"/>
    <cellStyle name="40% - Accent5 3 5 2 7" xfId="31289" xr:uid="{00000000-0005-0000-0000-0000766C0000}"/>
    <cellStyle name="40% - Accent5 3 5 2 8" xfId="31290" xr:uid="{00000000-0005-0000-0000-0000776C0000}"/>
    <cellStyle name="40% - Accent5 3 5 3" xfId="31291" xr:uid="{00000000-0005-0000-0000-0000786C0000}"/>
    <cellStyle name="40% - Accent5 3 5 3 2" xfId="31292" xr:uid="{00000000-0005-0000-0000-0000796C0000}"/>
    <cellStyle name="40% - Accent5 3 5 3 2 2" xfId="31293" xr:uid="{00000000-0005-0000-0000-00007A6C0000}"/>
    <cellStyle name="40% - Accent5 3 5 3 2 2 2" xfId="31294" xr:uid="{00000000-0005-0000-0000-00007B6C0000}"/>
    <cellStyle name="40% - Accent5 3 5 3 2 2 2 2" xfId="31295" xr:uid="{00000000-0005-0000-0000-00007C6C0000}"/>
    <cellStyle name="40% - Accent5 3 5 3 2 2 3" xfId="31296" xr:uid="{00000000-0005-0000-0000-00007D6C0000}"/>
    <cellStyle name="40% - Accent5 3 5 3 2 3" xfId="31297" xr:uid="{00000000-0005-0000-0000-00007E6C0000}"/>
    <cellStyle name="40% - Accent5 3 5 3 2 3 2" xfId="31298" xr:uid="{00000000-0005-0000-0000-00007F6C0000}"/>
    <cellStyle name="40% - Accent5 3 5 3 2 4" xfId="31299" xr:uid="{00000000-0005-0000-0000-0000806C0000}"/>
    <cellStyle name="40% - Accent5 3 5 3 2 5" xfId="31300" xr:uid="{00000000-0005-0000-0000-0000816C0000}"/>
    <cellStyle name="40% - Accent5 3 5 3 2 6" xfId="31301" xr:uid="{00000000-0005-0000-0000-0000826C0000}"/>
    <cellStyle name="40% - Accent5 3 5 3 3" xfId="31302" xr:uid="{00000000-0005-0000-0000-0000836C0000}"/>
    <cellStyle name="40% - Accent5 3 5 3 3 2" xfId="31303" xr:uid="{00000000-0005-0000-0000-0000846C0000}"/>
    <cellStyle name="40% - Accent5 3 5 3 3 2 2" xfId="31304" xr:uid="{00000000-0005-0000-0000-0000856C0000}"/>
    <cellStyle name="40% - Accent5 3 5 3 3 3" xfId="31305" xr:uid="{00000000-0005-0000-0000-0000866C0000}"/>
    <cellStyle name="40% - Accent5 3 5 3 4" xfId="31306" xr:uid="{00000000-0005-0000-0000-0000876C0000}"/>
    <cellStyle name="40% - Accent5 3 5 3 4 2" xfId="31307" xr:uid="{00000000-0005-0000-0000-0000886C0000}"/>
    <cellStyle name="40% - Accent5 3 5 3 5" xfId="31308" xr:uid="{00000000-0005-0000-0000-0000896C0000}"/>
    <cellStyle name="40% - Accent5 3 5 3 6" xfId="31309" xr:uid="{00000000-0005-0000-0000-00008A6C0000}"/>
    <cellStyle name="40% - Accent5 3 5 3 7" xfId="31310" xr:uid="{00000000-0005-0000-0000-00008B6C0000}"/>
    <cellStyle name="40% - Accent5 3 5 4" xfId="31311" xr:uid="{00000000-0005-0000-0000-00008C6C0000}"/>
    <cellStyle name="40% - Accent5 3 5 4 2" xfId="31312" xr:uid="{00000000-0005-0000-0000-00008D6C0000}"/>
    <cellStyle name="40% - Accent5 3 5 4 2 2" xfId="31313" xr:uid="{00000000-0005-0000-0000-00008E6C0000}"/>
    <cellStyle name="40% - Accent5 3 5 4 2 2 2" xfId="31314" xr:uid="{00000000-0005-0000-0000-00008F6C0000}"/>
    <cellStyle name="40% - Accent5 3 5 4 2 3" xfId="31315" xr:uid="{00000000-0005-0000-0000-0000906C0000}"/>
    <cellStyle name="40% - Accent5 3 5 4 3" xfId="31316" xr:uid="{00000000-0005-0000-0000-0000916C0000}"/>
    <cellStyle name="40% - Accent5 3 5 4 3 2" xfId="31317" xr:uid="{00000000-0005-0000-0000-0000926C0000}"/>
    <cellStyle name="40% - Accent5 3 5 4 4" xfId="31318" xr:uid="{00000000-0005-0000-0000-0000936C0000}"/>
    <cellStyle name="40% - Accent5 3 5 4 5" xfId="31319" xr:uid="{00000000-0005-0000-0000-0000946C0000}"/>
    <cellStyle name="40% - Accent5 3 5 4 6" xfId="31320" xr:uid="{00000000-0005-0000-0000-0000956C0000}"/>
    <cellStyle name="40% - Accent5 3 5 5" xfId="31321" xr:uid="{00000000-0005-0000-0000-0000966C0000}"/>
    <cellStyle name="40% - Accent5 3 5 5 2" xfId="31322" xr:uid="{00000000-0005-0000-0000-0000976C0000}"/>
    <cellStyle name="40% - Accent5 3 5 5 2 2" xfId="31323" xr:uid="{00000000-0005-0000-0000-0000986C0000}"/>
    <cellStyle name="40% - Accent5 3 5 5 3" xfId="31324" xr:uid="{00000000-0005-0000-0000-0000996C0000}"/>
    <cellStyle name="40% - Accent5 3 5 6" xfId="31325" xr:uid="{00000000-0005-0000-0000-00009A6C0000}"/>
    <cellStyle name="40% - Accent5 3 5 6 2" xfId="31326" xr:uid="{00000000-0005-0000-0000-00009B6C0000}"/>
    <cellStyle name="40% - Accent5 3 5 6 2 2" xfId="31327" xr:uid="{00000000-0005-0000-0000-00009C6C0000}"/>
    <cellStyle name="40% - Accent5 3 5 6 3" xfId="31328" xr:uid="{00000000-0005-0000-0000-00009D6C0000}"/>
    <cellStyle name="40% - Accent5 3 5 7" xfId="31329" xr:uid="{00000000-0005-0000-0000-00009E6C0000}"/>
    <cellStyle name="40% - Accent5 3 5 7 2" xfId="31330" xr:uid="{00000000-0005-0000-0000-00009F6C0000}"/>
    <cellStyle name="40% - Accent5 3 5 8" xfId="31331" xr:uid="{00000000-0005-0000-0000-0000A06C0000}"/>
    <cellStyle name="40% - Accent5 3 5 8 2" xfId="31332" xr:uid="{00000000-0005-0000-0000-0000A16C0000}"/>
    <cellStyle name="40% - Accent5 3 5 9" xfId="31333" xr:uid="{00000000-0005-0000-0000-0000A26C0000}"/>
    <cellStyle name="40% - Accent5 3 6" xfId="31334" xr:uid="{00000000-0005-0000-0000-0000A36C0000}"/>
    <cellStyle name="40% - Accent5 3 6 10" xfId="31335" xr:uid="{00000000-0005-0000-0000-0000A46C0000}"/>
    <cellStyle name="40% - Accent5 3 6 11" xfId="31336" xr:uid="{00000000-0005-0000-0000-0000A56C0000}"/>
    <cellStyle name="40% - Accent5 3 6 2" xfId="31337" xr:uid="{00000000-0005-0000-0000-0000A66C0000}"/>
    <cellStyle name="40% - Accent5 3 6 2 2" xfId="31338" xr:uid="{00000000-0005-0000-0000-0000A76C0000}"/>
    <cellStyle name="40% - Accent5 3 6 2 2 2" xfId="31339" xr:uid="{00000000-0005-0000-0000-0000A86C0000}"/>
    <cellStyle name="40% - Accent5 3 6 2 2 2 2" xfId="31340" xr:uid="{00000000-0005-0000-0000-0000A96C0000}"/>
    <cellStyle name="40% - Accent5 3 6 2 2 2 2 2" xfId="31341" xr:uid="{00000000-0005-0000-0000-0000AA6C0000}"/>
    <cellStyle name="40% - Accent5 3 6 2 2 2 3" xfId="31342" xr:uid="{00000000-0005-0000-0000-0000AB6C0000}"/>
    <cellStyle name="40% - Accent5 3 6 2 2 3" xfId="31343" xr:uid="{00000000-0005-0000-0000-0000AC6C0000}"/>
    <cellStyle name="40% - Accent5 3 6 2 2 3 2" xfId="31344" xr:uid="{00000000-0005-0000-0000-0000AD6C0000}"/>
    <cellStyle name="40% - Accent5 3 6 2 2 4" xfId="31345" xr:uid="{00000000-0005-0000-0000-0000AE6C0000}"/>
    <cellStyle name="40% - Accent5 3 6 2 2 5" xfId="31346" xr:uid="{00000000-0005-0000-0000-0000AF6C0000}"/>
    <cellStyle name="40% - Accent5 3 6 2 2 6" xfId="31347" xr:uid="{00000000-0005-0000-0000-0000B06C0000}"/>
    <cellStyle name="40% - Accent5 3 6 2 3" xfId="31348" xr:uid="{00000000-0005-0000-0000-0000B16C0000}"/>
    <cellStyle name="40% - Accent5 3 6 2 3 2" xfId="31349" xr:uid="{00000000-0005-0000-0000-0000B26C0000}"/>
    <cellStyle name="40% - Accent5 3 6 2 3 2 2" xfId="31350" xr:uid="{00000000-0005-0000-0000-0000B36C0000}"/>
    <cellStyle name="40% - Accent5 3 6 2 3 3" xfId="31351" xr:uid="{00000000-0005-0000-0000-0000B46C0000}"/>
    <cellStyle name="40% - Accent5 3 6 2 4" xfId="31352" xr:uid="{00000000-0005-0000-0000-0000B56C0000}"/>
    <cellStyle name="40% - Accent5 3 6 2 4 2" xfId="31353" xr:uid="{00000000-0005-0000-0000-0000B66C0000}"/>
    <cellStyle name="40% - Accent5 3 6 2 5" xfId="31354" xr:uid="{00000000-0005-0000-0000-0000B76C0000}"/>
    <cellStyle name="40% - Accent5 3 6 2 5 2" xfId="31355" xr:uid="{00000000-0005-0000-0000-0000B86C0000}"/>
    <cellStyle name="40% - Accent5 3 6 2 6" xfId="31356" xr:uid="{00000000-0005-0000-0000-0000B96C0000}"/>
    <cellStyle name="40% - Accent5 3 6 2 7" xfId="31357" xr:uid="{00000000-0005-0000-0000-0000BA6C0000}"/>
    <cellStyle name="40% - Accent5 3 6 2 8" xfId="31358" xr:uid="{00000000-0005-0000-0000-0000BB6C0000}"/>
    <cellStyle name="40% - Accent5 3 6 3" xfId="31359" xr:uid="{00000000-0005-0000-0000-0000BC6C0000}"/>
    <cellStyle name="40% - Accent5 3 6 3 2" xfId="31360" xr:uid="{00000000-0005-0000-0000-0000BD6C0000}"/>
    <cellStyle name="40% - Accent5 3 6 3 2 2" xfId="31361" xr:uid="{00000000-0005-0000-0000-0000BE6C0000}"/>
    <cellStyle name="40% - Accent5 3 6 3 2 2 2" xfId="31362" xr:uid="{00000000-0005-0000-0000-0000BF6C0000}"/>
    <cellStyle name="40% - Accent5 3 6 3 2 2 2 2" xfId="31363" xr:uid="{00000000-0005-0000-0000-0000C06C0000}"/>
    <cellStyle name="40% - Accent5 3 6 3 2 2 3" xfId="31364" xr:uid="{00000000-0005-0000-0000-0000C16C0000}"/>
    <cellStyle name="40% - Accent5 3 6 3 2 3" xfId="31365" xr:uid="{00000000-0005-0000-0000-0000C26C0000}"/>
    <cellStyle name="40% - Accent5 3 6 3 2 3 2" xfId="31366" xr:uid="{00000000-0005-0000-0000-0000C36C0000}"/>
    <cellStyle name="40% - Accent5 3 6 3 2 4" xfId="31367" xr:uid="{00000000-0005-0000-0000-0000C46C0000}"/>
    <cellStyle name="40% - Accent5 3 6 3 2 5" xfId="31368" xr:uid="{00000000-0005-0000-0000-0000C56C0000}"/>
    <cellStyle name="40% - Accent5 3 6 3 2 6" xfId="31369" xr:uid="{00000000-0005-0000-0000-0000C66C0000}"/>
    <cellStyle name="40% - Accent5 3 6 3 3" xfId="31370" xr:uid="{00000000-0005-0000-0000-0000C76C0000}"/>
    <cellStyle name="40% - Accent5 3 6 3 3 2" xfId="31371" xr:uid="{00000000-0005-0000-0000-0000C86C0000}"/>
    <cellStyle name="40% - Accent5 3 6 3 3 2 2" xfId="31372" xr:uid="{00000000-0005-0000-0000-0000C96C0000}"/>
    <cellStyle name="40% - Accent5 3 6 3 3 3" xfId="31373" xr:uid="{00000000-0005-0000-0000-0000CA6C0000}"/>
    <cellStyle name="40% - Accent5 3 6 3 4" xfId="31374" xr:uid="{00000000-0005-0000-0000-0000CB6C0000}"/>
    <cellStyle name="40% - Accent5 3 6 3 4 2" xfId="31375" xr:uid="{00000000-0005-0000-0000-0000CC6C0000}"/>
    <cellStyle name="40% - Accent5 3 6 3 5" xfId="31376" xr:uid="{00000000-0005-0000-0000-0000CD6C0000}"/>
    <cellStyle name="40% - Accent5 3 6 3 6" xfId="31377" xr:uid="{00000000-0005-0000-0000-0000CE6C0000}"/>
    <cellStyle name="40% - Accent5 3 6 3 7" xfId="31378" xr:uid="{00000000-0005-0000-0000-0000CF6C0000}"/>
    <cellStyle name="40% - Accent5 3 6 4" xfId="31379" xr:uid="{00000000-0005-0000-0000-0000D06C0000}"/>
    <cellStyle name="40% - Accent5 3 6 4 2" xfId="31380" xr:uid="{00000000-0005-0000-0000-0000D16C0000}"/>
    <cellStyle name="40% - Accent5 3 6 4 2 2" xfId="31381" xr:uid="{00000000-0005-0000-0000-0000D26C0000}"/>
    <cellStyle name="40% - Accent5 3 6 4 2 2 2" xfId="31382" xr:uid="{00000000-0005-0000-0000-0000D36C0000}"/>
    <cellStyle name="40% - Accent5 3 6 4 2 3" xfId="31383" xr:uid="{00000000-0005-0000-0000-0000D46C0000}"/>
    <cellStyle name="40% - Accent5 3 6 4 3" xfId="31384" xr:uid="{00000000-0005-0000-0000-0000D56C0000}"/>
    <cellStyle name="40% - Accent5 3 6 4 3 2" xfId="31385" xr:uid="{00000000-0005-0000-0000-0000D66C0000}"/>
    <cellStyle name="40% - Accent5 3 6 4 4" xfId="31386" xr:uid="{00000000-0005-0000-0000-0000D76C0000}"/>
    <cellStyle name="40% - Accent5 3 6 4 5" xfId="31387" xr:uid="{00000000-0005-0000-0000-0000D86C0000}"/>
    <cellStyle name="40% - Accent5 3 6 4 6" xfId="31388" xr:uid="{00000000-0005-0000-0000-0000D96C0000}"/>
    <cellStyle name="40% - Accent5 3 6 5" xfId="31389" xr:uid="{00000000-0005-0000-0000-0000DA6C0000}"/>
    <cellStyle name="40% - Accent5 3 6 5 2" xfId="31390" xr:uid="{00000000-0005-0000-0000-0000DB6C0000}"/>
    <cellStyle name="40% - Accent5 3 6 5 2 2" xfId="31391" xr:uid="{00000000-0005-0000-0000-0000DC6C0000}"/>
    <cellStyle name="40% - Accent5 3 6 5 3" xfId="31392" xr:uid="{00000000-0005-0000-0000-0000DD6C0000}"/>
    <cellStyle name="40% - Accent5 3 6 6" xfId="31393" xr:uid="{00000000-0005-0000-0000-0000DE6C0000}"/>
    <cellStyle name="40% - Accent5 3 6 6 2" xfId="31394" xr:uid="{00000000-0005-0000-0000-0000DF6C0000}"/>
    <cellStyle name="40% - Accent5 3 6 6 2 2" xfId="31395" xr:uid="{00000000-0005-0000-0000-0000E06C0000}"/>
    <cellStyle name="40% - Accent5 3 6 6 3" xfId="31396" xr:uid="{00000000-0005-0000-0000-0000E16C0000}"/>
    <cellStyle name="40% - Accent5 3 6 7" xfId="31397" xr:uid="{00000000-0005-0000-0000-0000E26C0000}"/>
    <cellStyle name="40% - Accent5 3 6 7 2" xfId="31398" xr:uid="{00000000-0005-0000-0000-0000E36C0000}"/>
    <cellStyle name="40% - Accent5 3 6 8" xfId="31399" xr:uid="{00000000-0005-0000-0000-0000E46C0000}"/>
    <cellStyle name="40% - Accent5 3 6 8 2" xfId="31400" xr:uid="{00000000-0005-0000-0000-0000E56C0000}"/>
    <cellStyle name="40% - Accent5 3 6 9" xfId="31401" xr:uid="{00000000-0005-0000-0000-0000E66C0000}"/>
    <cellStyle name="40% - Accent5 3 7" xfId="31402" xr:uid="{00000000-0005-0000-0000-0000E76C0000}"/>
    <cellStyle name="40% - Accent5 3 7 10" xfId="31403" xr:uid="{00000000-0005-0000-0000-0000E86C0000}"/>
    <cellStyle name="40% - Accent5 3 7 11" xfId="31404" xr:uid="{00000000-0005-0000-0000-0000E96C0000}"/>
    <cellStyle name="40% - Accent5 3 7 2" xfId="31405" xr:uid="{00000000-0005-0000-0000-0000EA6C0000}"/>
    <cellStyle name="40% - Accent5 3 7 2 2" xfId="31406" xr:uid="{00000000-0005-0000-0000-0000EB6C0000}"/>
    <cellStyle name="40% - Accent5 3 7 2 2 2" xfId="31407" xr:uid="{00000000-0005-0000-0000-0000EC6C0000}"/>
    <cellStyle name="40% - Accent5 3 7 2 2 2 2" xfId="31408" xr:uid="{00000000-0005-0000-0000-0000ED6C0000}"/>
    <cellStyle name="40% - Accent5 3 7 2 2 2 2 2" xfId="31409" xr:uid="{00000000-0005-0000-0000-0000EE6C0000}"/>
    <cellStyle name="40% - Accent5 3 7 2 2 2 3" xfId="31410" xr:uid="{00000000-0005-0000-0000-0000EF6C0000}"/>
    <cellStyle name="40% - Accent5 3 7 2 2 3" xfId="31411" xr:uid="{00000000-0005-0000-0000-0000F06C0000}"/>
    <cellStyle name="40% - Accent5 3 7 2 2 3 2" xfId="31412" xr:uid="{00000000-0005-0000-0000-0000F16C0000}"/>
    <cellStyle name="40% - Accent5 3 7 2 2 4" xfId="31413" xr:uid="{00000000-0005-0000-0000-0000F26C0000}"/>
    <cellStyle name="40% - Accent5 3 7 2 2 5" xfId="31414" xr:uid="{00000000-0005-0000-0000-0000F36C0000}"/>
    <cellStyle name="40% - Accent5 3 7 2 2 6" xfId="31415" xr:uid="{00000000-0005-0000-0000-0000F46C0000}"/>
    <cellStyle name="40% - Accent5 3 7 2 3" xfId="31416" xr:uid="{00000000-0005-0000-0000-0000F56C0000}"/>
    <cellStyle name="40% - Accent5 3 7 2 3 2" xfId="31417" xr:uid="{00000000-0005-0000-0000-0000F66C0000}"/>
    <cellStyle name="40% - Accent5 3 7 2 3 2 2" xfId="31418" xr:uid="{00000000-0005-0000-0000-0000F76C0000}"/>
    <cellStyle name="40% - Accent5 3 7 2 3 3" xfId="31419" xr:uid="{00000000-0005-0000-0000-0000F86C0000}"/>
    <cellStyle name="40% - Accent5 3 7 2 4" xfId="31420" xr:uid="{00000000-0005-0000-0000-0000F96C0000}"/>
    <cellStyle name="40% - Accent5 3 7 2 4 2" xfId="31421" xr:uid="{00000000-0005-0000-0000-0000FA6C0000}"/>
    <cellStyle name="40% - Accent5 3 7 2 5" xfId="31422" xr:uid="{00000000-0005-0000-0000-0000FB6C0000}"/>
    <cellStyle name="40% - Accent5 3 7 2 5 2" xfId="31423" xr:uid="{00000000-0005-0000-0000-0000FC6C0000}"/>
    <cellStyle name="40% - Accent5 3 7 2 6" xfId="31424" xr:uid="{00000000-0005-0000-0000-0000FD6C0000}"/>
    <cellStyle name="40% - Accent5 3 7 2 7" xfId="31425" xr:uid="{00000000-0005-0000-0000-0000FE6C0000}"/>
    <cellStyle name="40% - Accent5 3 7 2 8" xfId="31426" xr:uid="{00000000-0005-0000-0000-0000FF6C0000}"/>
    <cellStyle name="40% - Accent5 3 7 3" xfId="31427" xr:uid="{00000000-0005-0000-0000-0000006D0000}"/>
    <cellStyle name="40% - Accent5 3 7 3 2" xfId="31428" xr:uid="{00000000-0005-0000-0000-0000016D0000}"/>
    <cellStyle name="40% - Accent5 3 7 3 2 2" xfId="31429" xr:uid="{00000000-0005-0000-0000-0000026D0000}"/>
    <cellStyle name="40% - Accent5 3 7 3 2 2 2" xfId="31430" xr:uid="{00000000-0005-0000-0000-0000036D0000}"/>
    <cellStyle name="40% - Accent5 3 7 3 2 2 2 2" xfId="31431" xr:uid="{00000000-0005-0000-0000-0000046D0000}"/>
    <cellStyle name="40% - Accent5 3 7 3 2 2 3" xfId="31432" xr:uid="{00000000-0005-0000-0000-0000056D0000}"/>
    <cellStyle name="40% - Accent5 3 7 3 2 3" xfId="31433" xr:uid="{00000000-0005-0000-0000-0000066D0000}"/>
    <cellStyle name="40% - Accent5 3 7 3 2 3 2" xfId="31434" xr:uid="{00000000-0005-0000-0000-0000076D0000}"/>
    <cellStyle name="40% - Accent5 3 7 3 2 4" xfId="31435" xr:uid="{00000000-0005-0000-0000-0000086D0000}"/>
    <cellStyle name="40% - Accent5 3 7 3 2 5" xfId="31436" xr:uid="{00000000-0005-0000-0000-0000096D0000}"/>
    <cellStyle name="40% - Accent5 3 7 3 2 6" xfId="31437" xr:uid="{00000000-0005-0000-0000-00000A6D0000}"/>
    <cellStyle name="40% - Accent5 3 7 3 3" xfId="31438" xr:uid="{00000000-0005-0000-0000-00000B6D0000}"/>
    <cellStyle name="40% - Accent5 3 7 3 3 2" xfId="31439" xr:uid="{00000000-0005-0000-0000-00000C6D0000}"/>
    <cellStyle name="40% - Accent5 3 7 3 3 2 2" xfId="31440" xr:uid="{00000000-0005-0000-0000-00000D6D0000}"/>
    <cellStyle name="40% - Accent5 3 7 3 3 3" xfId="31441" xr:uid="{00000000-0005-0000-0000-00000E6D0000}"/>
    <cellStyle name="40% - Accent5 3 7 3 4" xfId="31442" xr:uid="{00000000-0005-0000-0000-00000F6D0000}"/>
    <cellStyle name="40% - Accent5 3 7 3 4 2" xfId="31443" xr:uid="{00000000-0005-0000-0000-0000106D0000}"/>
    <cellStyle name="40% - Accent5 3 7 3 5" xfId="31444" xr:uid="{00000000-0005-0000-0000-0000116D0000}"/>
    <cellStyle name="40% - Accent5 3 7 3 6" xfId="31445" xr:uid="{00000000-0005-0000-0000-0000126D0000}"/>
    <cellStyle name="40% - Accent5 3 7 3 7" xfId="31446" xr:uid="{00000000-0005-0000-0000-0000136D0000}"/>
    <cellStyle name="40% - Accent5 3 7 4" xfId="31447" xr:uid="{00000000-0005-0000-0000-0000146D0000}"/>
    <cellStyle name="40% - Accent5 3 7 4 2" xfId="31448" xr:uid="{00000000-0005-0000-0000-0000156D0000}"/>
    <cellStyle name="40% - Accent5 3 7 4 2 2" xfId="31449" xr:uid="{00000000-0005-0000-0000-0000166D0000}"/>
    <cellStyle name="40% - Accent5 3 7 4 2 2 2" xfId="31450" xr:uid="{00000000-0005-0000-0000-0000176D0000}"/>
    <cellStyle name="40% - Accent5 3 7 4 2 3" xfId="31451" xr:uid="{00000000-0005-0000-0000-0000186D0000}"/>
    <cellStyle name="40% - Accent5 3 7 4 3" xfId="31452" xr:uid="{00000000-0005-0000-0000-0000196D0000}"/>
    <cellStyle name="40% - Accent5 3 7 4 3 2" xfId="31453" xr:uid="{00000000-0005-0000-0000-00001A6D0000}"/>
    <cellStyle name="40% - Accent5 3 7 4 4" xfId="31454" xr:uid="{00000000-0005-0000-0000-00001B6D0000}"/>
    <cellStyle name="40% - Accent5 3 7 4 5" xfId="31455" xr:uid="{00000000-0005-0000-0000-00001C6D0000}"/>
    <cellStyle name="40% - Accent5 3 7 4 6" xfId="31456" xr:uid="{00000000-0005-0000-0000-00001D6D0000}"/>
    <cellStyle name="40% - Accent5 3 7 5" xfId="31457" xr:uid="{00000000-0005-0000-0000-00001E6D0000}"/>
    <cellStyle name="40% - Accent5 3 7 5 2" xfId="31458" xr:uid="{00000000-0005-0000-0000-00001F6D0000}"/>
    <cellStyle name="40% - Accent5 3 7 5 2 2" xfId="31459" xr:uid="{00000000-0005-0000-0000-0000206D0000}"/>
    <cellStyle name="40% - Accent5 3 7 5 3" xfId="31460" xr:uid="{00000000-0005-0000-0000-0000216D0000}"/>
    <cellStyle name="40% - Accent5 3 7 6" xfId="31461" xr:uid="{00000000-0005-0000-0000-0000226D0000}"/>
    <cellStyle name="40% - Accent5 3 7 6 2" xfId="31462" xr:uid="{00000000-0005-0000-0000-0000236D0000}"/>
    <cellStyle name="40% - Accent5 3 7 6 2 2" xfId="31463" xr:uid="{00000000-0005-0000-0000-0000246D0000}"/>
    <cellStyle name="40% - Accent5 3 7 6 3" xfId="31464" xr:uid="{00000000-0005-0000-0000-0000256D0000}"/>
    <cellStyle name="40% - Accent5 3 7 7" xfId="31465" xr:uid="{00000000-0005-0000-0000-0000266D0000}"/>
    <cellStyle name="40% - Accent5 3 7 7 2" xfId="31466" xr:uid="{00000000-0005-0000-0000-0000276D0000}"/>
    <cellStyle name="40% - Accent5 3 7 8" xfId="31467" xr:uid="{00000000-0005-0000-0000-0000286D0000}"/>
    <cellStyle name="40% - Accent5 3 7 8 2" xfId="31468" xr:uid="{00000000-0005-0000-0000-0000296D0000}"/>
    <cellStyle name="40% - Accent5 3 7 9" xfId="31469" xr:uid="{00000000-0005-0000-0000-00002A6D0000}"/>
    <cellStyle name="40% - Accent5 3 8" xfId="31470" xr:uid="{00000000-0005-0000-0000-00002B6D0000}"/>
    <cellStyle name="40% - Accent5 3 8 10" xfId="31471" xr:uid="{00000000-0005-0000-0000-00002C6D0000}"/>
    <cellStyle name="40% - Accent5 3 8 11" xfId="31472" xr:uid="{00000000-0005-0000-0000-00002D6D0000}"/>
    <cellStyle name="40% - Accent5 3 8 2" xfId="31473" xr:uid="{00000000-0005-0000-0000-00002E6D0000}"/>
    <cellStyle name="40% - Accent5 3 8 2 2" xfId="31474" xr:uid="{00000000-0005-0000-0000-00002F6D0000}"/>
    <cellStyle name="40% - Accent5 3 8 2 2 2" xfId="31475" xr:uid="{00000000-0005-0000-0000-0000306D0000}"/>
    <cellStyle name="40% - Accent5 3 8 2 2 2 2" xfId="31476" xr:uid="{00000000-0005-0000-0000-0000316D0000}"/>
    <cellStyle name="40% - Accent5 3 8 2 2 2 2 2" xfId="31477" xr:uid="{00000000-0005-0000-0000-0000326D0000}"/>
    <cellStyle name="40% - Accent5 3 8 2 2 2 3" xfId="31478" xr:uid="{00000000-0005-0000-0000-0000336D0000}"/>
    <cellStyle name="40% - Accent5 3 8 2 2 3" xfId="31479" xr:uid="{00000000-0005-0000-0000-0000346D0000}"/>
    <cellStyle name="40% - Accent5 3 8 2 2 3 2" xfId="31480" xr:uid="{00000000-0005-0000-0000-0000356D0000}"/>
    <cellStyle name="40% - Accent5 3 8 2 2 4" xfId="31481" xr:uid="{00000000-0005-0000-0000-0000366D0000}"/>
    <cellStyle name="40% - Accent5 3 8 2 2 5" xfId="31482" xr:uid="{00000000-0005-0000-0000-0000376D0000}"/>
    <cellStyle name="40% - Accent5 3 8 2 2 6" xfId="31483" xr:uid="{00000000-0005-0000-0000-0000386D0000}"/>
    <cellStyle name="40% - Accent5 3 8 2 3" xfId="31484" xr:uid="{00000000-0005-0000-0000-0000396D0000}"/>
    <cellStyle name="40% - Accent5 3 8 2 3 2" xfId="31485" xr:uid="{00000000-0005-0000-0000-00003A6D0000}"/>
    <cellStyle name="40% - Accent5 3 8 2 3 2 2" xfId="31486" xr:uid="{00000000-0005-0000-0000-00003B6D0000}"/>
    <cellStyle name="40% - Accent5 3 8 2 3 3" xfId="31487" xr:uid="{00000000-0005-0000-0000-00003C6D0000}"/>
    <cellStyle name="40% - Accent5 3 8 2 4" xfId="31488" xr:uid="{00000000-0005-0000-0000-00003D6D0000}"/>
    <cellStyle name="40% - Accent5 3 8 2 4 2" xfId="31489" xr:uid="{00000000-0005-0000-0000-00003E6D0000}"/>
    <cellStyle name="40% - Accent5 3 8 2 5" xfId="31490" xr:uid="{00000000-0005-0000-0000-00003F6D0000}"/>
    <cellStyle name="40% - Accent5 3 8 2 5 2" xfId="31491" xr:uid="{00000000-0005-0000-0000-0000406D0000}"/>
    <cellStyle name="40% - Accent5 3 8 2 6" xfId="31492" xr:uid="{00000000-0005-0000-0000-0000416D0000}"/>
    <cellStyle name="40% - Accent5 3 8 2 7" xfId="31493" xr:uid="{00000000-0005-0000-0000-0000426D0000}"/>
    <cellStyle name="40% - Accent5 3 8 2 8" xfId="31494" xr:uid="{00000000-0005-0000-0000-0000436D0000}"/>
    <cellStyle name="40% - Accent5 3 8 3" xfId="31495" xr:uid="{00000000-0005-0000-0000-0000446D0000}"/>
    <cellStyle name="40% - Accent5 3 8 3 2" xfId="31496" xr:uid="{00000000-0005-0000-0000-0000456D0000}"/>
    <cellStyle name="40% - Accent5 3 8 3 2 2" xfId="31497" xr:uid="{00000000-0005-0000-0000-0000466D0000}"/>
    <cellStyle name="40% - Accent5 3 8 3 2 2 2" xfId="31498" xr:uid="{00000000-0005-0000-0000-0000476D0000}"/>
    <cellStyle name="40% - Accent5 3 8 3 2 2 2 2" xfId="31499" xr:uid="{00000000-0005-0000-0000-0000486D0000}"/>
    <cellStyle name="40% - Accent5 3 8 3 2 2 3" xfId="31500" xr:uid="{00000000-0005-0000-0000-0000496D0000}"/>
    <cellStyle name="40% - Accent5 3 8 3 2 3" xfId="31501" xr:uid="{00000000-0005-0000-0000-00004A6D0000}"/>
    <cellStyle name="40% - Accent5 3 8 3 2 3 2" xfId="31502" xr:uid="{00000000-0005-0000-0000-00004B6D0000}"/>
    <cellStyle name="40% - Accent5 3 8 3 2 4" xfId="31503" xr:uid="{00000000-0005-0000-0000-00004C6D0000}"/>
    <cellStyle name="40% - Accent5 3 8 3 2 5" xfId="31504" xr:uid="{00000000-0005-0000-0000-00004D6D0000}"/>
    <cellStyle name="40% - Accent5 3 8 3 2 6" xfId="31505" xr:uid="{00000000-0005-0000-0000-00004E6D0000}"/>
    <cellStyle name="40% - Accent5 3 8 3 3" xfId="31506" xr:uid="{00000000-0005-0000-0000-00004F6D0000}"/>
    <cellStyle name="40% - Accent5 3 8 3 3 2" xfId="31507" xr:uid="{00000000-0005-0000-0000-0000506D0000}"/>
    <cellStyle name="40% - Accent5 3 8 3 3 2 2" xfId="31508" xr:uid="{00000000-0005-0000-0000-0000516D0000}"/>
    <cellStyle name="40% - Accent5 3 8 3 3 3" xfId="31509" xr:uid="{00000000-0005-0000-0000-0000526D0000}"/>
    <cellStyle name="40% - Accent5 3 8 3 4" xfId="31510" xr:uid="{00000000-0005-0000-0000-0000536D0000}"/>
    <cellStyle name="40% - Accent5 3 8 3 4 2" xfId="31511" xr:uid="{00000000-0005-0000-0000-0000546D0000}"/>
    <cellStyle name="40% - Accent5 3 8 3 5" xfId="31512" xr:uid="{00000000-0005-0000-0000-0000556D0000}"/>
    <cellStyle name="40% - Accent5 3 8 3 6" xfId="31513" xr:uid="{00000000-0005-0000-0000-0000566D0000}"/>
    <cellStyle name="40% - Accent5 3 8 3 7" xfId="31514" xr:uid="{00000000-0005-0000-0000-0000576D0000}"/>
    <cellStyle name="40% - Accent5 3 8 4" xfId="31515" xr:uid="{00000000-0005-0000-0000-0000586D0000}"/>
    <cellStyle name="40% - Accent5 3 8 4 2" xfId="31516" xr:uid="{00000000-0005-0000-0000-0000596D0000}"/>
    <cellStyle name="40% - Accent5 3 8 4 2 2" xfId="31517" xr:uid="{00000000-0005-0000-0000-00005A6D0000}"/>
    <cellStyle name="40% - Accent5 3 8 4 2 2 2" xfId="31518" xr:uid="{00000000-0005-0000-0000-00005B6D0000}"/>
    <cellStyle name="40% - Accent5 3 8 4 2 3" xfId="31519" xr:uid="{00000000-0005-0000-0000-00005C6D0000}"/>
    <cellStyle name="40% - Accent5 3 8 4 3" xfId="31520" xr:uid="{00000000-0005-0000-0000-00005D6D0000}"/>
    <cellStyle name="40% - Accent5 3 8 4 3 2" xfId="31521" xr:uid="{00000000-0005-0000-0000-00005E6D0000}"/>
    <cellStyle name="40% - Accent5 3 8 4 4" xfId="31522" xr:uid="{00000000-0005-0000-0000-00005F6D0000}"/>
    <cellStyle name="40% - Accent5 3 8 4 5" xfId="31523" xr:uid="{00000000-0005-0000-0000-0000606D0000}"/>
    <cellStyle name="40% - Accent5 3 8 4 6" xfId="31524" xr:uid="{00000000-0005-0000-0000-0000616D0000}"/>
    <cellStyle name="40% - Accent5 3 8 5" xfId="31525" xr:uid="{00000000-0005-0000-0000-0000626D0000}"/>
    <cellStyle name="40% - Accent5 3 8 5 2" xfId="31526" xr:uid="{00000000-0005-0000-0000-0000636D0000}"/>
    <cellStyle name="40% - Accent5 3 8 5 2 2" xfId="31527" xr:uid="{00000000-0005-0000-0000-0000646D0000}"/>
    <cellStyle name="40% - Accent5 3 8 5 3" xfId="31528" xr:uid="{00000000-0005-0000-0000-0000656D0000}"/>
    <cellStyle name="40% - Accent5 3 8 6" xfId="31529" xr:uid="{00000000-0005-0000-0000-0000666D0000}"/>
    <cellStyle name="40% - Accent5 3 8 6 2" xfId="31530" xr:uid="{00000000-0005-0000-0000-0000676D0000}"/>
    <cellStyle name="40% - Accent5 3 8 6 2 2" xfId="31531" xr:uid="{00000000-0005-0000-0000-0000686D0000}"/>
    <cellStyle name="40% - Accent5 3 8 6 3" xfId="31532" xr:uid="{00000000-0005-0000-0000-0000696D0000}"/>
    <cellStyle name="40% - Accent5 3 8 7" xfId="31533" xr:uid="{00000000-0005-0000-0000-00006A6D0000}"/>
    <cellStyle name="40% - Accent5 3 8 7 2" xfId="31534" xr:uid="{00000000-0005-0000-0000-00006B6D0000}"/>
    <cellStyle name="40% - Accent5 3 8 8" xfId="31535" xr:uid="{00000000-0005-0000-0000-00006C6D0000}"/>
    <cellStyle name="40% - Accent5 3 8 8 2" xfId="31536" xr:uid="{00000000-0005-0000-0000-00006D6D0000}"/>
    <cellStyle name="40% - Accent5 3 8 9" xfId="31537" xr:uid="{00000000-0005-0000-0000-00006E6D0000}"/>
    <cellStyle name="40% - Accent5 3 9" xfId="31538" xr:uid="{00000000-0005-0000-0000-00006F6D0000}"/>
    <cellStyle name="40% - Accent5 3 9 2" xfId="31539" xr:uid="{00000000-0005-0000-0000-0000706D0000}"/>
    <cellStyle name="40% - Accent5 3 9 2 2" xfId="31540" xr:uid="{00000000-0005-0000-0000-0000716D0000}"/>
    <cellStyle name="40% - Accent5 4" xfId="213" xr:uid="{00000000-0005-0000-0000-0000726D0000}"/>
    <cellStyle name="40% - Accent5 4 10" xfId="31541" xr:uid="{00000000-0005-0000-0000-0000736D0000}"/>
    <cellStyle name="40% - Accent5 4 10 2" xfId="31542" xr:uid="{00000000-0005-0000-0000-0000746D0000}"/>
    <cellStyle name="40% - Accent5 4 10 2 2" xfId="31543" xr:uid="{00000000-0005-0000-0000-0000756D0000}"/>
    <cellStyle name="40% - Accent5 4 10 2 2 2" xfId="31544" xr:uid="{00000000-0005-0000-0000-0000766D0000}"/>
    <cellStyle name="40% - Accent5 4 10 2 2 2 2" xfId="31545" xr:uid="{00000000-0005-0000-0000-0000776D0000}"/>
    <cellStyle name="40% - Accent5 4 10 2 2 3" xfId="31546" xr:uid="{00000000-0005-0000-0000-0000786D0000}"/>
    <cellStyle name="40% - Accent5 4 10 2 3" xfId="31547" xr:uid="{00000000-0005-0000-0000-0000796D0000}"/>
    <cellStyle name="40% - Accent5 4 10 2 3 2" xfId="31548" xr:uid="{00000000-0005-0000-0000-00007A6D0000}"/>
    <cellStyle name="40% - Accent5 4 10 2 4" xfId="31549" xr:uid="{00000000-0005-0000-0000-00007B6D0000}"/>
    <cellStyle name="40% - Accent5 4 10 2 5" xfId="31550" xr:uid="{00000000-0005-0000-0000-00007C6D0000}"/>
    <cellStyle name="40% - Accent5 4 10 2 6" xfId="31551" xr:uid="{00000000-0005-0000-0000-00007D6D0000}"/>
    <cellStyle name="40% - Accent5 4 10 3" xfId="31552" xr:uid="{00000000-0005-0000-0000-00007E6D0000}"/>
    <cellStyle name="40% - Accent5 4 10 3 2" xfId="31553" xr:uid="{00000000-0005-0000-0000-00007F6D0000}"/>
    <cellStyle name="40% - Accent5 4 10 3 2 2" xfId="31554" xr:uid="{00000000-0005-0000-0000-0000806D0000}"/>
    <cellStyle name="40% - Accent5 4 10 3 3" xfId="31555" xr:uid="{00000000-0005-0000-0000-0000816D0000}"/>
    <cellStyle name="40% - Accent5 4 10 4" xfId="31556" xr:uid="{00000000-0005-0000-0000-0000826D0000}"/>
    <cellStyle name="40% - Accent5 4 10 4 2" xfId="31557" xr:uid="{00000000-0005-0000-0000-0000836D0000}"/>
    <cellStyle name="40% - Accent5 4 10 4 2 2" xfId="31558" xr:uid="{00000000-0005-0000-0000-0000846D0000}"/>
    <cellStyle name="40% - Accent5 4 10 4 3" xfId="31559" xr:uid="{00000000-0005-0000-0000-0000856D0000}"/>
    <cellStyle name="40% - Accent5 4 10 5" xfId="31560" xr:uid="{00000000-0005-0000-0000-0000866D0000}"/>
    <cellStyle name="40% - Accent5 4 10 6" xfId="31561" xr:uid="{00000000-0005-0000-0000-0000876D0000}"/>
    <cellStyle name="40% - Accent5 4 11" xfId="31562" xr:uid="{00000000-0005-0000-0000-0000886D0000}"/>
    <cellStyle name="40% - Accent5 4 11 2" xfId="31563" xr:uid="{00000000-0005-0000-0000-0000896D0000}"/>
    <cellStyle name="40% - Accent5 4 11 2 2" xfId="31564" xr:uid="{00000000-0005-0000-0000-00008A6D0000}"/>
    <cellStyle name="40% - Accent5 4 11 2 2 2" xfId="31565" xr:uid="{00000000-0005-0000-0000-00008B6D0000}"/>
    <cellStyle name="40% - Accent5 4 11 2 2 2 2" xfId="31566" xr:uid="{00000000-0005-0000-0000-00008C6D0000}"/>
    <cellStyle name="40% - Accent5 4 11 2 2 3" xfId="31567" xr:uid="{00000000-0005-0000-0000-00008D6D0000}"/>
    <cellStyle name="40% - Accent5 4 11 2 3" xfId="31568" xr:uid="{00000000-0005-0000-0000-00008E6D0000}"/>
    <cellStyle name="40% - Accent5 4 11 2 3 2" xfId="31569" xr:uid="{00000000-0005-0000-0000-00008F6D0000}"/>
    <cellStyle name="40% - Accent5 4 11 2 4" xfId="31570" xr:uid="{00000000-0005-0000-0000-0000906D0000}"/>
    <cellStyle name="40% - Accent5 4 11 2 5" xfId="31571" xr:uid="{00000000-0005-0000-0000-0000916D0000}"/>
    <cellStyle name="40% - Accent5 4 11 2 6" xfId="31572" xr:uid="{00000000-0005-0000-0000-0000926D0000}"/>
    <cellStyle name="40% - Accent5 4 11 3" xfId="31573" xr:uid="{00000000-0005-0000-0000-0000936D0000}"/>
    <cellStyle name="40% - Accent5 4 11 3 2" xfId="31574" xr:uid="{00000000-0005-0000-0000-0000946D0000}"/>
    <cellStyle name="40% - Accent5 4 11 3 2 2" xfId="31575" xr:uid="{00000000-0005-0000-0000-0000956D0000}"/>
    <cellStyle name="40% - Accent5 4 11 3 3" xfId="31576" xr:uid="{00000000-0005-0000-0000-0000966D0000}"/>
    <cellStyle name="40% - Accent5 4 11 4" xfId="31577" xr:uid="{00000000-0005-0000-0000-0000976D0000}"/>
    <cellStyle name="40% - Accent5 4 11 4 2" xfId="31578" xr:uid="{00000000-0005-0000-0000-0000986D0000}"/>
    <cellStyle name="40% - Accent5 4 11 5" xfId="31579" xr:uid="{00000000-0005-0000-0000-0000996D0000}"/>
    <cellStyle name="40% - Accent5 4 11 6" xfId="31580" xr:uid="{00000000-0005-0000-0000-00009A6D0000}"/>
    <cellStyle name="40% - Accent5 4 11 7" xfId="31581" xr:uid="{00000000-0005-0000-0000-00009B6D0000}"/>
    <cellStyle name="40% - Accent5 4 12" xfId="31582" xr:uid="{00000000-0005-0000-0000-00009C6D0000}"/>
    <cellStyle name="40% - Accent5 4 13" xfId="31583" xr:uid="{00000000-0005-0000-0000-00009D6D0000}"/>
    <cellStyle name="40% - Accent5 4 13 2" xfId="31584" xr:uid="{00000000-0005-0000-0000-00009E6D0000}"/>
    <cellStyle name="40% - Accent5 4 13 2 2" xfId="31585" xr:uid="{00000000-0005-0000-0000-00009F6D0000}"/>
    <cellStyle name="40% - Accent5 4 13 3" xfId="31586" xr:uid="{00000000-0005-0000-0000-0000A06D0000}"/>
    <cellStyle name="40% - Accent5 4 14" xfId="31587" xr:uid="{00000000-0005-0000-0000-0000A16D0000}"/>
    <cellStyle name="40% - Accent5 4 14 2" xfId="31588" xr:uid="{00000000-0005-0000-0000-0000A26D0000}"/>
    <cellStyle name="40% - Accent5 4 15" xfId="31589" xr:uid="{00000000-0005-0000-0000-0000A36D0000}"/>
    <cellStyle name="40% - Accent5 4 16" xfId="31590" xr:uid="{00000000-0005-0000-0000-0000A46D0000}"/>
    <cellStyle name="40% - Accent5 4 2" xfId="31591" xr:uid="{00000000-0005-0000-0000-0000A56D0000}"/>
    <cellStyle name="40% - Accent5 4 2 10" xfId="31592" xr:uid="{00000000-0005-0000-0000-0000A66D0000}"/>
    <cellStyle name="40% - Accent5 4 2 11" xfId="31593" xr:uid="{00000000-0005-0000-0000-0000A76D0000}"/>
    <cellStyle name="40% - Accent5 4 2 2" xfId="31594" xr:uid="{00000000-0005-0000-0000-0000A86D0000}"/>
    <cellStyle name="40% - Accent5 4 2 2 2" xfId="31595" xr:uid="{00000000-0005-0000-0000-0000A96D0000}"/>
    <cellStyle name="40% - Accent5 4 2 2 2 2" xfId="31596" xr:uid="{00000000-0005-0000-0000-0000AA6D0000}"/>
    <cellStyle name="40% - Accent5 4 2 2 2 2 2" xfId="31597" xr:uid="{00000000-0005-0000-0000-0000AB6D0000}"/>
    <cellStyle name="40% - Accent5 4 2 2 2 2 2 2" xfId="31598" xr:uid="{00000000-0005-0000-0000-0000AC6D0000}"/>
    <cellStyle name="40% - Accent5 4 2 2 2 2 3" xfId="31599" xr:uid="{00000000-0005-0000-0000-0000AD6D0000}"/>
    <cellStyle name="40% - Accent5 4 2 2 2 3" xfId="31600" xr:uid="{00000000-0005-0000-0000-0000AE6D0000}"/>
    <cellStyle name="40% - Accent5 4 2 2 2 3 2" xfId="31601" xr:uid="{00000000-0005-0000-0000-0000AF6D0000}"/>
    <cellStyle name="40% - Accent5 4 2 2 2 4" xfId="31602" xr:uid="{00000000-0005-0000-0000-0000B06D0000}"/>
    <cellStyle name="40% - Accent5 4 2 2 2 5" xfId="31603" xr:uid="{00000000-0005-0000-0000-0000B16D0000}"/>
    <cellStyle name="40% - Accent5 4 2 2 2 6" xfId="31604" xr:uid="{00000000-0005-0000-0000-0000B26D0000}"/>
    <cellStyle name="40% - Accent5 4 2 2 3" xfId="31605" xr:uid="{00000000-0005-0000-0000-0000B36D0000}"/>
    <cellStyle name="40% - Accent5 4 2 2 3 2" xfId="31606" xr:uid="{00000000-0005-0000-0000-0000B46D0000}"/>
    <cellStyle name="40% - Accent5 4 2 2 3 2 2" xfId="31607" xr:uid="{00000000-0005-0000-0000-0000B56D0000}"/>
    <cellStyle name="40% - Accent5 4 2 2 3 3" xfId="31608" xr:uid="{00000000-0005-0000-0000-0000B66D0000}"/>
    <cellStyle name="40% - Accent5 4 2 2 4" xfId="31609" xr:uid="{00000000-0005-0000-0000-0000B76D0000}"/>
    <cellStyle name="40% - Accent5 4 2 2 4 2" xfId="31610" xr:uid="{00000000-0005-0000-0000-0000B86D0000}"/>
    <cellStyle name="40% - Accent5 4 2 2 5" xfId="31611" xr:uid="{00000000-0005-0000-0000-0000B96D0000}"/>
    <cellStyle name="40% - Accent5 4 2 2 5 2" xfId="31612" xr:uid="{00000000-0005-0000-0000-0000BA6D0000}"/>
    <cellStyle name="40% - Accent5 4 2 2 6" xfId="31613" xr:uid="{00000000-0005-0000-0000-0000BB6D0000}"/>
    <cellStyle name="40% - Accent5 4 2 2 7" xfId="31614" xr:uid="{00000000-0005-0000-0000-0000BC6D0000}"/>
    <cellStyle name="40% - Accent5 4 2 2 8" xfId="31615" xr:uid="{00000000-0005-0000-0000-0000BD6D0000}"/>
    <cellStyle name="40% - Accent5 4 2 3" xfId="31616" xr:uid="{00000000-0005-0000-0000-0000BE6D0000}"/>
    <cellStyle name="40% - Accent5 4 2 3 2" xfId="31617" xr:uid="{00000000-0005-0000-0000-0000BF6D0000}"/>
    <cellStyle name="40% - Accent5 4 2 3 2 2" xfId="31618" xr:uid="{00000000-0005-0000-0000-0000C06D0000}"/>
    <cellStyle name="40% - Accent5 4 2 3 2 2 2" xfId="31619" xr:uid="{00000000-0005-0000-0000-0000C16D0000}"/>
    <cellStyle name="40% - Accent5 4 2 3 2 2 2 2" xfId="31620" xr:uid="{00000000-0005-0000-0000-0000C26D0000}"/>
    <cellStyle name="40% - Accent5 4 2 3 2 2 3" xfId="31621" xr:uid="{00000000-0005-0000-0000-0000C36D0000}"/>
    <cellStyle name="40% - Accent5 4 2 3 2 3" xfId="31622" xr:uid="{00000000-0005-0000-0000-0000C46D0000}"/>
    <cellStyle name="40% - Accent5 4 2 3 2 3 2" xfId="31623" xr:uid="{00000000-0005-0000-0000-0000C56D0000}"/>
    <cellStyle name="40% - Accent5 4 2 3 2 4" xfId="31624" xr:uid="{00000000-0005-0000-0000-0000C66D0000}"/>
    <cellStyle name="40% - Accent5 4 2 3 2 5" xfId="31625" xr:uid="{00000000-0005-0000-0000-0000C76D0000}"/>
    <cellStyle name="40% - Accent5 4 2 3 2 6" xfId="31626" xr:uid="{00000000-0005-0000-0000-0000C86D0000}"/>
    <cellStyle name="40% - Accent5 4 2 3 3" xfId="31627" xr:uid="{00000000-0005-0000-0000-0000C96D0000}"/>
    <cellStyle name="40% - Accent5 4 2 3 3 2" xfId="31628" xr:uid="{00000000-0005-0000-0000-0000CA6D0000}"/>
    <cellStyle name="40% - Accent5 4 2 3 3 2 2" xfId="31629" xr:uid="{00000000-0005-0000-0000-0000CB6D0000}"/>
    <cellStyle name="40% - Accent5 4 2 3 3 3" xfId="31630" xr:uid="{00000000-0005-0000-0000-0000CC6D0000}"/>
    <cellStyle name="40% - Accent5 4 2 3 4" xfId="31631" xr:uid="{00000000-0005-0000-0000-0000CD6D0000}"/>
    <cellStyle name="40% - Accent5 4 2 3 4 2" xfId="31632" xr:uid="{00000000-0005-0000-0000-0000CE6D0000}"/>
    <cellStyle name="40% - Accent5 4 2 3 5" xfId="31633" xr:uid="{00000000-0005-0000-0000-0000CF6D0000}"/>
    <cellStyle name="40% - Accent5 4 2 3 6" xfId="31634" xr:uid="{00000000-0005-0000-0000-0000D06D0000}"/>
    <cellStyle name="40% - Accent5 4 2 3 7" xfId="31635" xr:uid="{00000000-0005-0000-0000-0000D16D0000}"/>
    <cellStyle name="40% - Accent5 4 2 4" xfId="31636" xr:uid="{00000000-0005-0000-0000-0000D26D0000}"/>
    <cellStyle name="40% - Accent5 4 2 4 2" xfId="31637" xr:uid="{00000000-0005-0000-0000-0000D36D0000}"/>
    <cellStyle name="40% - Accent5 4 2 4 2 2" xfId="31638" xr:uid="{00000000-0005-0000-0000-0000D46D0000}"/>
    <cellStyle name="40% - Accent5 4 2 4 2 2 2" xfId="31639" xr:uid="{00000000-0005-0000-0000-0000D56D0000}"/>
    <cellStyle name="40% - Accent5 4 2 4 2 3" xfId="31640" xr:uid="{00000000-0005-0000-0000-0000D66D0000}"/>
    <cellStyle name="40% - Accent5 4 2 4 3" xfId="31641" xr:uid="{00000000-0005-0000-0000-0000D76D0000}"/>
    <cellStyle name="40% - Accent5 4 2 4 3 2" xfId="31642" xr:uid="{00000000-0005-0000-0000-0000D86D0000}"/>
    <cellStyle name="40% - Accent5 4 2 4 4" xfId="31643" xr:uid="{00000000-0005-0000-0000-0000D96D0000}"/>
    <cellStyle name="40% - Accent5 4 2 4 5" xfId="31644" xr:uid="{00000000-0005-0000-0000-0000DA6D0000}"/>
    <cellStyle name="40% - Accent5 4 2 4 6" xfId="31645" xr:uid="{00000000-0005-0000-0000-0000DB6D0000}"/>
    <cellStyle name="40% - Accent5 4 2 5" xfId="31646" xr:uid="{00000000-0005-0000-0000-0000DC6D0000}"/>
    <cellStyle name="40% - Accent5 4 2 5 2" xfId="31647" xr:uid="{00000000-0005-0000-0000-0000DD6D0000}"/>
    <cellStyle name="40% - Accent5 4 2 5 2 2" xfId="31648" xr:uid="{00000000-0005-0000-0000-0000DE6D0000}"/>
    <cellStyle name="40% - Accent5 4 2 5 3" xfId="31649" xr:uid="{00000000-0005-0000-0000-0000DF6D0000}"/>
    <cellStyle name="40% - Accent5 4 2 6" xfId="31650" xr:uid="{00000000-0005-0000-0000-0000E06D0000}"/>
    <cellStyle name="40% - Accent5 4 2 6 2" xfId="31651" xr:uid="{00000000-0005-0000-0000-0000E16D0000}"/>
    <cellStyle name="40% - Accent5 4 2 6 2 2" xfId="31652" xr:uid="{00000000-0005-0000-0000-0000E26D0000}"/>
    <cellStyle name="40% - Accent5 4 2 6 3" xfId="31653" xr:uid="{00000000-0005-0000-0000-0000E36D0000}"/>
    <cellStyle name="40% - Accent5 4 2 7" xfId="31654" xr:uid="{00000000-0005-0000-0000-0000E46D0000}"/>
    <cellStyle name="40% - Accent5 4 2 7 2" xfId="31655" xr:uid="{00000000-0005-0000-0000-0000E56D0000}"/>
    <cellStyle name="40% - Accent5 4 2 8" xfId="31656" xr:uid="{00000000-0005-0000-0000-0000E66D0000}"/>
    <cellStyle name="40% - Accent5 4 2 8 2" xfId="31657" xr:uid="{00000000-0005-0000-0000-0000E76D0000}"/>
    <cellStyle name="40% - Accent5 4 2 9" xfId="31658" xr:uid="{00000000-0005-0000-0000-0000E86D0000}"/>
    <cellStyle name="40% - Accent5 4 3" xfId="31659" xr:uid="{00000000-0005-0000-0000-0000E96D0000}"/>
    <cellStyle name="40% - Accent5 4 3 10" xfId="31660" xr:uid="{00000000-0005-0000-0000-0000EA6D0000}"/>
    <cellStyle name="40% - Accent5 4 3 11" xfId="31661" xr:uid="{00000000-0005-0000-0000-0000EB6D0000}"/>
    <cellStyle name="40% - Accent5 4 3 2" xfId="31662" xr:uid="{00000000-0005-0000-0000-0000EC6D0000}"/>
    <cellStyle name="40% - Accent5 4 3 2 2" xfId="31663" xr:uid="{00000000-0005-0000-0000-0000ED6D0000}"/>
    <cellStyle name="40% - Accent5 4 3 2 2 2" xfId="31664" xr:uid="{00000000-0005-0000-0000-0000EE6D0000}"/>
    <cellStyle name="40% - Accent5 4 3 2 2 2 2" xfId="31665" xr:uid="{00000000-0005-0000-0000-0000EF6D0000}"/>
    <cellStyle name="40% - Accent5 4 3 2 2 2 2 2" xfId="31666" xr:uid="{00000000-0005-0000-0000-0000F06D0000}"/>
    <cellStyle name="40% - Accent5 4 3 2 2 2 3" xfId="31667" xr:uid="{00000000-0005-0000-0000-0000F16D0000}"/>
    <cellStyle name="40% - Accent5 4 3 2 2 3" xfId="31668" xr:uid="{00000000-0005-0000-0000-0000F26D0000}"/>
    <cellStyle name="40% - Accent5 4 3 2 2 3 2" xfId="31669" xr:uid="{00000000-0005-0000-0000-0000F36D0000}"/>
    <cellStyle name="40% - Accent5 4 3 2 2 4" xfId="31670" xr:uid="{00000000-0005-0000-0000-0000F46D0000}"/>
    <cellStyle name="40% - Accent5 4 3 2 2 5" xfId="31671" xr:uid="{00000000-0005-0000-0000-0000F56D0000}"/>
    <cellStyle name="40% - Accent5 4 3 2 2 6" xfId="31672" xr:uid="{00000000-0005-0000-0000-0000F66D0000}"/>
    <cellStyle name="40% - Accent5 4 3 2 3" xfId="31673" xr:uid="{00000000-0005-0000-0000-0000F76D0000}"/>
    <cellStyle name="40% - Accent5 4 3 2 3 2" xfId="31674" xr:uid="{00000000-0005-0000-0000-0000F86D0000}"/>
    <cellStyle name="40% - Accent5 4 3 2 3 2 2" xfId="31675" xr:uid="{00000000-0005-0000-0000-0000F96D0000}"/>
    <cellStyle name="40% - Accent5 4 3 2 3 3" xfId="31676" xr:uid="{00000000-0005-0000-0000-0000FA6D0000}"/>
    <cellStyle name="40% - Accent5 4 3 2 4" xfId="31677" xr:uid="{00000000-0005-0000-0000-0000FB6D0000}"/>
    <cellStyle name="40% - Accent5 4 3 2 4 2" xfId="31678" xr:uid="{00000000-0005-0000-0000-0000FC6D0000}"/>
    <cellStyle name="40% - Accent5 4 3 2 5" xfId="31679" xr:uid="{00000000-0005-0000-0000-0000FD6D0000}"/>
    <cellStyle name="40% - Accent5 4 3 2 5 2" xfId="31680" xr:uid="{00000000-0005-0000-0000-0000FE6D0000}"/>
    <cellStyle name="40% - Accent5 4 3 2 6" xfId="31681" xr:uid="{00000000-0005-0000-0000-0000FF6D0000}"/>
    <cellStyle name="40% - Accent5 4 3 2 7" xfId="31682" xr:uid="{00000000-0005-0000-0000-0000006E0000}"/>
    <cellStyle name="40% - Accent5 4 3 2 8" xfId="31683" xr:uid="{00000000-0005-0000-0000-0000016E0000}"/>
    <cellStyle name="40% - Accent5 4 3 3" xfId="31684" xr:uid="{00000000-0005-0000-0000-0000026E0000}"/>
    <cellStyle name="40% - Accent5 4 3 3 2" xfId="31685" xr:uid="{00000000-0005-0000-0000-0000036E0000}"/>
    <cellStyle name="40% - Accent5 4 3 3 2 2" xfId="31686" xr:uid="{00000000-0005-0000-0000-0000046E0000}"/>
    <cellStyle name="40% - Accent5 4 3 3 2 2 2" xfId="31687" xr:uid="{00000000-0005-0000-0000-0000056E0000}"/>
    <cellStyle name="40% - Accent5 4 3 3 2 2 2 2" xfId="31688" xr:uid="{00000000-0005-0000-0000-0000066E0000}"/>
    <cellStyle name="40% - Accent5 4 3 3 2 2 3" xfId="31689" xr:uid="{00000000-0005-0000-0000-0000076E0000}"/>
    <cellStyle name="40% - Accent5 4 3 3 2 3" xfId="31690" xr:uid="{00000000-0005-0000-0000-0000086E0000}"/>
    <cellStyle name="40% - Accent5 4 3 3 2 3 2" xfId="31691" xr:uid="{00000000-0005-0000-0000-0000096E0000}"/>
    <cellStyle name="40% - Accent5 4 3 3 2 4" xfId="31692" xr:uid="{00000000-0005-0000-0000-00000A6E0000}"/>
    <cellStyle name="40% - Accent5 4 3 3 2 5" xfId="31693" xr:uid="{00000000-0005-0000-0000-00000B6E0000}"/>
    <cellStyle name="40% - Accent5 4 3 3 2 6" xfId="31694" xr:uid="{00000000-0005-0000-0000-00000C6E0000}"/>
    <cellStyle name="40% - Accent5 4 3 3 3" xfId="31695" xr:uid="{00000000-0005-0000-0000-00000D6E0000}"/>
    <cellStyle name="40% - Accent5 4 3 3 3 2" xfId="31696" xr:uid="{00000000-0005-0000-0000-00000E6E0000}"/>
    <cellStyle name="40% - Accent5 4 3 3 3 2 2" xfId="31697" xr:uid="{00000000-0005-0000-0000-00000F6E0000}"/>
    <cellStyle name="40% - Accent5 4 3 3 3 3" xfId="31698" xr:uid="{00000000-0005-0000-0000-0000106E0000}"/>
    <cellStyle name="40% - Accent5 4 3 3 4" xfId="31699" xr:uid="{00000000-0005-0000-0000-0000116E0000}"/>
    <cellStyle name="40% - Accent5 4 3 3 4 2" xfId="31700" xr:uid="{00000000-0005-0000-0000-0000126E0000}"/>
    <cellStyle name="40% - Accent5 4 3 3 5" xfId="31701" xr:uid="{00000000-0005-0000-0000-0000136E0000}"/>
    <cellStyle name="40% - Accent5 4 3 3 6" xfId="31702" xr:uid="{00000000-0005-0000-0000-0000146E0000}"/>
    <cellStyle name="40% - Accent5 4 3 3 7" xfId="31703" xr:uid="{00000000-0005-0000-0000-0000156E0000}"/>
    <cellStyle name="40% - Accent5 4 3 4" xfId="31704" xr:uid="{00000000-0005-0000-0000-0000166E0000}"/>
    <cellStyle name="40% - Accent5 4 3 4 2" xfId="31705" xr:uid="{00000000-0005-0000-0000-0000176E0000}"/>
    <cellStyle name="40% - Accent5 4 3 4 2 2" xfId="31706" xr:uid="{00000000-0005-0000-0000-0000186E0000}"/>
    <cellStyle name="40% - Accent5 4 3 4 2 2 2" xfId="31707" xr:uid="{00000000-0005-0000-0000-0000196E0000}"/>
    <cellStyle name="40% - Accent5 4 3 4 2 3" xfId="31708" xr:uid="{00000000-0005-0000-0000-00001A6E0000}"/>
    <cellStyle name="40% - Accent5 4 3 4 3" xfId="31709" xr:uid="{00000000-0005-0000-0000-00001B6E0000}"/>
    <cellStyle name="40% - Accent5 4 3 4 3 2" xfId="31710" xr:uid="{00000000-0005-0000-0000-00001C6E0000}"/>
    <cellStyle name="40% - Accent5 4 3 4 4" xfId="31711" xr:uid="{00000000-0005-0000-0000-00001D6E0000}"/>
    <cellStyle name="40% - Accent5 4 3 4 5" xfId="31712" xr:uid="{00000000-0005-0000-0000-00001E6E0000}"/>
    <cellStyle name="40% - Accent5 4 3 4 6" xfId="31713" xr:uid="{00000000-0005-0000-0000-00001F6E0000}"/>
    <cellStyle name="40% - Accent5 4 3 5" xfId="31714" xr:uid="{00000000-0005-0000-0000-0000206E0000}"/>
    <cellStyle name="40% - Accent5 4 3 5 2" xfId="31715" xr:uid="{00000000-0005-0000-0000-0000216E0000}"/>
    <cellStyle name="40% - Accent5 4 3 5 2 2" xfId="31716" xr:uid="{00000000-0005-0000-0000-0000226E0000}"/>
    <cellStyle name="40% - Accent5 4 3 5 3" xfId="31717" xr:uid="{00000000-0005-0000-0000-0000236E0000}"/>
    <cellStyle name="40% - Accent5 4 3 6" xfId="31718" xr:uid="{00000000-0005-0000-0000-0000246E0000}"/>
    <cellStyle name="40% - Accent5 4 3 6 2" xfId="31719" xr:uid="{00000000-0005-0000-0000-0000256E0000}"/>
    <cellStyle name="40% - Accent5 4 3 6 2 2" xfId="31720" xr:uid="{00000000-0005-0000-0000-0000266E0000}"/>
    <cellStyle name="40% - Accent5 4 3 6 3" xfId="31721" xr:uid="{00000000-0005-0000-0000-0000276E0000}"/>
    <cellStyle name="40% - Accent5 4 3 7" xfId="31722" xr:uid="{00000000-0005-0000-0000-0000286E0000}"/>
    <cellStyle name="40% - Accent5 4 3 7 2" xfId="31723" xr:uid="{00000000-0005-0000-0000-0000296E0000}"/>
    <cellStyle name="40% - Accent5 4 3 8" xfId="31724" xr:uid="{00000000-0005-0000-0000-00002A6E0000}"/>
    <cellStyle name="40% - Accent5 4 3 8 2" xfId="31725" xr:uid="{00000000-0005-0000-0000-00002B6E0000}"/>
    <cellStyle name="40% - Accent5 4 3 9" xfId="31726" xr:uid="{00000000-0005-0000-0000-00002C6E0000}"/>
    <cellStyle name="40% - Accent5 4 4" xfId="31727" xr:uid="{00000000-0005-0000-0000-00002D6E0000}"/>
    <cellStyle name="40% - Accent5 4 4 10" xfId="31728" xr:uid="{00000000-0005-0000-0000-00002E6E0000}"/>
    <cellStyle name="40% - Accent5 4 4 11" xfId="31729" xr:uid="{00000000-0005-0000-0000-00002F6E0000}"/>
    <cellStyle name="40% - Accent5 4 4 2" xfId="31730" xr:uid="{00000000-0005-0000-0000-0000306E0000}"/>
    <cellStyle name="40% - Accent5 4 4 2 2" xfId="31731" xr:uid="{00000000-0005-0000-0000-0000316E0000}"/>
    <cellStyle name="40% - Accent5 4 4 2 2 2" xfId="31732" xr:uid="{00000000-0005-0000-0000-0000326E0000}"/>
    <cellStyle name="40% - Accent5 4 4 2 2 2 2" xfId="31733" xr:uid="{00000000-0005-0000-0000-0000336E0000}"/>
    <cellStyle name="40% - Accent5 4 4 2 2 2 2 2" xfId="31734" xr:uid="{00000000-0005-0000-0000-0000346E0000}"/>
    <cellStyle name="40% - Accent5 4 4 2 2 2 3" xfId="31735" xr:uid="{00000000-0005-0000-0000-0000356E0000}"/>
    <cellStyle name="40% - Accent5 4 4 2 2 3" xfId="31736" xr:uid="{00000000-0005-0000-0000-0000366E0000}"/>
    <cellStyle name="40% - Accent5 4 4 2 2 3 2" xfId="31737" xr:uid="{00000000-0005-0000-0000-0000376E0000}"/>
    <cellStyle name="40% - Accent5 4 4 2 2 4" xfId="31738" xr:uid="{00000000-0005-0000-0000-0000386E0000}"/>
    <cellStyle name="40% - Accent5 4 4 2 2 5" xfId="31739" xr:uid="{00000000-0005-0000-0000-0000396E0000}"/>
    <cellStyle name="40% - Accent5 4 4 2 2 6" xfId="31740" xr:uid="{00000000-0005-0000-0000-00003A6E0000}"/>
    <cellStyle name="40% - Accent5 4 4 2 3" xfId="31741" xr:uid="{00000000-0005-0000-0000-00003B6E0000}"/>
    <cellStyle name="40% - Accent5 4 4 2 3 2" xfId="31742" xr:uid="{00000000-0005-0000-0000-00003C6E0000}"/>
    <cellStyle name="40% - Accent5 4 4 2 3 2 2" xfId="31743" xr:uid="{00000000-0005-0000-0000-00003D6E0000}"/>
    <cellStyle name="40% - Accent5 4 4 2 3 3" xfId="31744" xr:uid="{00000000-0005-0000-0000-00003E6E0000}"/>
    <cellStyle name="40% - Accent5 4 4 2 4" xfId="31745" xr:uid="{00000000-0005-0000-0000-00003F6E0000}"/>
    <cellStyle name="40% - Accent5 4 4 2 4 2" xfId="31746" xr:uid="{00000000-0005-0000-0000-0000406E0000}"/>
    <cellStyle name="40% - Accent5 4 4 2 5" xfId="31747" xr:uid="{00000000-0005-0000-0000-0000416E0000}"/>
    <cellStyle name="40% - Accent5 4 4 2 5 2" xfId="31748" xr:uid="{00000000-0005-0000-0000-0000426E0000}"/>
    <cellStyle name="40% - Accent5 4 4 2 6" xfId="31749" xr:uid="{00000000-0005-0000-0000-0000436E0000}"/>
    <cellStyle name="40% - Accent5 4 4 2 7" xfId="31750" xr:uid="{00000000-0005-0000-0000-0000446E0000}"/>
    <cellStyle name="40% - Accent5 4 4 2 8" xfId="31751" xr:uid="{00000000-0005-0000-0000-0000456E0000}"/>
    <cellStyle name="40% - Accent5 4 4 3" xfId="31752" xr:uid="{00000000-0005-0000-0000-0000466E0000}"/>
    <cellStyle name="40% - Accent5 4 4 3 2" xfId="31753" xr:uid="{00000000-0005-0000-0000-0000476E0000}"/>
    <cellStyle name="40% - Accent5 4 4 3 2 2" xfId="31754" xr:uid="{00000000-0005-0000-0000-0000486E0000}"/>
    <cellStyle name="40% - Accent5 4 4 3 2 2 2" xfId="31755" xr:uid="{00000000-0005-0000-0000-0000496E0000}"/>
    <cellStyle name="40% - Accent5 4 4 3 2 2 2 2" xfId="31756" xr:uid="{00000000-0005-0000-0000-00004A6E0000}"/>
    <cellStyle name="40% - Accent5 4 4 3 2 2 3" xfId="31757" xr:uid="{00000000-0005-0000-0000-00004B6E0000}"/>
    <cellStyle name="40% - Accent5 4 4 3 2 3" xfId="31758" xr:uid="{00000000-0005-0000-0000-00004C6E0000}"/>
    <cellStyle name="40% - Accent5 4 4 3 2 3 2" xfId="31759" xr:uid="{00000000-0005-0000-0000-00004D6E0000}"/>
    <cellStyle name="40% - Accent5 4 4 3 2 4" xfId="31760" xr:uid="{00000000-0005-0000-0000-00004E6E0000}"/>
    <cellStyle name="40% - Accent5 4 4 3 2 5" xfId="31761" xr:uid="{00000000-0005-0000-0000-00004F6E0000}"/>
    <cellStyle name="40% - Accent5 4 4 3 2 6" xfId="31762" xr:uid="{00000000-0005-0000-0000-0000506E0000}"/>
    <cellStyle name="40% - Accent5 4 4 3 3" xfId="31763" xr:uid="{00000000-0005-0000-0000-0000516E0000}"/>
    <cellStyle name="40% - Accent5 4 4 3 3 2" xfId="31764" xr:uid="{00000000-0005-0000-0000-0000526E0000}"/>
    <cellStyle name="40% - Accent5 4 4 3 3 2 2" xfId="31765" xr:uid="{00000000-0005-0000-0000-0000536E0000}"/>
    <cellStyle name="40% - Accent5 4 4 3 3 3" xfId="31766" xr:uid="{00000000-0005-0000-0000-0000546E0000}"/>
    <cellStyle name="40% - Accent5 4 4 3 4" xfId="31767" xr:uid="{00000000-0005-0000-0000-0000556E0000}"/>
    <cellStyle name="40% - Accent5 4 4 3 4 2" xfId="31768" xr:uid="{00000000-0005-0000-0000-0000566E0000}"/>
    <cellStyle name="40% - Accent5 4 4 3 5" xfId="31769" xr:uid="{00000000-0005-0000-0000-0000576E0000}"/>
    <cellStyle name="40% - Accent5 4 4 3 6" xfId="31770" xr:uid="{00000000-0005-0000-0000-0000586E0000}"/>
    <cellStyle name="40% - Accent5 4 4 3 7" xfId="31771" xr:uid="{00000000-0005-0000-0000-0000596E0000}"/>
    <cellStyle name="40% - Accent5 4 4 4" xfId="31772" xr:uid="{00000000-0005-0000-0000-00005A6E0000}"/>
    <cellStyle name="40% - Accent5 4 4 4 2" xfId="31773" xr:uid="{00000000-0005-0000-0000-00005B6E0000}"/>
    <cellStyle name="40% - Accent5 4 4 4 2 2" xfId="31774" xr:uid="{00000000-0005-0000-0000-00005C6E0000}"/>
    <cellStyle name="40% - Accent5 4 4 4 2 2 2" xfId="31775" xr:uid="{00000000-0005-0000-0000-00005D6E0000}"/>
    <cellStyle name="40% - Accent5 4 4 4 2 3" xfId="31776" xr:uid="{00000000-0005-0000-0000-00005E6E0000}"/>
    <cellStyle name="40% - Accent5 4 4 4 3" xfId="31777" xr:uid="{00000000-0005-0000-0000-00005F6E0000}"/>
    <cellStyle name="40% - Accent5 4 4 4 3 2" xfId="31778" xr:uid="{00000000-0005-0000-0000-0000606E0000}"/>
    <cellStyle name="40% - Accent5 4 4 4 4" xfId="31779" xr:uid="{00000000-0005-0000-0000-0000616E0000}"/>
    <cellStyle name="40% - Accent5 4 4 4 5" xfId="31780" xr:uid="{00000000-0005-0000-0000-0000626E0000}"/>
    <cellStyle name="40% - Accent5 4 4 4 6" xfId="31781" xr:uid="{00000000-0005-0000-0000-0000636E0000}"/>
    <cellStyle name="40% - Accent5 4 4 5" xfId="31782" xr:uid="{00000000-0005-0000-0000-0000646E0000}"/>
    <cellStyle name="40% - Accent5 4 4 5 2" xfId="31783" xr:uid="{00000000-0005-0000-0000-0000656E0000}"/>
    <cellStyle name="40% - Accent5 4 4 5 2 2" xfId="31784" xr:uid="{00000000-0005-0000-0000-0000666E0000}"/>
    <cellStyle name="40% - Accent5 4 4 5 3" xfId="31785" xr:uid="{00000000-0005-0000-0000-0000676E0000}"/>
    <cellStyle name="40% - Accent5 4 4 6" xfId="31786" xr:uid="{00000000-0005-0000-0000-0000686E0000}"/>
    <cellStyle name="40% - Accent5 4 4 6 2" xfId="31787" xr:uid="{00000000-0005-0000-0000-0000696E0000}"/>
    <cellStyle name="40% - Accent5 4 4 6 2 2" xfId="31788" xr:uid="{00000000-0005-0000-0000-00006A6E0000}"/>
    <cellStyle name="40% - Accent5 4 4 6 3" xfId="31789" xr:uid="{00000000-0005-0000-0000-00006B6E0000}"/>
    <cellStyle name="40% - Accent5 4 4 7" xfId="31790" xr:uid="{00000000-0005-0000-0000-00006C6E0000}"/>
    <cellStyle name="40% - Accent5 4 4 7 2" xfId="31791" xr:uid="{00000000-0005-0000-0000-00006D6E0000}"/>
    <cellStyle name="40% - Accent5 4 4 8" xfId="31792" xr:uid="{00000000-0005-0000-0000-00006E6E0000}"/>
    <cellStyle name="40% - Accent5 4 4 8 2" xfId="31793" xr:uid="{00000000-0005-0000-0000-00006F6E0000}"/>
    <cellStyle name="40% - Accent5 4 4 9" xfId="31794" xr:uid="{00000000-0005-0000-0000-0000706E0000}"/>
    <cellStyle name="40% - Accent5 4 5" xfId="31795" xr:uid="{00000000-0005-0000-0000-0000716E0000}"/>
    <cellStyle name="40% - Accent5 4 5 10" xfId="31796" xr:uid="{00000000-0005-0000-0000-0000726E0000}"/>
    <cellStyle name="40% - Accent5 4 5 11" xfId="31797" xr:uid="{00000000-0005-0000-0000-0000736E0000}"/>
    <cellStyle name="40% - Accent5 4 5 2" xfId="31798" xr:uid="{00000000-0005-0000-0000-0000746E0000}"/>
    <cellStyle name="40% - Accent5 4 5 2 2" xfId="31799" xr:uid="{00000000-0005-0000-0000-0000756E0000}"/>
    <cellStyle name="40% - Accent5 4 5 2 2 2" xfId="31800" xr:uid="{00000000-0005-0000-0000-0000766E0000}"/>
    <cellStyle name="40% - Accent5 4 5 2 2 2 2" xfId="31801" xr:uid="{00000000-0005-0000-0000-0000776E0000}"/>
    <cellStyle name="40% - Accent5 4 5 2 2 2 2 2" xfId="31802" xr:uid="{00000000-0005-0000-0000-0000786E0000}"/>
    <cellStyle name="40% - Accent5 4 5 2 2 2 3" xfId="31803" xr:uid="{00000000-0005-0000-0000-0000796E0000}"/>
    <cellStyle name="40% - Accent5 4 5 2 2 3" xfId="31804" xr:uid="{00000000-0005-0000-0000-00007A6E0000}"/>
    <cellStyle name="40% - Accent5 4 5 2 2 3 2" xfId="31805" xr:uid="{00000000-0005-0000-0000-00007B6E0000}"/>
    <cellStyle name="40% - Accent5 4 5 2 2 4" xfId="31806" xr:uid="{00000000-0005-0000-0000-00007C6E0000}"/>
    <cellStyle name="40% - Accent5 4 5 2 2 5" xfId="31807" xr:uid="{00000000-0005-0000-0000-00007D6E0000}"/>
    <cellStyle name="40% - Accent5 4 5 2 2 6" xfId="31808" xr:uid="{00000000-0005-0000-0000-00007E6E0000}"/>
    <cellStyle name="40% - Accent5 4 5 2 3" xfId="31809" xr:uid="{00000000-0005-0000-0000-00007F6E0000}"/>
    <cellStyle name="40% - Accent5 4 5 2 3 2" xfId="31810" xr:uid="{00000000-0005-0000-0000-0000806E0000}"/>
    <cellStyle name="40% - Accent5 4 5 2 3 2 2" xfId="31811" xr:uid="{00000000-0005-0000-0000-0000816E0000}"/>
    <cellStyle name="40% - Accent5 4 5 2 3 3" xfId="31812" xr:uid="{00000000-0005-0000-0000-0000826E0000}"/>
    <cellStyle name="40% - Accent5 4 5 2 4" xfId="31813" xr:uid="{00000000-0005-0000-0000-0000836E0000}"/>
    <cellStyle name="40% - Accent5 4 5 2 4 2" xfId="31814" xr:uid="{00000000-0005-0000-0000-0000846E0000}"/>
    <cellStyle name="40% - Accent5 4 5 2 5" xfId="31815" xr:uid="{00000000-0005-0000-0000-0000856E0000}"/>
    <cellStyle name="40% - Accent5 4 5 2 5 2" xfId="31816" xr:uid="{00000000-0005-0000-0000-0000866E0000}"/>
    <cellStyle name="40% - Accent5 4 5 2 6" xfId="31817" xr:uid="{00000000-0005-0000-0000-0000876E0000}"/>
    <cellStyle name="40% - Accent5 4 5 2 7" xfId="31818" xr:uid="{00000000-0005-0000-0000-0000886E0000}"/>
    <cellStyle name="40% - Accent5 4 5 2 8" xfId="31819" xr:uid="{00000000-0005-0000-0000-0000896E0000}"/>
    <cellStyle name="40% - Accent5 4 5 3" xfId="31820" xr:uid="{00000000-0005-0000-0000-00008A6E0000}"/>
    <cellStyle name="40% - Accent5 4 5 3 2" xfId="31821" xr:uid="{00000000-0005-0000-0000-00008B6E0000}"/>
    <cellStyle name="40% - Accent5 4 5 3 2 2" xfId="31822" xr:uid="{00000000-0005-0000-0000-00008C6E0000}"/>
    <cellStyle name="40% - Accent5 4 5 3 2 2 2" xfId="31823" xr:uid="{00000000-0005-0000-0000-00008D6E0000}"/>
    <cellStyle name="40% - Accent5 4 5 3 2 2 2 2" xfId="31824" xr:uid="{00000000-0005-0000-0000-00008E6E0000}"/>
    <cellStyle name="40% - Accent5 4 5 3 2 2 3" xfId="31825" xr:uid="{00000000-0005-0000-0000-00008F6E0000}"/>
    <cellStyle name="40% - Accent5 4 5 3 2 3" xfId="31826" xr:uid="{00000000-0005-0000-0000-0000906E0000}"/>
    <cellStyle name="40% - Accent5 4 5 3 2 3 2" xfId="31827" xr:uid="{00000000-0005-0000-0000-0000916E0000}"/>
    <cellStyle name="40% - Accent5 4 5 3 2 4" xfId="31828" xr:uid="{00000000-0005-0000-0000-0000926E0000}"/>
    <cellStyle name="40% - Accent5 4 5 3 2 5" xfId="31829" xr:uid="{00000000-0005-0000-0000-0000936E0000}"/>
    <cellStyle name="40% - Accent5 4 5 3 2 6" xfId="31830" xr:uid="{00000000-0005-0000-0000-0000946E0000}"/>
    <cellStyle name="40% - Accent5 4 5 3 3" xfId="31831" xr:uid="{00000000-0005-0000-0000-0000956E0000}"/>
    <cellStyle name="40% - Accent5 4 5 3 3 2" xfId="31832" xr:uid="{00000000-0005-0000-0000-0000966E0000}"/>
    <cellStyle name="40% - Accent5 4 5 3 3 2 2" xfId="31833" xr:uid="{00000000-0005-0000-0000-0000976E0000}"/>
    <cellStyle name="40% - Accent5 4 5 3 3 3" xfId="31834" xr:uid="{00000000-0005-0000-0000-0000986E0000}"/>
    <cellStyle name="40% - Accent5 4 5 3 4" xfId="31835" xr:uid="{00000000-0005-0000-0000-0000996E0000}"/>
    <cellStyle name="40% - Accent5 4 5 3 4 2" xfId="31836" xr:uid="{00000000-0005-0000-0000-00009A6E0000}"/>
    <cellStyle name="40% - Accent5 4 5 3 5" xfId="31837" xr:uid="{00000000-0005-0000-0000-00009B6E0000}"/>
    <cellStyle name="40% - Accent5 4 5 3 6" xfId="31838" xr:uid="{00000000-0005-0000-0000-00009C6E0000}"/>
    <cellStyle name="40% - Accent5 4 5 3 7" xfId="31839" xr:uid="{00000000-0005-0000-0000-00009D6E0000}"/>
    <cellStyle name="40% - Accent5 4 5 4" xfId="31840" xr:uid="{00000000-0005-0000-0000-00009E6E0000}"/>
    <cellStyle name="40% - Accent5 4 5 4 2" xfId="31841" xr:uid="{00000000-0005-0000-0000-00009F6E0000}"/>
    <cellStyle name="40% - Accent5 4 5 4 2 2" xfId="31842" xr:uid="{00000000-0005-0000-0000-0000A06E0000}"/>
    <cellStyle name="40% - Accent5 4 5 4 2 2 2" xfId="31843" xr:uid="{00000000-0005-0000-0000-0000A16E0000}"/>
    <cellStyle name="40% - Accent5 4 5 4 2 3" xfId="31844" xr:uid="{00000000-0005-0000-0000-0000A26E0000}"/>
    <cellStyle name="40% - Accent5 4 5 4 3" xfId="31845" xr:uid="{00000000-0005-0000-0000-0000A36E0000}"/>
    <cellStyle name="40% - Accent5 4 5 4 3 2" xfId="31846" xr:uid="{00000000-0005-0000-0000-0000A46E0000}"/>
    <cellStyle name="40% - Accent5 4 5 4 4" xfId="31847" xr:uid="{00000000-0005-0000-0000-0000A56E0000}"/>
    <cellStyle name="40% - Accent5 4 5 4 5" xfId="31848" xr:uid="{00000000-0005-0000-0000-0000A66E0000}"/>
    <cellStyle name="40% - Accent5 4 5 4 6" xfId="31849" xr:uid="{00000000-0005-0000-0000-0000A76E0000}"/>
    <cellStyle name="40% - Accent5 4 5 5" xfId="31850" xr:uid="{00000000-0005-0000-0000-0000A86E0000}"/>
    <cellStyle name="40% - Accent5 4 5 5 2" xfId="31851" xr:uid="{00000000-0005-0000-0000-0000A96E0000}"/>
    <cellStyle name="40% - Accent5 4 5 5 2 2" xfId="31852" xr:uid="{00000000-0005-0000-0000-0000AA6E0000}"/>
    <cellStyle name="40% - Accent5 4 5 5 3" xfId="31853" xr:uid="{00000000-0005-0000-0000-0000AB6E0000}"/>
    <cellStyle name="40% - Accent5 4 5 6" xfId="31854" xr:uid="{00000000-0005-0000-0000-0000AC6E0000}"/>
    <cellStyle name="40% - Accent5 4 5 6 2" xfId="31855" xr:uid="{00000000-0005-0000-0000-0000AD6E0000}"/>
    <cellStyle name="40% - Accent5 4 5 6 2 2" xfId="31856" xr:uid="{00000000-0005-0000-0000-0000AE6E0000}"/>
    <cellStyle name="40% - Accent5 4 5 6 3" xfId="31857" xr:uid="{00000000-0005-0000-0000-0000AF6E0000}"/>
    <cellStyle name="40% - Accent5 4 5 7" xfId="31858" xr:uid="{00000000-0005-0000-0000-0000B06E0000}"/>
    <cellStyle name="40% - Accent5 4 5 7 2" xfId="31859" xr:uid="{00000000-0005-0000-0000-0000B16E0000}"/>
    <cellStyle name="40% - Accent5 4 5 8" xfId="31860" xr:uid="{00000000-0005-0000-0000-0000B26E0000}"/>
    <cellStyle name="40% - Accent5 4 5 8 2" xfId="31861" xr:uid="{00000000-0005-0000-0000-0000B36E0000}"/>
    <cellStyle name="40% - Accent5 4 5 9" xfId="31862" xr:uid="{00000000-0005-0000-0000-0000B46E0000}"/>
    <cellStyle name="40% - Accent5 4 6" xfId="31863" xr:uid="{00000000-0005-0000-0000-0000B56E0000}"/>
    <cellStyle name="40% - Accent5 4 6 10" xfId="31864" xr:uid="{00000000-0005-0000-0000-0000B66E0000}"/>
    <cellStyle name="40% - Accent5 4 6 11" xfId="31865" xr:uid="{00000000-0005-0000-0000-0000B76E0000}"/>
    <cellStyle name="40% - Accent5 4 6 2" xfId="31866" xr:uid="{00000000-0005-0000-0000-0000B86E0000}"/>
    <cellStyle name="40% - Accent5 4 6 2 2" xfId="31867" xr:uid="{00000000-0005-0000-0000-0000B96E0000}"/>
    <cellStyle name="40% - Accent5 4 6 2 2 2" xfId="31868" xr:uid="{00000000-0005-0000-0000-0000BA6E0000}"/>
    <cellStyle name="40% - Accent5 4 6 2 2 2 2" xfId="31869" xr:uid="{00000000-0005-0000-0000-0000BB6E0000}"/>
    <cellStyle name="40% - Accent5 4 6 2 2 2 2 2" xfId="31870" xr:uid="{00000000-0005-0000-0000-0000BC6E0000}"/>
    <cellStyle name="40% - Accent5 4 6 2 2 2 3" xfId="31871" xr:uid="{00000000-0005-0000-0000-0000BD6E0000}"/>
    <cellStyle name="40% - Accent5 4 6 2 2 3" xfId="31872" xr:uid="{00000000-0005-0000-0000-0000BE6E0000}"/>
    <cellStyle name="40% - Accent5 4 6 2 2 3 2" xfId="31873" xr:uid="{00000000-0005-0000-0000-0000BF6E0000}"/>
    <cellStyle name="40% - Accent5 4 6 2 2 4" xfId="31874" xr:uid="{00000000-0005-0000-0000-0000C06E0000}"/>
    <cellStyle name="40% - Accent5 4 6 2 2 5" xfId="31875" xr:uid="{00000000-0005-0000-0000-0000C16E0000}"/>
    <cellStyle name="40% - Accent5 4 6 2 2 6" xfId="31876" xr:uid="{00000000-0005-0000-0000-0000C26E0000}"/>
    <cellStyle name="40% - Accent5 4 6 2 3" xfId="31877" xr:uid="{00000000-0005-0000-0000-0000C36E0000}"/>
    <cellStyle name="40% - Accent5 4 6 2 3 2" xfId="31878" xr:uid="{00000000-0005-0000-0000-0000C46E0000}"/>
    <cellStyle name="40% - Accent5 4 6 2 3 2 2" xfId="31879" xr:uid="{00000000-0005-0000-0000-0000C56E0000}"/>
    <cellStyle name="40% - Accent5 4 6 2 3 3" xfId="31880" xr:uid="{00000000-0005-0000-0000-0000C66E0000}"/>
    <cellStyle name="40% - Accent5 4 6 2 4" xfId="31881" xr:uid="{00000000-0005-0000-0000-0000C76E0000}"/>
    <cellStyle name="40% - Accent5 4 6 2 4 2" xfId="31882" xr:uid="{00000000-0005-0000-0000-0000C86E0000}"/>
    <cellStyle name="40% - Accent5 4 6 2 5" xfId="31883" xr:uid="{00000000-0005-0000-0000-0000C96E0000}"/>
    <cellStyle name="40% - Accent5 4 6 2 5 2" xfId="31884" xr:uid="{00000000-0005-0000-0000-0000CA6E0000}"/>
    <cellStyle name="40% - Accent5 4 6 2 6" xfId="31885" xr:uid="{00000000-0005-0000-0000-0000CB6E0000}"/>
    <cellStyle name="40% - Accent5 4 6 2 7" xfId="31886" xr:uid="{00000000-0005-0000-0000-0000CC6E0000}"/>
    <cellStyle name="40% - Accent5 4 6 2 8" xfId="31887" xr:uid="{00000000-0005-0000-0000-0000CD6E0000}"/>
    <cellStyle name="40% - Accent5 4 6 3" xfId="31888" xr:uid="{00000000-0005-0000-0000-0000CE6E0000}"/>
    <cellStyle name="40% - Accent5 4 6 3 2" xfId="31889" xr:uid="{00000000-0005-0000-0000-0000CF6E0000}"/>
    <cellStyle name="40% - Accent5 4 6 3 2 2" xfId="31890" xr:uid="{00000000-0005-0000-0000-0000D06E0000}"/>
    <cellStyle name="40% - Accent5 4 6 3 2 2 2" xfId="31891" xr:uid="{00000000-0005-0000-0000-0000D16E0000}"/>
    <cellStyle name="40% - Accent5 4 6 3 2 2 2 2" xfId="31892" xr:uid="{00000000-0005-0000-0000-0000D26E0000}"/>
    <cellStyle name="40% - Accent5 4 6 3 2 2 3" xfId="31893" xr:uid="{00000000-0005-0000-0000-0000D36E0000}"/>
    <cellStyle name="40% - Accent5 4 6 3 2 3" xfId="31894" xr:uid="{00000000-0005-0000-0000-0000D46E0000}"/>
    <cellStyle name="40% - Accent5 4 6 3 2 3 2" xfId="31895" xr:uid="{00000000-0005-0000-0000-0000D56E0000}"/>
    <cellStyle name="40% - Accent5 4 6 3 2 4" xfId="31896" xr:uid="{00000000-0005-0000-0000-0000D66E0000}"/>
    <cellStyle name="40% - Accent5 4 6 3 2 5" xfId="31897" xr:uid="{00000000-0005-0000-0000-0000D76E0000}"/>
    <cellStyle name="40% - Accent5 4 6 3 2 6" xfId="31898" xr:uid="{00000000-0005-0000-0000-0000D86E0000}"/>
    <cellStyle name="40% - Accent5 4 6 3 3" xfId="31899" xr:uid="{00000000-0005-0000-0000-0000D96E0000}"/>
    <cellStyle name="40% - Accent5 4 6 3 3 2" xfId="31900" xr:uid="{00000000-0005-0000-0000-0000DA6E0000}"/>
    <cellStyle name="40% - Accent5 4 6 3 3 2 2" xfId="31901" xr:uid="{00000000-0005-0000-0000-0000DB6E0000}"/>
    <cellStyle name="40% - Accent5 4 6 3 3 3" xfId="31902" xr:uid="{00000000-0005-0000-0000-0000DC6E0000}"/>
    <cellStyle name="40% - Accent5 4 6 3 4" xfId="31903" xr:uid="{00000000-0005-0000-0000-0000DD6E0000}"/>
    <cellStyle name="40% - Accent5 4 6 3 4 2" xfId="31904" xr:uid="{00000000-0005-0000-0000-0000DE6E0000}"/>
    <cellStyle name="40% - Accent5 4 6 3 5" xfId="31905" xr:uid="{00000000-0005-0000-0000-0000DF6E0000}"/>
    <cellStyle name="40% - Accent5 4 6 3 6" xfId="31906" xr:uid="{00000000-0005-0000-0000-0000E06E0000}"/>
    <cellStyle name="40% - Accent5 4 6 3 7" xfId="31907" xr:uid="{00000000-0005-0000-0000-0000E16E0000}"/>
    <cellStyle name="40% - Accent5 4 6 4" xfId="31908" xr:uid="{00000000-0005-0000-0000-0000E26E0000}"/>
    <cellStyle name="40% - Accent5 4 6 4 2" xfId="31909" xr:uid="{00000000-0005-0000-0000-0000E36E0000}"/>
    <cellStyle name="40% - Accent5 4 6 4 2 2" xfId="31910" xr:uid="{00000000-0005-0000-0000-0000E46E0000}"/>
    <cellStyle name="40% - Accent5 4 6 4 2 2 2" xfId="31911" xr:uid="{00000000-0005-0000-0000-0000E56E0000}"/>
    <cellStyle name="40% - Accent5 4 6 4 2 3" xfId="31912" xr:uid="{00000000-0005-0000-0000-0000E66E0000}"/>
    <cellStyle name="40% - Accent5 4 6 4 3" xfId="31913" xr:uid="{00000000-0005-0000-0000-0000E76E0000}"/>
    <cellStyle name="40% - Accent5 4 6 4 3 2" xfId="31914" xr:uid="{00000000-0005-0000-0000-0000E86E0000}"/>
    <cellStyle name="40% - Accent5 4 6 4 4" xfId="31915" xr:uid="{00000000-0005-0000-0000-0000E96E0000}"/>
    <cellStyle name="40% - Accent5 4 6 4 5" xfId="31916" xr:uid="{00000000-0005-0000-0000-0000EA6E0000}"/>
    <cellStyle name="40% - Accent5 4 6 4 6" xfId="31917" xr:uid="{00000000-0005-0000-0000-0000EB6E0000}"/>
    <cellStyle name="40% - Accent5 4 6 5" xfId="31918" xr:uid="{00000000-0005-0000-0000-0000EC6E0000}"/>
    <cellStyle name="40% - Accent5 4 6 5 2" xfId="31919" xr:uid="{00000000-0005-0000-0000-0000ED6E0000}"/>
    <cellStyle name="40% - Accent5 4 6 5 2 2" xfId="31920" xr:uid="{00000000-0005-0000-0000-0000EE6E0000}"/>
    <cellStyle name="40% - Accent5 4 6 5 3" xfId="31921" xr:uid="{00000000-0005-0000-0000-0000EF6E0000}"/>
    <cellStyle name="40% - Accent5 4 6 6" xfId="31922" xr:uid="{00000000-0005-0000-0000-0000F06E0000}"/>
    <cellStyle name="40% - Accent5 4 6 6 2" xfId="31923" xr:uid="{00000000-0005-0000-0000-0000F16E0000}"/>
    <cellStyle name="40% - Accent5 4 6 6 2 2" xfId="31924" xr:uid="{00000000-0005-0000-0000-0000F26E0000}"/>
    <cellStyle name="40% - Accent5 4 6 6 3" xfId="31925" xr:uid="{00000000-0005-0000-0000-0000F36E0000}"/>
    <cellStyle name="40% - Accent5 4 6 7" xfId="31926" xr:uid="{00000000-0005-0000-0000-0000F46E0000}"/>
    <cellStyle name="40% - Accent5 4 6 7 2" xfId="31927" xr:uid="{00000000-0005-0000-0000-0000F56E0000}"/>
    <cellStyle name="40% - Accent5 4 6 8" xfId="31928" xr:uid="{00000000-0005-0000-0000-0000F66E0000}"/>
    <cellStyle name="40% - Accent5 4 6 8 2" xfId="31929" xr:uid="{00000000-0005-0000-0000-0000F76E0000}"/>
    <cellStyle name="40% - Accent5 4 6 9" xfId="31930" xr:uid="{00000000-0005-0000-0000-0000F86E0000}"/>
    <cellStyle name="40% - Accent5 4 7" xfId="31931" xr:uid="{00000000-0005-0000-0000-0000F96E0000}"/>
    <cellStyle name="40% - Accent5 4 7 10" xfId="31932" xr:uid="{00000000-0005-0000-0000-0000FA6E0000}"/>
    <cellStyle name="40% - Accent5 4 7 11" xfId="31933" xr:uid="{00000000-0005-0000-0000-0000FB6E0000}"/>
    <cellStyle name="40% - Accent5 4 7 2" xfId="31934" xr:uid="{00000000-0005-0000-0000-0000FC6E0000}"/>
    <cellStyle name="40% - Accent5 4 7 2 2" xfId="31935" xr:uid="{00000000-0005-0000-0000-0000FD6E0000}"/>
    <cellStyle name="40% - Accent5 4 7 2 2 2" xfId="31936" xr:uid="{00000000-0005-0000-0000-0000FE6E0000}"/>
    <cellStyle name="40% - Accent5 4 7 2 2 2 2" xfId="31937" xr:uid="{00000000-0005-0000-0000-0000FF6E0000}"/>
    <cellStyle name="40% - Accent5 4 7 2 2 2 2 2" xfId="31938" xr:uid="{00000000-0005-0000-0000-0000006F0000}"/>
    <cellStyle name="40% - Accent5 4 7 2 2 2 3" xfId="31939" xr:uid="{00000000-0005-0000-0000-0000016F0000}"/>
    <cellStyle name="40% - Accent5 4 7 2 2 3" xfId="31940" xr:uid="{00000000-0005-0000-0000-0000026F0000}"/>
    <cellStyle name="40% - Accent5 4 7 2 2 3 2" xfId="31941" xr:uid="{00000000-0005-0000-0000-0000036F0000}"/>
    <cellStyle name="40% - Accent5 4 7 2 2 4" xfId="31942" xr:uid="{00000000-0005-0000-0000-0000046F0000}"/>
    <cellStyle name="40% - Accent5 4 7 2 2 5" xfId="31943" xr:uid="{00000000-0005-0000-0000-0000056F0000}"/>
    <cellStyle name="40% - Accent5 4 7 2 2 6" xfId="31944" xr:uid="{00000000-0005-0000-0000-0000066F0000}"/>
    <cellStyle name="40% - Accent5 4 7 2 3" xfId="31945" xr:uid="{00000000-0005-0000-0000-0000076F0000}"/>
    <cellStyle name="40% - Accent5 4 7 2 3 2" xfId="31946" xr:uid="{00000000-0005-0000-0000-0000086F0000}"/>
    <cellStyle name="40% - Accent5 4 7 2 3 2 2" xfId="31947" xr:uid="{00000000-0005-0000-0000-0000096F0000}"/>
    <cellStyle name="40% - Accent5 4 7 2 3 3" xfId="31948" xr:uid="{00000000-0005-0000-0000-00000A6F0000}"/>
    <cellStyle name="40% - Accent5 4 7 2 4" xfId="31949" xr:uid="{00000000-0005-0000-0000-00000B6F0000}"/>
    <cellStyle name="40% - Accent5 4 7 2 4 2" xfId="31950" xr:uid="{00000000-0005-0000-0000-00000C6F0000}"/>
    <cellStyle name="40% - Accent5 4 7 2 5" xfId="31951" xr:uid="{00000000-0005-0000-0000-00000D6F0000}"/>
    <cellStyle name="40% - Accent5 4 7 2 5 2" xfId="31952" xr:uid="{00000000-0005-0000-0000-00000E6F0000}"/>
    <cellStyle name="40% - Accent5 4 7 2 6" xfId="31953" xr:uid="{00000000-0005-0000-0000-00000F6F0000}"/>
    <cellStyle name="40% - Accent5 4 7 2 7" xfId="31954" xr:uid="{00000000-0005-0000-0000-0000106F0000}"/>
    <cellStyle name="40% - Accent5 4 7 2 8" xfId="31955" xr:uid="{00000000-0005-0000-0000-0000116F0000}"/>
    <cellStyle name="40% - Accent5 4 7 3" xfId="31956" xr:uid="{00000000-0005-0000-0000-0000126F0000}"/>
    <cellStyle name="40% - Accent5 4 7 3 2" xfId="31957" xr:uid="{00000000-0005-0000-0000-0000136F0000}"/>
    <cellStyle name="40% - Accent5 4 7 3 2 2" xfId="31958" xr:uid="{00000000-0005-0000-0000-0000146F0000}"/>
    <cellStyle name="40% - Accent5 4 7 3 2 2 2" xfId="31959" xr:uid="{00000000-0005-0000-0000-0000156F0000}"/>
    <cellStyle name="40% - Accent5 4 7 3 2 2 2 2" xfId="31960" xr:uid="{00000000-0005-0000-0000-0000166F0000}"/>
    <cellStyle name="40% - Accent5 4 7 3 2 2 3" xfId="31961" xr:uid="{00000000-0005-0000-0000-0000176F0000}"/>
    <cellStyle name="40% - Accent5 4 7 3 2 3" xfId="31962" xr:uid="{00000000-0005-0000-0000-0000186F0000}"/>
    <cellStyle name="40% - Accent5 4 7 3 2 3 2" xfId="31963" xr:uid="{00000000-0005-0000-0000-0000196F0000}"/>
    <cellStyle name="40% - Accent5 4 7 3 2 4" xfId="31964" xr:uid="{00000000-0005-0000-0000-00001A6F0000}"/>
    <cellStyle name="40% - Accent5 4 7 3 2 5" xfId="31965" xr:uid="{00000000-0005-0000-0000-00001B6F0000}"/>
    <cellStyle name="40% - Accent5 4 7 3 2 6" xfId="31966" xr:uid="{00000000-0005-0000-0000-00001C6F0000}"/>
    <cellStyle name="40% - Accent5 4 7 3 3" xfId="31967" xr:uid="{00000000-0005-0000-0000-00001D6F0000}"/>
    <cellStyle name="40% - Accent5 4 7 3 3 2" xfId="31968" xr:uid="{00000000-0005-0000-0000-00001E6F0000}"/>
    <cellStyle name="40% - Accent5 4 7 3 3 2 2" xfId="31969" xr:uid="{00000000-0005-0000-0000-00001F6F0000}"/>
    <cellStyle name="40% - Accent5 4 7 3 3 3" xfId="31970" xr:uid="{00000000-0005-0000-0000-0000206F0000}"/>
    <cellStyle name="40% - Accent5 4 7 3 4" xfId="31971" xr:uid="{00000000-0005-0000-0000-0000216F0000}"/>
    <cellStyle name="40% - Accent5 4 7 3 4 2" xfId="31972" xr:uid="{00000000-0005-0000-0000-0000226F0000}"/>
    <cellStyle name="40% - Accent5 4 7 3 5" xfId="31973" xr:uid="{00000000-0005-0000-0000-0000236F0000}"/>
    <cellStyle name="40% - Accent5 4 7 3 6" xfId="31974" xr:uid="{00000000-0005-0000-0000-0000246F0000}"/>
    <cellStyle name="40% - Accent5 4 7 3 7" xfId="31975" xr:uid="{00000000-0005-0000-0000-0000256F0000}"/>
    <cellStyle name="40% - Accent5 4 7 4" xfId="31976" xr:uid="{00000000-0005-0000-0000-0000266F0000}"/>
    <cellStyle name="40% - Accent5 4 7 4 2" xfId="31977" xr:uid="{00000000-0005-0000-0000-0000276F0000}"/>
    <cellStyle name="40% - Accent5 4 7 4 2 2" xfId="31978" xr:uid="{00000000-0005-0000-0000-0000286F0000}"/>
    <cellStyle name="40% - Accent5 4 7 4 2 2 2" xfId="31979" xr:uid="{00000000-0005-0000-0000-0000296F0000}"/>
    <cellStyle name="40% - Accent5 4 7 4 2 3" xfId="31980" xr:uid="{00000000-0005-0000-0000-00002A6F0000}"/>
    <cellStyle name="40% - Accent5 4 7 4 3" xfId="31981" xr:uid="{00000000-0005-0000-0000-00002B6F0000}"/>
    <cellStyle name="40% - Accent5 4 7 4 3 2" xfId="31982" xr:uid="{00000000-0005-0000-0000-00002C6F0000}"/>
    <cellStyle name="40% - Accent5 4 7 4 4" xfId="31983" xr:uid="{00000000-0005-0000-0000-00002D6F0000}"/>
    <cellStyle name="40% - Accent5 4 7 4 5" xfId="31984" xr:uid="{00000000-0005-0000-0000-00002E6F0000}"/>
    <cellStyle name="40% - Accent5 4 7 4 6" xfId="31985" xr:uid="{00000000-0005-0000-0000-00002F6F0000}"/>
    <cellStyle name="40% - Accent5 4 7 5" xfId="31986" xr:uid="{00000000-0005-0000-0000-0000306F0000}"/>
    <cellStyle name="40% - Accent5 4 7 5 2" xfId="31987" xr:uid="{00000000-0005-0000-0000-0000316F0000}"/>
    <cellStyle name="40% - Accent5 4 7 5 2 2" xfId="31988" xr:uid="{00000000-0005-0000-0000-0000326F0000}"/>
    <cellStyle name="40% - Accent5 4 7 5 3" xfId="31989" xr:uid="{00000000-0005-0000-0000-0000336F0000}"/>
    <cellStyle name="40% - Accent5 4 7 6" xfId="31990" xr:uid="{00000000-0005-0000-0000-0000346F0000}"/>
    <cellStyle name="40% - Accent5 4 7 6 2" xfId="31991" xr:uid="{00000000-0005-0000-0000-0000356F0000}"/>
    <cellStyle name="40% - Accent5 4 7 6 2 2" xfId="31992" xr:uid="{00000000-0005-0000-0000-0000366F0000}"/>
    <cellStyle name="40% - Accent5 4 7 6 3" xfId="31993" xr:uid="{00000000-0005-0000-0000-0000376F0000}"/>
    <cellStyle name="40% - Accent5 4 7 7" xfId="31994" xr:uid="{00000000-0005-0000-0000-0000386F0000}"/>
    <cellStyle name="40% - Accent5 4 7 7 2" xfId="31995" xr:uid="{00000000-0005-0000-0000-0000396F0000}"/>
    <cellStyle name="40% - Accent5 4 7 8" xfId="31996" xr:uid="{00000000-0005-0000-0000-00003A6F0000}"/>
    <cellStyle name="40% - Accent5 4 7 8 2" xfId="31997" xr:uid="{00000000-0005-0000-0000-00003B6F0000}"/>
    <cellStyle name="40% - Accent5 4 7 9" xfId="31998" xr:uid="{00000000-0005-0000-0000-00003C6F0000}"/>
    <cellStyle name="40% - Accent5 4 8" xfId="31999" xr:uid="{00000000-0005-0000-0000-00003D6F0000}"/>
    <cellStyle name="40% - Accent5 4 8 10" xfId="32000" xr:uid="{00000000-0005-0000-0000-00003E6F0000}"/>
    <cellStyle name="40% - Accent5 4 8 11" xfId="32001" xr:uid="{00000000-0005-0000-0000-00003F6F0000}"/>
    <cellStyle name="40% - Accent5 4 8 2" xfId="32002" xr:uid="{00000000-0005-0000-0000-0000406F0000}"/>
    <cellStyle name="40% - Accent5 4 8 2 2" xfId="32003" xr:uid="{00000000-0005-0000-0000-0000416F0000}"/>
    <cellStyle name="40% - Accent5 4 8 2 2 2" xfId="32004" xr:uid="{00000000-0005-0000-0000-0000426F0000}"/>
    <cellStyle name="40% - Accent5 4 8 2 2 2 2" xfId="32005" xr:uid="{00000000-0005-0000-0000-0000436F0000}"/>
    <cellStyle name="40% - Accent5 4 8 2 2 2 2 2" xfId="32006" xr:uid="{00000000-0005-0000-0000-0000446F0000}"/>
    <cellStyle name="40% - Accent5 4 8 2 2 2 3" xfId="32007" xr:uid="{00000000-0005-0000-0000-0000456F0000}"/>
    <cellStyle name="40% - Accent5 4 8 2 2 3" xfId="32008" xr:uid="{00000000-0005-0000-0000-0000466F0000}"/>
    <cellStyle name="40% - Accent5 4 8 2 2 3 2" xfId="32009" xr:uid="{00000000-0005-0000-0000-0000476F0000}"/>
    <cellStyle name="40% - Accent5 4 8 2 2 4" xfId="32010" xr:uid="{00000000-0005-0000-0000-0000486F0000}"/>
    <cellStyle name="40% - Accent5 4 8 2 2 5" xfId="32011" xr:uid="{00000000-0005-0000-0000-0000496F0000}"/>
    <cellStyle name="40% - Accent5 4 8 2 2 6" xfId="32012" xr:uid="{00000000-0005-0000-0000-00004A6F0000}"/>
    <cellStyle name="40% - Accent5 4 8 2 3" xfId="32013" xr:uid="{00000000-0005-0000-0000-00004B6F0000}"/>
    <cellStyle name="40% - Accent5 4 8 2 3 2" xfId="32014" xr:uid="{00000000-0005-0000-0000-00004C6F0000}"/>
    <cellStyle name="40% - Accent5 4 8 2 3 2 2" xfId="32015" xr:uid="{00000000-0005-0000-0000-00004D6F0000}"/>
    <cellStyle name="40% - Accent5 4 8 2 3 3" xfId="32016" xr:uid="{00000000-0005-0000-0000-00004E6F0000}"/>
    <cellStyle name="40% - Accent5 4 8 2 4" xfId="32017" xr:uid="{00000000-0005-0000-0000-00004F6F0000}"/>
    <cellStyle name="40% - Accent5 4 8 2 4 2" xfId="32018" xr:uid="{00000000-0005-0000-0000-0000506F0000}"/>
    <cellStyle name="40% - Accent5 4 8 2 5" xfId="32019" xr:uid="{00000000-0005-0000-0000-0000516F0000}"/>
    <cellStyle name="40% - Accent5 4 8 2 5 2" xfId="32020" xr:uid="{00000000-0005-0000-0000-0000526F0000}"/>
    <cellStyle name="40% - Accent5 4 8 2 6" xfId="32021" xr:uid="{00000000-0005-0000-0000-0000536F0000}"/>
    <cellStyle name="40% - Accent5 4 8 2 7" xfId="32022" xr:uid="{00000000-0005-0000-0000-0000546F0000}"/>
    <cellStyle name="40% - Accent5 4 8 2 8" xfId="32023" xr:uid="{00000000-0005-0000-0000-0000556F0000}"/>
    <cellStyle name="40% - Accent5 4 8 3" xfId="32024" xr:uid="{00000000-0005-0000-0000-0000566F0000}"/>
    <cellStyle name="40% - Accent5 4 8 3 2" xfId="32025" xr:uid="{00000000-0005-0000-0000-0000576F0000}"/>
    <cellStyle name="40% - Accent5 4 8 3 2 2" xfId="32026" xr:uid="{00000000-0005-0000-0000-0000586F0000}"/>
    <cellStyle name="40% - Accent5 4 8 3 2 2 2" xfId="32027" xr:uid="{00000000-0005-0000-0000-0000596F0000}"/>
    <cellStyle name="40% - Accent5 4 8 3 2 2 2 2" xfId="32028" xr:uid="{00000000-0005-0000-0000-00005A6F0000}"/>
    <cellStyle name="40% - Accent5 4 8 3 2 2 3" xfId="32029" xr:uid="{00000000-0005-0000-0000-00005B6F0000}"/>
    <cellStyle name="40% - Accent5 4 8 3 2 3" xfId="32030" xr:uid="{00000000-0005-0000-0000-00005C6F0000}"/>
    <cellStyle name="40% - Accent5 4 8 3 2 3 2" xfId="32031" xr:uid="{00000000-0005-0000-0000-00005D6F0000}"/>
    <cellStyle name="40% - Accent5 4 8 3 2 4" xfId="32032" xr:uid="{00000000-0005-0000-0000-00005E6F0000}"/>
    <cellStyle name="40% - Accent5 4 8 3 2 5" xfId="32033" xr:uid="{00000000-0005-0000-0000-00005F6F0000}"/>
    <cellStyle name="40% - Accent5 4 8 3 2 6" xfId="32034" xr:uid="{00000000-0005-0000-0000-0000606F0000}"/>
    <cellStyle name="40% - Accent5 4 8 3 3" xfId="32035" xr:uid="{00000000-0005-0000-0000-0000616F0000}"/>
    <cellStyle name="40% - Accent5 4 8 3 3 2" xfId="32036" xr:uid="{00000000-0005-0000-0000-0000626F0000}"/>
    <cellStyle name="40% - Accent5 4 8 3 3 2 2" xfId="32037" xr:uid="{00000000-0005-0000-0000-0000636F0000}"/>
    <cellStyle name="40% - Accent5 4 8 3 3 3" xfId="32038" xr:uid="{00000000-0005-0000-0000-0000646F0000}"/>
    <cellStyle name="40% - Accent5 4 8 3 4" xfId="32039" xr:uid="{00000000-0005-0000-0000-0000656F0000}"/>
    <cellStyle name="40% - Accent5 4 8 3 4 2" xfId="32040" xr:uid="{00000000-0005-0000-0000-0000666F0000}"/>
    <cellStyle name="40% - Accent5 4 8 3 5" xfId="32041" xr:uid="{00000000-0005-0000-0000-0000676F0000}"/>
    <cellStyle name="40% - Accent5 4 8 3 6" xfId="32042" xr:uid="{00000000-0005-0000-0000-0000686F0000}"/>
    <cellStyle name="40% - Accent5 4 8 3 7" xfId="32043" xr:uid="{00000000-0005-0000-0000-0000696F0000}"/>
    <cellStyle name="40% - Accent5 4 8 4" xfId="32044" xr:uid="{00000000-0005-0000-0000-00006A6F0000}"/>
    <cellStyle name="40% - Accent5 4 8 4 2" xfId="32045" xr:uid="{00000000-0005-0000-0000-00006B6F0000}"/>
    <cellStyle name="40% - Accent5 4 8 4 2 2" xfId="32046" xr:uid="{00000000-0005-0000-0000-00006C6F0000}"/>
    <cellStyle name="40% - Accent5 4 8 4 2 2 2" xfId="32047" xr:uid="{00000000-0005-0000-0000-00006D6F0000}"/>
    <cellStyle name="40% - Accent5 4 8 4 2 3" xfId="32048" xr:uid="{00000000-0005-0000-0000-00006E6F0000}"/>
    <cellStyle name="40% - Accent5 4 8 4 3" xfId="32049" xr:uid="{00000000-0005-0000-0000-00006F6F0000}"/>
    <cellStyle name="40% - Accent5 4 8 4 3 2" xfId="32050" xr:uid="{00000000-0005-0000-0000-0000706F0000}"/>
    <cellStyle name="40% - Accent5 4 8 4 4" xfId="32051" xr:uid="{00000000-0005-0000-0000-0000716F0000}"/>
    <cellStyle name="40% - Accent5 4 8 4 5" xfId="32052" xr:uid="{00000000-0005-0000-0000-0000726F0000}"/>
    <cellStyle name="40% - Accent5 4 8 4 6" xfId="32053" xr:uid="{00000000-0005-0000-0000-0000736F0000}"/>
    <cellStyle name="40% - Accent5 4 8 5" xfId="32054" xr:uid="{00000000-0005-0000-0000-0000746F0000}"/>
    <cellStyle name="40% - Accent5 4 8 5 2" xfId="32055" xr:uid="{00000000-0005-0000-0000-0000756F0000}"/>
    <cellStyle name="40% - Accent5 4 8 5 2 2" xfId="32056" xr:uid="{00000000-0005-0000-0000-0000766F0000}"/>
    <cellStyle name="40% - Accent5 4 8 5 3" xfId="32057" xr:uid="{00000000-0005-0000-0000-0000776F0000}"/>
    <cellStyle name="40% - Accent5 4 8 6" xfId="32058" xr:uid="{00000000-0005-0000-0000-0000786F0000}"/>
    <cellStyle name="40% - Accent5 4 8 6 2" xfId="32059" xr:uid="{00000000-0005-0000-0000-0000796F0000}"/>
    <cellStyle name="40% - Accent5 4 8 6 2 2" xfId="32060" xr:uid="{00000000-0005-0000-0000-00007A6F0000}"/>
    <cellStyle name="40% - Accent5 4 8 6 3" xfId="32061" xr:uid="{00000000-0005-0000-0000-00007B6F0000}"/>
    <cellStyle name="40% - Accent5 4 8 7" xfId="32062" xr:uid="{00000000-0005-0000-0000-00007C6F0000}"/>
    <cellStyle name="40% - Accent5 4 8 7 2" xfId="32063" xr:uid="{00000000-0005-0000-0000-00007D6F0000}"/>
    <cellStyle name="40% - Accent5 4 8 8" xfId="32064" xr:uid="{00000000-0005-0000-0000-00007E6F0000}"/>
    <cellStyle name="40% - Accent5 4 8 8 2" xfId="32065" xr:uid="{00000000-0005-0000-0000-00007F6F0000}"/>
    <cellStyle name="40% - Accent5 4 8 9" xfId="32066" xr:uid="{00000000-0005-0000-0000-0000806F0000}"/>
    <cellStyle name="40% - Accent5 4 9" xfId="32067" xr:uid="{00000000-0005-0000-0000-0000816F0000}"/>
    <cellStyle name="40% - Accent5 4 9 10" xfId="32068" xr:uid="{00000000-0005-0000-0000-0000826F0000}"/>
    <cellStyle name="40% - Accent5 4 9 2" xfId="32069" xr:uid="{00000000-0005-0000-0000-0000836F0000}"/>
    <cellStyle name="40% - Accent5 4 9 2 2" xfId="32070" xr:uid="{00000000-0005-0000-0000-0000846F0000}"/>
    <cellStyle name="40% - Accent5 4 9 2 2 2" xfId="32071" xr:uid="{00000000-0005-0000-0000-0000856F0000}"/>
    <cellStyle name="40% - Accent5 4 9 2 2 2 2" xfId="32072" xr:uid="{00000000-0005-0000-0000-0000866F0000}"/>
    <cellStyle name="40% - Accent5 4 9 2 2 2 2 2" xfId="32073" xr:uid="{00000000-0005-0000-0000-0000876F0000}"/>
    <cellStyle name="40% - Accent5 4 9 2 2 2 3" xfId="32074" xr:uid="{00000000-0005-0000-0000-0000886F0000}"/>
    <cellStyle name="40% - Accent5 4 9 2 2 3" xfId="32075" xr:uid="{00000000-0005-0000-0000-0000896F0000}"/>
    <cellStyle name="40% - Accent5 4 9 2 2 3 2" xfId="32076" xr:uid="{00000000-0005-0000-0000-00008A6F0000}"/>
    <cellStyle name="40% - Accent5 4 9 2 2 4" xfId="32077" xr:uid="{00000000-0005-0000-0000-00008B6F0000}"/>
    <cellStyle name="40% - Accent5 4 9 2 2 5" xfId="32078" xr:uid="{00000000-0005-0000-0000-00008C6F0000}"/>
    <cellStyle name="40% - Accent5 4 9 2 2 6" xfId="32079" xr:uid="{00000000-0005-0000-0000-00008D6F0000}"/>
    <cellStyle name="40% - Accent5 4 9 2 3" xfId="32080" xr:uid="{00000000-0005-0000-0000-00008E6F0000}"/>
    <cellStyle name="40% - Accent5 4 9 2 3 2" xfId="32081" xr:uid="{00000000-0005-0000-0000-00008F6F0000}"/>
    <cellStyle name="40% - Accent5 4 9 2 3 2 2" xfId="32082" xr:uid="{00000000-0005-0000-0000-0000906F0000}"/>
    <cellStyle name="40% - Accent5 4 9 2 3 3" xfId="32083" xr:uid="{00000000-0005-0000-0000-0000916F0000}"/>
    <cellStyle name="40% - Accent5 4 9 2 4" xfId="32084" xr:uid="{00000000-0005-0000-0000-0000926F0000}"/>
    <cellStyle name="40% - Accent5 4 9 2 4 2" xfId="32085" xr:uid="{00000000-0005-0000-0000-0000936F0000}"/>
    <cellStyle name="40% - Accent5 4 9 2 5" xfId="32086" xr:uid="{00000000-0005-0000-0000-0000946F0000}"/>
    <cellStyle name="40% - Accent5 4 9 2 6" xfId="32087" xr:uid="{00000000-0005-0000-0000-0000956F0000}"/>
    <cellStyle name="40% - Accent5 4 9 2 7" xfId="32088" xr:uid="{00000000-0005-0000-0000-0000966F0000}"/>
    <cellStyle name="40% - Accent5 4 9 3" xfId="32089" xr:uid="{00000000-0005-0000-0000-0000976F0000}"/>
    <cellStyle name="40% - Accent5 4 9 3 2" xfId="32090" xr:uid="{00000000-0005-0000-0000-0000986F0000}"/>
    <cellStyle name="40% - Accent5 4 9 3 2 2" xfId="32091" xr:uid="{00000000-0005-0000-0000-0000996F0000}"/>
    <cellStyle name="40% - Accent5 4 9 3 2 2 2" xfId="32092" xr:uid="{00000000-0005-0000-0000-00009A6F0000}"/>
    <cellStyle name="40% - Accent5 4 9 3 2 3" xfId="32093" xr:uid="{00000000-0005-0000-0000-00009B6F0000}"/>
    <cellStyle name="40% - Accent5 4 9 3 3" xfId="32094" xr:uid="{00000000-0005-0000-0000-00009C6F0000}"/>
    <cellStyle name="40% - Accent5 4 9 3 3 2" xfId="32095" xr:uid="{00000000-0005-0000-0000-00009D6F0000}"/>
    <cellStyle name="40% - Accent5 4 9 3 4" xfId="32096" xr:uid="{00000000-0005-0000-0000-00009E6F0000}"/>
    <cellStyle name="40% - Accent5 4 9 3 5" xfId="32097" xr:uid="{00000000-0005-0000-0000-00009F6F0000}"/>
    <cellStyle name="40% - Accent5 4 9 3 6" xfId="32098" xr:uid="{00000000-0005-0000-0000-0000A06F0000}"/>
    <cellStyle name="40% - Accent5 4 9 4" xfId="32099" xr:uid="{00000000-0005-0000-0000-0000A16F0000}"/>
    <cellStyle name="40% - Accent5 4 9 4 2" xfId="32100" xr:uid="{00000000-0005-0000-0000-0000A26F0000}"/>
    <cellStyle name="40% - Accent5 4 9 4 2 2" xfId="32101" xr:uid="{00000000-0005-0000-0000-0000A36F0000}"/>
    <cellStyle name="40% - Accent5 4 9 4 3" xfId="32102" xr:uid="{00000000-0005-0000-0000-0000A46F0000}"/>
    <cellStyle name="40% - Accent5 4 9 5" xfId="32103" xr:uid="{00000000-0005-0000-0000-0000A56F0000}"/>
    <cellStyle name="40% - Accent5 4 9 5 2" xfId="32104" xr:uid="{00000000-0005-0000-0000-0000A66F0000}"/>
    <cellStyle name="40% - Accent5 4 9 5 2 2" xfId="32105" xr:uid="{00000000-0005-0000-0000-0000A76F0000}"/>
    <cellStyle name="40% - Accent5 4 9 5 3" xfId="32106" xr:uid="{00000000-0005-0000-0000-0000A86F0000}"/>
    <cellStyle name="40% - Accent5 4 9 6" xfId="32107" xr:uid="{00000000-0005-0000-0000-0000A96F0000}"/>
    <cellStyle name="40% - Accent5 4 9 6 2" xfId="32108" xr:uid="{00000000-0005-0000-0000-0000AA6F0000}"/>
    <cellStyle name="40% - Accent5 4 9 7" xfId="32109" xr:uid="{00000000-0005-0000-0000-0000AB6F0000}"/>
    <cellStyle name="40% - Accent5 4 9 7 2" xfId="32110" xr:uid="{00000000-0005-0000-0000-0000AC6F0000}"/>
    <cellStyle name="40% - Accent5 4 9 8" xfId="32111" xr:uid="{00000000-0005-0000-0000-0000AD6F0000}"/>
    <cellStyle name="40% - Accent5 4 9 9" xfId="32112" xr:uid="{00000000-0005-0000-0000-0000AE6F0000}"/>
    <cellStyle name="40% - Accent5 5" xfId="214" xr:uid="{00000000-0005-0000-0000-0000AF6F0000}"/>
    <cellStyle name="40% - Accent5 5 10" xfId="32113" xr:uid="{00000000-0005-0000-0000-0000B06F0000}"/>
    <cellStyle name="40% - Accent5 5 10 2" xfId="32114" xr:uid="{00000000-0005-0000-0000-0000B16F0000}"/>
    <cellStyle name="40% - Accent5 5 11" xfId="32115" xr:uid="{00000000-0005-0000-0000-0000B26F0000}"/>
    <cellStyle name="40% - Accent5 5 11 2" xfId="32116" xr:uid="{00000000-0005-0000-0000-0000B36F0000}"/>
    <cellStyle name="40% - Accent5 5 11 2 2" xfId="32117" xr:uid="{00000000-0005-0000-0000-0000B46F0000}"/>
    <cellStyle name="40% - Accent5 5 11 2 2 2" xfId="32118" xr:uid="{00000000-0005-0000-0000-0000B56F0000}"/>
    <cellStyle name="40% - Accent5 5 11 2 2 2 2" xfId="32119" xr:uid="{00000000-0005-0000-0000-0000B66F0000}"/>
    <cellStyle name="40% - Accent5 5 11 2 2 3" xfId="32120" xr:uid="{00000000-0005-0000-0000-0000B76F0000}"/>
    <cellStyle name="40% - Accent5 5 11 2 3" xfId="32121" xr:uid="{00000000-0005-0000-0000-0000B86F0000}"/>
    <cellStyle name="40% - Accent5 5 11 2 3 2" xfId="32122" xr:uid="{00000000-0005-0000-0000-0000B96F0000}"/>
    <cellStyle name="40% - Accent5 5 11 2 4" xfId="32123" xr:uid="{00000000-0005-0000-0000-0000BA6F0000}"/>
    <cellStyle name="40% - Accent5 5 11 2 5" xfId="32124" xr:uid="{00000000-0005-0000-0000-0000BB6F0000}"/>
    <cellStyle name="40% - Accent5 5 11 2 6" xfId="32125" xr:uid="{00000000-0005-0000-0000-0000BC6F0000}"/>
    <cellStyle name="40% - Accent5 5 11 3" xfId="32126" xr:uid="{00000000-0005-0000-0000-0000BD6F0000}"/>
    <cellStyle name="40% - Accent5 5 11 3 2" xfId="32127" xr:uid="{00000000-0005-0000-0000-0000BE6F0000}"/>
    <cellStyle name="40% - Accent5 5 11 3 2 2" xfId="32128" xr:uid="{00000000-0005-0000-0000-0000BF6F0000}"/>
    <cellStyle name="40% - Accent5 5 11 3 3" xfId="32129" xr:uid="{00000000-0005-0000-0000-0000C06F0000}"/>
    <cellStyle name="40% - Accent5 5 11 4" xfId="32130" xr:uid="{00000000-0005-0000-0000-0000C16F0000}"/>
    <cellStyle name="40% - Accent5 5 11 4 2" xfId="32131" xr:uid="{00000000-0005-0000-0000-0000C26F0000}"/>
    <cellStyle name="40% - Accent5 5 11 5" xfId="32132" xr:uid="{00000000-0005-0000-0000-0000C36F0000}"/>
    <cellStyle name="40% - Accent5 5 11 6" xfId="32133" xr:uid="{00000000-0005-0000-0000-0000C46F0000}"/>
    <cellStyle name="40% - Accent5 5 11 7" xfId="32134" xr:uid="{00000000-0005-0000-0000-0000C56F0000}"/>
    <cellStyle name="40% - Accent5 5 12" xfId="32135" xr:uid="{00000000-0005-0000-0000-0000C66F0000}"/>
    <cellStyle name="40% - Accent5 5 12 2" xfId="32136" xr:uid="{00000000-0005-0000-0000-0000C76F0000}"/>
    <cellStyle name="40% - Accent5 5 12 2 2" xfId="32137" xr:uid="{00000000-0005-0000-0000-0000C86F0000}"/>
    <cellStyle name="40% - Accent5 5 12 2 2 2" xfId="32138" xr:uid="{00000000-0005-0000-0000-0000C96F0000}"/>
    <cellStyle name="40% - Accent5 5 12 2 2 2 2" xfId="32139" xr:uid="{00000000-0005-0000-0000-0000CA6F0000}"/>
    <cellStyle name="40% - Accent5 5 12 2 2 3" xfId="32140" xr:uid="{00000000-0005-0000-0000-0000CB6F0000}"/>
    <cellStyle name="40% - Accent5 5 12 2 3" xfId="32141" xr:uid="{00000000-0005-0000-0000-0000CC6F0000}"/>
    <cellStyle name="40% - Accent5 5 12 2 3 2" xfId="32142" xr:uid="{00000000-0005-0000-0000-0000CD6F0000}"/>
    <cellStyle name="40% - Accent5 5 12 2 4" xfId="32143" xr:uid="{00000000-0005-0000-0000-0000CE6F0000}"/>
    <cellStyle name="40% - Accent5 5 12 2 5" xfId="32144" xr:uid="{00000000-0005-0000-0000-0000CF6F0000}"/>
    <cellStyle name="40% - Accent5 5 12 2 6" xfId="32145" xr:uid="{00000000-0005-0000-0000-0000D06F0000}"/>
    <cellStyle name="40% - Accent5 5 12 3" xfId="32146" xr:uid="{00000000-0005-0000-0000-0000D16F0000}"/>
    <cellStyle name="40% - Accent5 5 12 3 2" xfId="32147" xr:uid="{00000000-0005-0000-0000-0000D26F0000}"/>
    <cellStyle name="40% - Accent5 5 12 3 2 2" xfId="32148" xr:uid="{00000000-0005-0000-0000-0000D36F0000}"/>
    <cellStyle name="40% - Accent5 5 12 3 3" xfId="32149" xr:uid="{00000000-0005-0000-0000-0000D46F0000}"/>
    <cellStyle name="40% - Accent5 5 12 4" xfId="32150" xr:uid="{00000000-0005-0000-0000-0000D56F0000}"/>
    <cellStyle name="40% - Accent5 5 12 4 2" xfId="32151" xr:uid="{00000000-0005-0000-0000-0000D66F0000}"/>
    <cellStyle name="40% - Accent5 5 12 5" xfId="32152" xr:uid="{00000000-0005-0000-0000-0000D76F0000}"/>
    <cellStyle name="40% - Accent5 5 12 6" xfId="32153" xr:uid="{00000000-0005-0000-0000-0000D86F0000}"/>
    <cellStyle name="40% - Accent5 5 12 7" xfId="32154" xr:uid="{00000000-0005-0000-0000-0000D96F0000}"/>
    <cellStyle name="40% - Accent5 5 13" xfId="32155" xr:uid="{00000000-0005-0000-0000-0000DA6F0000}"/>
    <cellStyle name="40% - Accent5 5 13 2" xfId="32156" xr:uid="{00000000-0005-0000-0000-0000DB6F0000}"/>
    <cellStyle name="40% - Accent5 5 13 2 2" xfId="32157" xr:uid="{00000000-0005-0000-0000-0000DC6F0000}"/>
    <cellStyle name="40% - Accent5 5 13 2 2 2" xfId="32158" xr:uid="{00000000-0005-0000-0000-0000DD6F0000}"/>
    <cellStyle name="40% - Accent5 5 13 2 3" xfId="32159" xr:uid="{00000000-0005-0000-0000-0000DE6F0000}"/>
    <cellStyle name="40% - Accent5 5 13 3" xfId="32160" xr:uid="{00000000-0005-0000-0000-0000DF6F0000}"/>
    <cellStyle name="40% - Accent5 5 13 3 2" xfId="32161" xr:uid="{00000000-0005-0000-0000-0000E06F0000}"/>
    <cellStyle name="40% - Accent5 5 13 4" xfId="32162" xr:uid="{00000000-0005-0000-0000-0000E16F0000}"/>
    <cellStyle name="40% - Accent5 5 13 5" xfId="32163" xr:uid="{00000000-0005-0000-0000-0000E26F0000}"/>
    <cellStyle name="40% - Accent5 5 13 6" xfId="32164" xr:uid="{00000000-0005-0000-0000-0000E36F0000}"/>
    <cellStyle name="40% - Accent5 5 14" xfId="32165" xr:uid="{00000000-0005-0000-0000-0000E46F0000}"/>
    <cellStyle name="40% - Accent5 5 14 2" xfId="32166" xr:uid="{00000000-0005-0000-0000-0000E56F0000}"/>
    <cellStyle name="40% - Accent5 5 14 2 2" xfId="32167" xr:uid="{00000000-0005-0000-0000-0000E66F0000}"/>
    <cellStyle name="40% - Accent5 5 14 3" xfId="32168" xr:uid="{00000000-0005-0000-0000-0000E76F0000}"/>
    <cellStyle name="40% - Accent5 5 15" xfId="32169" xr:uid="{00000000-0005-0000-0000-0000E86F0000}"/>
    <cellStyle name="40% - Accent5 5 15 2" xfId="32170" xr:uid="{00000000-0005-0000-0000-0000E96F0000}"/>
    <cellStyle name="40% - Accent5 5 15 2 2" xfId="32171" xr:uid="{00000000-0005-0000-0000-0000EA6F0000}"/>
    <cellStyle name="40% - Accent5 5 15 3" xfId="32172" xr:uid="{00000000-0005-0000-0000-0000EB6F0000}"/>
    <cellStyle name="40% - Accent5 5 16" xfId="32173" xr:uid="{00000000-0005-0000-0000-0000EC6F0000}"/>
    <cellStyle name="40% - Accent5 5 16 2" xfId="32174" xr:uid="{00000000-0005-0000-0000-0000ED6F0000}"/>
    <cellStyle name="40% - Accent5 5 17" xfId="32175" xr:uid="{00000000-0005-0000-0000-0000EE6F0000}"/>
    <cellStyle name="40% - Accent5 5 17 2" xfId="32176" xr:uid="{00000000-0005-0000-0000-0000EF6F0000}"/>
    <cellStyle name="40% - Accent5 5 18" xfId="32177" xr:uid="{00000000-0005-0000-0000-0000F06F0000}"/>
    <cellStyle name="40% - Accent5 5 19" xfId="32178" xr:uid="{00000000-0005-0000-0000-0000F16F0000}"/>
    <cellStyle name="40% - Accent5 5 2" xfId="32179" xr:uid="{00000000-0005-0000-0000-0000F26F0000}"/>
    <cellStyle name="40% - Accent5 5 2 10" xfId="32180" xr:uid="{00000000-0005-0000-0000-0000F36F0000}"/>
    <cellStyle name="40% - Accent5 5 2 11" xfId="32181" xr:uid="{00000000-0005-0000-0000-0000F46F0000}"/>
    <cellStyle name="40% - Accent5 5 2 2" xfId="32182" xr:uid="{00000000-0005-0000-0000-0000F56F0000}"/>
    <cellStyle name="40% - Accent5 5 2 2 2" xfId="32183" xr:uid="{00000000-0005-0000-0000-0000F66F0000}"/>
    <cellStyle name="40% - Accent5 5 2 2 2 2" xfId="32184" xr:uid="{00000000-0005-0000-0000-0000F76F0000}"/>
    <cellStyle name="40% - Accent5 5 2 2 2 2 2" xfId="32185" xr:uid="{00000000-0005-0000-0000-0000F86F0000}"/>
    <cellStyle name="40% - Accent5 5 2 2 2 2 2 2" xfId="32186" xr:uid="{00000000-0005-0000-0000-0000F96F0000}"/>
    <cellStyle name="40% - Accent5 5 2 2 2 2 3" xfId="32187" xr:uid="{00000000-0005-0000-0000-0000FA6F0000}"/>
    <cellStyle name="40% - Accent5 5 2 2 2 3" xfId="32188" xr:uid="{00000000-0005-0000-0000-0000FB6F0000}"/>
    <cellStyle name="40% - Accent5 5 2 2 2 3 2" xfId="32189" xr:uid="{00000000-0005-0000-0000-0000FC6F0000}"/>
    <cellStyle name="40% - Accent5 5 2 2 2 4" xfId="32190" xr:uid="{00000000-0005-0000-0000-0000FD6F0000}"/>
    <cellStyle name="40% - Accent5 5 2 2 2 5" xfId="32191" xr:uid="{00000000-0005-0000-0000-0000FE6F0000}"/>
    <cellStyle name="40% - Accent5 5 2 2 2 6" xfId="32192" xr:uid="{00000000-0005-0000-0000-0000FF6F0000}"/>
    <cellStyle name="40% - Accent5 5 2 2 3" xfId="32193" xr:uid="{00000000-0005-0000-0000-000000700000}"/>
    <cellStyle name="40% - Accent5 5 2 2 3 2" xfId="32194" xr:uid="{00000000-0005-0000-0000-000001700000}"/>
    <cellStyle name="40% - Accent5 5 2 2 3 2 2" xfId="32195" xr:uid="{00000000-0005-0000-0000-000002700000}"/>
    <cellStyle name="40% - Accent5 5 2 2 3 3" xfId="32196" xr:uid="{00000000-0005-0000-0000-000003700000}"/>
    <cellStyle name="40% - Accent5 5 2 2 4" xfId="32197" xr:uid="{00000000-0005-0000-0000-000004700000}"/>
    <cellStyle name="40% - Accent5 5 2 2 4 2" xfId="32198" xr:uid="{00000000-0005-0000-0000-000005700000}"/>
    <cellStyle name="40% - Accent5 5 2 2 5" xfId="32199" xr:uid="{00000000-0005-0000-0000-000006700000}"/>
    <cellStyle name="40% - Accent5 5 2 2 5 2" xfId="32200" xr:uid="{00000000-0005-0000-0000-000007700000}"/>
    <cellStyle name="40% - Accent5 5 2 2 6" xfId="32201" xr:uid="{00000000-0005-0000-0000-000008700000}"/>
    <cellStyle name="40% - Accent5 5 2 2 7" xfId="32202" xr:uid="{00000000-0005-0000-0000-000009700000}"/>
    <cellStyle name="40% - Accent5 5 2 2 8" xfId="32203" xr:uid="{00000000-0005-0000-0000-00000A700000}"/>
    <cellStyle name="40% - Accent5 5 2 3" xfId="32204" xr:uid="{00000000-0005-0000-0000-00000B700000}"/>
    <cellStyle name="40% - Accent5 5 2 3 2" xfId="32205" xr:uid="{00000000-0005-0000-0000-00000C700000}"/>
    <cellStyle name="40% - Accent5 5 2 3 2 2" xfId="32206" xr:uid="{00000000-0005-0000-0000-00000D700000}"/>
    <cellStyle name="40% - Accent5 5 2 3 2 2 2" xfId="32207" xr:uid="{00000000-0005-0000-0000-00000E700000}"/>
    <cellStyle name="40% - Accent5 5 2 3 2 2 2 2" xfId="32208" xr:uid="{00000000-0005-0000-0000-00000F700000}"/>
    <cellStyle name="40% - Accent5 5 2 3 2 2 3" xfId="32209" xr:uid="{00000000-0005-0000-0000-000010700000}"/>
    <cellStyle name="40% - Accent5 5 2 3 2 3" xfId="32210" xr:uid="{00000000-0005-0000-0000-000011700000}"/>
    <cellStyle name="40% - Accent5 5 2 3 2 3 2" xfId="32211" xr:uid="{00000000-0005-0000-0000-000012700000}"/>
    <cellStyle name="40% - Accent5 5 2 3 2 4" xfId="32212" xr:uid="{00000000-0005-0000-0000-000013700000}"/>
    <cellStyle name="40% - Accent5 5 2 3 2 5" xfId="32213" xr:uid="{00000000-0005-0000-0000-000014700000}"/>
    <cellStyle name="40% - Accent5 5 2 3 2 6" xfId="32214" xr:uid="{00000000-0005-0000-0000-000015700000}"/>
    <cellStyle name="40% - Accent5 5 2 3 3" xfId="32215" xr:uid="{00000000-0005-0000-0000-000016700000}"/>
    <cellStyle name="40% - Accent5 5 2 3 3 2" xfId="32216" xr:uid="{00000000-0005-0000-0000-000017700000}"/>
    <cellStyle name="40% - Accent5 5 2 3 3 2 2" xfId="32217" xr:uid="{00000000-0005-0000-0000-000018700000}"/>
    <cellStyle name="40% - Accent5 5 2 3 3 3" xfId="32218" xr:uid="{00000000-0005-0000-0000-000019700000}"/>
    <cellStyle name="40% - Accent5 5 2 3 4" xfId="32219" xr:uid="{00000000-0005-0000-0000-00001A700000}"/>
    <cellStyle name="40% - Accent5 5 2 3 4 2" xfId="32220" xr:uid="{00000000-0005-0000-0000-00001B700000}"/>
    <cellStyle name="40% - Accent5 5 2 3 5" xfId="32221" xr:uid="{00000000-0005-0000-0000-00001C700000}"/>
    <cellStyle name="40% - Accent5 5 2 3 6" xfId="32222" xr:uid="{00000000-0005-0000-0000-00001D700000}"/>
    <cellStyle name="40% - Accent5 5 2 3 7" xfId="32223" xr:uid="{00000000-0005-0000-0000-00001E700000}"/>
    <cellStyle name="40% - Accent5 5 2 4" xfId="32224" xr:uid="{00000000-0005-0000-0000-00001F700000}"/>
    <cellStyle name="40% - Accent5 5 2 4 2" xfId="32225" xr:uid="{00000000-0005-0000-0000-000020700000}"/>
    <cellStyle name="40% - Accent5 5 2 4 2 2" xfId="32226" xr:uid="{00000000-0005-0000-0000-000021700000}"/>
    <cellStyle name="40% - Accent5 5 2 4 2 2 2" xfId="32227" xr:uid="{00000000-0005-0000-0000-000022700000}"/>
    <cellStyle name="40% - Accent5 5 2 4 2 3" xfId="32228" xr:uid="{00000000-0005-0000-0000-000023700000}"/>
    <cellStyle name="40% - Accent5 5 2 4 3" xfId="32229" xr:uid="{00000000-0005-0000-0000-000024700000}"/>
    <cellStyle name="40% - Accent5 5 2 4 3 2" xfId="32230" xr:uid="{00000000-0005-0000-0000-000025700000}"/>
    <cellStyle name="40% - Accent5 5 2 4 4" xfId="32231" xr:uid="{00000000-0005-0000-0000-000026700000}"/>
    <cellStyle name="40% - Accent5 5 2 4 5" xfId="32232" xr:uid="{00000000-0005-0000-0000-000027700000}"/>
    <cellStyle name="40% - Accent5 5 2 4 6" xfId="32233" xr:uid="{00000000-0005-0000-0000-000028700000}"/>
    <cellStyle name="40% - Accent5 5 2 5" xfId="32234" xr:uid="{00000000-0005-0000-0000-000029700000}"/>
    <cellStyle name="40% - Accent5 5 2 5 2" xfId="32235" xr:uid="{00000000-0005-0000-0000-00002A700000}"/>
    <cellStyle name="40% - Accent5 5 2 5 2 2" xfId="32236" xr:uid="{00000000-0005-0000-0000-00002B700000}"/>
    <cellStyle name="40% - Accent5 5 2 5 3" xfId="32237" xr:uid="{00000000-0005-0000-0000-00002C700000}"/>
    <cellStyle name="40% - Accent5 5 2 6" xfId="32238" xr:uid="{00000000-0005-0000-0000-00002D700000}"/>
    <cellStyle name="40% - Accent5 5 2 6 2" xfId="32239" xr:uid="{00000000-0005-0000-0000-00002E700000}"/>
    <cellStyle name="40% - Accent5 5 2 6 2 2" xfId="32240" xr:uid="{00000000-0005-0000-0000-00002F700000}"/>
    <cellStyle name="40% - Accent5 5 2 6 3" xfId="32241" xr:uid="{00000000-0005-0000-0000-000030700000}"/>
    <cellStyle name="40% - Accent5 5 2 7" xfId="32242" xr:uid="{00000000-0005-0000-0000-000031700000}"/>
    <cellStyle name="40% - Accent5 5 2 7 2" xfId="32243" xr:uid="{00000000-0005-0000-0000-000032700000}"/>
    <cellStyle name="40% - Accent5 5 2 8" xfId="32244" xr:uid="{00000000-0005-0000-0000-000033700000}"/>
    <cellStyle name="40% - Accent5 5 2 8 2" xfId="32245" xr:uid="{00000000-0005-0000-0000-000034700000}"/>
    <cellStyle name="40% - Accent5 5 2 9" xfId="32246" xr:uid="{00000000-0005-0000-0000-000035700000}"/>
    <cellStyle name="40% - Accent5 5 20" xfId="32247" xr:uid="{00000000-0005-0000-0000-000036700000}"/>
    <cellStyle name="40% - Accent5 5 3" xfId="32248" xr:uid="{00000000-0005-0000-0000-000037700000}"/>
    <cellStyle name="40% - Accent5 5 3 10" xfId="32249" xr:uid="{00000000-0005-0000-0000-000038700000}"/>
    <cellStyle name="40% - Accent5 5 3 11" xfId="32250" xr:uid="{00000000-0005-0000-0000-000039700000}"/>
    <cellStyle name="40% - Accent5 5 3 2" xfId="32251" xr:uid="{00000000-0005-0000-0000-00003A700000}"/>
    <cellStyle name="40% - Accent5 5 3 2 2" xfId="32252" xr:uid="{00000000-0005-0000-0000-00003B700000}"/>
    <cellStyle name="40% - Accent5 5 3 2 2 2" xfId="32253" xr:uid="{00000000-0005-0000-0000-00003C700000}"/>
    <cellStyle name="40% - Accent5 5 3 2 2 2 2" xfId="32254" xr:uid="{00000000-0005-0000-0000-00003D700000}"/>
    <cellStyle name="40% - Accent5 5 3 2 2 2 2 2" xfId="32255" xr:uid="{00000000-0005-0000-0000-00003E700000}"/>
    <cellStyle name="40% - Accent5 5 3 2 2 2 3" xfId="32256" xr:uid="{00000000-0005-0000-0000-00003F700000}"/>
    <cellStyle name="40% - Accent5 5 3 2 2 3" xfId="32257" xr:uid="{00000000-0005-0000-0000-000040700000}"/>
    <cellStyle name="40% - Accent5 5 3 2 2 3 2" xfId="32258" xr:uid="{00000000-0005-0000-0000-000041700000}"/>
    <cellStyle name="40% - Accent5 5 3 2 2 4" xfId="32259" xr:uid="{00000000-0005-0000-0000-000042700000}"/>
    <cellStyle name="40% - Accent5 5 3 2 2 5" xfId="32260" xr:uid="{00000000-0005-0000-0000-000043700000}"/>
    <cellStyle name="40% - Accent5 5 3 2 2 6" xfId="32261" xr:uid="{00000000-0005-0000-0000-000044700000}"/>
    <cellStyle name="40% - Accent5 5 3 2 3" xfId="32262" xr:uid="{00000000-0005-0000-0000-000045700000}"/>
    <cellStyle name="40% - Accent5 5 3 2 3 2" xfId="32263" xr:uid="{00000000-0005-0000-0000-000046700000}"/>
    <cellStyle name="40% - Accent5 5 3 2 3 2 2" xfId="32264" xr:uid="{00000000-0005-0000-0000-000047700000}"/>
    <cellStyle name="40% - Accent5 5 3 2 3 3" xfId="32265" xr:uid="{00000000-0005-0000-0000-000048700000}"/>
    <cellStyle name="40% - Accent5 5 3 2 4" xfId="32266" xr:uid="{00000000-0005-0000-0000-000049700000}"/>
    <cellStyle name="40% - Accent5 5 3 2 4 2" xfId="32267" xr:uid="{00000000-0005-0000-0000-00004A700000}"/>
    <cellStyle name="40% - Accent5 5 3 2 5" xfId="32268" xr:uid="{00000000-0005-0000-0000-00004B700000}"/>
    <cellStyle name="40% - Accent5 5 3 2 5 2" xfId="32269" xr:uid="{00000000-0005-0000-0000-00004C700000}"/>
    <cellStyle name="40% - Accent5 5 3 2 6" xfId="32270" xr:uid="{00000000-0005-0000-0000-00004D700000}"/>
    <cellStyle name="40% - Accent5 5 3 2 7" xfId="32271" xr:uid="{00000000-0005-0000-0000-00004E700000}"/>
    <cellStyle name="40% - Accent5 5 3 2 8" xfId="32272" xr:uid="{00000000-0005-0000-0000-00004F700000}"/>
    <cellStyle name="40% - Accent5 5 3 3" xfId="32273" xr:uid="{00000000-0005-0000-0000-000050700000}"/>
    <cellStyle name="40% - Accent5 5 3 3 2" xfId="32274" xr:uid="{00000000-0005-0000-0000-000051700000}"/>
    <cellStyle name="40% - Accent5 5 3 3 2 2" xfId="32275" xr:uid="{00000000-0005-0000-0000-000052700000}"/>
    <cellStyle name="40% - Accent5 5 3 3 2 2 2" xfId="32276" xr:uid="{00000000-0005-0000-0000-000053700000}"/>
    <cellStyle name="40% - Accent5 5 3 3 2 2 2 2" xfId="32277" xr:uid="{00000000-0005-0000-0000-000054700000}"/>
    <cellStyle name="40% - Accent5 5 3 3 2 2 3" xfId="32278" xr:uid="{00000000-0005-0000-0000-000055700000}"/>
    <cellStyle name="40% - Accent5 5 3 3 2 3" xfId="32279" xr:uid="{00000000-0005-0000-0000-000056700000}"/>
    <cellStyle name="40% - Accent5 5 3 3 2 3 2" xfId="32280" xr:uid="{00000000-0005-0000-0000-000057700000}"/>
    <cellStyle name="40% - Accent5 5 3 3 2 4" xfId="32281" xr:uid="{00000000-0005-0000-0000-000058700000}"/>
    <cellStyle name="40% - Accent5 5 3 3 2 5" xfId="32282" xr:uid="{00000000-0005-0000-0000-000059700000}"/>
    <cellStyle name="40% - Accent5 5 3 3 2 6" xfId="32283" xr:uid="{00000000-0005-0000-0000-00005A700000}"/>
    <cellStyle name="40% - Accent5 5 3 3 3" xfId="32284" xr:uid="{00000000-0005-0000-0000-00005B700000}"/>
    <cellStyle name="40% - Accent5 5 3 3 3 2" xfId="32285" xr:uid="{00000000-0005-0000-0000-00005C700000}"/>
    <cellStyle name="40% - Accent5 5 3 3 3 2 2" xfId="32286" xr:uid="{00000000-0005-0000-0000-00005D700000}"/>
    <cellStyle name="40% - Accent5 5 3 3 3 3" xfId="32287" xr:uid="{00000000-0005-0000-0000-00005E700000}"/>
    <cellStyle name="40% - Accent5 5 3 3 4" xfId="32288" xr:uid="{00000000-0005-0000-0000-00005F700000}"/>
    <cellStyle name="40% - Accent5 5 3 3 4 2" xfId="32289" xr:uid="{00000000-0005-0000-0000-000060700000}"/>
    <cellStyle name="40% - Accent5 5 3 3 5" xfId="32290" xr:uid="{00000000-0005-0000-0000-000061700000}"/>
    <cellStyle name="40% - Accent5 5 3 3 6" xfId="32291" xr:uid="{00000000-0005-0000-0000-000062700000}"/>
    <cellStyle name="40% - Accent5 5 3 3 7" xfId="32292" xr:uid="{00000000-0005-0000-0000-000063700000}"/>
    <cellStyle name="40% - Accent5 5 3 4" xfId="32293" xr:uid="{00000000-0005-0000-0000-000064700000}"/>
    <cellStyle name="40% - Accent5 5 3 4 2" xfId="32294" xr:uid="{00000000-0005-0000-0000-000065700000}"/>
    <cellStyle name="40% - Accent5 5 3 4 2 2" xfId="32295" xr:uid="{00000000-0005-0000-0000-000066700000}"/>
    <cellStyle name="40% - Accent5 5 3 4 2 2 2" xfId="32296" xr:uid="{00000000-0005-0000-0000-000067700000}"/>
    <cellStyle name="40% - Accent5 5 3 4 2 3" xfId="32297" xr:uid="{00000000-0005-0000-0000-000068700000}"/>
    <cellStyle name="40% - Accent5 5 3 4 3" xfId="32298" xr:uid="{00000000-0005-0000-0000-000069700000}"/>
    <cellStyle name="40% - Accent5 5 3 4 3 2" xfId="32299" xr:uid="{00000000-0005-0000-0000-00006A700000}"/>
    <cellStyle name="40% - Accent5 5 3 4 4" xfId="32300" xr:uid="{00000000-0005-0000-0000-00006B700000}"/>
    <cellStyle name="40% - Accent5 5 3 4 5" xfId="32301" xr:uid="{00000000-0005-0000-0000-00006C700000}"/>
    <cellStyle name="40% - Accent5 5 3 4 6" xfId="32302" xr:uid="{00000000-0005-0000-0000-00006D700000}"/>
    <cellStyle name="40% - Accent5 5 3 5" xfId="32303" xr:uid="{00000000-0005-0000-0000-00006E700000}"/>
    <cellStyle name="40% - Accent5 5 3 5 2" xfId="32304" xr:uid="{00000000-0005-0000-0000-00006F700000}"/>
    <cellStyle name="40% - Accent5 5 3 5 2 2" xfId="32305" xr:uid="{00000000-0005-0000-0000-000070700000}"/>
    <cellStyle name="40% - Accent5 5 3 5 3" xfId="32306" xr:uid="{00000000-0005-0000-0000-000071700000}"/>
    <cellStyle name="40% - Accent5 5 3 6" xfId="32307" xr:uid="{00000000-0005-0000-0000-000072700000}"/>
    <cellStyle name="40% - Accent5 5 3 6 2" xfId="32308" xr:uid="{00000000-0005-0000-0000-000073700000}"/>
    <cellStyle name="40% - Accent5 5 3 6 2 2" xfId="32309" xr:uid="{00000000-0005-0000-0000-000074700000}"/>
    <cellStyle name="40% - Accent5 5 3 6 3" xfId="32310" xr:uid="{00000000-0005-0000-0000-000075700000}"/>
    <cellStyle name="40% - Accent5 5 3 7" xfId="32311" xr:uid="{00000000-0005-0000-0000-000076700000}"/>
    <cellStyle name="40% - Accent5 5 3 7 2" xfId="32312" xr:uid="{00000000-0005-0000-0000-000077700000}"/>
    <cellStyle name="40% - Accent5 5 3 8" xfId="32313" xr:uid="{00000000-0005-0000-0000-000078700000}"/>
    <cellStyle name="40% - Accent5 5 3 8 2" xfId="32314" xr:uid="{00000000-0005-0000-0000-000079700000}"/>
    <cellStyle name="40% - Accent5 5 3 9" xfId="32315" xr:uid="{00000000-0005-0000-0000-00007A700000}"/>
    <cellStyle name="40% - Accent5 5 4" xfId="32316" xr:uid="{00000000-0005-0000-0000-00007B700000}"/>
    <cellStyle name="40% - Accent5 5 4 10" xfId="32317" xr:uid="{00000000-0005-0000-0000-00007C700000}"/>
    <cellStyle name="40% - Accent5 5 4 11" xfId="32318" xr:uid="{00000000-0005-0000-0000-00007D700000}"/>
    <cellStyle name="40% - Accent5 5 4 2" xfId="32319" xr:uid="{00000000-0005-0000-0000-00007E700000}"/>
    <cellStyle name="40% - Accent5 5 4 2 2" xfId="32320" xr:uid="{00000000-0005-0000-0000-00007F700000}"/>
    <cellStyle name="40% - Accent5 5 4 2 2 2" xfId="32321" xr:uid="{00000000-0005-0000-0000-000080700000}"/>
    <cellStyle name="40% - Accent5 5 4 2 2 2 2" xfId="32322" xr:uid="{00000000-0005-0000-0000-000081700000}"/>
    <cellStyle name="40% - Accent5 5 4 2 2 2 2 2" xfId="32323" xr:uid="{00000000-0005-0000-0000-000082700000}"/>
    <cellStyle name="40% - Accent5 5 4 2 2 2 3" xfId="32324" xr:uid="{00000000-0005-0000-0000-000083700000}"/>
    <cellStyle name="40% - Accent5 5 4 2 2 3" xfId="32325" xr:uid="{00000000-0005-0000-0000-000084700000}"/>
    <cellStyle name="40% - Accent5 5 4 2 2 3 2" xfId="32326" xr:uid="{00000000-0005-0000-0000-000085700000}"/>
    <cellStyle name="40% - Accent5 5 4 2 2 4" xfId="32327" xr:uid="{00000000-0005-0000-0000-000086700000}"/>
    <cellStyle name="40% - Accent5 5 4 2 2 5" xfId="32328" xr:uid="{00000000-0005-0000-0000-000087700000}"/>
    <cellStyle name="40% - Accent5 5 4 2 2 6" xfId="32329" xr:uid="{00000000-0005-0000-0000-000088700000}"/>
    <cellStyle name="40% - Accent5 5 4 2 3" xfId="32330" xr:uid="{00000000-0005-0000-0000-000089700000}"/>
    <cellStyle name="40% - Accent5 5 4 2 3 2" xfId="32331" xr:uid="{00000000-0005-0000-0000-00008A700000}"/>
    <cellStyle name="40% - Accent5 5 4 2 3 2 2" xfId="32332" xr:uid="{00000000-0005-0000-0000-00008B700000}"/>
    <cellStyle name="40% - Accent5 5 4 2 3 3" xfId="32333" xr:uid="{00000000-0005-0000-0000-00008C700000}"/>
    <cellStyle name="40% - Accent5 5 4 2 4" xfId="32334" xr:uid="{00000000-0005-0000-0000-00008D700000}"/>
    <cellStyle name="40% - Accent5 5 4 2 4 2" xfId="32335" xr:uid="{00000000-0005-0000-0000-00008E700000}"/>
    <cellStyle name="40% - Accent5 5 4 2 5" xfId="32336" xr:uid="{00000000-0005-0000-0000-00008F700000}"/>
    <cellStyle name="40% - Accent5 5 4 2 5 2" xfId="32337" xr:uid="{00000000-0005-0000-0000-000090700000}"/>
    <cellStyle name="40% - Accent5 5 4 2 6" xfId="32338" xr:uid="{00000000-0005-0000-0000-000091700000}"/>
    <cellStyle name="40% - Accent5 5 4 2 7" xfId="32339" xr:uid="{00000000-0005-0000-0000-000092700000}"/>
    <cellStyle name="40% - Accent5 5 4 2 8" xfId="32340" xr:uid="{00000000-0005-0000-0000-000093700000}"/>
    <cellStyle name="40% - Accent5 5 4 3" xfId="32341" xr:uid="{00000000-0005-0000-0000-000094700000}"/>
    <cellStyle name="40% - Accent5 5 4 3 2" xfId="32342" xr:uid="{00000000-0005-0000-0000-000095700000}"/>
    <cellStyle name="40% - Accent5 5 4 3 2 2" xfId="32343" xr:uid="{00000000-0005-0000-0000-000096700000}"/>
    <cellStyle name="40% - Accent5 5 4 3 2 2 2" xfId="32344" xr:uid="{00000000-0005-0000-0000-000097700000}"/>
    <cellStyle name="40% - Accent5 5 4 3 2 2 2 2" xfId="32345" xr:uid="{00000000-0005-0000-0000-000098700000}"/>
    <cellStyle name="40% - Accent5 5 4 3 2 2 3" xfId="32346" xr:uid="{00000000-0005-0000-0000-000099700000}"/>
    <cellStyle name="40% - Accent5 5 4 3 2 3" xfId="32347" xr:uid="{00000000-0005-0000-0000-00009A700000}"/>
    <cellStyle name="40% - Accent5 5 4 3 2 3 2" xfId="32348" xr:uid="{00000000-0005-0000-0000-00009B700000}"/>
    <cellStyle name="40% - Accent5 5 4 3 2 4" xfId="32349" xr:uid="{00000000-0005-0000-0000-00009C700000}"/>
    <cellStyle name="40% - Accent5 5 4 3 2 5" xfId="32350" xr:uid="{00000000-0005-0000-0000-00009D700000}"/>
    <cellStyle name="40% - Accent5 5 4 3 2 6" xfId="32351" xr:uid="{00000000-0005-0000-0000-00009E700000}"/>
    <cellStyle name="40% - Accent5 5 4 3 3" xfId="32352" xr:uid="{00000000-0005-0000-0000-00009F700000}"/>
    <cellStyle name="40% - Accent5 5 4 3 3 2" xfId="32353" xr:uid="{00000000-0005-0000-0000-0000A0700000}"/>
    <cellStyle name="40% - Accent5 5 4 3 3 2 2" xfId="32354" xr:uid="{00000000-0005-0000-0000-0000A1700000}"/>
    <cellStyle name="40% - Accent5 5 4 3 3 3" xfId="32355" xr:uid="{00000000-0005-0000-0000-0000A2700000}"/>
    <cellStyle name="40% - Accent5 5 4 3 4" xfId="32356" xr:uid="{00000000-0005-0000-0000-0000A3700000}"/>
    <cellStyle name="40% - Accent5 5 4 3 4 2" xfId="32357" xr:uid="{00000000-0005-0000-0000-0000A4700000}"/>
    <cellStyle name="40% - Accent5 5 4 3 5" xfId="32358" xr:uid="{00000000-0005-0000-0000-0000A5700000}"/>
    <cellStyle name="40% - Accent5 5 4 3 6" xfId="32359" xr:uid="{00000000-0005-0000-0000-0000A6700000}"/>
    <cellStyle name="40% - Accent5 5 4 3 7" xfId="32360" xr:uid="{00000000-0005-0000-0000-0000A7700000}"/>
    <cellStyle name="40% - Accent5 5 4 4" xfId="32361" xr:uid="{00000000-0005-0000-0000-0000A8700000}"/>
    <cellStyle name="40% - Accent5 5 4 4 2" xfId="32362" xr:uid="{00000000-0005-0000-0000-0000A9700000}"/>
    <cellStyle name="40% - Accent5 5 4 4 2 2" xfId="32363" xr:uid="{00000000-0005-0000-0000-0000AA700000}"/>
    <cellStyle name="40% - Accent5 5 4 4 2 2 2" xfId="32364" xr:uid="{00000000-0005-0000-0000-0000AB700000}"/>
    <cellStyle name="40% - Accent5 5 4 4 2 3" xfId="32365" xr:uid="{00000000-0005-0000-0000-0000AC700000}"/>
    <cellStyle name="40% - Accent5 5 4 4 3" xfId="32366" xr:uid="{00000000-0005-0000-0000-0000AD700000}"/>
    <cellStyle name="40% - Accent5 5 4 4 3 2" xfId="32367" xr:uid="{00000000-0005-0000-0000-0000AE700000}"/>
    <cellStyle name="40% - Accent5 5 4 4 4" xfId="32368" xr:uid="{00000000-0005-0000-0000-0000AF700000}"/>
    <cellStyle name="40% - Accent5 5 4 4 5" xfId="32369" xr:uid="{00000000-0005-0000-0000-0000B0700000}"/>
    <cellStyle name="40% - Accent5 5 4 4 6" xfId="32370" xr:uid="{00000000-0005-0000-0000-0000B1700000}"/>
    <cellStyle name="40% - Accent5 5 4 5" xfId="32371" xr:uid="{00000000-0005-0000-0000-0000B2700000}"/>
    <cellStyle name="40% - Accent5 5 4 5 2" xfId="32372" xr:uid="{00000000-0005-0000-0000-0000B3700000}"/>
    <cellStyle name="40% - Accent5 5 4 5 2 2" xfId="32373" xr:uid="{00000000-0005-0000-0000-0000B4700000}"/>
    <cellStyle name="40% - Accent5 5 4 5 3" xfId="32374" xr:uid="{00000000-0005-0000-0000-0000B5700000}"/>
    <cellStyle name="40% - Accent5 5 4 6" xfId="32375" xr:uid="{00000000-0005-0000-0000-0000B6700000}"/>
    <cellStyle name="40% - Accent5 5 4 6 2" xfId="32376" xr:uid="{00000000-0005-0000-0000-0000B7700000}"/>
    <cellStyle name="40% - Accent5 5 4 6 2 2" xfId="32377" xr:uid="{00000000-0005-0000-0000-0000B8700000}"/>
    <cellStyle name="40% - Accent5 5 4 6 3" xfId="32378" xr:uid="{00000000-0005-0000-0000-0000B9700000}"/>
    <cellStyle name="40% - Accent5 5 4 7" xfId="32379" xr:uid="{00000000-0005-0000-0000-0000BA700000}"/>
    <cellStyle name="40% - Accent5 5 4 7 2" xfId="32380" xr:uid="{00000000-0005-0000-0000-0000BB700000}"/>
    <cellStyle name="40% - Accent5 5 4 8" xfId="32381" xr:uid="{00000000-0005-0000-0000-0000BC700000}"/>
    <cellStyle name="40% - Accent5 5 4 8 2" xfId="32382" xr:uid="{00000000-0005-0000-0000-0000BD700000}"/>
    <cellStyle name="40% - Accent5 5 4 9" xfId="32383" xr:uid="{00000000-0005-0000-0000-0000BE700000}"/>
    <cellStyle name="40% - Accent5 5 5" xfId="32384" xr:uid="{00000000-0005-0000-0000-0000BF700000}"/>
    <cellStyle name="40% - Accent5 5 5 10" xfId="32385" xr:uid="{00000000-0005-0000-0000-0000C0700000}"/>
    <cellStyle name="40% - Accent5 5 5 11" xfId="32386" xr:uid="{00000000-0005-0000-0000-0000C1700000}"/>
    <cellStyle name="40% - Accent5 5 5 2" xfId="32387" xr:uid="{00000000-0005-0000-0000-0000C2700000}"/>
    <cellStyle name="40% - Accent5 5 5 2 2" xfId="32388" xr:uid="{00000000-0005-0000-0000-0000C3700000}"/>
    <cellStyle name="40% - Accent5 5 5 2 2 2" xfId="32389" xr:uid="{00000000-0005-0000-0000-0000C4700000}"/>
    <cellStyle name="40% - Accent5 5 5 2 2 2 2" xfId="32390" xr:uid="{00000000-0005-0000-0000-0000C5700000}"/>
    <cellStyle name="40% - Accent5 5 5 2 2 2 2 2" xfId="32391" xr:uid="{00000000-0005-0000-0000-0000C6700000}"/>
    <cellStyle name="40% - Accent5 5 5 2 2 2 3" xfId="32392" xr:uid="{00000000-0005-0000-0000-0000C7700000}"/>
    <cellStyle name="40% - Accent5 5 5 2 2 3" xfId="32393" xr:uid="{00000000-0005-0000-0000-0000C8700000}"/>
    <cellStyle name="40% - Accent5 5 5 2 2 3 2" xfId="32394" xr:uid="{00000000-0005-0000-0000-0000C9700000}"/>
    <cellStyle name="40% - Accent5 5 5 2 2 4" xfId="32395" xr:uid="{00000000-0005-0000-0000-0000CA700000}"/>
    <cellStyle name="40% - Accent5 5 5 2 2 5" xfId="32396" xr:uid="{00000000-0005-0000-0000-0000CB700000}"/>
    <cellStyle name="40% - Accent5 5 5 2 2 6" xfId="32397" xr:uid="{00000000-0005-0000-0000-0000CC700000}"/>
    <cellStyle name="40% - Accent5 5 5 2 3" xfId="32398" xr:uid="{00000000-0005-0000-0000-0000CD700000}"/>
    <cellStyle name="40% - Accent5 5 5 2 3 2" xfId="32399" xr:uid="{00000000-0005-0000-0000-0000CE700000}"/>
    <cellStyle name="40% - Accent5 5 5 2 3 2 2" xfId="32400" xr:uid="{00000000-0005-0000-0000-0000CF700000}"/>
    <cellStyle name="40% - Accent5 5 5 2 3 3" xfId="32401" xr:uid="{00000000-0005-0000-0000-0000D0700000}"/>
    <cellStyle name="40% - Accent5 5 5 2 4" xfId="32402" xr:uid="{00000000-0005-0000-0000-0000D1700000}"/>
    <cellStyle name="40% - Accent5 5 5 2 4 2" xfId="32403" xr:uid="{00000000-0005-0000-0000-0000D2700000}"/>
    <cellStyle name="40% - Accent5 5 5 2 5" xfId="32404" xr:uid="{00000000-0005-0000-0000-0000D3700000}"/>
    <cellStyle name="40% - Accent5 5 5 2 5 2" xfId="32405" xr:uid="{00000000-0005-0000-0000-0000D4700000}"/>
    <cellStyle name="40% - Accent5 5 5 2 6" xfId="32406" xr:uid="{00000000-0005-0000-0000-0000D5700000}"/>
    <cellStyle name="40% - Accent5 5 5 2 7" xfId="32407" xr:uid="{00000000-0005-0000-0000-0000D6700000}"/>
    <cellStyle name="40% - Accent5 5 5 2 8" xfId="32408" xr:uid="{00000000-0005-0000-0000-0000D7700000}"/>
    <cellStyle name="40% - Accent5 5 5 3" xfId="32409" xr:uid="{00000000-0005-0000-0000-0000D8700000}"/>
    <cellStyle name="40% - Accent5 5 5 3 2" xfId="32410" xr:uid="{00000000-0005-0000-0000-0000D9700000}"/>
    <cellStyle name="40% - Accent5 5 5 3 2 2" xfId="32411" xr:uid="{00000000-0005-0000-0000-0000DA700000}"/>
    <cellStyle name="40% - Accent5 5 5 3 2 2 2" xfId="32412" xr:uid="{00000000-0005-0000-0000-0000DB700000}"/>
    <cellStyle name="40% - Accent5 5 5 3 2 2 2 2" xfId="32413" xr:uid="{00000000-0005-0000-0000-0000DC700000}"/>
    <cellStyle name="40% - Accent5 5 5 3 2 2 3" xfId="32414" xr:uid="{00000000-0005-0000-0000-0000DD700000}"/>
    <cellStyle name="40% - Accent5 5 5 3 2 3" xfId="32415" xr:uid="{00000000-0005-0000-0000-0000DE700000}"/>
    <cellStyle name="40% - Accent5 5 5 3 2 3 2" xfId="32416" xr:uid="{00000000-0005-0000-0000-0000DF700000}"/>
    <cellStyle name="40% - Accent5 5 5 3 2 4" xfId="32417" xr:uid="{00000000-0005-0000-0000-0000E0700000}"/>
    <cellStyle name="40% - Accent5 5 5 3 2 5" xfId="32418" xr:uid="{00000000-0005-0000-0000-0000E1700000}"/>
    <cellStyle name="40% - Accent5 5 5 3 2 6" xfId="32419" xr:uid="{00000000-0005-0000-0000-0000E2700000}"/>
    <cellStyle name="40% - Accent5 5 5 3 3" xfId="32420" xr:uid="{00000000-0005-0000-0000-0000E3700000}"/>
    <cellStyle name="40% - Accent5 5 5 3 3 2" xfId="32421" xr:uid="{00000000-0005-0000-0000-0000E4700000}"/>
    <cellStyle name="40% - Accent5 5 5 3 3 2 2" xfId="32422" xr:uid="{00000000-0005-0000-0000-0000E5700000}"/>
    <cellStyle name="40% - Accent5 5 5 3 3 3" xfId="32423" xr:uid="{00000000-0005-0000-0000-0000E6700000}"/>
    <cellStyle name="40% - Accent5 5 5 3 4" xfId="32424" xr:uid="{00000000-0005-0000-0000-0000E7700000}"/>
    <cellStyle name="40% - Accent5 5 5 3 4 2" xfId="32425" xr:uid="{00000000-0005-0000-0000-0000E8700000}"/>
    <cellStyle name="40% - Accent5 5 5 3 5" xfId="32426" xr:uid="{00000000-0005-0000-0000-0000E9700000}"/>
    <cellStyle name="40% - Accent5 5 5 3 6" xfId="32427" xr:uid="{00000000-0005-0000-0000-0000EA700000}"/>
    <cellStyle name="40% - Accent5 5 5 3 7" xfId="32428" xr:uid="{00000000-0005-0000-0000-0000EB700000}"/>
    <cellStyle name="40% - Accent5 5 5 4" xfId="32429" xr:uid="{00000000-0005-0000-0000-0000EC700000}"/>
    <cellStyle name="40% - Accent5 5 5 4 2" xfId="32430" xr:uid="{00000000-0005-0000-0000-0000ED700000}"/>
    <cellStyle name="40% - Accent5 5 5 4 2 2" xfId="32431" xr:uid="{00000000-0005-0000-0000-0000EE700000}"/>
    <cellStyle name="40% - Accent5 5 5 4 2 2 2" xfId="32432" xr:uid="{00000000-0005-0000-0000-0000EF700000}"/>
    <cellStyle name="40% - Accent5 5 5 4 2 3" xfId="32433" xr:uid="{00000000-0005-0000-0000-0000F0700000}"/>
    <cellStyle name="40% - Accent5 5 5 4 3" xfId="32434" xr:uid="{00000000-0005-0000-0000-0000F1700000}"/>
    <cellStyle name="40% - Accent5 5 5 4 3 2" xfId="32435" xr:uid="{00000000-0005-0000-0000-0000F2700000}"/>
    <cellStyle name="40% - Accent5 5 5 4 4" xfId="32436" xr:uid="{00000000-0005-0000-0000-0000F3700000}"/>
    <cellStyle name="40% - Accent5 5 5 4 5" xfId="32437" xr:uid="{00000000-0005-0000-0000-0000F4700000}"/>
    <cellStyle name="40% - Accent5 5 5 4 6" xfId="32438" xr:uid="{00000000-0005-0000-0000-0000F5700000}"/>
    <cellStyle name="40% - Accent5 5 5 5" xfId="32439" xr:uid="{00000000-0005-0000-0000-0000F6700000}"/>
    <cellStyle name="40% - Accent5 5 5 5 2" xfId="32440" xr:uid="{00000000-0005-0000-0000-0000F7700000}"/>
    <cellStyle name="40% - Accent5 5 5 5 2 2" xfId="32441" xr:uid="{00000000-0005-0000-0000-0000F8700000}"/>
    <cellStyle name="40% - Accent5 5 5 5 3" xfId="32442" xr:uid="{00000000-0005-0000-0000-0000F9700000}"/>
    <cellStyle name="40% - Accent5 5 5 6" xfId="32443" xr:uid="{00000000-0005-0000-0000-0000FA700000}"/>
    <cellStyle name="40% - Accent5 5 5 6 2" xfId="32444" xr:uid="{00000000-0005-0000-0000-0000FB700000}"/>
    <cellStyle name="40% - Accent5 5 5 6 2 2" xfId="32445" xr:uid="{00000000-0005-0000-0000-0000FC700000}"/>
    <cellStyle name="40% - Accent5 5 5 6 3" xfId="32446" xr:uid="{00000000-0005-0000-0000-0000FD700000}"/>
    <cellStyle name="40% - Accent5 5 5 7" xfId="32447" xr:uid="{00000000-0005-0000-0000-0000FE700000}"/>
    <cellStyle name="40% - Accent5 5 5 7 2" xfId="32448" xr:uid="{00000000-0005-0000-0000-0000FF700000}"/>
    <cellStyle name="40% - Accent5 5 5 8" xfId="32449" xr:uid="{00000000-0005-0000-0000-000000710000}"/>
    <cellStyle name="40% - Accent5 5 5 8 2" xfId="32450" xr:uid="{00000000-0005-0000-0000-000001710000}"/>
    <cellStyle name="40% - Accent5 5 5 9" xfId="32451" xr:uid="{00000000-0005-0000-0000-000002710000}"/>
    <cellStyle name="40% - Accent5 5 6" xfId="32452" xr:uid="{00000000-0005-0000-0000-000003710000}"/>
    <cellStyle name="40% - Accent5 5 6 10" xfId="32453" xr:uid="{00000000-0005-0000-0000-000004710000}"/>
    <cellStyle name="40% - Accent5 5 6 11" xfId="32454" xr:uid="{00000000-0005-0000-0000-000005710000}"/>
    <cellStyle name="40% - Accent5 5 6 2" xfId="32455" xr:uid="{00000000-0005-0000-0000-000006710000}"/>
    <cellStyle name="40% - Accent5 5 6 2 2" xfId="32456" xr:uid="{00000000-0005-0000-0000-000007710000}"/>
    <cellStyle name="40% - Accent5 5 6 2 2 2" xfId="32457" xr:uid="{00000000-0005-0000-0000-000008710000}"/>
    <cellStyle name="40% - Accent5 5 6 2 2 2 2" xfId="32458" xr:uid="{00000000-0005-0000-0000-000009710000}"/>
    <cellStyle name="40% - Accent5 5 6 2 2 2 2 2" xfId="32459" xr:uid="{00000000-0005-0000-0000-00000A710000}"/>
    <cellStyle name="40% - Accent5 5 6 2 2 2 3" xfId="32460" xr:uid="{00000000-0005-0000-0000-00000B710000}"/>
    <cellStyle name="40% - Accent5 5 6 2 2 3" xfId="32461" xr:uid="{00000000-0005-0000-0000-00000C710000}"/>
    <cellStyle name="40% - Accent5 5 6 2 2 3 2" xfId="32462" xr:uid="{00000000-0005-0000-0000-00000D710000}"/>
    <cellStyle name="40% - Accent5 5 6 2 2 4" xfId="32463" xr:uid="{00000000-0005-0000-0000-00000E710000}"/>
    <cellStyle name="40% - Accent5 5 6 2 2 5" xfId="32464" xr:uid="{00000000-0005-0000-0000-00000F710000}"/>
    <cellStyle name="40% - Accent5 5 6 2 2 6" xfId="32465" xr:uid="{00000000-0005-0000-0000-000010710000}"/>
    <cellStyle name="40% - Accent5 5 6 2 3" xfId="32466" xr:uid="{00000000-0005-0000-0000-000011710000}"/>
    <cellStyle name="40% - Accent5 5 6 2 3 2" xfId="32467" xr:uid="{00000000-0005-0000-0000-000012710000}"/>
    <cellStyle name="40% - Accent5 5 6 2 3 2 2" xfId="32468" xr:uid="{00000000-0005-0000-0000-000013710000}"/>
    <cellStyle name="40% - Accent5 5 6 2 3 3" xfId="32469" xr:uid="{00000000-0005-0000-0000-000014710000}"/>
    <cellStyle name="40% - Accent5 5 6 2 4" xfId="32470" xr:uid="{00000000-0005-0000-0000-000015710000}"/>
    <cellStyle name="40% - Accent5 5 6 2 4 2" xfId="32471" xr:uid="{00000000-0005-0000-0000-000016710000}"/>
    <cellStyle name="40% - Accent5 5 6 2 5" xfId="32472" xr:uid="{00000000-0005-0000-0000-000017710000}"/>
    <cellStyle name="40% - Accent5 5 6 2 5 2" xfId="32473" xr:uid="{00000000-0005-0000-0000-000018710000}"/>
    <cellStyle name="40% - Accent5 5 6 2 6" xfId="32474" xr:uid="{00000000-0005-0000-0000-000019710000}"/>
    <cellStyle name="40% - Accent5 5 6 2 7" xfId="32475" xr:uid="{00000000-0005-0000-0000-00001A710000}"/>
    <cellStyle name="40% - Accent5 5 6 2 8" xfId="32476" xr:uid="{00000000-0005-0000-0000-00001B710000}"/>
    <cellStyle name="40% - Accent5 5 6 3" xfId="32477" xr:uid="{00000000-0005-0000-0000-00001C710000}"/>
    <cellStyle name="40% - Accent5 5 6 3 2" xfId="32478" xr:uid="{00000000-0005-0000-0000-00001D710000}"/>
    <cellStyle name="40% - Accent5 5 6 3 2 2" xfId="32479" xr:uid="{00000000-0005-0000-0000-00001E710000}"/>
    <cellStyle name="40% - Accent5 5 6 3 2 2 2" xfId="32480" xr:uid="{00000000-0005-0000-0000-00001F710000}"/>
    <cellStyle name="40% - Accent5 5 6 3 2 2 2 2" xfId="32481" xr:uid="{00000000-0005-0000-0000-000020710000}"/>
    <cellStyle name="40% - Accent5 5 6 3 2 2 3" xfId="32482" xr:uid="{00000000-0005-0000-0000-000021710000}"/>
    <cellStyle name="40% - Accent5 5 6 3 2 3" xfId="32483" xr:uid="{00000000-0005-0000-0000-000022710000}"/>
    <cellStyle name="40% - Accent5 5 6 3 2 3 2" xfId="32484" xr:uid="{00000000-0005-0000-0000-000023710000}"/>
    <cellStyle name="40% - Accent5 5 6 3 2 4" xfId="32485" xr:uid="{00000000-0005-0000-0000-000024710000}"/>
    <cellStyle name="40% - Accent5 5 6 3 2 5" xfId="32486" xr:uid="{00000000-0005-0000-0000-000025710000}"/>
    <cellStyle name="40% - Accent5 5 6 3 2 6" xfId="32487" xr:uid="{00000000-0005-0000-0000-000026710000}"/>
    <cellStyle name="40% - Accent5 5 6 3 3" xfId="32488" xr:uid="{00000000-0005-0000-0000-000027710000}"/>
    <cellStyle name="40% - Accent5 5 6 3 3 2" xfId="32489" xr:uid="{00000000-0005-0000-0000-000028710000}"/>
    <cellStyle name="40% - Accent5 5 6 3 3 2 2" xfId="32490" xr:uid="{00000000-0005-0000-0000-000029710000}"/>
    <cellStyle name="40% - Accent5 5 6 3 3 3" xfId="32491" xr:uid="{00000000-0005-0000-0000-00002A710000}"/>
    <cellStyle name="40% - Accent5 5 6 3 4" xfId="32492" xr:uid="{00000000-0005-0000-0000-00002B710000}"/>
    <cellStyle name="40% - Accent5 5 6 3 4 2" xfId="32493" xr:uid="{00000000-0005-0000-0000-00002C710000}"/>
    <cellStyle name="40% - Accent5 5 6 3 5" xfId="32494" xr:uid="{00000000-0005-0000-0000-00002D710000}"/>
    <cellStyle name="40% - Accent5 5 6 3 6" xfId="32495" xr:uid="{00000000-0005-0000-0000-00002E710000}"/>
    <cellStyle name="40% - Accent5 5 6 3 7" xfId="32496" xr:uid="{00000000-0005-0000-0000-00002F710000}"/>
    <cellStyle name="40% - Accent5 5 6 4" xfId="32497" xr:uid="{00000000-0005-0000-0000-000030710000}"/>
    <cellStyle name="40% - Accent5 5 6 4 2" xfId="32498" xr:uid="{00000000-0005-0000-0000-000031710000}"/>
    <cellStyle name="40% - Accent5 5 6 4 2 2" xfId="32499" xr:uid="{00000000-0005-0000-0000-000032710000}"/>
    <cellStyle name="40% - Accent5 5 6 4 2 2 2" xfId="32500" xr:uid="{00000000-0005-0000-0000-000033710000}"/>
    <cellStyle name="40% - Accent5 5 6 4 2 3" xfId="32501" xr:uid="{00000000-0005-0000-0000-000034710000}"/>
    <cellStyle name="40% - Accent5 5 6 4 3" xfId="32502" xr:uid="{00000000-0005-0000-0000-000035710000}"/>
    <cellStyle name="40% - Accent5 5 6 4 3 2" xfId="32503" xr:uid="{00000000-0005-0000-0000-000036710000}"/>
    <cellStyle name="40% - Accent5 5 6 4 4" xfId="32504" xr:uid="{00000000-0005-0000-0000-000037710000}"/>
    <cellStyle name="40% - Accent5 5 6 4 5" xfId="32505" xr:uid="{00000000-0005-0000-0000-000038710000}"/>
    <cellStyle name="40% - Accent5 5 6 4 6" xfId="32506" xr:uid="{00000000-0005-0000-0000-000039710000}"/>
    <cellStyle name="40% - Accent5 5 6 5" xfId="32507" xr:uid="{00000000-0005-0000-0000-00003A710000}"/>
    <cellStyle name="40% - Accent5 5 6 5 2" xfId="32508" xr:uid="{00000000-0005-0000-0000-00003B710000}"/>
    <cellStyle name="40% - Accent5 5 6 5 2 2" xfId="32509" xr:uid="{00000000-0005-0000-0000-00003C710000}"/>
    <cellStyle name="40% - Accent5 5 6 5 3" xfId="32510" xr:uid="{00000000-0005-0000-0000-00003D710000}"/>
    <cellStyle name="40% - Accent5 5 6 6" xfId="32511" xr:uid="{00000000-0005-0000-0000-00003E710000}"/>
    <cellStyle name="40% - Accent5 5 6 6 2" xfId="32512" xr:uid="{00000000-0005-0000-0000-00003F710000}"/>
    <cellStyle name="40% - Accent5 5 6 6 2 2" xfId="32513" xr:uid="{00000000-0005-0000-0000-000040710000}"/>
    <cellStyle name="40% - Accent5 5 6 6 3" xfId="32514" xr:uid="{00000000-0005-0000-0000-000041710000}"/>
    <cellStyle name="40% - Accent5 5 6 7" xfId="32515" xr:uid="{00000000-0005-0000-0000-000042710000}"/>
    <cellStyle name="40% - Accent5 5 6 7 2" xfId="32516" xr:uid="{00000000-0005-0000-0000-000043710000}"/>
    <cellStyle name="40% - Accent5 5 6 8" xfId="32517" xr:uid="{00000000-0005-0000-0000-000044710000}"/>
    <cellStyle name="40% - Accent5 5 6 8 2" xfId="32518" xr:uid="{00000000-0005-0000-0000-000045710000}"/>
    <cellStyle name="40% - Accent5 5 6 9" xfId="32519" xr:uid="{00000000-0005-0000-0000-000046710000}"/>
    <cellStyle name="40% - Accent5 5 7" xfId="32520" xr:uid="{00000000-0005-0000-0000-000047710000}"/>
    <cellStyle name="40% - Accent5 5 7 10" xfId="32521" xr:uid="{00000000-0005-0000-0000-000048710000}"/>
    <cellStyle name="40% - Accent5 5 7 11" xfId="32522" xr:uid="{00000000-0005-0000-0000-000049710000}"/>
    <cellStyle name="40% - Accent5 5 7 2" xfId="32523" xr:uid="{00000000-0005-0000-0000-00004A710000}"/>
    <cellStyle name="40% - Accent5 5 7 2 2" xfId="32524" xr:uid="{00000000-0005-0000-0000-00004B710000}"/>
    <cellStyle name="40% - Accent5 5 7 2 2 2" xfId="32525" xr:uid="{00000000-0005-0000-0000-00004C710000}"/>
    <cellStyle name="40% - Accent5 5 7 2 2 2 2" xfId="32526" xr:uid="{00000000-0005-0000-0000-00004D710000}"/>
    <cellStyle name="40% - Accent5 5 7 2 2 2 2 2" xfId="32527" xr:uid="{00000000-0005-0000-0000-00004E710000}"/>
    <cellStyle name="40% - Accent5 5 7 2 2 2 3" xfId="32528" xr:uid="{00000000-0005-0000-0000-00004F710000}"/>
    <cellStyle name="40% - Accent5 5 7 2 2 3" xfId="32529" xr:uid="{00000000-0005-0000-0000-000050710000}"/>
    <cellStyle name="40% - Accent5 5 7 2 2 3 2" xfId="32530" xr:uid="{00000000-0005-0000-0000-000051710000}"/>
    <cellStyle name="40% - Accent5 5 7 2 2 4" xfId="32531" xr:uid="{00000000-0005-0000-0000-000052710000}"/>
    <cellStyle name="40% - Accent5 5 7 2 2 5" xfId="32532" xr:uid="{00000000-0005-0000-0000-000053710000}"/>
    <cellStyle name="40% - Accent5 5 7 2 2 6" xfId="32533" xr:uid="{00000000-0005-0000-0000-000054710000}"/>
    <cellStyle name="40% - Accent5 5 7 2 3" xfId="32534" xr:uid="{00000000-0005-0000-0000-000055710000}"/>
    <cellStyle name="40% - Accent5 5 7 2 3 2" xfId="32535" xr:uid="{00000000-0005-0000-0000-000056710000}"/>
    <cellStyle name="40% - Accent5 5 7 2 3 2 2" xfId="32536" xr:uid="{00000000-0005-0000-0000-000057710000}"/>
    <cellStyle name="40% - Accent5 5 7 2 3 3" xfId="32537" xr:uid="{00000000-0005-0000-0000-000058710000}"/>
    <cellStyle name="40% - Accent5 5 7 2 4" xfId="32538" xr:uid="{00000000-0005-0000-0000-000059710000}"/>
    <cellStyle name="40% - Accent5 5 7 2 4 2" xfId="32539" xr:uid="{00000000-0005-0000-0000-00005A710000}"/>
    <cellStyle name="40% - Accent5 5 7 2 5" xfId="32540" xr:uid="{00000000-0005-0000-0000-00005B710000}"/>
    <cellStyle name="40% - Accent5 5 7 2 5 2" xfId="32541" xr:uid="{00000000-0005-0000-0000-00005C710000}"/>
    <cellStyle name="40% - Accent5 5 7 2 6" xfId="32542" xr:uid="{00000000-0005-0000-0000-00005D710000}"/>
    <cellStyle name="40% - Accent5 5 7 2 7" xfId="32543" xr:uid="{00000000-0005-0000-0000-00005E710000}"/>
    <cellStyle name="40% - Accent5 5 7 2 8" xfId="32544" xr:uid="{00000000-0005-0000-0000-00005F710000}"/>
    <cellStyle name="40% - Accent5 5 7 3" xfId="32545" xr:uid="{00000000-0005-0000-0000-000060710000}"/>
    <cellStyle name="40% - Accent5 5 7 3 2" xfId="32546" xr:uid="{00000000-0005-0000-0000-000061710000}"/>
    <cellStyle name="40% - Accent5 5 7 3 2 2" xfId="32547" xr:uid="{00000000-0005-0000-0000-000062710000}"/>
    <cellStyle name="40% - Accent5 5 7 3 2 2 2" xfId="32548" xr:uid="{00000000-0005-0000-0000-000063710000}"/>
    <cellStyle name="40% - Accent5 5 7 3 2 2 2 2" xfId="32549" xr:uid="{00000000-0005-0000-0000-000064710000}"/>
    <cellStyle name="40% - Accent5 5 7 3 2 2 3" xfId="32550" xr:uid="{00000000-0005-0000-0000-000065710000}"/>
    <cellStyle name="40% - Accent5 5 7 3 2 3" xfId="32551" xr:uid="{00000000-0005-0000-0000-000066710000}"/>
    <cellStyle name="40% - Accent5 5 7 3 2 3 2" xfId="32552" xr:uid="{00000000-0005-0000-0000-000067710000}"/>
    <cellStyle name="40% - Accent5 5 7 3 2 4" xfId="32553" xr:uid="{00000000-0005-0000-0000-000068710000}"/>
    <cellStyle name="40% - Accent5 5 7 3 2 5" xfId="32554" xr:uid="{00000000-0005-0000-0000-000069710000}"/>
    <cellStyle name="40% - Accent5 5 7 3 2 6" xfId="32555" xr:uid="{00000000-0005-0000-0000-00006A710000}"/>
    <cellStyle name="40% - Accent5 5 7 3 3" xfId="32556" xr:uid="{00000000-0005-0000-0000-00006B710000}"/>
    <cellStyle name="40% - Accent5 5 7 3 3 2" xfId="32557" xr:uid="{00000000-0005-0000-0000-00006C710000}"/>
    <cellStyle name="40% - Accent5 5 7 3 3 2 2" xfId="32558" xr:uid="{00000000-0005-0000-0000-00006D710000}"/>
    <cellStyle name="40% - Accent5 5 7 3 3 3" xfId="32559" xr:uid="{00000000-0005-0000-0000-00006E710000}"/>
    <cellStyle name="40% - Accent5 5 7 3 4" xfId="32560" xr:uid="{00000000-0005-0000-0000-00006F710000}"/>
    <cellStyle name="40% - Accent5 5 7 3 4 2" xfId="32561" xr:uid="{00000000-0005-0000-0000-000070710000}"/>
    <cellStyle name="40% - Accent5 5 7 3 5" xfId="32562" xr:uid="{00000000-0005-0000-0000-000071710000}"/>
    <cellStyle name="40% - Accent5 5 7 3 6" xfId="32563" xr:uid="{00000000-0005-0000-0000-000072710000}"/>
    <cellStyle name="40% - Accent5 5 7 3 7" xfId="32564" xr:uid="{00000000-0005-0000-0000-000073710000}"/>
    <cellStyle name="40% - Accent5 5 7 4" xfId="32565" xr:uid="{00000000-0005-0000-0000-000074710000}"/>
    <cellStyle name="40% - Accent5 5 7 4 2" xfId="32566" xr:uid="{00000000-0005-0000-0000-000075710000}"/>
    <cellStyle name="40% - Accent5 5 7 4 2 2" xfId="32567" xr:uid="{00000000-0005-0000-0000-000076710000}"/>
    <cellStyle name="40% - Accent5 5 7 4 2 2 2" xfId="32568" xr:uid="{00000000-0005-0000-0000-000077710000}"/>
    <cellStyle name="40% - Accent5 5 7 4 2 3" xfId="32569" xr:uid="{00000000-0005-0000-0000-000078710000}"/>
    <cellStyle name="40% - Accent5 5 7 4 3" xfId="32570" xr:uid="{00000000-0005-0000-0000-000079710000}"/>
    <cellStyle name="40% - Accent5 5 7 4 3 2" xfId="32571" xr:uid="{00000000-0005-0000-0000-00007A710000}"/>
    <cellStyle name="40% - Accent5 5 7 4 4" xfId="32572" xr:uid="{00000000-0005-0000-0000-00007B710000}"/>
    <cellStyle name="40% - Accent5 5 7 4 5" xfId="32573" xr:uid="{00000000-0005-0000-0000-00007C710000}"/>
    <cellStyle name="40% - Accent5 5 7 4 6" xfId="32574" xr:uid="{00000000-0005-0000-0000-00007D710000}"/>
    <cellStyle name="40% - Accent5 5 7 5" xfId="32575" xr:uid="{00000000-0005-0000-0000-00007E710000}"/>
    <cellStyle name="40% - Accent5 5 7 5 2" xfId="32576" xr:uid="{00000000-0005-0000-0000-00007F710000}"/>
    <cellStyle name="40% - Accent5 5 7 5 2 2" xfId="32577" xr:uid="{00000000-0005-0000-0000-000080710000}"/>
    <cellStyle name="40% - Accent5 5 7 5 3" xfId="32578" xr:uid="{00000000-0005-0000-0000-000081710000}"/>
    <cellStyle name="40% - Accent5 5 7 6" xfId="32579" xr:uid="{00000000-0005-0000-0000-000082710000}"/>
    <cellStyle name="40% - Accent5 5 7 6 2" xfId="32580" xr:uid="{00000000-0005-0000-0000-000083710000}"/>
    <cellStyle name="40% - Accent5 5 7 6 2 2" xfId="32581" xr:uid="{00000000-0005-0000-0000-000084710000}"/>
    <cellStyle name="40% - Accent5 5 7 6 3" xfId="32582" xr:uid="{00000000-0005-0000-0000-000085710000}"/>
    <cellStyle name="40% - Accent5 5 7 7" xfId="32583" xr:uid="{00000000-0005-0000-0000-000086710000}"/>
    <cellStyle name="40% - Accent5 5 7 7 2" xfId="32584" xr:uid="{00000000-0005-0000-0000-000087710000}"/>
    <cellStyle name="40% - Accent5 5 7 8" xfId="32585" xr:uid="{00000000-0005-0000-0000-000088710000}"/>
    <cellStyle name="40% - Accent5 5 7 8 2" xfId="32586" xr:uid="{00000000-0005-0000-0000-000089710000}"/>
    <cellStyle name="40% - Accent5 5 7 9" xfId="32587" xr:uid="{00000000-0005-0000-0000-00008A710000}"/>
    <cellStyle name="40% - Accent5 5 8" xfId="32588" xr:uid="{00000000-0005-0000-0000-00008B710000}"/>
    <cellStyle name="40% - Accent5 5 8 10" xfId="32589" xr:uid="{00000000-0005-0000-0000-00008C710000}"/>
    <cellStyle name="40% - Accent5 5 8 11" xfId="32590" xr:uid="{00000000-0005-0000-0000-00008D710000}"/>
    <cellStyle name="40% - Accent5 5 8 2" xfId="32591" xr:uid="{00000000-0005-0000-0000-00008E710000}"/>
    <cellStyle name="40% - Accent5 5 8 2 2" xfId="32592" xr:uid="{00000000-0005-0000-0000-00008F710000}"/>
    <cellStyle name="40% - Accent5 5 8 2 2 2" xfId="32593" xr:uid="{00000000-0005-0000-0000-000090710000}"/>
    <cellStyle name="40% - Accent5 5 8 2 2 2 2" xfId="32594" xr:uid="{00000000-0005-0000-0000-000091710000}"/>
    <cellStyle name="40% - Accent5 5 8 2 2 2 2 2" xfId="32595" xr:uid="{00000000-0005-0000-0000-000092710000}"/>
    <cellStyle name="40% - Accent5 5 8 2 2 2 3" xfId="32596" xr:uid="{00000000-0005-0000-0000-000093710000}"/>
    <cellStyle name="40% - Accent5 5 8 2 2 3" xfId="32597" xr:uid="{00000000-0005-0000-0000-000094710000}"/>
    <cellStyle name="40% - Accent5 5 8 2 2 3 2" xfId="32598" xr:uid="{00000000-0005-0000-0000-000095710000}"/>
    <cellStyle name="40% - Accent5 5 8 2 2 4" xfId="32599" xr:uid="{00000000-0005-0000-0000-000096710000}"/>
    <cellStyle name="40% - Accent5 5 8 2 2 5" xfId="32600" xr:uid="{00000000-0005-0000-0000-000097710000}"/>
    <cellStyle name="40% - Accent5 5 8 2 2 6" xfId="32601" xr:uid="{00000000-0005-0000-0000-000098710000}"/>
    <cellStyle name="40% - Accent5 5 8 2 3" xfId="32602" xr:uid="{00000000-0005-0000-0000-000099710000}"/>
    <cellStyle name="40% - Accent5 5 8 2 3 2" xfId="32603" xr:uid="{00000000-0005-0000-0000-00009A710000}"/>
    <cellStyle name="40% - Accent5 5 8 2 3 2 2" xfId="32604" xr:uid="{00000000-0005-0000-0000-00009B710000}"/>
    <cellStyle name="40% - Accent5 5 8 2 3 3" xfId="32605" xr:uid="{00000000-0005-0000-0000-00009C710000}"/>
    <cellStyle name="40% - Accent5 5 8 2 4" xfId="32606" xr:uid="{00000000-0005-0000-0000-00009D710000}"/>
    <cellStyle name="40% - Accent5 5 8 2 4 2" xfId="32607" xr:uid="{00000000-0005-0000-0000-00009E710000}"/>
    <cellStyle name="40% - Accent5 5 8 2 5" xfId="32608" xr:uid="{00000000-0005-0000-0000-00009F710000}"/>
    <cellStyle name="40% - Accent5 5 8 2 5 2" xfId="32609" xr:uid="{00000000-0005-0000-0000-0000A0710000}"/>
    <cellStyle name="40% - Accent5 5 8 2 6" xfId="32610" xr:uid="{00000000-0005-0000-0000-0000A1710000}"/>
    <cellStyle name="40% - Accent5 5 8 2 7" xfId="32611" xr:uid="{00000000-0005-0000-0000-0000A2710000}"/>
    <cellStyle name="40% - Accent5 5 8 2 8" xfId="32612" xr:uid="{00000000-0005-0000-0000-0000A3710000}"/>
    <cellStyle name="40% - Accent5 5 8 3" xfId="32613" xr:uid="{00000000-0005-0000-0000-0000A4710000}"/>
    <cellStyle name="40% - Accent5 5 8 3 2" xfId="32614" xr:uid="{00000000-0005-0000-0000-0000A5710000}"/>
    <cellStyle name="40% - Accent5 5 8 3 2 2" xfId="32615" xr:uid="{00000000-0005-0000-0000-0000A6710000}"/>
    <cellStyle name="40% - Accent5 5 8 3 2 2 2" xfId="32616" xr:uid="{00000000-0005-0000-0000-0000A7710000}"/>
    <cellStyle name="40% - Accent5 5 8 3 2 2 2 2" xfId="32617" xr:uid="{00000000-0005-0000-0000-0000A8710000}"/>
    <cellStyle name="40% - Accent5 5 8 3 2 2 3" xfId="32618" xr:uid="{00000000-0005-0000-0000-0000A9710000}"/>
    <cellStyle name="40% - Accent5 5 8 3 2 3" xfId="32619" xr:uid="{00000000-0005-0000-0000-0000AA710000}"/>
    <cellStyle name="40% - Accent5 5 8 3 2 3 2" xfId="32620" xr:uid="{00000000-0005-0000-0000-0000AB710000}"/>
    <cellStyle name="40% - Accent5 5 8 3 2 4" xfId="32621" xr:uid="{00000000-0005-0000-0000-0000AC710000}"/>
    <cellStyle name="40% - Accent5 5 8 3 2 5" xfId="32622" xr:uid="{00000000-0005-0000-0000-0000AD710000}"/>
    <cellStyle name="40% - Accent5 5 8 3 2 6" xfId="32623" xr:uid="{00000000-0005-0000-0000-0000AE710000}"/>
    <cellStyle name="40% - Accent5 5 8 3 3" xfId="32624" xr:uid="{00000000-0005-0000-0000-0000AF710000}"/>
    <cellStyle name="40% - Accent5 5 8 3 3 2" xfId="32625" xr:uid="{00000000-0005-0000-0000-0000B0710000}"/>
    <cellStyle name="40% - Accent5 5 8 3 3 2 2" xfId="32626" xr:uid="{00000000-0005-0000-0000-0000B1710000}"/>
    <cellStyle name="40% - Accent5 5 8 3 3 3" xfId="32627" xr:uid="{00000000-0005-0000-0000-0000B2710000}"/>
    <cellStyle name="40% - Accent5 5 8 3 4" xfId="32628" xr:uid="{00000000-0005-0000-0000-0000B3710000}"/>
    <cellStyle name="40% - Accent5 5 8 3 4 2" xfId="32629" xr:uid="{00000000-0005-0000-0000-0000B4710000}"/>
    <cellStyle name="40% - Accent5 5 8 3 5" xfId="32630" xr:uid="{00000000-0005-0000-0000-0000B5710000}"/>
    <cellStyle name="40% - Accent5 5 8 3 6" xfId="32631" xr:uid="{00000000-0005-0000-0000-0000B6710000}"/>
    <cellStyle name="40% - Accent5 5 8 3 7" xfId="32632" xr:uid="{00000000-0005-0000-0000-0000B7710000}"/>
    <cellStyle name="40% - Accent5 5 8 4" xfId="32633" xr:uid="{00000000-0005-0000-0000-0000B8710000}"/>
    <cellStyle name="40% - Accent5 5 8 4 2" xfId="32634" xr:uid="{00000000-0005-0000-0000-0000B9710000}"/>
    <cellStyle name="40% - Accent5 5 8 4 2 2" xfId="32635" xr:uid="{00000000-0005-0000-0000-0000BA710000}"/>
    <cellStyle name="40% - Accent5 5 8 4 2 2 2" xfId="32636" xr:uid="{00000000-0005-0000-0000-0000BB710000}"/>
    <cellStyle name="40% - Accent5 5 8 4 2 3" xfId="32637" xr:uid="{00000000-0005-0000-0000-0000BC710000}"/>
    <cellStyle name="40% - Accent5 5 8 4 3" xfId="32638" xr:uid="{00000000-0005-0000-0000-0000BD710000}"/>
    <cellStyle name="40% - Accent5 5 8 4 3 2" xfId="32639" xr:uid="{00000000-0005-0000-0000-0000BE710000}"/>
    <cellStyle name="40% - Accent5 5 8 4 4" xfId="32640" xr:uid="{00000000-0005-0000-0000-0000BF710000}"/>
    <cellStyle name="40% - Accent5 5 8 4 5" xfId="32641" xr:uid="{00000000-0005-0000-0000-0000C0710000}"/>
    <cellStyle name="40% - Accent5 5 8 4 6" xfId="32642" xr:uid="{00000000-0005-0000-0000-0000C1710000}"/>
    <cellStyle name="40% - Accent5 5 8 5" xfId="32643" xr:uid="{00000000-0005-0000-0000-0000C2710000}"/>
    <cellStyle name="40% - Accent5 5 8 5 2" xfId="32644" xr:uid="{00000000-0005-0000-0000-0000C3710000}"/>
    <cellStyle name="40% - Accent5 5 8 5 2 2" xfId="32645" xr:uid="{00000000-0005-0000-0000-0000C4710000}"/>
    <cellStyle name="40% - Accent5 5 8 5 3" xfId="32646" xr:uid="{00000000-0005-0000-0000-0000C5710000}"/>
    <cellStyle name="40% - Accent5 5 8 6" xfId="32647" xr:uid="{00000000-0005-0000-0000-0000C6710000}"/>
    <cellStyle name="40% - Accent5 5 8 6 2" xfId="32648" xr:uid="{00000000-0005-0000-0000-0000C7710000}"/>
    <cellStyle name="40% - Accent5 5 8 6 2 2" xfId="32649" xr:uid="{00000000-0005-0000-0000-0000C8710000}"/>
    <cellStyle name="40% - Accent5 5 8 6 3" xfId="32650" xr:uid="{00000000-0005-0000-0000-0000C9710000}"/>
    <cellStyle name="40% - Accent5 5 8 7" xfId="32651" xr:uid="{00000000-0005-0000-0000-0000CA710000}"/>
    <cellStyle name="40% - Accent5 5 8 7 2" xfId="32652" xr:uid="{00000000-0005-0000-0000-0000CB710000}"/>
    <cellStyle name="40% - Accent5 5 8 8" xfId="32653" xr:uid="{00000000-0005-0000-0000-0000CC710000}"/>
    <cellStyle name="40% - Accent5 5 8 8 2" xfId="32654" xr:uid="{00000000-0005-0000-0000-0000CD710000}"/>
    <cellStyle name="40% - Accent5 5 8 9" xfId="32655" xr:uid="{00000000-0005-0000-0000-0000CE710000}"/>
    <cellStyle name="40% - Accent5 5 9" xfId="32656" xr:uid="{00000000-0005-0000-0000-0000CF710000}"/>
    <cellStyle name="40% - Accent5 5 9 10" xfId="32657" xr:uid="{00000000-0005-0000-0000-0000D0710000}"/>
    <cellStyle name="40% - Accent5 5 9 11" xfId="32658" xr:uid="{00000000-0005-0000-0000-0000D1710000}"/>
    <cellStyle name="40% - Accent5 5 9 2" xfId="32659" xr:uid="{00000000-0005-0000-0000-0000D2710000}"/>
    <cellStyle name="40% - Accent5 5 9 2 2" xfId="32660" xr:uid="{00000000-0005-0000-0000-0000D3710000}"/>
    <cellStyle name="40% - Accent5 5 9 2 2 2" xfId="32661" xr:uid="{00000000-0005-0000-0000-0000D4710000}"/>
    <cellStyle name="40% - Accent5 5 9 2 2 2 2" xfId="32662" xr:uid="{00000000-0005-0000-0000-0000D5710000}"/>
    <cellStyle name="40% - Accent5 5 9 2 2 2 2 2" xfId="32663" xr:uid="{00000000-0005-0000-0000-0000D6710000}"/>
    <cellStyle name="40% - Accent5 5 9 2 2 2 3" xfId="32664" xr:uid="{00000000-0005-0000-0000-0000D7710000}"/>
    <cellStyle name="40% - Accent5 5 9 2 2 3" xfId="32665" xr:uid="{00000000-0005-0000-0000-0000D8710000}"/>
    <cellStyle name="40% - Accent5 5 9 2 2 3 2" xfId="32666" xr:uid="{00000000-0005-0000-0000-0000D9710000}"/>
    <cellStyle name="40% - Accent5 5 9 2 2 4" xfId="32667" xr:uid="{00000000-0005-0000-0000-0000DA710000}"/>
    <cellStyle name="40% - Accent5 5 9 2 2 5" xfId="32668" xr:uid="{00000000-0005-0000-0000-0000DB710000}"/>
    <cellStyle name="40% - Accent5 5 9 2 2 6" xfId="32669" xr:uid="{00000000-0005-0000-0000-0000DC710000}"/>
    <cellStyle name="40% - Accent5 5 9 2 3" xfId="32670" xr:uid="{00000000-0005-0000-0000-0000DD710000}"/>
    <cellStyle name="40% - Accent5 5 9 2 3 2" xfId="32671" xr:uid="{00000000-0005-0000-0000-0000DE710000}"/>
    <cellStyle name="40% - Accent5 5 9 2 3 2 2" xfId="32672" xr:uid="{00000000-0005-0000-0000-0000DF710000}"/>
    <cellStyle name="40% - Accent5 5 9 2 3 3" xfId="32673" xr:uid="{00000000-0005-0000-0000-0000E0710000}"/>
    <cellStyle name="40% - Accent5 5 9 2 4" xfId="32674" xr:uid="{00000000-0005-0000-0000-0000E1710000}"/>
    <cellStyle name="40% - Accent5 5 9 2 4 2" xfId="32675" xr:uid="{00000000-0005-0000-0000-0000E2710000}"/>
    <cellStyle name="40% - Accent5 5 9 2 5" xfId="32676" xr:uid="{00000000-0005-0000-0000-0000E3710000}"/>
    <cellStyle name="40% - Accent5 5 9 2 6" xfId="32677" xr:uid="{00000000-0005-0000-0000-0000E4710000}"/>
    <cellStyle name="40% - Accent5 5 9 2 7" xfId="32678" xr:uid="{00000000-0005-0000-0000-0000E5710000}"/>
    <cellStyle name="40% - Accent5 5 9 3" xfId="32679" xr:uid="{00000000-0005-0000-0000-0000E6710000}"/>
    <cellStyle name="40% - Accent5 5 9 3 2" xfId="32680" xr:uid="{00000000-0005-0000-0000-0000E7710000}"/>
    <cellStyle name="40% - Accent5 5 9 3 2 2" xfId="32681" xr:uid="{00000000-0005-0000-0000-0000E8710000}"/>
    <cellStyle name="40% - Accent5 5 9 3 2 2 2" xfId="32682" xr:uid="{00000000-0005-0000-0000-0000E9710000}"/>
    <cellStyle name="40% - Accent5 5 9 3 2 2 2 2" xfId="32683" xr:uid="{00000000-0005-0000-0000-0000EA710000}"/>
    <cellStyle name="40% - Accent5 5 9 3 2 2 3" xfId="32684" xr:uid="{00000000-0005-0000-0000-0000EB710000}"/>
    <cellStyle name="40% - Accent5 5 9 3 2 3" xfId="32685" xr:uid="{00000000-0005-0000-0000-0000EC710000}"/>
    <cellStyle name="40% - Accent5 5 9 3 2 3 2" xfId="32686" xr:uid="{00000000-0005-0000-0000-0000ED710000}"/>
    <cellStyle name="40% - Accent5 5 9 3 2 4" xfId="32687" xr:uid="{00000000-0005-0000-0000-0000EE710000}"/>
    <cellStyle name="40% - Accent5 5 9 3 2 5" xfId="32688" xr:uid="{00000000-0005-0000-0000-0000EF710000}"/>
    <cellStyle name="40% - Accent5 5 9 3 2 6" xfId="32689" xr:uid="{00000000-0005-0000-0000-0000F0710000}"/>
    <cellStyle name="40% - Accent5 5 9 3 3" xfId="32690" xr:uid="{00000000-0005-0000-0000-0000F1710000}"/>
    <cellStyle name="40% - Accent5 5 9 3 3 2" xfId="32691" xr:uid="{00000000-0005-0000-0000-0000F2710000}"/>
    <cellStyle name="40% - Accent5 5 9 3 3 2 2" xfId="32692" xr:uid="{00000000-0005-0000-0000-0000F3710000}"/>
    <cellStyle name="40% - Accent5 5 9 3 3 3" xfId="32693" xr:uid="{00000000-0005-0000-0000-0000F4710000}"/>
    <cellStyle name="40% - Accent5 5 9 3 4" xfId="32694" xr:uid="{00000000-0005-0000-0000-0000F5710000}"/>
    <cellStyle name="40% - Accent5 5 9 3 4 2" xfId="32695" xr:uid="{00000000-0005-0000-0000-0000F6710000}"/>
    <cellStyle name="40% - Accent5 5 9 3 5" xfId="32696" xr:uid="{00000000-0005-0000-0000-0000F7710000}"/>
    <cellStyle name="40% - Accent5 5 9 3 6" xfId="32697" xr:uid="{00000000-0005-0000-0000-0000F8710000}"/>
    <cellStyle name="40% - Accent5 5 9 3 7" xfId="32698" xr:uid="{00000000-0005-0000-0000-0000F9710000}"/>
    <cellStyle name="40% - Accent5 5 9 4" xfId="32699" xr:uid="{00000000-0005-0000-0000-0000FA710000}"/>
    <cellStyle name="40% - Accent5 5 9 4 2" xfId="32700" xr:uid="{00000000-0005-0000-0000-0000FB710000}"/>
    <cellStyle name="40% - Accent5 5 9 4 2 2" xfId="32701" xr:uid="{00000000-0005-0000-0000-0000FC710000}"/>
    <cellStyle name="40% - Accent5 5 9 4 2 2 2" xfId="32702" xr:uid="{00000000-0005-0000-0000-0000FD710000}"/>
    <cellStyle name="40% - Accent5 5 9 4 2 3" xfId="32703" xr:uid="{00000000-0005-0000-0000-0000FE710000}"/>
    <cellStyle name="40% - Accent5 5 9 4 3" xfId="32704" xr:uid="{00000000-0005-0000-0000-0000FF710000}"/>
    <cellStyle name="40% - Accent5 5 9 4 3 2" xfId="32705" xr:uid="{00000000-0005-0000-0000-000000720000}"/>
    <cellStyle name="40% - Accent5 5 9 4 4" xfId="32706" xr:uid="{00000000-0005-0000-0000-000001720000}"/>
    <cellStyle name="40% - Accent5 5 9 4 5" xfId="32707" xr:uid="{00000000-0005-0000-0000-000002720000}"/>
    <cellStyle name="40% - Accent5 5 9 4 6" xfId="32708" xr:uid="{00000000-0005-0000-0000-000003720000}"/>
    <cellStyle name="40% - Accent5 5 9 5" xfId="32709" xr:uid="{00000000-0005-0000-0000-000004720000}"/>
    <cellStyle name="40% - Accent5 5 9 5 2" xfId="32710" xr:uid="{00000000-0005-0000-0000-000005720000}"/>
    <cellStyle name="40% - Accent5 5 9 5 2 2" xfId="32711" xr:uid="{00000000-0005-0000-0000-000006720000}"/>
    <cellStyle name="40% - Accent5 5 9 5 3" xfId="32712" xr:uid="{00000000-0005-0000-0000-000007720000}"/>
    <cellStyle name="40% - Accent5 5 9 6" xfId="32713" xr:uid="{00000000-0005-0000-0000-000008720000}"/>
    <cellStyle name="40% - Accent5 5 9 6 2" xfId="32714" xr:uid="{00000000-0005-0000-0000-000009720000}"/>
    <cellStyle name="40% - Accent5 5 9 6 2 2" xfId="32715" xr:uid="{00000000-0005-0000-0000-00000A720000}"/>
    <cellStyle name="40% - Accent5 5 9 6 3" xfId="32716" xr:uid="{00000000-0005-0000-0000-00000B720000}"/>
    <cellStyle name="40% - Accent5 5 9 7" xfId="32717" xr:uid="{00000000-0005-0000-0000-00000C720000}"/>
    <cellStyle name="40% - Accent5 5 9 7 2" xfId="32718" xr:uid="{00000000-0005-0000-0000-00000D720000}"/>
    <cellStyle name="40% - Accent5 5 9 8" xfId="32719" xr:uid="{00000000-0005-0000-0000-00000E720000}"/>
    <cellStyle name="40% - Accent5 5 9 8 2" xfId="32720" xr:uid="{00000000-0005-0000-0000-00000F720000}"/>
    <cellStyle name="40% - Accent5 5 9 9" xfId="32721" xr:uid="{00000000-0005-0000-0000-000010720000}"/>
    <cellStyle name="40% - Accent5 6" xfId="215" xr:uid="{00000000-0005-0000-0000-000011720000}"/>
    <cellStyle name="40% - Accent5 6 10" xfId="32722" xr:uid="{00000000-0005-0000-0000-000012720000}"/>
    <cellStyle name="40% - Accent5 6 11" xfId="32723" xr:uid="{00000000-0005-0000-0000-000013720000}"/>
    <cellStyle name="40% - Accent5 6 12" xfId="32724" xr:uid="{00000000-0005-0000-0000-000014720000}"/>
    <cellStyle name="40% - Accent5 6 2" xfId="32725" xr:uid="{00000000-0005-0000-0000-000015720000}"/>
    <cellStyle name="40% - Accent5 6 2 10" xfId="32726" xr:uid="{00000000-0005-0000-0000-000016720000}"/>
    <cellStyle name="40% - Accent5 6 2 2" xfId="32727" xr:uid="{00000000-0005-0000-0000-000017720000}"/>
    <cellStyle name="40% - Accent5 6 2 2 2" xfId="32728" xr:uid="{00000000-0005-0000-0000-000018720000}"/>
    <cellStyle name="40% - Accent5 6 2 2 2 2" xfId="32729" xr:uid="{00000000-0005-0000-0000-000019720000}"/>
    <cellStyle name="40% - Accent5 6 2 2 2 2 2" xfId="32730" xr:uid="{00000000-0005-0000-0000-00001A720000}"/>
    <cellStyle name="40% - Accent5 6 2 2 2 2 2 2" xfId="32731" xr:uid="{00000000-0005-0000-0000-00001B720000}"/>
    <cellStyle name="40% - Accent5 6 2 2 2 2 3" xfId="32732" xr:uid="{00000000-0005-0000-0000-00001C720000}"/>
    <cellStyle name="40% - Accent5 6 2 2 2 3" xfId="32733" xr:uid="{00000000-0005-0000-0000-00001D720000}"/>
    <cellStyle name="40% - Accent5 6 2 2 2 3 2" xfId="32734" xr:uid="{00000000-0005-0000-0000-00001E720000}"/>
    <cellStyle name="40% - Accent5 6 2 2 2 4" xfId="32735" xr:uid="{00000000-0005-0000-0000-00001F720000}"/>
    <cellStyle name="40% - Accent5 6 2 2 2 5" xfId="32736" xr:uid="{00000000-0005-0000-0000-000020720000}"/>
    <cellStyle name="40% - Accent5 6 2 2 2 6" xfId="32737" xr:uid="{00000000-0005-0000-0000-000021720000}"/>
    <cellStyle name="40% - Accent5 6 2 2 3" xfId="32738" xr:uid="{00000000-0005-0000-0000-000022720000}"/>
    <cellStyle name="40% - Accent5 6 2 2 3 2" xfId="32739" xr:uid="{00000000-0005-0000-0000-000023720000}"/>
    <cellStyle name="40% - Accent5 6 2 2 3 2 2" xfId="32740" xr:uid="{00000000-0005-0000-0000-000024720000}"/>
    <cellStyle name="40% - Accent5 6 2 2 3 3" xfId="32741" xr:uid="{00000000-0005-0000-0000-000025720000}"/>
    <cellStyle name="40% - Accent5 6 2 2 4" xfId="32742" xr:uid="{00000000-0005-0000-0000-000026720000}"/>
    <cellStyle name="40% - Accent5 6 2 2 4 2" xfId="32743" xr:uid="{00000000-0005-0000-0000-000027720000}"/>
    <cellStyle name="40% - Accent5 6 2 2 5" xfId="32744" xr:uid="{00000000-0005-0000-0000-000028720000}"/>
    <cellStyle name="40% - Accent5 6 2 2 6" xfId="32745" xr:uid="{00000000-0005-0000-0000-000029720000}"/>
    <cellStyle name="40% - Accent5 6 2 2 7" xfId="32746" xr:uid="{00000000-0005-0000-0000-00002A720000}"/>
    <cellStyle name="40% - Accent5 6 2 3" xfId="32747" xr:uid="{00000000-0005-0000-0000-00002B720000}"/>
    <cellStyle name="40% - Accent5 6 2 3 2" xfId="32748" xr:uid="{00000000-0005-0000-0000-00002C720000}"/>
    <cellStyle name="40% - Accent5 6 2 3 2 2" xfId="32749" xr:uid="{00000000-0005-0000-0000-00002D720000}"/>
    <cellStyle name="40% - Accent5 6 2 3 2 2 2" xfId="32750" xr:uid="{00000000-0005-0000-0000-00002E720000}"/>
    <cellStyle name="40% - Accent5 6 2 3 2 3" xfId="32751" xr:uid="{00000000-0005-0000-0000-00002F720000}"/>
    <cellStyle name="40% - Accent5 6 2 3 3" xfId="32752" xr:uid="{00000000-0005-0000-0000-000030720000}"/>
    <cellStyle name="40% - Accent5 6 2 3 3 2" xfId="32753" xr:uid="{00000000-0005-0000-0000-000031720000}"/>
    <cellStyle name="40% - Accent5 6 2 3 4" xfId="32754" xr:uid="{00000000-0005-0000-0000-000032720000}"/>
    <cellStyle name="40% - Accent5 6 2 3 5" xfId="32755" xr:uid="{00000000-0005-0000-0000-000033720000}"/>
    <cellStyle name="40% - Accent5 6 2 3 6" xfId="32756" xr:uid="{00000000-0005-0000-0000-000034720000}"/>
    <cellStyle name="40% - Accent5 6 2 4" xfId="32757" xr:uid="{00000000-0005-0000-0000-000035720000}"/>
    <cellStyle name="40% - Accent5 6 2 4 2" xfId="32758" xr:uid="{00000000-0005-0000-0000-000036720000}"/>
    <cellStyle name="40% - Accent5 6 2 4 2 2" xfId="32759" xr:uid="{00000000-0005-0000-0000-000037720000}"/>
    <cellStyle name="40% - Accent5 6 2 4 3" xfId="32760" xr:uid="{00000000-0005-0000-0000-000038720000}"/>
    <cellStyle name="40% - Accent5 6 2 5" xfId="32761" xr:uid="{00000000-0005-0000-0000-000039720000}"/>
    <cellStyle name="40% - Accent5 6 2 5 2" xfId="32762" xr:uid="{00000000-0005-0000-0000-00003A720000}"/>
    <cellStyle name="40% - Accent5 6 2 5 2 2" xfId="32763" xr:uid="{00000000-0005-0000-0000-00003B720000}"/>
    <cellStyle name="40% - Accent5 6 2 5 3" xfId="32764" xr:uid="{00000000-0005-0000-0000-00003C720000}"/>
    <cellStyle name="40% - Accent5 6 2 6" xfId="32765" xr:uid="{00000000-0005-0000-0000-00003D720000}"/>
    <cellStyle name="40% - Accent5 6 2 6 2" xfId="32766" xr:uid="{00000000-0005-0000-0000-00003E720000}"/>
    <cellStyle name="40% - Accent5 6 2 7" xfId="32767" xr:uid="{00000000-0005-0000-0000-00003F720000}"/>
    <cellStyle name="40% - Accent5 6 2 7 2" xfId="32768" xr:uid="{00000000-0005-0000-0000-000040720000}"/>
    <cellStyle name="40% - Accent5 6 2 8" xfId="32769" xr:uid="{00000000-0005-0000-0000-000041720000}"/>
    <cellStyle name="40% - Accent5 6 2 9" xfId="32770" xr:uid="{00000000-0005-0000-0000-000042720000}"/>
    <cellStyle name="40% - Accent5 6 3" xfId="32771" xr:uid="{00000000-0005-0000-0000-000043720000}"/>
    <cellStyle name="40% - Accent5 6 3 2" xfId="32772" xr:uid="{00000000-0005-0000-0000-000044720000}"/>
    <cellStyle name="40% - Accent5 6 3 2 2" xfId="32773" xr:uid="{00000000-0005-0000-0000-000045720000}"/>
    <cellStyle name="40% - Accent5 6 3 2 2 2" xfId="32774" xr:uid="{00000000-0005-0000-0000-000046720000}"/>
    <cellStyle name="40% - Accent5 6 3 2 2 2 2" xfId="32775" xr:uid="{00000000-0005-0000-0000-000047720000}"/>
    <cellStyle name="40% - Accent5 6 3 2 2 3" xfId="32776" xr:uid="{00000000-0005-0000-0000-000048720000}"/>
    <cellStyle name="40% - Accent5 6 3 2 3" xfId="32777" xr:uid="{00000000-0005-0000-0000-000049720000}"/>
    <cellStyle name="40% - Accent5 6 3 2 3 2" xfId="32778" xr:uid="{00000000-0005-0000-0000-00004A720000}"/>
    <cellStyle name="40% - Accent5 6 3 2 4" xfId="32779" xr:uid="{00000000-0005-0000-0000-00004B720000}"/>
    <cellStyle name="40% - Accent5 6 3 2 5" xfId="32780" xr:uid="{00000000-0005-0000-0000-00004C720000}"/>
    <cellStyle name="40% - Accent5 6 3 2 6" xfId="32781" xr:uid="{00000000-0005-0000-0000-00004D720000}"/>
    <cellStyle name="40% - Accent5 6 3 3" xfId="32782" xr:uid="{00000000-0005-0000-0000-00004E720000}"/>
    <cellStyle name="40% - Accent5 6 3 3 2" xfId="32783" xr:uid="{00000000-0005-0000-0000-00004F720000}"/>
    <cellStyle name="40% - Accent5 6 3 3 2 2" xfId="32784" xr:uid="{00000000-0005-0000-0000-000050720000}"/>
    <cellStyle name="40% - Accent5 6 3 3 3" xfId="32785" xr:uid="{00000000-0005-0000-0000-000051720000}"/>
    <cellStyle name="40% - Accent5 6 3 4" xfId="32786" xr:uid="{00000000-0005-0000-0000-000052720000}"/>
    <cellStyle name="40% - Accent5 6 3 4 2" xfId="32787" xr:uid="{00000000-0005-0000-0000-000053720000}"/>
    <cellStyle name="40% - Accent5 6 3 5" xfId="32788" xr:uid="{00000000-0005-0000-0000-000054720000}"/>
    <cellStyle name="40% - Accent5 6 3 6" xfId="32789" xr:uid="{00000000-0005-0000-0000-000055720000}"/>
    <cellStyle name="40% - Accent5 6 3 7" xfId="32790" xr:uid="{00000000-0005-0000-0000-000056720000}"/>
    <cellStyle name="40% - Accent5 6 4" xfId="32791" xr:uid="{00000000-0005-0000-0000-000057720000}"/>
    <cellStyle name="40% - Accent5 6 4 2" xfId="32792" xr:uid="{00000000-0005-0000-0000-000058720000}"/>
    <cellStyle name="40% - Accent5 6 4 2 2" xfId="32793" xr:uid="{00000000-0005-0000-0000-000059720000}"/>
    <cellStyle name="40% - Accent5 6 4 2 2 2" xfId="32794" xr:uid="{00000000-0005-0000-0000-00005A720000}"/>
    <cellStyle name="40% - Accent5 6 4 2 2 2 2" xfId="32795" xr:uid="{00000000-0005-0000-0000-00005B720000}"/>
    <cellStyle name="40% - Accent5 6 4 2 2 3" xfId="32796" xr:uid="{00000000-0005-0000-0000-00005C720000}"/>
    <cellStyle name="40% - Accent5 6 4 2 3" xfId="32797" xr:uid="{00000000-0005-0000-0000-00005D720000}"/>
    <cellStyle name="40% - Accent5 6 4 2 3 2" xfId="32798" xr:uid="{00000000-0005-0000-0000-00005E720000}"/>
    <cellStyle name="40% - Accent5 6 4 2 4" xfId="32799" xr:uid="{00000000-0005-0000-0000-00005F720000}"/>
    <cellStyle name="40% - Accent5 6 4 2 5" xfId="32800" xr:uid="{00000000-0005-0000-0000-000060720000}"/>
    <cellStyle name="40% - Accent5 6 4 2 6" xfId="32801" xr:uid="{00000000-0005-0000-0000-000061720000}"/>
    <cellStyle name="40% - Accent5 6 4 3" xfId="32802" xr:uid="{00000000-0005-0000-0000-000062720000}"/>
    <cellStyle name="40% - Accent5 6 4 3 2" xfId="32803" xr:uid="{00000000-0005-0000-0000-000063720000}"/>
    <cellStyle name="40% - Accent5 6 4 3 2 2" xfId="32804" xr:uid="{00000000-0005-0000-0000-000064720000}"/>
    <cellStyle name="40% - Accent5 6 4 3 3" xfId="32805" xr:uid="{00000000-0005-0000-0000-000065720000}"/>
    <cellStyle name="40% - Accent5 6 4 4" xfId="32806" xr:uid="{00000000-0005-0000-0000-000066720000}"/>
    <cellStyle name="40% - Accent5 6 4 4 2" xfId="32807" xr:uid="{00000000-0005-0000-0000-000067720000}"/>
    <cellStyle name="40% - Accent5 6 4 5" xfId="32808" xr:uid="{00000000-0005-0000-0000-000068720000}"/>
    <cellStyle name="40% - Accent5 6 4 6" xfId="32809" xr:uid="{00000000-0005-0000-0000-000069720000}"/>
    <cellStyle name="40% - Accent5 6 4 7" xfId="32810" xr:uid="{00000000-0005-0000-0000-00006A720000}"/>
    <cellStyle name="40% - Accent5 6 5" xfId="32811" xr:uid="{00000000-0005-0000-0000-00006B720000}"/>
    <cellStyle name="40% - Accent5 6 5 2" xfId="32812" xr:uid="{00000000-0005-0000-0000-00006C720000}"/>
    <cellStyle name="40% - Accent5 6 5 2 2" xfId="32813" xr:uid="{00000000-0005-0000-0000-00006D720000}"/>
    <cellStyle name="40% - Accent5 6 5 2 2 2" xfId="32814" xr:uid="{00000000-0005-0000-0000-00006E720000}"/>
    <cellStyle name="40% - Accent5 6 5 2 3" xfId="32815" xr:uid="{00000000-0005-0000-0000-00006F720000}"/>
    <cellStyle name="40% - Accent5 6 5 3" xfId="32816" xr:uid="{00000000-0005-0000-0000-000070720000}"/>
    <cellStyle name="40% - Accent5 6 5 3 2" xfId="32817" xr:uid="{00000000-0005-0000-0000-000071720000}"/>
    <cellStyle name="40% - Accent5 6 5 4" xfId="32818" xr:uid="{00000000-0005-0000-0000-000072720000}"/>
    <cellStyle name="40% - Accent5 6 5 5" xfId="32819" xr:uid="{00000000-0005-0000-0000-000073720000}"/>
    <cellStyle name="40% - Accent5 6 5 6" xfId="32820" xr:uid="{00000000-0005-0000-0000-000074720000}"/>
    <cellStyle name="40% - Accent5 6 6" xfId="32821" xr:uid="{00000000-0005-0000-0000-000075720000}"/>
    <cellStyle name="40% - Accent5 6 6 2" xfId="32822" xr:uid="{00000000-0005-0000-0000-000076720000}"/>
    <cellStyle name="40% - Accent5 6 6 2 2" xfId="32823" xr:uid="{00000000-0005-0000-0000-000077720000}"/>
    <cellStyle name="40% - Accent5 6 6 3" xfId="32824" xr:uid="{00000000-0005-0000-0000-000078720000}"/>
    <cellStyle name="40% - Accent5 6 7" xfId="32825" xr:uid="{00000000-0005-0000-0000-000079720000}"/>
    <cellStyle name="40% - Accent5 6 7 2" xfId="32826" xr:uid="{00000000-0005-0000-0000-00007A720000}"/>
    <cellStyle name="40% - Accent5 6 7 2 2" xfId="32827" xr:uid="{00000000-0005-0000-0000-00007B720000}"/>
    <cellStyle name="40% - Accent5 6 7 3" xfId="32828" xr:uid="{00000000-0005-0000-0000-00007C720000}"/>
    <cellStyle name="40% - Accent5 6 8" xfId="32829" xr:uid="{00000000-0005-0000-0000-00007D720000}"/>
    <cellStyle name="40% - Accent5 6 8 2" xfId="32830" xr:uid="{00000000-0005-0000-0000-00007E720000}"/>
    <cellStyle name="40% - Accent5 6 9" xfId="32831" xr:uid="{00000000-0005-0000-0000-00007F720000}"/>
    <cellStyle name="40% - Accent5 6 9 2" xfId="32832" xr:uid="{00000000-0005-0000-0000-000080720000}"/>
    <cellStyle name="40% - Accent5 7" xfId="32833" xr:uid="{00000000-0005-0000-0000-000081720000}"/>
    <cellStyle name="40% - Accent5 7 10" xfId="32834" xr:uid="{00000000-0005-0000-0000-000082720000}"/>
    <cellStyle name="40% - Accent5 7 11" xfId="32835" xr:uid="{00000000-0005-0000-0000-000083720000}"/>
    <cellStyle name="40% - Accent5 7 12" xfId="32836" xr:uid="{00000000-0005-0000-0000-000084720000}"/>
    <cellStyle name="40% - Accent5 7 2" xfId="32837" xr:uid="{00000000-0005-0000-0000-000085720000}"/>
    <cellStyle name="40% - Accent5 7 2 10" xfId="32838" xr:uid="{00000000-0005-0000-0000-000086720000}"/>
    <cellStyle name="40% - Accent5 7 2 2" xfId="32839" xr:uid="{00000000-0005-0000-0000-000087720000}"/>
    <cellStyle name="40% - Accent5 7 2 2 2" xfId="32840" xr:uid="{00000000-0005-0000-0000-000088720000}"/>
    <cellStyle name="40% - Accent5 7 2 2 2 2" xfId="32841" xr:uid="{00000000-0005-0000-0000-000089720000}"/>
    <cellStyle name="40% - Accent5 7 2 2 2 2 2" xfId="32842" xr:uid="{00000000-0005-0000-0000-00008A720000}"/>
    <cellStyle name="40% - Accent5 7 2 2 2 2 2 2" xfId="32843" xr:uid="{00000000-0005-0000-0000-00008B720000}"/>
    <cellStyle name="40% - Accent5 7 2 2 2 2 3" xfId="32844" xr:uid="{00000000-0005-0000-0000-00008C720000}"/>
    <cellStyle name="40% - Accent5 7 2 2 2 3" xfId="32845" xr:uid="{00000000-0005-0000-0000-00008D720000}"/>
    <cellStyle name="40% - Accent5 7 2 2 2 3 2" xfId="32846" xr:uid="{00000000-0005-0000-0000-00008E720000}"/>
    <cellStyle name="40% - Accent5 7 2 2 2 4" xfId="32847" xr:uid="{00000000-0005-0000-0000-00008F720000}"/>
    <cellStyle name="40% - Accent5 7 2 2 2 5" xfId="32848" xr:uid="{00000000-0005-0000-0000-000090720000}"/>
    <cellStyle name="40% - Accent5 7 2 2 2 6" xfId="32849" xr:uid="{00000000-0005-0000-0000-000091720000}"/>
    <cellStyle name="40% - Accent5 7 2 2 3" xfId="32850" xr:uid="{00000000-0005-0000-0000-000092720000}"/>
    <cellStyle name="40% - Accent5 7 2 2 3 2" xfId="32851" xr:uid="{00000000-0005-0000-0000-000093720000}"/>
    <cellStyle name="40% - Accent5 7 2 2 3 2 2" xfId="32852" xr:uid="{00000000-0005-0000-0000-000094720000}"/>
    <cellStyle name="40% - Accent5 7 2 2 3 3" xfId="32853" xr:uid="{00000000-0005-0000-0000-000095720000}"/>
    <cellStyle name="40% - Accent5 7 2 2 4" xfId="32854" xr:uid="{00000000-0005-0000-0000-000096720000}"/>
    <cellStyle name="40% - Accent5 7 2 2 4 2" xfId="32855" xr:uid="{00000000-0005-0000-0000-000097720000}"/>
    <cellStyle name="40% - Accent5 7 2 2 5" xfId="32856" xr:uid="{00000000-0005-0000-0000-000098720000}"/>
    <cellStyle name="40% - Accent5 7 2 2 6" xfId="32857" xr:uid="{00000000-0005-0000-0000-000099720000}"/>
    <cellStyle name="40% - Accent5 7 2 2 7" xfId="32858" xr:uid="{00000000-0005-0000-0000-00009A720000}"/>
    <cellStyle name="40% - Accent5 7 2 3" xfId="32859" xr:uid="{00000000-0005-0000-0000-00009B720000}"/>
    <cellStyle name="40% - Accent5 7 2 3 2" xfId="32860" xr:uid="{00000000-0005-0000-0000-00009C720000}"/>
    <cellStyle name="40% - Accent5 7 2 3 2 2" xfId="32861" xr:uid="{00000000-0005-0000-0000-00009D720000}"/>
    <cellStyle name="40% - Accent5 7 2 3 2 2 2" xfId="32862" xr:uid="{00000000-0005-0000-0000-00009E720000}"/>
    <cellStyle name="40% - Accent5 7 2 3 2 3" xfId="32863" xr:uid="{00000000-0005-0000-0000-00009F720000}"/>
    <cellStyle name="40% - Accent5 7 2 3 3" xfId="32864" xr:uid="{00000000-0005-0000-0000-0000A0720000}"/>
    <cellStyle name="40% - Accent5 7 2 3 3 2" xfId="32865" xr:uid="{00000000-0005-0000-0000-0000A1720000}"/>
    <cellStyle name="40% - Accent5 7 2 3 4" xfId="32866" xr:uid="{00000000-0005-0000-0000-0000A2720000}"/>
    <cellStyle name="40% - Accent5 7 2 3 5" xfId="32867" xr:uid="{00000000-0005-0000-0000-0000A3720000}"/>
    <cellStyle name="40% - Accent5 7 2 3 6" xfId="32868" xr:uid="{00000000-0005-0000-0000-0000A4720000}"/>
    <cellStyle name="40% - Accent5 7 2 4" xfId="32869" xr:uid="{00000000-0005-0000-0000-0000A5720000}"/>
    <cellStyle name="40% - Accent5 7 2 4 2" xfId="32870" xr:uid="{00000000-0005-0000-0000-0000A6720000}"/>
    <cellStyle name="40% - Accent5 7 2 4 2 2" xfId="32871" xr:uid="{00000000-0005-0000-0000-0000A7720000}"/>
    <cellStyle name="40% - Accent5 7 2 4 3" xfId="32872" xr:uid="{00000000-0005-0000-0000-0000A8720000}"/>
    <cellStyle name="40% - Accent5 7 2 5" xfId="32873" xr:uid="{00000000-0005-0000-0000-0000A9720000}"/>
    <cellStyle name="40% - Accent5 7 2 5 2" xfId="32874" xr:uid="{00000000-0005-0000-0000-0000AA720000}"/>
    <cellStyle name="40% - Accent5 7 2 5 2 2" xfId="32875" xr:uid="{00000000-0005-0000-0000-0000AB720000}"/>
    <cellStyle name="40% - Accent5 7 2 5 3" xfId="32876" xr:uid="{00000000-0005-0000-0000-0000AC720000}"/>
    <cellStyle name="40% - Accent5 7 2 6" xfId="32877" xr:uid="{00000000-0005-0000-0000-0000AD720000}"/>
    <cellStyle name="40% - Accent5 7 2 6 2" xfId="32878" xr:uid="{00000000-0005-0000-0000-0000AE720000}"/>
    <cellStyle name="40% - Accent5 7 2 7" xfId="32879" xr:uid="{00000000-0005-0000-0000-0000AF720000}"/>
    <cellStyle name="40% - Accent5 7 2 7 2" xfId="32880" xr:uid="{00000000-0005-0000-0000-0000B0720000}"/>
    <cellStyle name="40% - Accent5 7 2 8" xfId="32881" xr:uid="{00000000-0005-0000-0000-0000B1720000}"/>
    <cellStyle name="40% - Accent5 7 2 9" xfId="32882" xr:uid="{00000000-0005-0000-0000-0000B2720000}"/>
    <cellStyle name="40% - Accent5 7 3" xfId="32883" xr:uid="{00000000-0005-0000-0000-0000B3720000}"/>
    <cellStyle name="40% - Accent5 7 3 2" xfId="32884" xr:uid="{00000000-0005-0000-0000-0000B4720000}"/>
    <cellStyle name="40% - Accent5 7 3 2 2" xfId="32885" xr:uid="{00000000-0005-0000-0000-0000B5720000}"/>
    <cellStyle name="40% - Accent5 7 3 2 2 2" xfId="32886" xr:uid="{00000000-0005-0000-0000-0000B6720000}"/>
    <cellStyle name="40% - Accent5 7 3 2 2 2 2" xfId="32887" xr:uid="{00000000-0005-0000-0000-0000B7720000}"/>
    <cellStyle name="40% - Accent5 7 3 2 2 3" xfId="32888" xr:uid="{00000000-0005-0000-0000-0000B8720000}"/>
    <cellStyle name="40% - Accent5 7 3 2 3" xfId="32889" xr:uid="{00000000-0005-0000-0000-0000B9720000}"/>
    <cellStyle name="40% - Accent5 7 3 2 3 2" xfId="32890" xr:uid="{00000000-0005-0000-0000-0000BA720000}"/>
    <cellStyle name="40% - Accent5 7 3 2 4" xfId="32891" xr:uid="{00000000-0005-0000-0000-0000BB720000}"/>
    <cellStyle name="40% - Accent5 7 3 2 5" xfId="32892" xr:uid="{00000000-0005-0000-0000-0000BC720000}"/>
    <cellStyle name="40% - Accent5 7 3 2 6" xfId="32893" xr:uid="{00000000-0005-0000-0000-0000BD720000}"/>
    <cellStyle name="40% - Accent5 7 3 3" xfId="32894" xr:uid="{00000000-0005-0000-0000-0000BE720000}"/>
    <cellStyle name="40% - Accent5 7 3 3 2" xfId="32895" xr:uid="{00000000-0005-0000-0000-0000BF720000}"/>
    <cellStyle name="40% - Accent5 7 3 3 2 2" xfId="32896" xr:uid="{00000000-0005-0000-0000-0000C0720000}"/>
    <cellStyle name="40% - Accent5 7 3 3 3" xfId="32897" xr:uid="{00000000-0005-0000-0000-0000C1720000}"/>
    <cellStyle name="40% - Accent5 7 3 4" xfId="32898" xr:uid="{00000000-0005-0000-0000-0000C2720000}"/>
    <cellStyle name="40% - Accent5 7 3 4 2" xfId="32899" xr:uid="{00000000-0005-0000-0000-0000C3720000}"/>
    <cellStyle name="40% - Accent5 7 3 5" xfId="32900" xr:uid="{00000000-0005-0000-0000-0000C4720000}"/>
    <cellStyle name="40% - Accent5 7 3 6" xfId="32901" xr:uid="{00000000-0005-0000-0000-0000C5720000}"/>
    <cellStyle name="40% - Accent5 7 3 7" xfId="32902" xr:uid="{00000000-0005-0000-0000-0000C6720000}"/>
    <cellStyle name="40% - Accent5 7 4" xfId="32903" xr:uid="{00000000-0005-0000-0000-0000C7720000}"/>
    <cellStyle name="40% - Accent5 7 4 2" xfId="32904" xr:uid="{00000000-0005-0000-0000-0000C8720000}"/>
    <cellStyle name="40% - Accent5 7 4 2 2" xfId="32905" xr:uid="{00000000-0005-0000-0000-0000C9720000}"/>
    <cellStyle name="40% - Accent5 7 4 2 2 2" xfId="32906" xr:uid="{00000000-0005-0000-0000-0000CA720000}"/>
    <cellStyle name="40% - Accent5 7 4 2 2 2 2" xfId="32907" xr:uid="{00000000-0005-0000-0000-0000CB720000}"/>
    <cellStyle name="40% - Accent5 7 4 2 2 3" xfId="32908" xr:uid="{00000000-0005-0000-0000-0000CC720000}"/>
    <cellStyle name="40% - Accent5 7 4 2 3" xfId="32909" xr:uid="{00000000-0005-0000-0000-0000CD720000}"/>
    <cellStyle name="40% - Accent5 7 4 2 3 2" xfId="32910" xr:uid="{00000000-0005-0000-0000-0000CE720000}"/>
    <cellStyle name="40% - Accent5 7 4 2 4" xfId="32911" xr:uid="{00000000-0005-0000-0000-0000CF720000}"/>
    <cellStyle name="40% - Accent5 7 4 2 5" xfId="32912" xr:uid="{00000000-0005-0000-0000-0000D0720000}"/>
    <cellStyle name="40% - Accent5 7 4 2 6" xfId="32913" xr:uid="{00000000-0005-0000-0000-0000D1720000}"/>
    <cellStyle name="40% - Accent5 7 4 3" xfId="32914" xr:uid="{00000000-0005-0000-0000-0000D2720000}"/>
    <cellStyle name="40% - Accent5 7 4 3 2" xfId="32915" xr:uid="{00000000-0005-0000-0000-0000D3720000}"/>
    <cellStyle name="40% - Accent5 7 4 3 2 2" xfId="32916" xr:uid="{00000000-0005-0000-0000-0000D4720000}"/>
    <cellStyle name="40% - Accent5 7 4 3 3" xfId="32917" xr:uid="{00000000-0005-0000-0000-0000D5720000}"/>
    <cellStyle name="40% - Accent5 7 4 4" xfId="32918" xr:uid="{00000000-0005-0000-0000-0000D6720000}"/>
    <cellStyle name="40% - Accent5 7 4 4 2" xfId="32919" xr:uid="{00000000-0005-0000-0000-0000D7720000}"/>
    <cellStyle name="40% - Accent5 7 4 5" xfId="32920" xr:uid="{00000000-0005-0000-0000-0000D8720000}"/>
    <cellStyle name="40% - Accent5 7 4 6" xfId="32921" xr:uid="{00000000-0005-0000-0000-0000D9720000}"/>
    <cellStyle name="40% - Accent5 7 4 7" xfId="32922" xr:uid="{00000000-0005-0000-0000-0000DA720000}"/>
    <cellStyle name="40% - Accent5 7 5" xfId="32923" xr:uid="{00000000-0005-0000-0000-0000DB720000}"/>
    <cellStyle name="40% - Accent5 7 5 2" xfId="32924" xr:uid="{00000000-0005-0000-0000-0000DC720000}"/>
    <cellStyle name="40% - Accent5 7 5 2 2" xfId="32925" xr:uid="{00000000-0005-0000-0000-0000DD720000}"/>
    <cellStyle name="40% - Accent5 7 5 2 2 2" xfId="32926" xr:uid="{00000000-0005-0000-0000-0000DE720000}"/>
    <cellStyle name="40% - Accent5 7 5 2 3" xfId="32927" xr:uid="{00000000-0005-0000-0000-0000DF720000}"/>
    <cellStyle name="40% - Accent5 7 5 3" xfId="32928" xr:uid="{00000000-0005-0000-0000-0000E0720000}"/>
    <cellStyle name="40% - Accent5 7 5 3 2" xfId="32929" xr:uid="{00000000-0005-0000-0000-0000E1720000}"/>
    <cellStyle name="40% - Accent5 7 5 4" xfId="32930" xr:uid="{00000000-0005-0000-0000-0000E2720000}"/>
    <cellStyle name="40% - Accent5 7 5 5" xfId="32931" xr:uid="{00000000-0005-0000-0000-0000E3720000}"/>
    <cellStyle name="40% - Accent5 7 5 6" xfId="32932" xr:uid="{00000000-0005-0000-0000-0000E4720000}"/>
    <cellStyle name="40% - Accent5 7 6" xfId="32933" xr:uid="{00000000-0005-0000-0000-0000E5720000}"/>
    <cellStyle name="40% - Accent5 7 6 2" xfId="32934" xr:uid="{00000000-0005-0000-0000-0000E6720000}"/>
    <cellStyle name="40% - Accent5 7 6 2 2" xfId="32935" xr:uid="{00000000-0005-0000-0000-0000E7720000}"/>
    <cellStyle name="40% - Accent5 7 6 3" xfId="32936" xr:uid="{00000000-0005-0000-0000-0000E8720000}"/>
    <cellStyle name="40% - Accent5 7 7" xfId="32937" xr:uid="{00000000-0005-0000-0000-0000E9720000}"/>
    <cellStyle name="40% - Accent5 7 7 2" xfId="32938" xr:uid="{00000000-0005-0000-0000-0000EA720000}"/>
    <cellStyle name="40% - Accent5 7 7 2 2" xfId="32939" xr:uid="{00000000-0005-0000-0000-0000EB720000}"/>
    <cellStyle name="40% - Accent5 7 7 3" xfId="32940" xr:uid="{00000000-0005-0000-0000-0000EC720000}"/>
    <cellStyle name="40% - Accent5 7 8" xfId="32941" xr:uid="{00000000-0005-0000-0000-0000ED720000}"/>
    <cellStyle name="40% - Accent5 7 8 2" xfId="32942" xr:uid="{00000000-0005-0000-0000-0000EE720000}"/>
    <cellStyle name="40% - Accent5 7 9" xfId="32943" xr:uid="{00000000-0005-0000-0000-0000EF720000}"/>
    <cellStyle name="40% - Accent5 7 9 2" xfId="32944" xr:uid="{00000000-0005-0000-0000-0000F0720000}"/>
    <cellStyle name="40% - Accent5 8" xfId="32945" xr:uid="{00000000-0005-0000-0000-0000F1720000}"/>
    <cellStyle name="40% - Accent5 8 10" xfId="32946" xr:uid="{00000000-0005-0000-0000-0000F2720000}"/>
    <cellStyle name="40% - Accent5 8 11" xfId="32947" xr:uid="{00000000-0005-0000-0000-0000F3720000}"/>
    <cellStyle name="40% - Accent5 8 12" xfId="32948" xr:uid="{00000000-0005-0000-0000-0000F4720000}"/>
    <cellStyle name="40% - Accent5 8 2" xfId="32949" xr:uid="{00000000-0005-0000-0000-0000F5720000}"/>
    <cellStyle name="40% - Accent5 8 2 10" xfId="32950" xr:uid="{00000000-0005-0000-0000-0000F6720000}"/>
    <cellStyle name="40% - Accent5 8 2 2" xfId="32951" xr:uid="{00000000-0005-0000-0000-0000F7720000}"/>
    <cellStyle name="40% - Accent5 8 2 2 2" xfId="32952" xr:uid="{00000000-0005-0000-0000-0000F8720000}"/>
    <cellStyle name="40% - Accent5 8 2 2 2 2" xfId="32953" xr:uid="{00000000-0005-0000-0000-0000F9720000}"/>
    <cellStyle name="40% - Accent5 8 2 2 2 2 2" xfId="32954" xr:uid="{00000000-0005-0000-0000-0000FA720000}"/>
    <cellStyle name="40% - Accent5 8 2 2 2 2 2 2" xfId="32955" xr:uid="{00000000-0005-0000-0000-0000FB720000}"/>
    <cellStyle name="40% - Accent5 8 2 2 2 2 3" xfId="32956" xr:uid="{00000000-0005-0000-0000-0000FC720000}"/>
    <cellStyle name="40% - Accent5 8 2 2 2 3" xfId="32957" xr:uid="{00000000-0005-0000-0000-0000FD720000}"/>
    <cellStyle name="40% - Accent5 8 2 2 2 3 2" xfId="32958" xr:uid="{00000000-0005-0000-0000-0000FE720000}"/>
    <cellStyle name="40% - Accent5 8 2 2 2 4" xfId="32959" xr:uid="{00000000-0005-0000-0000-0000FF720000}"/>
    <cellStyle name="40% - Accent5 8 2 2 2 5" xfId="32960" xr:uid="{00000000-0005-0000-0000-000000730000}"/>
    <cellStyle name="40% - Accent5 8 2 2 2 6" xfId="32961" xr:uid="{00000000-0005-0000-0000-000001730000}"/>
    <cellStyle name="40% - Accent5 8 2 2 3" xfId="32962" xr:uid="{00000000-0005-0000-0000-000002730000}"/>
    <cellStyle name="40% - Accent5 8 2 2 3 2" xfId="32963" xr:uid="{00000000-0005-0000-0000-000003730000}"/>
    <cellStyle name="40% - Accent5 8 2 2 3 2 2" xfId="32964" xr:uid="{00000000-0005-0000-0000-000004730000}"/>
    <cellStyle name="40% - Accent5 8 2 2 3 3" xfId="32965" xr:uid="{00000000-0005-0000-0000-000005730000}"/>
    <cellStyle name="40% - Accent5 8 2 2 4" xfId="32966" xr:uid="{00000000-0005-0000-0000-000006730000}"/>
    <cellStyle name="40% - Accent5 8 2 2 4 2" xfId="32967" xr:uid="{00000000-0005-0000-0000-000007730000}"/>
    <cellStyle name="40% - Accent5 8 2 2 5" xfId="32968" xr:uid="{00000000-0005-0000-0000-000008730000}"/>
    <cellStyle name="40% - Accent5 8 2 2 6" xfId="32969" xr:uid="{00000000-0005-0000-0000-000009730000}"/>
    <cellStyle name="40% - Accent5 8 2 2 7" xfId="32970" xr:uid="{00000000-0005-0000-0000-00000A730000}"/>
    <cellStyle name="40% - Accent5 8 2 3" xfId="32971" xr:uid="{00000000-0005-0000-0000-00000B730000}"/>
    <cellStyle name="40% - Accent5 8 2 3 2" xfId="32972" xr:uid="{00000000-0005-0000-0000-00000C730000}"/>
    <cellStyle name="40% - Accent5 8 2 3 2 2" xfId="32973" xr:uid="{00000000-0005-0000-0000-00000D730000}"/>
    <cellStyle name="40% - Accent5 8 2 3 2 2 2" xfId="32974" xr:uid="{00000000-0005-0000-0000-00000E730000}"/>
    <cellStyle name="40% - Accent5 8 2 3 2 3" xfId="32975" xr:uid="{00000000-0005-0000-0000-00000F730000}"/>
    <cellStyle name="40% - Accent5 8 2 3 3" xfId="32976" xr:uid="{00000000-0005-0000-0000-000010730000}"/>
    <cellStyle name="40% - Accent5 8 2 3 3 2" xfId="32977" xr:uid="{00000000-0005-0000-0000-000011730000}"/>
    <cellStyle name="40% - Accent5 8 2 3 4" xfId="32978" xr:uid="{00000000-0005-0000-0000-000012730000}"/>
    <cellStyle name="40% - Accent5 8 2 3 5" xfId="32979" xr:uid="{00000000-0005-0000-0000-000013730000}"/>
    <cellStyle name="40% - Accent5 8 2 3 6" xfId="32980" xr:uid="{00000000-0005-0000-0000-000014730000}"/>
    <cellStyle name="40% - Accent5 8 2 4" xfId="32981" xr:uid="{00000000-0005-0000-0000-000015730000}"/>
    <cellStyle name="40% - Accent5 8 2 4 2" xfId="32982" xr:uid="{00000000-0005-0000-0000-000016730000}"/>
    <cellStyle name="40% - Accent5 8 2 4 2 2" xfId="32983" xr:uid="{00000000-0005-0000-0000-000017730000}"/>
    <cellStyle name="40% - Accent5 8 2 4 3" xfId="32984" xr:uid="{00000000-0005-0000-0000-000018730000}"/>
    <cellStyle name="40% - Accent5 8 2 5" xfId="32985" xr:uid="{00000000-0005-0000-0000-000019730000}"/>
    <cellStyle name="40% - Accent5 8 2 5 2" xfId="32986" xr:uid="{00000000-0005-0000-0000-00001A730000}"/>
    <cellStyle name="40% - Accent5 8 2 5 2 2" xfId="32987" xr:uid="{00000000-0005-0000-0000-00001B730000}"/>
    <cellStyle name="40% - Accent5 8 2 5 3" xfId="32988" xr:uid="{00000000-0005-0000-0000-00001C730000}"/>
    <cellStyle name="40% - Accent5 8 2 6" xfId="32989" xr:uid="{00000000-0005-0000-0000-00001D730000}"/>
    <cellStyle name="40% - Accent5 8 2 6 2" xfId="32990" xr:uid="{00000000-0005-0000-0000-00001E730000}"/>
    <cellStyle name="40% - Accent5 8 2 7" xfId="32991" xr:uid="{00000000-0005-0000-0000-00001F730000}"/>
    <cellStyle name="40% - Accent5 8 2 7 2" xfId="32992" xr:uid="{00000000-0005-0000-0000-000020730000}"/>
    <cellStyle name="40% - Accent5 8 2 8" xfId="32993" xr:uid="{00000000-0005-0000-0000-000021730000}"/>
    <cellStyle name="40% - Accent5 8 2 9" xfId="32994" xr:uid="{00000000-0005-0000-0000-000022730000}"/>
    <cellStyle name="40% - Accent5 8 3" xfId="32995" xr:uid="{00000000-0005-0000-0000-000023730000}"/>
    <cellStyle name="40% - Accent5 8 3 2" xfId="32996" xr:uid="{00000000-0005-0000-0000-000024730000}"/>
    <cellStyle name="40% - Accent5 8 3 2 2" xfId="32997" xr:uid="{00000000-0005-0000-0000-000025730000}"/>
    <cellStyle name="40% - Accent5 8 3 2 2 2" xfId="32998" xr:uid="{00000000-0005-0000-0000-000026730000}"/>
    <cellStyle name="40% - Accent5 8 3 2 2 2 2" xfId="32999" xr:uid="{00000000-0005-0000-0000-000027730000}"/>
    <cellStyle name="40% - Accent5 8 3 2 2 3" xfId="33000" xr:uid="{00000000-0005-0000-0000-000028730000}"/>
    <cellStyle name="40% - Accent5 8 3 2 3" xfId="33001" xr:uid="{00000000-0005-0000-0000-000029730000}"/>
    <cellStyle name="40% - Accent5 8 3 2 3 2" xfId="33002" xr:uid="{00000000-0005-0000-0000-00002A730000}"/>
    <cellStyle name="40% - Accent5 8 3 2 4" xfId="33003" xr:uid="{00000000-0005-0000-0000-00002B730000}"/>
    <cellStyle name="40% - Accent5 8 3 2 5" xfId="33004" xr:uid="{00000000-0005-0000-0000-00002C730000}"/>
    <cellStyle name="40% - Accent5 8 3 2 6" xfId="33005" xr:uid="{00000000-0005-0000-0000-00002D730000}"/>
    <cellStyle name="40% - Accent5 8 3 3" xfId="33006" xr:uid="{00000000-0005-0000-0000-00002E730000}"/>
    <cellStyle name="40% - Accent5 8 3 3 2" xfId="33007" xr:uid="{00000000-0005-0000-0000-00002F730000}"/>
    <cellStyle name="40% - Accent5 8 3 3 2 2" xfId="33008" xr:uid="{00000000-0005-0000-0000-000030730000}"/>
    <cellStyle name="40% - Accent5 8 3 3 3" xfId="33009" xr:uid="{00000000-0005-0000-0000-000031730000}"/>
    <cellStyle name="40% - Accent5 8 3 4" xfId="33010" xr:uid="{00000000-0005-0000-0000-000032730000}"/>
    <cellStyle name="40% - Accent5 8 3 4 2" xfId="33011" xr:uid="{00000000-0005-0000-0000-000033730000}"/>
    <cellStyle name="40% - Accent5 8 3 5" xfId="33012" xr:uid="{00000000-0005-0000-0000-000034730000}"/>
    <cellStyle name="40% - Accent5 8 3 6" xfId="33013" xr:uid="{00000000-0005-0000-0000-000035730000}"/>
    <cellStyle name="40% - Accent5 8 3 7" xfId="33014" xr:uid="{00000000-0005-0000-0000-000036730000}"/>
    <cellStyle name="40% - Accent5 8 4" xfId="33015" xr:uid="{00000000-0005-0000-0000-000037730000}"/>
    <cellStyle name="40% - Accent5 8 4 2" xfId="33016" xr:uid="{00000000-0005-0000-0000-000038730000}"/>
    <cellStyle name="40% - Accent5 8 4 2 2" xfId="33017" xr:uid="{00000000-0005-0000-0000-000039730000}"/>
    <cellStyle name="40% - Accent5 8 4 2 2 2" xfId="33018" xr:uid="{00000000-0005-0000-0000-00003A730000}"/>
    <cellStyle name="40% - Accent5 8 4 2 2 2 2" xfId="33019" xr:uid="{00000000-0005-0000-0000-00003B730000}"/>
    <cellStyle name="40% - Accent5 8 4 2 2 3" xfId="33020" xr:uid="{00000000-0005-0000-0000-00003C730000}"/>
    <cellStyle name="40% - Accent5 8 4 2 3" xfId="33021" xr:uid="{00000000-0005-0000-0000-00003D730000}"/>
    <cellStyle name="40% - Accent5 8 4 2 3 2" xfId="33022" xr:uid="{00000000-0005-0000-0000-00003E730000}"/>
    <cellStyle name="40% - Accent5 8 4 2 4" xfId="33023" xr:uid="{00000000-0005-0000-0000-00003F730000}"/>
    <cellStyle name="40% - Accent5 8 4 2 5" xfId="33024" xr:uid="{00000000-0005-0000-0000-000040730000}"/>
    <cellStyle name="40% - Accent5 8 4 2 6" xfId="33025" xr:uid="{00000000-0005-0000-0000-000041730000}"/>
    <cellStyle name="40% - Accent5 8 4 3" xfId="33026" xr:uid="{00000000-0005-0000-0000-000042730000}"/>
    <cellStyle name="40% - Accent5 8 4 3 2" xfId="33027" xr:uid="{00000000-0005-0000-0000-000043730000}"/>
    <cellStyle name="40% - Accent5 8 4 3 2 2" xfId="33028" xr:uid="{00000000-0005-0000-0000-000044730000}"/>
    <cellStyle name="40% - Accent5 8 4 3 3" xfId="33029" xr:uid="{00000000-0005-0000-0000-000045730000}"/>
    <cellStyle name="40% - Accent5 8 4 4" xfId="33030" xr:uid="{00000000-0005-0000-0000-000046730000}"/>
    <cellStyle name="40% - Accent5 8 4 4 2" xfId="33031" xr:uid="{00000000-0005-0000-0000-000047730000}"/>
    <cellStyle name="40% - Accent5 8 4 5" xfId="33032" xr:uid="{00000000-0005-0000-0000-000048730000}"/>
    <cellStyle name="40% - Accent5 8 4 6" xfId="33033" xr:uid="{00000000-0005-0000-0000-000049730000}"/>
    <cellStyle name="40% - Accent5 8 4 7" xfId="33034" xr:uid="{00000000-0005-0000-0000-00004A730000}"/>
    <cellStyle name="40% - Accent5 8 5" xfId="33035" xr:uid="{00000000-0005-0000-0000-00004B730000}"/>
    <cellStyle name="40% - Accent5 8 5 2" xfId="33036" xr:uid="{00000000-0005-0000-0000-00004C730000}"/>
    <cellStyle name="40% - Accent5 8 5 2 2" xfId="33037" xr:uid="{00000000-0005-0000-0000-00004D730000}"/>
    <cellStyle name="40% - Accent5 8 5 2 2 2" xfId="33038" xr:uid="{00000000-0005-0000-0000-00004E730000}"/>
    <cellStyle name="40% - Accent5 8 5 2 3" xfId="33039" xr:uid="{00000000-0005-0000-0000-00004F730000}"/>
    <cellStyle name="40% - Accent5 8 5 3" xfId="33040" xr:uid="{00000000-0005-0000-0000-000050730000}"/>
    <cellStyle name="40% - Accent5 8 5 3 2" xfId="33041" xr:uid="{00000000-0005-0000-0000-000051730000}"/>
    <cellStyle name="40% - Accent5 8 5 4" xfId="33042" xr:uid="{00000000-0005-0000-0000-000052730000}"/>
    <cellStyle name="40% - Accent5 8 5 5" xfId="33043" xr:uid="{00000000-0005-0000-0000-000053730000}"/>
    <cellStyle name="40% - Accent5 8 5 6" xfId="33044" xr:uid="{00000000-0005-0000-0000-000054730000}"/>
    <cellStyle name="40% - Accent5 8 6" xfId="33045" xr:uid="{00000000-0005-0000-0000-000055730000}"/>
    <cellStyle name="40% - Accent5 8 6 2" xfId="33046" xr:uid="{00000000-0005-0000-0000-000056730000}"/>
    <cellStyle name="40% - Accent5 8 6 2 2" xfId="33047" xr:uid="{00000000-0005-0000-0000-000057730000}"/>
    <cellStyle name="40% - Accent5 8 6 3" xfId="33048" xr:uid="{00000000-0005-0000-0000-000058730000}"/>
    <cellStyle name="40% - Accent5 8 7" xfId="33049" xr:uid="{00000000-0005-0000-0000-000059730000}"/>
    <cellStyle name="40% - Accent5 8 7 2" xfId="33050" xr:uid="{00000000-0005-0000-0000-00005A730000}"/>
    <cellStyle name="40% - Accent5 8 7 2 2" xfId="33051" xr:uid="{00000000-0005-0000-0000-00005B730000}"/>
    <cellStyle name="40% - Accent5 8 7 3" xfId="33052" xr:uid="{00000000-0005-0000-0000-00005C730000}"/>
    <cellStyle name="40% - Accent5 8 8" xfId="33053" xr:uid="{00000000-0005-0000-0000-00005D730000}"/>
    <cellStyle name="40% - Accent5 8 8 2" xfId="33054" xr:uid="{00000000-0005-0000-0000-00005E730000}"/>
    <cellStyle name="40% - Accent5 8 9" xfId="33055" xr:uid="{00000000-0005-0000-0000-00005F730000}"/>
    <cellStyle name="40% - Accent5 8 9 2" xfId="33056" xr:uid="{00000000-0005-0000-0000-000060730000}"/>
    <cellStyle name="40% - Accent5 9" xfId="33057" xr:uid="{00000000-0005-0000-0000-000061730000}"/>
    <cellStyle name="40% - Accent5 9 10" xfId="33058" xr:uid="{00000000-0005-0000-0000-000062730000}"/>
    <cellStyle name="40% - Accent5 9 11" xfId="33059" xr:uid="{00000000-0005-0000-0000-000063730000}"/>
    <cellStyle name="40% - Accent5 9 12" xfId="33060" xr:uid="{00000000-0005-0000-0000-000064730000}"/>
    <cellStyle name="40% - Accent5 9 2" xfId="33061" xr:uid="{00000000-0005-0000-0000-000065730000}"/>
    <cellStyle name="40% - Accent5 9 2 10" xfId="33062" xr:uid="{00000000-0005-0000-0000-000066730000}"/>
    <cellStyle name="40% - Accent5 9 2 2" xfId="33063" xr:uid="{00000000-0005-0000-0000-000067730000}"/>
    <cellStyle name="40% - Accent5 9 2 2 2" xfId="33064" xr:uid="{00000000-0005-0000-0000-000068730000}"/>
    <cellStyle name="40% - Accent5 9 2 2 2 2" xfId="33065" xr:uid="{00000000-0005-0000-0000-000069730000}"/>
    <cellStyle name="40% - Accent5 9 2 2 2 2 2" xfId="33066" xr:uid="{00000000-0005-0000-0000-00006A730000}"/>
    <cellStyle name="40% - Accent5 9 2 2 2 2 2 2" xfId="33067" xr:uid="{00000000-0005-0000-0000-00006B730000}"/>
    <cellStyle name="40% - Accent5 9 2 2 2 2 3" xfId="33068" xr:uid="{00000000-0005-0000-0000-00006C730000}"/>
    <cellStyle name="40% - Accent5 9 2 2 2 3" xfId="33069" xr:uid="{00000000-0005-0000-0000-00006D730000}"/>
    <cellStyle name="40% - Accent5 9 2 2 2 3 2" xfId="33070" xr:uid="{00000000-0005-0000-0000-00006E730000}"/>
    <cellStyle name="40% - Accent5 9 2 2 2 4" xfId="33071" xr:uid="{00000000-0005-0000-0000-00006F730000}"/>
    <cellStyle name="40% - Accent5 9 2 2 2 5" xfId="33072" xr:uid="{00000000-0005-0000-0000-000070730000}"/>
    <cellStyle name="40% - Accent5 9 2 2 2 6" xfId="33073" xr:uid="{00000000-0005-0000-0000-000071730000}"/>
    <cellStyle name="40% - Accent5 9 2 2 3" xfId="33074" xr:uid="{00000000-0005-0000-0000-000072730000}"/>
    <cellStyle name="40% - Accent5 9 2 2 3 2" xfId="33075" xr:uid="{00000000-0005-0000-0000-000073730000}"/>
    <cellStyle name="40% - Accent5 9 2 2 3 2 2" xfId="33076" xr:uid="{00000000-0005-0000-0000-000074730000}"/>
    <cellStyle name="40% - Accent5 9 2 2 3 3" xfId="33077" xr:uid="{00000000-0005-0000-0000-000075730000}"/>
    <cellStyle name="40% - Accent5 9 2 2 4" xfId="33078" xr:uid="{00000000-0005-0000-0000-000076730000}"/>
    <cellStyle name="40% - Accent5 9 2 2 4 2" xfId="33079" xr:uid="{00000000-0005-0000-0000-000077730000}"/>
    <cellStyle name="40% - Accent5 9 2 2 5" xfId="33080" xr:uid="{00000000-0005-0000-0000-000078730000}"/>
    <cellStyle name="40% - Accent5 9 2 2 6" xfId="33081" xr:uid="{00000000-0005-0000-0000-000079730000}"/>
    <cellStyle name="40% - Accent5 9 2 2 7" xfId="33082" xr:uid="{00000000-0005-0000-0000-00007A730000}"/>
    <cellStyle name="40% - Accent5 9 2 3" xfId="33083" xr:uid="{00000000-0005-0000-0000-00007B730000}"/>
    <cellStyle name="40% - Accent5 9 2 3 2" xfId="33084" xr:uid="{00000000-0005-0000-0000-00007C730000}"/>
    <cellStyle name="40% - Accent5 9 2 3 2 2" xfId="33085" xr:uid="{00000000-0005-0000-0000-00007D730000}"/>
    <cellStyle name="40% - Accent5 9 2 3 2 2 2" xfId="33086" xr:uid="{00000000-0005-0000-0000-00007E730000}"/>
    <cellStyle name="40% - Accent5 9 2 3 2 3" xfId="33087" xr:uid="{00000000-0005-0000-0000-00007F730000}"/>
    <cellStyle name="40% - Accent5 9 2 3 3" xfId="33088" xr:uid="{00000000-0005-0000-0000-000080730000}"/>
    <cellStyle name="40% - Accent5 9 2 3 3 2" xfId="33089" xr:uid="{00000000-0005-0000-0000-000081730000}"/>
    <cellStyle name="40% - Accent5 9 2 3 4" xfId="33090" xr:uid="{00000000-0005-0000-0000-000082730000}"/>
    <cellStyle name="40% - Accent5 9 2 3 5" xfId="33091" xr:uid="{00000000-0005-0000-0000-000083730000}"/>
    <cellStyle name="40% - Accent5 9 2 3 6" xfId="33092" xr:uid="{00000000-0005-0000-0000-000084730000}"/>
    <cellStyle name="40% - Accent5 9 2 4" xfId="33093" xr:uid="{00000000-0005-0000-0000-000085730000}"/>
    <cellStyle name="40% - Accent5 9 2 4 2" xfId="33094" xr:uid="{00000000-0005-0000-0000-000086730000}"/>
    <cellStyle name="40% - Accent5 9 2 4 2 2" xfId="33095" xr:uid="{00000000-0005-0000-0000-000087730000}"/>
    <cellStyle name="40% - Accent5 9 2 4 3" xfId="33096" xr:uid="{00000000-0005-0000-0000-000088730000}"/>
    <cellStyle name="40% - Accent5 9 2 5" xfId="33097" xr:uid="{00000000-0005-0000-0000-000089730000}"/>
    <cellStyle name="40% - Accent5 9 2 5 2" xfId="33098" xr:uid="{00000000-0005-0000-0000-00008A730000}"/>
    <cellStyle name="40% - Accent5 9 2 5 2 2" xfId="33099" xr:uid="{00000000-0005-0000-0000-00008B730000}"/>
    <cellStyle name="40% - Accent5 9 2 5 3" xfId="33100" xr:uid="{00000000-0005-0000-0000-00008C730000}"/>
    <cellStyle name="40% - Accent5 9 2 6" xfId="33101" xr:uid="{00000000-0005-0000-0000-00008D730000}"/>
    <cellStyle name="40% - Accent5 9 2 6 2" xfId="33102" xr:uid="{00000000-0005-0000-0000-00008E730000}"/>
    <cellStyle name="40% - Accent5 9 2 7" xfId="33103" xr:uid="{00000000-0005-0000-0000-00008F730000}"/>
    <cellStyle name="40% - Accent5 9 2 7 2" xfId="33104" xr:uid="{00000000-0005-0000-0000-000090730000}"/>
    <cellStyle name="40% - Accent5 9 2 8" xfId="33105" xr:uid="{00000000-0005-0000-0000-000091730000}"/>
    <cellStyle name="40% - Accent5 9 2 9" xfId="33106" xr:uid="{00000000-0005-0000-0000-000092730000}"/>
    <cellStyle name="40% - Accent5 9 3" xfId="33107" xr:uid="{00000000-0005-0000-0000-000093730000}"/>
    <cellStyle name="40% - Accent5 9 3 2" xfId="33108" xr:uid="{00000000-0005-0000-0000-000094730000}"/>
    <cellStyle name="40% - Accent5 9 3 2 2" xfId="33109" xr:uid="{00000000-0005-0000-0000-000095730000}"/>
    <cellStyle name="40% - Accent5 9 3 2 2 2" xfId="33110" xr:uid="{00000000-0005-0000-0000-000096730000}"/>
    <cellStyle name="40% - Accent5 9 3 2 2 2 2" xfId="33111" xr:uid="{00000000-0005-0000-0000-000097730000}"/>
    <cellStyle name="40% - Accent5 9 3 2 2 3" xfId="33112" xr:uid="{00000000-0005-0000-0000-000098730000}"/>
    <cellStyle name="40% - Accent5 9 3 2 3" xfId="33113" xr:uid="{00000000-0005-0000-0000-000099730000}"/>
    <cellStyle name="40% - Accent5 9 3 2 3 2" xfId="33114" xr:uid="{00000000-0005-0000-0000-00009A730000}"/>
    <cellStyle name="40% - Accent5 9 3 2 4" xfId="33115" xr:uid="{00000000-0005-0000-0000-00009B730000}"/>
    <cellStyle name="40% - Accent5 9 3 2 5" xfId="33116" xr:uid="{00000000-0005-0000-0000-00009C730000}"/>
    <cellStyle name="40% - Accent5 9 3 2 6" xfId="33117" xr:uid="{00000000-0005-0000-0000-00009D730000}"/>
    <cellStyle name="40% - Accent5 9 3 3" xfId="33118" xr:uid="{00000000-0005-0000-0000-00009E730000}"/>
    <cellStyle name="40% - Accent5 9 3 3 2" xfId="33119" xr:uid="{00000000-0005-0000-0000-00009F730000}"/>
    <cellStyle name="40% - Accent5 9 3 3 2 2" xfId="33120" xr:uid="{00000000-0005-0000-0000-0000A0730000}"/>
    <cellStyle name="40% - Accent5 9 3 3 3" xfId="33121" xr:uid="{00000000-0005-0000-0000-0000A1730000}"/>
    <cellStyle name="40% - Accent5 9 3 4" xfId="33122" xr:uid="{00000000-0005-0000-0000-0000A2730000}"/>
    <cellStyle name="40% - Accent5 9 3 4 2" xfId="33123" xr:uid="{00000000-0005-0000-0000-0000A3730000}"/>
    <cellStyle name="40% - Accent5 9 3 5" xfId="33124" xr:uid="{00000000-0005-0000-0000-0000A4730000}"/>
    <cellStyle name="40% - Accent5 9 3 6" xfId="33125" xr:uid="{00000000-0005-0000-0000-0000A5730000}"/>
    <cellStyle name="40% - Accent5 9 3 7" xfId="33126" xr:uid="{00000000-0005-0000-0000-0000A6730000}"/>
    <cellStyle name="40% - Accent5 9 4" xfId="33127" xr:uid="{00000000-0005-0000-0000-0000A7730000}"/>
    <cellStyle name="40% - Accent5 9 4 2" xfId="33128" xr:uid="{00000000-0005-0000-0000-0000A8730000}"/>
    <cellStyle name="40% - Accent5 9 4 2 2" xfId="33129" xr:uid="{00000000-0005-0000-0000-0000A9730000}"/>
    <cellStyle name="40% - Accent5 9 4 2 2 2" xfId="33130" xr:uid="{00000000-0005-0000-0000-0000AA730000}"/>
    <cellStyle name="40% - Accent5 9 4 2 2 2 2" xfId="33131" xr:uid="{00000000-0005-0000-0000-0000AB730000}"/>
    <cellStyle name="40% - Accent5 9 4 2 2 3" xfId="33132" xr:uid="{00000000-0005-0000-0000-0000AC730000}"/>
    <cellStyle name="40% - Accent5 9 4 2 3" xfId="33133" xr:uid="{00000000-0005-0000-0000-0000AD730000}"/>
    <cellStyle name="40% - Accent5 9 4 2 3 2" xfId="33134" xr:uid="{00000000-0005-0000-0000-0000AE730000}"/>
    <cellStyle name="40% - Accent5 9 4 2 4" xfId="33135" xr:uid="{00000000-0005-0000-0000-0000AF730000}"/>
    <cellStyle name="40% - Accent5 9 4 2 5" xfId="33136" xr:uid="{00000000-0005-0000-0000-0000B0730000}"/>
    <cellStyle name="40% - Accent5 9 4 2 6" xfId="33137" xr:uid="{00000000-0005-0000-0000-0000B1730000}"/>
    <cellStyle name="40% - Accent5 9 4 3" xfId="33138" xr:uid="{00000000-0005-0000-0000-0000B2730000}"/>
    <cellStyle name="40% - Accent5 9 4 3 2" xfId="33139" xr:uid="{00000000-0005-0000-0000-0000B3730000}"/>
    <cellStyle name="40% - Accent5 9 4 3 2 2" xfId="33140" xr:uid="{00000000-0005-0000-0000-0000B4730000}"/>
    <cellStyle name="40% - Accent5 9 4 3 3" xfId="33141" xr:uid="{00000000-0005-0000-0000-0000B5730000}"/>
    <cellStyle name="40% - Accent5 9 4 4" xfId="33142" xr:uid="{00000000-0005-0000-0000-0000B6730000}"/>
    <cellStyle name="40% - Accent5 9 4 4 2" xfId="33143" xr:uid="{00000000-0005-0000-0000-0000B7730000}"/>
    <cellStyle name="40% - Accent5 9 4 5" xfId="33144" xr:uid="{00000000-0005-0000-0000-0000B8730000}"/>
    <cellStyle name="40% - Accent5 9 4 6" xfId="33145" xr:uid="{00000000-0005-0000-0000-0000B9730000}"/>
    <cellStyle name="40% - Accent5 9 4 7" xfId="33146" xr:uid="{00000000-0005-0000-0000-0000BA730000}"/>
    <cellStyle name="40% - Accent5 9 5" xfId="33147" xr:uid="{00000000-0005-0000-0000-0000BB730000}"/>
    <cellStyle name="40% - Accent5 9 5 2" xfId="33148" xr:uid="{00000000-0005-0000-0000-0000BC730000}"/>
    <cellStyle name="40% - Accent5 9 5 2 2" xfId="33149" xr:uid="{00000000-0005-0000-0000-0000BD730000}"/>
    <cellStyle name="40% - Accent5 9 5 2 2 2" xfId="33150" xr:uid="{00000000-0005-0000-0000-0000BE730000}"/>
    <cellStyle name="40% - Accent5 9 5 2 3" xfId="33151" xr:uid="{00000000-0005-0000-0000-0000BF730000}"/>
    <cellStyle name="40% - Accent5 9 5 3" xfId="33152" xr:uid="{00000000-0005-0000-0000-0000C0730000}"/>
    <cellStyle name="40% - Accent5 9 5 3 2" xfId="33153" xr:uid="{00000000-0005-0000-0000-0000C1730000}"/>
    <cellStyle name="40% - Accent5 9 5 4" xfId="33154" xr:uid="{00000000-0005-0000-0000-0000C2730000}"/>
    <cellStyle name="40% - Accent5 9 5 5" xfId="33155" xr:uid="{00000000-0005-0000-0000-0000C3730000}"/>
    <cellStyle name="40% - Accent5 9 5 6" xfId="33156" xr:uid="{00000000-0005-0000-0000-0000C4730000}"/>
    <cellStyle name="40% - Accent5 9 6" xfId="33157" xr:uid="{00000000-0005-0000-0000-0000C5730000}"/>
    <cellStyle name="40% - Accent5 9 6 2" xfId="33158" xr:uid="{00000000-0005-0000-0000-0000C6730000}"/>
    <cellStyle name="40% - Accent5 9 6 2 2" xfId="33159" xr:uid="{00000000-0005-0000-0000-0000C7730000}"/>
    <cellStyle name="40% - Accent5 9 6 3" xfId="33160" xr:uid="{00000000-0005-0000-0000-0000C8730000}"/>
    <cellStyle name="40% - Accent5 9 7" xfId="33161" xr:uid="{00000000-0005-0000-0000-0000C9730000}"/>
    <cellStyle name="40% - Accent5 9 7 2" xfId="33162" xr:uid="{00000000-0005-0000-0000-0000CA730000}"/>
    <cellStyle name="40% - Accent5 9 7 2 2" xfId="33163" xr:uid="{00000000-0005-0000-0000-0000CB730000}"/>
    <cellStyle name="40% - Accent5 9 7 3" xfId="33164" xr:uid="{00000000-0005-0000-0000-0000CC730000}"/>
    <cellStyle name="40% - Accent5 9 8" xfId="33165" xr:uid="{00000000-0005-0000-0000-0000CD730000}"/>
    <cellStyle name="40% - Accent5 9 8 2" xfId="33166" xr:uid="{00000000-0005-0000-0000-0000CE730000}"/>
    <cellStyle name="40% - Accent5 9 9" xfId="33167" xr:uid="{00000000-0005-0000-0000-0000CF730000}"/>
    <cellStyle name="40% - Accent5 9 9 2" xfId="33168" xr:uid="{00000000-0005-0000-0000-0000D0730000}"/>
    <cellStyle name="40% - Accent6" xfId="140" builtinId="51" customBuiltin="1"/>
    <cellStyle name="40% - Accent6 10" xfId="33169" xr:uid="{00000000-0005-0000-0000-0000D1730000}"/>
    <cellStyle name="40% - Accent6 10 10" xfId="33170" xr:uid="{00000000-0005-0000-0000-0000D2730000}"/>
    <cellStyle name="40% - Accent6 10 11" xfId="33171" xr:uid="{00000000-0005-0000-0000-0000D3730000}"/>
    <cellStyle name="40% - Accent6 10 2" xfId="33172" xr:uid="{00000000-0005-0000-0000-0000D4730000}"/>
    <cellStyle name="40% - Accent6 10 2 2" xfId="33173" xr:uid="{00000000-0005-0000-0000-0000D5730000}"/>
    <cellStyle name="40% - Accent6 10 2 2 2" xfId="33174" xr:uid="{00000000-0005-0000-0000-0000D6730000}"/>
    <cellStyle name="40% - Accent6 10 2 2 2 2" xfId="33175" xr:uid="{00000000-0005-0000-0000-0000D7730000}"/>
    <cellStyle name="40% - Accent6 10 2 2 2 2 2" xfId="33176" xr:uid="{00000000-0005-0000-0000-0000D8730000}"/>
    <cellStyle name="40% - Accent6 10 2 2 2 3" xfId="33177" xr:uid="{00000000-0005-0000-0000-0000D9730000}"/>
    <cellStyle name="40% - Accent6 10 2 2 3" xfId="33178" xr:uid="{00000000-0005-0000-0000-0000DA730000}"/>
    <cellStyle name="40% - Accent6 10 2 2 3 2" xfId="33179" xr:uid="{00000000-0005-0000-0000-0000DB730000}"/>
    <cellStyle name="40% - Accent6 10 2 2 4" xfId="33180" xr:uid="{00000000-0005-0000-0000-0000DC730000}"/>
    <cellStyle name="40% - Accent6 10 2 2 5" xfId="33181" xr:uid="{00000000-0005-0000-0000-0000DD730000}"/>
    <cellStyle name="40% - Accent6 10 2 2 6" xfId="33182" xr:uid="{00000000-0005-0000-0000-0000DE730000}"/>
    <cellStyle name="40% - Accent6 10 2 3" xfId="33183" xr:uid="{00000000-0005-0000-0000-0000DF730000}"/>
    <cellStyle name="40% - Accent6 10 2 3 2" xfId="33184" xr:uid="{00000000-0005-0000-0000-0000E0730000}"/>
    <cellStyle name="40% - Accent6 10 2 3 2 2" xfId="33185" xr:uid="{00000000-0005-0000-0000-0000E1730000}"/>
    <cellStyle name="40% - Accent6 10 2 3 3" xfId="33186" xr:uid="{00000000-0005-0000-0000-0000E2730000}"/>
    <cellStyle name="40% - Accent6 10 2 4" xfId="33187" xr:uid="{00000000-0005-0000-0000-0000E3730000}"/>
    <cellStyle name="40% - Accent6 10 2 4 2" xfId="33188" xr:uid="{00000000-0005-0000-0000-0000E4730000}"/>
    <cellStyle name="40% - Accent6 10 2 5" xfId="33189" xr:uid="{00000000-0005-0000-0000-0000E5730000}"/>
    <cellStyle name="40% - Accent6 10 2 5 2" xfId="33190" xr:uid="{00000000-0005-0000-0000-0000E6730000}"/>
    <cellStyle name="40% - Accent6 10 2 6" xfId="33191" xr:uid="{00000000-0005-0000-0000-0000E7730000}"/>
    <cellStyle name="40% - Accent6 10 2 7" xfId="33192" xr:uid="{00000000-0005-0000-0000-0000E8730000}"/>
    <cellStyle name="40% - Accent6 10 2 8" xfId="33193" xr:uid="{00000000-0005-0000-0000-0000E9730000}"/>
    <cellStyle name="40% - Accent6 10 3" xfId="33194" xr:uid="{00000000-0005-0000-0000-0000EA730000}"/>
    <cellStyle name="40% - Accent6 10 3 2" xfId="33195" xr:uid="{00000000-0005-0000-0000-0000EB730000}"/>
    <cellStyle name="40% - Accent6 10 3 2 2" xfId="33196" xr:uid="{00000000-0005-0000-0000-0000EC730000}"/>
    <cellStyle name="40% - Accent6 10 3 2 2 2" xfId="33197" xr:uid="{00000000-0005-0000-0000-0000ED730000}"/>
    <cellStyle name="40% - Accent6 10 3 2 2 2 2" xfId="33198" xr:uid="{00000000-0005-0000-0000-0000EE730000}"/>
    <cellStyle name="40% - Accent6 10 3 2 2 3" xfId="33199" xr:uid="{00000000-0005-0000-0000-0000EF730000}"/>
    <cellStyle name="40% - Accent6 10 3 2 3" xfId="33200" xr:uid="{00000000-0005-0000-0000-0000F0730000}"/>
    <cellStyle name="40% - Accent6 10 3 2 3 2" xfId="33201" xr:uid="{00000000-0005-0000-0000-0000F1730000}"/>
    <cellStyle name="40% - Accent6 10 3 2 4" xfId="33202" xr:uid="{00000000-0005-0000-0000-0000F2730000}"/>
    <cellStyle name="40% - Accent6 10 3 2 5" xfId="33203" xr:uid="{00000000-0005-0000-0000-0000F3730000}"/>
    <cellStyle name="40% - Accent6 10 3 2 6" xfId="33204" xr:uid="{00000000-0005-0000-0000-0000F4730000}"/>
    <cellStyle name="40% - Accent6 10 3 3" xfId="33205" xr:uid="{00000000-0005-0000-0000-0000F5730000}"/>
    <cellStyle name="40% - Accent6 10 3 3 2" xfId="33206" xr:uid="{00000000-0005-0000-0000-0000F6730000}"/>
    <cellStyle name="40% - Accent6 10 3 3 2 2" xfId="33207" xr:uid="{00000000-0005-0000-0000-0000F7730000}"/>
    <cellStyle name="40% - Accent6 10 3 3 3" xfId="33208" xr:uid="{00000000-0005-0000-0000-0000F8730000}"/>
    <cellStyle name="40% - Accent6 10 3 4" xfId="33209" xr:uid="{00000000-0005-0000-0000-0000F9730000}"/>
    <cellStyle name="40% - Accent6 10 3 4 2" xfId="33210" xr:uid="{00000000-0005-0000-0000-0000FA730000}"/>
    <cellStyle name="40% - Accent6 10 3 5" xfId="33211" xr:uid="{00000000-0005-0000-0000-0000FB730000}"/>
    <cellStyle name="40% - Accent6 10 3 6" xfId="33212" xr:uid="{00000000-0005-0000-0000-0000FC730000}"/>
    <cellStyle name="40% - Accent6 10 3 7" xfId="33213" xr:uid="{00000000-0005-0000-0000-0000FD730000}"/>
    <cellStyle name="40% - Accent6 10 4" xfId="33214" xr:uid="{00000000-0005-0000-0000-0000FE730000}"/>
    <cellStyle name="40% - Accent6 10 4 2" xfId="33215" xr:uid="{00000000-0005-0000-0000-0000FF730000}"/>
    <cellStyle name="40% - Accent6 10 4 2 2" xfId="33216" xr:uid="{00000000-0005-0000-0000-000000740000}"/>
    <cellStyle name="40% - Accent6 10 4 2 2 2" xfId="33217" xr:uid="{00000000-0005-0000-0000-000001740000}"/>
    <cellStyle name="40% - Accent6 10 4 2 3" xfId="33218" xr:uid="{00000000-0005-0000-0000-000002740000}"/>
    <cellStyle name="40% - Accent6 10 4 3" xfId="33219" xr:uid="{00000000-0005-0000-0000-000003740000}"/>
    <cellStyle name="40% - Accent6 10 4 3 2" xfId="33220" xr:uid="{00000000-0005-0000-0000-000004740000}"/>
    <cellStyle name="40% - Accent6 10 4 4" xfId="33221" xr:uid="{00000000-0005-0000-0000-000005740000}"/>
    <cellStyle name="40% - Accent6 10 4 5" xfId="33222" xr:uid="{00000000-0005-0000-0000-000006740000}"/>
    <cellStyle name="40% - Accent6 10 4 6" xfId="33223" xr:uid="{00000000-0005-0000-0000-000007740000}"/>
    <cellStyle name="40% - Accent6 10 5" xfId="33224" xr:uid="{00000000-0005-0000-0000-000008740000}"/>
    <cellStyle name="40% - Accent6 10 5 2" xfId="33225" xr:uid="{00000000-0005-0000-0000-000009740000}"/>
    <cellStyle name="40% - Accent6 10 5 2 2" xfId="33226" xr:uid="{00000000-0005-0000-0000-00000A740000}"/>
    <cellStyle name="40% - Accent6 10 5 3" xfId="33227" xr:uid="{00000000-0005-0000-0000-00000B740000}"/>
    <cellStyle name="40% - Accent6 10 6" xfId="33228" xr:uid="{00000000-0005-0000-0000-00000C740000}"/>
    <cellStyle name="40% - Accent6 10 6 2" xfId="33229" xr:uid="{00000000-0005-0000-0000-00000D740000}"/>
    <cellStyle name="40% - Accent6 10 6 2 2" xfId="33230" xr:uid="{00000000-0005-0000-0000-00000E740000}"/>
    <cellStyle name="40% - Accent6 10 6 3" xfId="33231" xr:uid="{00000000-0005-0000-0000-00000F740000}"/>
    <cellStyle name="40% - Accent6 10 7" xfId="33232" xr:uid="{00000000-0005-0000-0000-000010740000}"/>
    <cellStyle name="40% - Accent6 10 7 2" xfId="33233" xr:uid="{00000000-0005-0000-0000-000011740000}"/>
    <cellStyle name="40% - Accent6 10 8" xfId="33234" xr:uid="{00000000-0005-0000-0000-000012740000}"/>
    <cellStyle name="40% - Accent6 10 8 2" xfId="33235" xr:uid="{00000000-0005-0000-0000-000013740000}"/>
    <cellStyle name="40% - Accent6 10 9" xfId="33236" xr:uid="{00000000-0005-0000-0000-000014740000}"/>
    <cellStyle name="40% - Accent6 11" xfId="33237" xr:uid="{00000000-0005-0000-0000-000015740000}"/>
    <cellStyle name="40% - Accent6 11 10" xfId="33238" xr:uid="{00000000-0005-0000-0000-000016740000}"/>
    <cellStyle name="40% - Accent6 11 11" xfId="33239" xr:uid="{00000000-0005-0000-0000-000017740000}"/>
    <cellStyle name="40% - Accent6 11 2" xfId="33240" xr:uid="{00000000-0005-0000-0000-000018740000}"/>
    <cellStyle name="40% - Accent6 11 2 2" xfId="33241" xr:uid="{00000000-0005-0000-0000-000019740000}"/>
    <cellStyle name="40% - Accent6 11 2 2 2" xfId="33242" xr:uid="{00000000-0005-0000-0000-00001A740000}"/>
    <cellStyle name="40% - Accent6 11 2 2 2 2" xfId="33243" xr:uid="{00000000-0005-0000-0000-00001B740000}"/>
    <cellStyle name="40% - Accent6 11 2 2 2 2 2" xfId="33244" xr:uid="{00000000-0005-0000-0000-00001C740000}"/>
    <cellStyle name="40% - Accent6 11 2 2 2 3" xfId="33245" xr:uid="{00000000-0005-0000-0000-00001D740000}"/>
    <cellStyle name="40% - Accent6 11 2 2 3" xfId="33246" xr:uid="{00000000-0005-0000-0000-00001E740000}"/>
    <cellStyle name="40% - Accent6 11 2 2 3 2" xfId="33247" xr:uid="{00000000-0005-0000-0000-00001F740000}"/>
    <cellStyle name="40% - Accent6 11 2 2 4" xfId="33248" xr:uid="{00000000-0005-0000-0000-000020740000}"/>
    <cellStyle name="40% - Accent6 11 2 2 5" xfId="33249" xr:uid="{00000000-0005-0000-0000-000021740000}"/>
    <cellStyle name="40% - Accent6 11 2 2 6" xfId="33250" xr:uid="{00000000-0005-0000-0000-000022740000}"/>
    <cellStyle name="40% - Accent6 11 2 3" xfId="33251" xr:uid="{00000000-0005-0000-0000-000023740000}"/>
    <cellStyle name="40% - Accent6 11 2 3 2" xfId="33252" xr:uid="{00000000-0005-0000-0000-000024740000}"/>
    <cellStyle name="40% - Accent6 11 2 3 2 2" xfId="33253" xr:uid="{00000000-0005-0000-0000-000025740000}"/>
    <cellStyle name="40% - Accent6 11 2 3 3" xfId="33254" xr:uid="{00000000-0005-0000-0000-000026740000}"/>
    <cellStyle name="40% - Accent6 11 2 4" xfId="33255" xr:uid="{00000000-0005-0000-0000-000027740000}"/>
    <cellStyle name="40% - Accent6 11 2 4 2" xfId="33256" xr:uid="{00000000-0005-0000-0000-000028740000}"/>
    <cellStyle name="40% - Accent6 11 2 5" xfId="33257" xr:uid="{00000000-0005-0000-0000-000029740000}"/>
    <cellStyle name="40% - Accent6 11 2 5 2" xfId="33258" xr:uid="{00000000-0005-0000-0000-00002A740000}"/>
    <cellStyle name="40% - Accent6 11 2 6" xfId="33259" xr:uid="{00000000-0005-0000-0000-00002B740000}"/>
    <cellStyle name="40% - Accent6 11 2 7" xfId="33260" xr:uid="{00000000-0005-0000-0000-00002C740000}"/>
    <cellStyle name="40% - Accent6 11 2 8" xfId="33261" xr:uid="{00000000-0005-0000-0000-00002D740000}"/>
    <cellStyle name="40% - Accent6 11 3" xfId="33262" xr:uid="{00000000-0005-0000-0000-00002E740000}"/>
    <cellStyle name="40% - Accent6 11 3 2" xfId="33263" xr:uid="{00000000-0005-0000-0000-00002F740000}"/>
    <cellStyle name="40% - Accent6 11 3 2 2" xfId="33264" xr:uid="{00000000-0005-0000-0000-000030740000}"/>
    <cellStyle name="40% - Accent6 11 3 2 2 2" xfId="33265" xr:uid="{00000000-0005-0000-0000-000031740000}"/>
    <cellStyle name="40% - Accent6 11 3 2 2 2 2" xfId="33266" xr:uid="{00000000-0005-0000-0000-000032740000}"/>
    <cellStyle name="40% - Accent6 11 3 2 2 3" xfId="33267" xr:uid="{00000000-0005-0000-0000-000033740000}"/>
    <cellStyle name="40% - Accent6 11 3 2 3" xfId="33268" xr:uid="{00000000-0005-0000-0000-000034740000}"/>
    <cellStyle name="40% - Accent6 11 3 2 3 2" xfId="33269" xr:uid="{00000000-0005-0000-0000-000035740000}"/>
    <cellStyle name="40% - Accent6 11 3 2 4" xfId="33270" xr:uid="{00000000-0005-0000-0000-000036740000}"/>
    <cellStyle name="40% - Accent6 11 3 2 5" xfId="33271" xr:uid="{00000000-0005-0000-0000-000037740000}"/>
    <cellStyle name="40% - Accent6 11 3 2 6" xfId="33272" xr:uid="{00000000-0005-0000-0000-000038740000}"/>
    <cellStyle name="40% - Accent6 11 3 3" xfId="33273" xr:uid="{00000000-0005-0000-0000-000039740000}"/>
    <cellStyle name="40% - Accent6 11 3 3 2" xfId="33274" xr:uid="{00000000-0005-0000-0000-00003A740000}"/>
    <cellStyle name="40% - Accent6 11 3 3 2 2" xfId="33275" xr:uid="{00000000-0005-0000-0000-00003B740000}"/>
    <cellStyle name="40% - Accent6 11 3 3 3" xfId="33276" xr:uid="{00000000-0005-0000-0000-00003C740000}"/>
    <cellStyle name="40% - Accent6 11 3 4" xfId="33277" xr:uid="{00000000-0005-0000-0000-00003D740000}"/>
    <cellStyle name="40% - Accent6 11 3 4 2" xfId="33278" xr:uid="{00000000-0005-0000-0000-00003E740000}"/>
    <cellStyle name="40% - Accent6 11 3 5" xfId="33279" xr:uid="{00000000-0005-0000-0000-00003F740000}"/>
    <cellStyle name="40% - Accent6 11 3 6" xfId="33280" xr:uid="{00000000-0005-0000-0000-000040740000}"/>
    <cellStyle name="40% - Accent6 11 3 7" xfId="33281" xr:uid="{00000000-0005-0000-0000-000041740000}"/>
    <cellStyle name="40% - Accent6 11 4" xfId="33282" xr:uid="{00000000-0005-0000-0000-000042740000}"/>
    <cellStyle name="40% - Accent6 11 4 2" xfId="33283" xr:uid="{00000000-0005-0000-0000-000043740000}"/>
    <cellStyle name="40% - Accent6 11 4 2 2" xfId="33284" xr:uid="{00000000-0005-0000-0000-000044740000}"/>
    <cellStyle name="40% - Accent6 11 4 2 2 2" xfId="33285" xr:uid="{00000000-0005-0000-0000-000045740000}"/>
    <cellStyle name="40% - Accent6 11 4 2 3" xfId="33286" xr:uid="{00000000-0005-0000-0000-000046740000}"/>
    <cellStyle name="40% - Accent6 11 4 3" xfId="33287" xr:uid="{00000000-0005-0000-0000-000047740000}"/>
    <cellStyle name="40% - Accent6 11 4 3 2" xfId="33288" xr:uid="{00000000-0005-0000-0000-000048740000}"/>
    <cellStyle name="40% - Accent6 11 4 4" xfId="33289" xr:uid="{00000000-0005-0000-0000-000049740000}"/>
    <cellStyle name="40% - Accent6 11 4 5" xfId="33290" xr:uid="{00000000-0005-0000-0000-00004A740000}"/>
    <cellStyle name="40% - Accent6 11 4 6" xfId="33291" xr:uid="{00000000-0005-0000-0000-00004B740000}"/>
    <cellStyle name="40% - Accent6 11 5" xfId="33292" xr:uid="{00000000-0005-0000-0000-00004C740000}"/>
    <cellStyle name="40% - Accent6 11 5 2" xfId="33293" xr:uid="{00000000-0005-0000-0000-00004D740000}"/>
    <cellStyle name="40% - Accent6 11 5 2 2" xfId="33294" xr:uid="{00000000-0005-0000-0000-00004E740000}"/>
    <cellStyle name="40% - Accent6 11 5 3" xfId="33295" xr:uid="{00000000-0005-0000-0000-00004F740000}"/>
    <cellStyle name="40% - Accent6 11 6" xfId="33296" xr:uid="{00000000-0005-0000-0000-000050740000}"/>
    <cellStyle name="40% - Accent6 11 6 2" xfId="33297" xr:uid="{00000000-0005-0000-0000-000051740000}"/>
    <cellStyle name="40% - Accent6 11 6 2 2" xfId="33298" xr:uid="{00000000-0005-0000-0000-000052740000}"/>
    <cellStyle name="40% - Accent6 11 6 3" xfId="33299" xr:uid="{00000000-0005-0000-0000-000053740000}"/>
    <cellStyle name="40% - Accent6 11 7" xfId="33300" xr:uid="{00000000-0005-0000-0000-000054740000}"/>
    <cellStyle name="40% - Accent6 11 7 2" xfId="33301" xr:uid="{00000000-0005-0000-0000-000055740000}"/>
    <cellStyle name="40% - Accent6 11 8" xfId="33302" xr:uid="{00000000-0005-0000-0000-000056740000}"/>
    <cellStyle name="40% - Accent6 11 8 2" xfId="33303" xr:uid="{00000000-0005-0000-0000-000057740000}"/>
    <cellStyle name="40% - Accent6 11 9" xfId="33304" xr:uid="{00000000-0005-0000-0000-000058740000}"/>
    <cellStyle name="40% - Accent6 12" xfId="33305" xr:uid="{00000000-0005-0000-0000-000059740000}"/>
    <cellStyle name="40% - Accent6 12 2" xfId="33306" xr:uid="{00000000-0005-0000-0000-00005A740000}"/>
    <cellStyle name="40% - Accent6 12 2 2" xfId="33307" xr:uid="{00000000-0005-0000-0000-00005B740000}"/>
    <cellStyle name="40% - Accent6 12 2 2 2" xfId="33308" xr:uid="{00000000-0005-0000-0000-00005C740000}"/>
    <cellStyle name="40% - Accent6 12 2 2 2 2" xfId="33309" xr:uid="{00000000-0005-0000-0000-00005D740000}"/>
    <cellStyle name="40% - Accent6 12 2 2 2 2 2" xfId="33310" xr:uid="{00000000-0005-0000-0000-00005E740000}"/>
    <cellStyle name="40% - Accent6 12 2 2 2 3" xfId="33311" xr:uid="{00000000-0005-0000-0000-00005F740000}"/>
    <cellStyle name="40% - Accent6 12 2 2 3" xfId="33312" xr:uid="{00000000-0005-0000-0000-000060740000}"/>
    <cellStyle name="40% - Accent6 12 2 2 3 2" xfId="33313" xr:uid="{00000000-0005-0000-0000-000061740000}"/>
    <cellStyle name="40% - Accent6 12 2 2 4" xfId="33314" xr:uid="{00000000-0005-0000-0000-000062740000}"/>
    <cellStyle name="40% - Accent6 12 2 2 5" xfId="33315" xr:uid="{00000000-0005-0000-0000-000063740000}"/>
    <cellStyle name="40% - Accent6 12 2 2 6" xfId="33316" xr:uid="{00000000-0005-0000-0000-000064740000}"/>
    <cellStyle name="40% - Accent6 12 2 3" xfId="33317" xr:uid="{00000000-0005-0000-0000-000065740000}"/>
    <cellStyle name="40% - Accent6 12 2 3 2" xfId="33318" xr:uid="{00000000-0005-0000-0000-000066740000}"/>
    <cellStyle name="40% - Accent6 12 2 3 2 2" xfId="33319" xr:uid="{00000000-0005-0000-0000-000067740000}"/>
    <cellStyle name="40% - Accent6 12 2 3 3" xfId="33320" xr:uid="{00000000-0005-0000-0000-000068740000}"/>
    <cellStyle name="40% - Accent6 12 2 4" xfId="33321" xr:uid="{00000000-0005-0000-0000-000069740000}"/>
    <cellStyle name="40% - Accent6 12 2 4 2" xfId="33322" xr:uid="{00000000-0005-0000-0000-00006A740000}"/>
    <cellStyle name="40% - Accent6 12 2 5" xfId="33323" xr:uid="{00000000-0005-0000-0000-00006B740000}"/>
    <cellStyle name="40% - Accent6 12 2 6" xfId="33324" xr:uid="{00000000-0005-0000-0000-00006C740000}"/>
    <cellStyle name="40% - Accent6 12 2 7" xfId="33325" xr:uid="{00000000-0005-0000-0000-00006D740000}"/>
    <cellStyle name="40% - Accent6 12 3" xfId="33326" xr:uid="{00000000-0005-0000-0000-00006E740000}"/>
    <cellStyle name="40% - Accent6 12 3 2" xfId="33327" xr:uid="{00000000-0005-0000-0000-00006F740000}"/>
    <cellStyle name="40% - Accent6 12 3 2 2" xfId="33328" xr:uid="{00000000-0005-0000-0000-000070740000}"/>
    <cellStyle name="40% - Accent6 12 3 2 2 2" xfId="33329" xr:uid="{00000000-0005-0000-0000-000071740000}"/>
    <cellStyle name="40% - Accent6 12 3 2 2 2 2" xfId="33330" xr:uid="{00000000-0005-0000-0000-000072740000}"/>
    <cellStyle name="40% - Accent6 12 3 2 2 3" xfId="33331" xr:uid="{00000000-0005-0000-0000-000073740000}"/>
    <cellStyle name="40% - Accent6 12 3 2 3" xfId="33332" xr:uid="{00000000-0005-0000-0000-000074740000}"/>
    <cellStyle name="40% - Accent6 12 3 2 3 2" xfId="33333" xr:uid="{00000000-0005-0000-0000-000075740000}"/>
    <cellStyle name="40% - Accent6 12 3 2 4" xfId="33334" xr:uid="{00000000-0005-0000-0000-000076740000}"/>
    <cellStyle name="40% - Accent6 12 3 2 5" xfId="33335" xr:uid="{00000000-0005-0000-0000-000077740000}"/>
    <cellStyle name="40% - Accent6 12 3 2 6" xfId="33336" xr:uid="{00000000-0005-0000-0000-000078740000}"/>
    <cellStyle name="40% - Accent6 12 3 3" xfId="33337" xr:uid="{00000000-0005-0000-0000-000079740000}"/>
    <cellStyle name="40% - Accent6 12 3 3 2" xfId="33338" xr:uid="{00000000-0005-0000-0000-00007A740000}"/>
    <cellStyle name="40% - Accent6 12 3 3 2 2" xfId="33339" xr:uid="{00000000-0005-0000-0000-00007B740000}"/>
    <cellStyle name="40% - Accent6 12 3 3 3" xfId="33340" xr:uid="{00000000-0005-0000-0000-00007C740000}"/>
    <cellStyle name="40% - Accent6 12 3 4" xfId="33341" xr:uid="{00000000-0005-0000-0000-00007D740000}"/>
    <cellStyle name="40% - Accent6 12 3 4 2" xfId="33342" xr:uid="{00000000-0005-0000-0000-00007E740000}"/>
    <cellStyle name="40% - Accent6 12 3 5" xfId="33343" xr:uid="{00000000-0005-0000-0000-00007F740000}"/>
    <cellStyle name="40% - Accent6 12 3 6" xfId="33344" xr:uid="{00000000-0005-0000-0000-000080740000}"/>
    <cellStyle name="40% - Accent6 12 3 7" xfId="33345" xr:uid="{00000000-0005-0000-0000-000081740000}"/>
    <cellStyle name="40% - Accent6 12 4" xfId="33346" xr:uid="{00000000-0005-0000-0000-000082740000}"/>
    <cellStyle name="40% - Accent6 12 5" xfId="33347" xr:uid="{00000000-0005-0000-0000-000083740000}"/>
    <cellStyle name="40% - Accent6 12 6" xfId="33348" xr:uid="{00000000-0005-0000-0000-000084740000}"/>
    <cellStyle name="40% - Accent6 12 6 2" xfId="33349" xr:uid="{00000000-0005-0000-0000-000085740000}"/>
    <cellStyle name="40% - Accent6 12 7" xfId="33350" xr:uid="{00000000-0005-0000-0000-000086740000}"/>
    <cellStyle name="40% - Accent6 12 8" xfId="33351" xr:uid="{00000000-0005-0000-0000-000087740000}"/>
    <cellStyle name="40% - Accent6 13" xfId="33352" xr:uid="{00000000-0005-0000-0000-000088740000}"/>
    <cellStyle name="40% - Accent6 13 2" xfId="33353" xr:uid="{00000000-0005-0000-0000-000089740000}"/>
    <cellStyle name="40% - Accent6 13 2 2" xfId="33354" xr:uid="{00000000-0005-0000-0000-00008A740000}"/>
    <cellStyle name="40% - Accent6 13 2 2 2" xfId="33355" xr:uid="{00000000-0005-0000-0000-00008B740000}"/>
    <cellStyle name="40% - Accent6 13 2 3" xfId="33356" xr:uid="{00000000-0005-0000-0000-00008C740000}"/>
    <cellStyle name="40% - Accent6 13 3" xfId="33357" xr:uid="{00000000-0005-0000-0000-00008D740000}"/>
    <cellStyle name="40% - Accent6 13 3 2" xfId="33358" xr:uid="{00000000-0005-0000-0000-00008E740000}"/>
    <cellStyle name="40% - Accent6 13 4" xfId="33359" xr:uid="{00000000-0005-0000-0000-00008F740000}"/>
    <cellStyle name="40% - Accent6 13 5" xfId="33360" xr:uid="{00000000-0005-0000-0000-000090740000}"/>
    <cellStyle name="40% - Accent6 13 6" xfId="33361" xr:uid="{00000000-0005-0000-0000-000091740000}"/>
    <cellStyle name="40% - Accent6 14" xfId="33362" xr:uid="{00000000-0005-0000-0000-000092740000}"/>
    <cellStyle name="40% - Accent6 14 2" xfId="33363" xr:uid="{00000000-0005-0000-0000-000093740000}"/>
    <cellStyle name="40% - Accent6 14 2 2" xfId="33364" xr:uid="{00000000-0005-0000-0000-000094740000}"/>
    <cellStyle name="40% - Accent6 14 2 2 2" xfId="33365" xr:uid="{00000000-0005-0000-0000-000095740000}"/>
    <cellStyle name="40% - Accent6 14 2 3" xfId="33366" xr:uid="{00000000-0005-0000-0000-000096740000}"/>
    <cellStyle name="40% - Accent6 14 3" xfId="33367" xr:uid="{00000000-0005-0000-0000-000097740000}"/>
    <cellStyle name="40% - Accent6 14 3 2" xfId="33368" xr:uid="{00000000-0005-0000-0000-000098740000}"/>
    <cellStyle name="40% - Accent6 14 4" xfId="33369" xr:uid="{00000000-0005-0000-0000-000099740000}"/>
    <cellStyle name="40% - Accent6 15" xfId="33370" xr:uid="{00000000-0005-0000-0000-00009A740000}"/>
    <cellStyle name="40% - Accent6 15 2" xfId="33371" xr:uid="{00000000-0005-0000-0000-00009B740000}"/>
    <cellStyle name="40% - Accent6 15 2 2" xfId="33372" xr:uid="{00000000-0005-0000-0000-00009C740000}"/>
    <cellStyle name="40% - Accent6 15 2 2 2" xfId="33373" xr:uid="{00000000-0005-0000-0000-00009D740000}"/>
    <cellStyle name="40% - Accent6 15 2 3" xfId="33374" xr:uid="{00000000-0005-0000-0000-00009E740000}"/>
    <cellStyle name="40% - Accent6 15 3" xfId="33375" xr:uid="{00000000-0005-0000-0000-00009F740000}"/>
    <cellStyle name="40% - Accent6 15 3 2" xfId="33376" xr:uid="{00000000-0005-0000-0000-0000A0740000}"/>
    <cellStyle name="40% - Accent6 15 4" xfId="33377" xr:uid="{00000000-0005-0000-0000-0000A1740000}"/>
    <cellStyle name="40% - Accent6 16" xfId="33378" xr:uid="{00000000-0005-0000-0000-0000A2740000}"/>
    <cellStyle name="40% - Accent6 16 2" xfId="33379" xr:uid="{00000000-0005-0000-0000-0000A3740000}"/>
    <cellStyle name="40% - Accent6 16 2 2" xfId="33380" xr:uid="{00000000-0005-0000-0000-0000A4740000}"/>
    <cellStyle name="40% - Accent6 16 3" xfId="33381" xr:uid="{00000000-0005-0000-0000-0000A5740000}"/>
    <cellStyle name="40% - Accent6 17" xfId="33382" xr:uid="{00000000-0005-0000-0000-0000A6740000}"/>
    <cellStyle name="40% - Accent6 18" xfId="33383" xr:uid="{00000000-0005-0000-0000-0000A7740000}"/>
    <cellStyle name="40% - Accent6 19" xfId="33384" xr:uid="{00000000-0005-0000-0000-0000A8740000}"/>
    <cellStyle name="40% - Accent6 2" xfId="216" xr:uid="{00000000-0005-0000-0000-0000A9740000}"/>
    <cellStyle name="40% - Accent6 2 2" xfId="33385" xr:uid="{00000000-0005-0000-0000-0000AA740000}"/>
    <cellStyle name="40% - Accent6 2 2 10" xfId="33386" xr:uid="{00000000-0005-0000-0000-0000AB740000}"/>
    <cellStyle name="40% - Accent6 2 2 10 2" xfId="33387" xr:uid="{00000000-0005-0000-0000-0000AC740000}"/>
    <cellStyle name="40% - Accent6 2 2 10 2 2" xfId="33388" xr:uid="{00000000-0005-0000-0000-0000AD740000}"/>
    <cellStyle name="40% - Accent6 2 2 10 3" xfId="33389" xr:uid="{00000000-0005-0000-0000-0000AE740000}"/>
    <cellStyle name="40% - Accent6 2 2 11" xfId="33390" xr:uid="{00000000-0005-0000-0000-0000AF740000}"/>
    <cellStyle name="40% - Accent6 2 2 11 2" xfId="33391" xr:uid="{00000000-0005-0000-0000-0000B0740000}"/>
    <cellStyle name="40% - Accent6 2 2 11 2 2" xfId="33392" xr:uid="{00000000-0005-0000-0000-0000B1740000}"/>
    <cellStyle name="40% - Accent6 2 2 11 3" xfId="33393" xr:uid="{00000000-0005-0000-0000-0000B2740000}"/>
    <cellStyle name="40% - Accent6 2 2 12" xfId="33394" xr:uid="{00000000-0005-0000-0000-0000B3740000}"/>
    <cellStyle name="40% - Accent6 2 2 12 2" xfId="33395" xr:uid="{00000000-0005-0000-0000-0000B4740000}"/>
    <cellStyle name="40% - Accent6 2 2 12 2 2" xfId="33396" xr:uid="{00000000-0005-0000-0000-0000B5740000}"/>
    <cellStyle name="40% - Accent6 2 2 12 3" xfId="33397" xr:uid="{00000000-0005-0000-0000-0000B6740000}"/>
    <cellStyle name="40% - Accent6 2 2 13" xfId="33398" xr:uid="{00000000-0005-0000-0000-0000B7740000}"/>
    <cellStyle name="40% - Accent6 2 2 13 2" xfId="33399" xr:uid="{00000000-0005-0000-0000-0000B8740000}"/>
    <cellStyle name="40% - Accent6 2 2 14" xfId="33400" xr:uid="{00000000-0005-0000-0000-0000B9740000}"/>
    <cellStyle name="40% - Accent6 2 2 15" xfId="33401" xr:uid="{00000000-0005-0000-0000-0000BA740000}"/>
    <cellStyle name="40% - Accent6 2 2 16" xfId="33402" xr:uid="{00000000-0005-0000-0000-0000BB740000}"/>
    <cellStyle name="40% - Accent6 2 2 2" xfId="33403" xr:uid="{00000000-0005-0000-0000-0000BC740000}"/>
    <cellStyle name="40% - Accent6 2 2 2 10" xfId="33404" xr:uid="{00000000-0005-0000-0000-0000BD740000}"/>
    <cellStyle name="40% - Accent6 2 2 2 11" xfId="33405" xr:uid="{00000000-0005-0000-0000-0000BE740000}"/>
    <cellStyle name="40% - Accent6 2 2 2 2" xfId="33406" xr:uid="{00000000-0005-0000-0000-0000BF740000}"/>
    <cellStyle name="40% - Accent6 2 2 2 2 2" xfId="33407" xr:uid="{00000000-0005-0000-0000-0000C0740000}"/>
    <cellStyle name="40% - Accent6 2 2 2 2 2 2" xfId="33408" xr:uid="{00000000-0005-0000-0000-0000C1740000}"/>
    <cellStyle name="40% - Accent6 2 2 2 2 2 2 2" xfId="33409" xr:uid="{00000000-0005-0000-0000-0000C2740000}"/>
    <cellStyle name="40% - Accent6 2 2 2 2 2 2 2 2" xfId="33410" xr:uid="{00000000-0005-0000-0000-0000C3740000}"/>
    <cellStyle name="40% - Accent6 2 2 2 2 2 2 3" xfId="33411" xr:uid="{00000000-0005-0000-0000-0000C4740000}"/>
    <cellStyle name="40% - Accent6 2 2 2 2 2 3" xfId="33412" xr:uid="{00000000-0005-0000-0000-0000C5740000}"/>
    <cellStyle name="40% - Accent6 2 2 2 2 2 3 2" xfId="33413" xr:uid="{00000000-0005-0000-0000-0000C6740000}"/>
    <cellStyle name="40% - Accent6 2 2 2 2 2 4" xfId="33414" xr:uid="{00000000-0005-0000-0000-0000C7740000}"/>
    <cellStyle name="40% - Accent6 2 2 2 2 2 5" xfId="33415" xr:uid="{00000000-0005-0000-0000-0000C8740000}"/>
    <cellStyle name="40% - Accent6 2 2 2 2 2 6" xfId="33416" xr:uid="{00000000-0005-0000-0000-0000C9740000}"/>
    <cellStyle name="40% - Accent6 2 2 2 2 3" xfId="33417" xr:uid="{00000000-0005-0000-0000-0000CA740000}"/>
    <cellStyle name="40% - Accent6 2 2 2 2 3 2" xfId="33418" xr:uid="{00000000-0005-0000-0000-0000CB740000}"/>
    <cellStyle name="40% - Accent6 2 2 2 2 3 2 2" xfId="33419" xr:uid="{00000000-0005-0000-0000-0000CC740000}"/>
    <cellStyle name="40% - Accent6 2 2 2 2 3 3" xfId="33420" xr:uid="{00000000-0005-0000-0000-0000CD740000}"/>
    <cellStyle name="40% - Accent6 2 2 2 2 4" xfId="33421" xr:uid="{00000000-0005-0000-0000-0000CE740000}"/>
    <cellStyle name="40% - Accent6 2 2 2 2 4 2" xfId="33422" xr:uid="{00000000-0005-0000-0000-0000CF740000}"/>
    <cellStyle name="40% - Accent6 2 2 2 2 5" xfId="33423" xr:uid="{00000000-0005-0000-0000-0000D0740000}"/>
    <cellStyle name="40% - Accent6 2 2 2 2 5 2" xfId="33424" xr:uid="{00000000-0005-0000-0000-0000D1740000}"/>
    <cellStyle name="40% - Accent6 2 2 2 2 6" xfId="33425" xr:uid="{00000000-0005-0000-0000-0000D2740000}"/>
    <cellStyle name="40% - Accent6 2 2 2 2 7" xfId="33426" xr:uid="{00000000-0005-0000-0000-0000D3740000}"/>
    <cellStyle name="40% - Accent6 2 2 2 2 8" xfId="33427" xr:uid="{00000000-0005-0000-0000-0000D4740000}"/>
    <cellStyle name="40% - Accent6 2 2 2 3" xfId="33428" xr:uid="{00000000-0005-0000-0000-0000D5740000}"/>
    <cellStyle name="40% - Accent6 2 2 2 3 2" xfId="33429" xr:uid="{00000000-0005-0000-0000-0000D6740000}"/>
    <cellStyle name="40% - Accent6 2 2 2 3 2 2" xfId="33430" xr:uid="{00000000-0005-0000-0000-0000D7740000}"/>
    <cellStyle name="40% - Accent6 2 2 2 3 2 2 2" xfId="33431" xr:uid="{00000000-0005-0000-0000-0000D8740000}"/>
    <cellStyle name="40% - Accent6 2 2 2 3 2 2 2 2" xfId="33432" xr:uid="{00000000-0005-0000-0000-0000D9740000}"/>
    <cellStyle name="40% - Accent6 2 2 2 3 2 2 3" xfId="33433" xr:uid="{00000000-0005-0000-0000-0000DA740000}"/>
    <cellStyle name="40% - Accent6 2 2 2 3 2 3" xfId="33434" xr:uid="{00000000-0005-0000-0000-0000DB740000}"/>
    <cellStyle name="40% - Accent6 2 2 2 3 2 3 2" xfId="33435" xr:uid="{00000000-0005-0000-0000-0000DC740000}"/>
    <cellStyle name="40% - Accent6 2 2 2 3 2 4" xfId="33436" xr:uid="{00000000-0005-0000-0000-0000DD740000}"/>
    <cellStyle name="40% - Accent6 2 2 2 3 2 5" xfId="33437" xr:uid="{00000000-0005-0000-0000-0000DE740000}"/>
    <cellStyle name="40% - Accent6 2 2 2 3 2 6" xfId="33438" xr:uid="{00000000-0005-0000-0000-0000DF740000}"/>
    <cellStyle name="40% - Accent6 2 2 2 3 3" xfId="33439" xr:uid="{00000000-0005-0000-0000-0000E0740000}"/>
    <cellStyle name="40% - Accent6 2 2 2 3 3 2" xfId="33440" xr:uid="{00000000-0005-0000-0000-0000E1740000}"/>
    <cellStyle name="40% - Accent6 2 2 2 3 3 2 2" xfId="33441" xr:uid="{00000000-0005-0000-0000-0000E2740000}"/>
    <cellStyle name="40% - Accent6 2 2 2 3 3 3" xfId="33442" xr:uid="{00000000-0005-0000-0000-0000E3740000}"/>
    <cellStyle name="40% - Accent6 2 2 2 3 4" xfId="33443" xr:uid="{00000000-0005-0000-0000-0000E4740000}"/>
    <cellStyle name="40% - Accent6 2 2 2 3 4 2" xfId="33444" xr:uid="{00000000-0005-0000-0000-0000E5740000}"/>
    <cellStyle name="40% - Accent6 2 2 2 3 5" xfId="33445" xr:uid="{00000000-0005-0000-0000-0000E6740000}"/>
    <cellStyle name="40% - Accent6 2 2 2 3 6" xfId="33446" xr:uid="{00000000-0005-0000-0000-0000E7740000}"/>
    <cellStyle name="40% - Accent6 2 2 2 3 7" xfId="33447" xr:uid="{00000000-0005-0000-0000-0000E8740000}"/>
    <cellStyle name="40% - Accent6 2 2 2 4" xfId="33448" xr:uid="{00000000-0005-0000-0000-0000E9740000}"/>
    <cellStyle name="40% - Accent6 2 2 2 4 2" xfId="33449" xr:uid="{00000000-0005-0000-0000-0000EA740000}"/>
    <cellStyle name="40% - Accent6 2 2 2 4 2 2" xfId="33450" xr:uid="{00000000-0005-0000-0000-0000EB740000}"/>
    <cellStyle name="40% - Accent6 2 2 2 4 2 2 2" xfId="33451" xr:uid="{00000000-0005-0000-0000-0000EC740000}"/>
    <cellStyle name="40% - Accent6 2 2 2 4 2 3" xfId="33452" xr:uid="{00000000-0005-0000-0000-0000ED740000}"/>
    <cellStyle name="40% - Accent6 2 2 2 4 3" xfId="33453" xr:uid="{00000000-0005-0000-0000-0000EE740000}"/>
    <cellStyle name="40% - Accent6 2 2 2 4 3 2" xfId="33454" xr:uid="{00000000-0005-0000-0000-0000EF740000}"/>
    <cellStyle name="40% - Accent6 2 2 2 4 4" xfId="33455" xr:uid="{00000000-0005-0000-0000-0000F0740000}"/>
    <cellStyle name="40% - Accent6 2 2 2 4 5" xfId="33456" xr:uid="{00000000-0005-0000-0000-0000F1740000}"/>
    <cellStyle name="40% - Accent6 2 2 2 4 6" xfId="33457" xr:uid="{00000000-0005-0000-0000-0000F2740000}"/>
    <cellStyle name="40% - Accent6 2 2 2 5" xfId="33458" xr:uid="{00000000-0005-0000-0000-0000F3740000}"/>
    <cellStyle name="40% - Accent6 2 2 2 5 2" xfId="33459" xr:uid="{00000000-0005-0000-0000-0000F4740000}"/>
    <cellStyle name="40% - Accent6 2 2 2 5 2 2" xfId="33460" xr:uid="{00000000-0005-0000-0000-0000F5740000}"/>
    <cellStyle name="40% - Accent6 2 2 2 5 3" xfId="33461" xr:uid="{00000000-0005-0000-0000-0000F6740000}"/>
    <cellStyle name="40% - Accent6 2 2 2 6" xfId="33462" xr:uid="{00000000-0005-0000-0000-0000F7740000}"/>
    <cellStyle name="40% - Accent6 2 2 2 6 2" xfId="33463" xr:uid="{00000000-0005-0000-0000-0000F8740000}"/>
    <cellStyle name="40% - Accent6 2 2 2 6 2 2" xfId="33464" xr:uid="{00000000-0005-0000-0000-0000F9740000}"/>
    <cellStyle name="40% - Accent6 2 2 2 6 3" xfId="33465" xr:uid="{00000000-0005-0000-0000-0000FA740000}"/>
    <cellStyle name="40% - Accent6 2 2 2 7" xfId="33466" xr:uid="{00000000-0005-0000-0000-0000FB740000}"/>
    <cellStyle name="40% - Accent6 2 2 2 7 2" xfId="33467" xr:uid="{00000000-0005-0000-0000-0000FC740000}"/>
    <cellStyle name="40% - Accent6 2 2 2 8" xfId="33468" xr:uid="{00000000-0005-0000-0000-0000FD740000}"/>
    <cellStyle name="40% - Accent6 2 2 2 8 2" xfId="33469" xr:uid="{00000000-0005-0000-0000-0000FE740000}"/>
    <cellStyle name="40% - Accent6 2 2 2 9" xfId="33470" xr:uid="{00000000-0005-0000-0000-0000FF740000}"/>
    <cellStyle name="40% - Accent6 2 2 3" xfId="33471" xr:uid="{00000000-0005-0000-0000-000000750000}"/>
    <cellStyle name="40% - Accent6 2 2 3 10" xfId="33472" xr:uid="{00000000-0005-0000-0000-000001750000}"/>
    <cellStyle name="40% - Accent6 2 2 3 11" xfId="33473" xr:uid="{00000000-0005-0000-0000-000002750000}"/>
    <cellStyle name="40% - Accent6 2 2 3 2" xfId="33474" xr:uid="{00000000-0005-0000-0000-000003750000}"/>
    <cellStyle name="40% - Accent6 2 2 3 2 2" xfId="33475" xr:uid="{00000000-0005-0000-0000-000004750000}"/>
    <cellStyle name="40% - Accent6 2 2 3 2 2 2" xfId="33476" xr:uid="{00000000-0005-0000-0000-000005750000}"/>
    <cellStyle name="40% - Accent6 2 2 3 2 2 2 2" xfId="33477" xr:uid="{00000000-0005-0000-0000-000006750000}"/>
    <cellStyle name="40% - Accent6 2 2 3 2 2 2 2 2" xfId="33478" xr:uid="{00000000-0005-0000-0000-000007750000}"/>
    <cellStyle name="40% - Accent6 2 2 3 2 2 2 3" xfId="33479" xr:uid="{00000000-0005-0000-0000-000008750000}"/>
    <cellStyle name="40% - Accent6 2 2 3 2 2 3" xfId="33480" xr:uid="{00000000-0005-0000-0000-000009750000}"/>
    <cellStyle name="40% - Accent6 2 2 3 2 2 3 2" xfId="33481" xr:uid="{00000000-0005-0000-0000-00000A750000}"/>
    <cellStyle name="40% - Accent6 2 2 3 2 2 4" xfId="33482" xr:uid="{00000000-0005-0000-0000-00000B750000}"/>
    <cellStyle name="40% - Accent6 2 2 3 2 2 5" xfId="33483" xr:uid="{00000000-0005-0000-0000-00000C750000}"/>
    <cellStyle name="40% - Accent6 2 2 3 2 2 6" xfId="33484" xr:uid="{00000000-0005-0000-0000-00000D750000}"/>
    <cellStyle name="40% - Accent6 2 2 3 2 3" xfId="33485" xr:uid="{00000000-0005-0000-0000-00000E750000}"/>
    <cellStyle name="40% - Accent6 2 2 3 2 3 2" xfId="33486" xr:uid="{00000000-0005-0000-0000-00000F750000}"/>
    <cellStyle name="40% - Accent6 2 2 3 2 3 2 2" xfId="33487" xr:uid="{00000000-0005-0000-0000-000010750000}"/>
    <cellStyle name="40% - Accent6 2 2 3 2 3 3" xfId="33488" xr:uid="{00000000-0005-0000-0000-000011750000}"/>
    <cellStyle name="40% - Accent6 2 2 3 2 4" xfId="33489" xr:uid="{00000000-0005-0000-0000-000012750000}"/>
    <cellStyle name="40% - Accent6 2 2 3 2 4 2" xfId="33490" xr:uid="{00000000-0005-0000-0000-000013750000}"/>
    <cellStyle name="40% - Accent6 2 2 3 2 5" xfId="33491" xr:uid="{00000000-0005-0000-0000-000014750000}"/>
    <cellStyle name="40% - Accent6 2 2 3 2 5 2" xfId="33492" xr:uid="{00000000-0005-0000-0000-000015750000}"/>
    <cellStyle name="40% - Accent6 2 2 3 2 6" xfId="33493" xr:uid="{00000000-0005-0000-0000-000016750000}"/>
    <cellStyle name="40% - Accent6 2 2 3 2 7" xfId="33494" xr:uid="{00000000-0005-0000-0000-000017750000}"/>
    <cellStyle name="40% - Accent6 2 2 3 2 8" xfId="33495" xr:uid="{00000000-0005-0000-0000-000018750000}"/>
    <cellStyle name="40% - Accent6 2 2 3 3" xfId="33496" xr:uid="{00000000-0005-0000-0000-000019750000}"/>
    <cellStyle name="40% - Accent6 2 2 3 3 2" xfId="33497" xr:uid="{00000000-0005-0000-0000-00001A750000}"/>
    <cellStyle name="40% - Accent6 2 2 3 3 2 2" xfId="33498" xr:uid="{00000000-0005-0000-0000-00001B750000}"/>
    <cellStyle name="40% - Accent6 2 2 3 3 2 2 2" xfId="33499" xr:uid="{00000000-0005-0000-0000-00001C750000}"/>
    <cellStyle name="40% - Accent6 2 2 3 3 2 2 2 2" xfId="33500" xr:uid="{00000000-0005-0000-0000-00001D750000}"/>
    <cellStyle name="40% - Accent6 2 2 3 3 2 2 3" xfId="33501" xr:uid="{00000000-0005-0000-0000-00001E750000}"/>
    <cellStyle name="40% - Accent6 2 2 3 3 2 3" xfId="33502" xr:uid="{00000000-0005-0000-0000-00001F750000}"/>
    <cellStyle name="40% - Accent6 2 2 3 3 2 3 2" xfId="33503" xr:uid="{00000000-0005-0000-0000-000020750000}"/>
    <cellStyle name="40% - Accent6 2 2 3 3 2 4" xfId="33504" xr:uid="{00000000-0005-0000-0000-000021750000}"/>
    <cellStyle name="40% - Accent6 2 2 3 3 2 5" xfId="33505" xr:uid="{00000000-0005-0000-0000-000022750000}"/>
    <cellStyle name="40% - Accent6 2 2 3 3 2 6" xfId="33506" xr:uid="{00000000-0005-0000-0000-000023750000}"/>
    <cellStyle name="40% - Accent6 2 2 3 3 3" xfId="33507" xr:uid="{00000000-0005-0000-0000-000024750000}"/>
    <cellStyle name="40% - Accent6 2 2 3 3 3 2" xfId="33508" xr:uid="{00000000-0005-0000-0000-000025750000}"/>
    <cellStyle name="40% - Accent6 2 2 3 3 3 2 2" xfId="33509" xr:uid="{00000000-0005-0000-0000-000026750000}"/>
    <cellStyle name="40% - Accent6 2 2 3 3 3 3" xfId="33510" xr:uid="{00000000-0005-0000-0000-000027750000}"/>
    <cellStyle name="40% - Accent6 2 2 3 3 4" xfId="33511" xr:uid="{00000000-0005-0000-0000-000028750000}"/>
    <cellStyle name="40% - Accent6 2 2 3 3 4 2" xfId="33512" xr:uid="{00000000-0005-0000-0000-000029750000}"/>
    <cellStyle name="40% - Accent6 2 2 3 3 5" xfId="33513" xr:uid="{00000000-0005-0000-0000-00002A750000}"/>
    <cellStyle name="40% - Accent6 2 2 3 3 6" xfId="33514" xr:uid="{00000000-0005-0000-0000-00002B750000}"/>
    <cellStyle name="40% - Accent6 2 2 3 3 7" xfId="33515" xr:uid="{00000000-0005-0000-0000-00002C750000}"/>
    <cellStyle name="40% - Accent6 2 2 3 4" xfId="33516" xr:uid="{00000000-0005-0000-0000-00002D750000}"/>
    <cellStyle name="40% - Accent6 2 2 3 4 2" xfId="33517" xr:uid="{00000000-0005-0000-0000-00002E750000}"/>
    <cellStyle name="40% - Accent6 2 2 3 4 2 2" xfId="33518" xr:uid="{00000000-0005-0000-0000-00002F750000}"/>
    <cellStyle name="40% - Accent6 2 2 3 4 2 2 2" xfId="33519" xr:uid="{00000000-0005-0000-0000-000030750000}"/>
    <cellStyle name="40% - Accent6 2 2 3 4 2 3" xfId="33520" xr:uid="{00000000-0005-0000-0000-000031750000}"/>
    <cellStyle name="40% - Accent6 2 2 3 4 3" xfId="33521" xr:uid="{00000000-0005-0000-0000-000032750000}"/>
    <cellStyle name="40% - Accent6 2 2 3 4 3 2" xfId="33522" xr:uid="{00000000-0005-0000-0000-000033750000}"/>
    <cellStyle name="40% - Accent6 2 2 3 4 4" xfId="33523" xr:uid="{00000000-0005-0000-0000-000034750000}"/>
    <cellStyle name="40% - Accent6 2 2 3 4 5" xfId="33524" xr:uid="{00000000-0005-0000-0000-000035750000}"/>
    <cellStyle name="40% - Accent6 2 2 3 4 6" xfId="33525" xr:uid="{00000000-0005-0000-0000-000036750000}"/>
    <cellStyle name="40% - Accent6 2 2 3 5" xfId="33526" xr:uid="{00000000-0005-0000-0000-000037750000}"/>
    <cellStyle name="40% - Accent6 2 2 3 5 2" xfId="33527" xr:uid="{00000000-0005-0000-0000-000038750000}"/>
    <cellStyle name="40% - Accent6 2 2 3 5 2 2" xfId="33528" xr:uid="{00000000-0005-0000-0000-000039750000}"/>
    <cellStyle name="40% - Accent6 2 2 3 5 3" xfId="33529" xr:uid="{00000000-0005-0000-0000-00003A750000}"/>
    <cellStyle name="40% - Accent6 2 2 3 6" xfId="33530" xr:uid="{00000000-0005-0000-0000-00003B750000}"/>
    <cellStyle name="40% - Accent6 2 2 3 6 2" xfId="33531" xr:uid="{00000000-0005-0000-0000-00003C750000}"/>
    <cellStyle name="40% - Accent6 2 2 3 6 2 2" xfId="33532" xr:uid="{00000000-0005-0000-0000-00003D750000}"/>
    <cellStyle name="40% - Accent6 2 2 3 6 3" xfId="33533" xr:uid="{00000000-0005-0000-0000-00003E750000}"/>
    <cellStyle name="40% - Accent6 2 2 3 7" xfId="33534" xr:uid="{00000000-0005-0000-0000-00003F750000}"/>
    <cellStyle name="40% - Accent6 2 2 3 7 2" xfId="33535" xr:uid="{00000000-0005-0000-0000-000040750000}"/>
    <cellStyle name="40% - Accent6 2 2 3 8" xfId="33536" xr:uid="{00000000-0005-0000-0000-000041750000}"/>
    <cellStyle name="40% - Accent6 2 2 3 8 2" xfId="33537" xr:uid="{00000000-0005-0000-0000-000042750000}"/>
    <cellStyle name="40% - Accent6 2 2 3 9" xfId="33538" xr:uid="{00000000-0005-0000-0000-000043750000}"/>
    <cellStyle name="40% - Accent6 2 2 4" xfId="33539" xr:uid="{00000000-0005-0000-0000-000044750000}"/>
    <cellStyle name="40% - Accent6 2 2 4 10" xfId="33540" xr:uid="{00000000-0005-0000-0000-000045750000}"/>
    <cellStyle name="40% - Accent6 2 2 4 11" xfId="33541" xr:uid="{00000000-0005-0000-0000-000046750000}"/>
    <cellStyle name="40% - Accent6 2 2 4 2" xfId="33542" xr:uid="{00000000-0005-0000-0000-000047750000}"/>
    <cellStyle name="40% - Accent6 2 2 4 2 2" xfId="33543" xr:uid="{00000000-0005-0000-0000-000048750000}"/>
    <cellStyle name="40% - Accent6 2 2 4 2 2 2" xfId="33544" xr:uid="{00000000-0005-0000-0000-000049750000}"/>
    <cellStyle name="40% - Accent6 2 2 4 2 2 2 2" xfId="33545" xr:uid="{00000000-0005-0000-0000-00004A750000}"/>
    <cellStyle name="40% - Accent6 2 2 4 2 2 2 2 2" xfId="33546" xr:uid="{00000000-0005-0000-0000-00004B750000}"/>
    <cellStyle name="40% - Accent6 2 2 4 2 2 2 3" xfId="33547" xr:uid="{00000000-0005-0000-0000-00004C750000}"/>
    <cellStyle name="40% - Accent6 2 2 4 2 2 3" xfId="33548" xr:uid="{00000000-0005-0000-0000-00004D750000}"/>
    <cellStyle name="40% - Accent6 2 2 4 2 2 3 2" xfId="33549" xr:uid="{00000000-0005-0000-0000-00004E750000}"/>
    <cellStyle name="40% - Accent6 2 2 4 2 2 4" xfId="33550" xr:uid="{00000000-0005-0000-0000-00004F750000}"/>
    <cellStyle name="40% - Accent6 2 2 4 2 2 5" xfId="33551" xr:uid="{00000000-0005-0000-0000-000050750000}"/>
    <cellStyle name="40% - Accent6 2 2 4 2 2 6" xfId="33552" xr:uid="{00000000-0005-0000-0000-000051750000}"/>
    <cellStyle name="40% - Accent6 2 2 4 2 3" xfId="33553" xr:uid="{00000000-0005-0000-0000-000052750000}"/>
    <cellStyle name="40% - Accent6 2 2 4 2 3 2" xfId="33554" xr:uid="{00000000-0005-0000-0000-000053750000}"/>
    <cellStyle name="40% - Accent6 2 2 4 2 3 2 2" xfId="33555" xr:uid="{00000000-0005-0000-0000-000054750000}"/>
    <cellStyle name="40% - Accent6 2 2 4 2 3 3" xfId="33556" xr:uid="{00000000-0005-0000-0000-000055750000}"/>
    <cellStyle name="40% - Accent6 2 2 4 2 4" xfId="33557" xr:uid="{00000000-0005-0000-0000-000056750000}"/>
    <cellStyle name="40% - Accent6 2 2 4 2 4 2" xfId="33558" xr:uid="{00000000-0005-0000-0000-000057750000}"/>
    <cellStyle name="40% - Accent6 2 2 4 2 5" xfId="33559" xr:uid="{00000000-0005-0000-0000-000058750000}"/>
    <cellStyle name="40% - Accent6 2 2 4 2 5 2" xfId="33560" xr:uid="{00000000-0005-0000-0000-000059750000}"/>
    <cellStyle name="40% - Accent6 2 2 4 2 6" xfId="33561" xr:uid="{00000000-0005-0000-0000-00005A750000}"/>
    <cellStyle name="40% - Accent6 2 2 4 2 7" xfId="33562" xr:uid="{00000000-0005-0000-0000-00005B750000}"/>
    <cellStyle name="40% - Accent6 2 2 4 2 8" xfId="33563" xr:uid="{00000000-0005-0000-0000-00005C750000}"/>
    <cellStyle name="40% - Accent6 2 2 4 3" xfId="33564" xr:uid="{00000000-0005-0000-0000-00005D750000}"/>
    <cellStyle name="40% - Accent6 2 2 4 3 2" xfId="33565" xr:uid="{00000000-0005-0000-0000-00005E750000}"/>
    <cellStyle name="40% - Accent6 2 2 4 3 2 2" xfId="33566" xr:uid="{00000000-0005-0000-0000-00005F750000}"/>
    <cellStyle name="40% - Accent6 2 2 4 3 2 2 2" xfId="33567" xr:uid="{00000000-0005-0000-0000-000060750000}"/>
    <cellStyle name="40% - Accent6 2 2 4 3 2 2 2 2" xfId="33568" xr:uid="{00000000-0005-0000-0000-000061750000}"/>
    <cellStyle name="40% - Accent6 2 2 4 3 2 2 3" xfId="33569" xr:uid="{00000000-0005-0000-0000-000062750000}"/>
    <cellStyle name="40% - Accent6 2 2 4 3 2 3" xfId="33570" xr:uid="{00000000-0005-0000-0000-000063750000}"/>
    <cellStyle name="40% - Accent6 2 2 4 3 2 3 2" xfId="33571" xr:uid="{00000000-0005-0000-0000-000064750000}"/>
    <cellStyle name="40% - Accent6 2 2 4 3 2 4" xfId="33572" xr:uid="{00000000-0005-0000-0000-000065750000}"/>
    <cellStyle name="40% - Accent6 2 2 4 3 2 5" xfId="33573" xr:uid="{00000000-0005-0000-0000-000066750000}"/>
    <cellStyle name="40% - Accent6 2 2 4 3 2 6" xfId="33574" xr:uid="{00000000-0005-0000-0000-000067750000}"/>
    <cellStyle name="40% - Accent6 2 2 4 3 3" xfId="33575" xr:uid="{00000000-0005-0000-0000-000068750000}"/>
    <cellStyle name="40% - Accent6 2 2 4 3 3 2" xfId="33576" xr:uid="{00000000-0005-0000-0000-000069750000}"/>
    <cellStyle name="40% - Accent6 2 2 4 3 3 2 2" xfId="33577" xr:uid="{00000000-0005-0000-0000-00006A750000}"/>
    <cellStyle name="40% - Accent6 2 2 4 3 3 3" xfId="33578" xr:uid="{00000000-0005-0000-0000-00006B750000}"/>
    <cellStyle name="40% - Accent6 2 2 4 3 4" xfId="33579" xr:uid="{00000000-0005-0000-0000-00006C750000}"/>
    <cellStyle name="40% - Accent6 2 2 4 3 4 2" xfId="33580" xr:uid="{00000000-0005-0000-0000-00006D750000}"/>
    <cellStyle name="40% - Accent6 2 2 4 3 5" xfId="33581" xr:uid="{00000000-0005-0000-0000-00006E750000}"/>
    <cellStyle name="40% - Accent6 2 2 4 3 6" xfId="33582" xr:uid="{00000000-0005-0000-0000-00006F750000}"/>
    <cellStyle name="40% - Accent6 2 2 4 3 7" xfId="33583" xr:uid="{00000000-0005-0000-0000-000070750000}"/>
    <cellStyle name="40% - Accent6 2 2 4 4" xfId="33584" xr:uid="{00000000-0005-0000-0000-000071750000}"/>
    <cellStyle name="40% - Accent6 2 2 4 4 2" xfId="33585" xr:uid="{00000000-0005-0000-0000-000072750000}"/>
    <cellStyle name="40% - Accent6 2 2 4 4 2 2" xfId="33586" xr:uid="{00000000-0005-0000-0000-000073750000}"/>
    <cellStyle name="40% - Accent6 2 2 4 4 2 2 2" xfId="33587" xr:uid="{00000000-0005-0000-0000-000074750000}"/>
    <cellStyle name="40% - Accent6 2 2 4 4 2 3" xfId="33588" xr:uid="{00000000-0005-0000-0000-000075750000}"/>
    <cellStyle name="40% - Accent6 2 2 4 4 3" xfId="33589" xr:uid="{00000000-0005-0000-0000-000076750000}"/>
    <cellStyle name="40% - Accent6 2 2 4 4 3 2" xfId="33590" xr:uid="{00000000-0005-0000-0000-000077750000}"/>
    <cellStyle name="40% - Accent6 2 2 4 4 4" xfId="33591" xr:uid="{00000000-0005-0000-0000-000078750000}"/>
    <cellStyle name="40% - Accent6 2 2 4 4 5" xfId="33592" xr:uid="{00000000-0005-0000-0000-000079750000}"/>
    <cellStyle name="40% - Accent6 2 2 4 4 6" xfId="33593" xr:uid="{00000000-0005-0000-0000-00007A750000}"/>
    <cellStyle name="40% - Accent6 2 2 4 5" xfId="33594" xr:uid="{00000000-0005-0000-0000-00007B750000}"/>
    <cellStyle name="40% - Accent6 2 2 4 5 2" xfId="33595" xr:uid="{00000000-0005-0000-0000-00007C750000}"/>
    <cellStyle name="40% - Accent6 2 2 4 5 2 2" xfId="33596" xr:uid="{00000000-0005-0000-0000-00007D750000}"/>
    <cellStyle name="40% - Accent6 2 2 4 5 3" xfId="33597" xr:uid="{00000000-0005-0000-0000-00007E750000}"/>
    <cellStyle name="40% - Accent6 2 2 4 6" xfId="33598" xr:uid="{00000000-0005-0000-0000-00007F750000}"/>
    <cellStyle name="40% - Accent6 2 2 4 6 2" xfId="33599" xr:uid="{00000000-0005-0000-0000-000080750000}"/>
    <cellStyle name="40% - Accent6 2 2 4 6 2 2" xfId="33600" xr:uid="{00000000-0005-0000-0000-000081750000}"/>
    <cellStyle name="40% - Accent6 2 2 4 6 3" xfId="33601" xr:uid="{00000000-0005-0000-0000-000082750000}"/>
    <cellStyle name="40% - Accent6 2 2 4 7" xfId="33602" xr:uid="{00000000-0005-0000-0000-000083750000}"/>
    <cellStyle name="40% - Accent6 2 2 4 7 2" xfId="33603" xr:uid="{00000000-0005-0000-0000-000084750000}"/>
    <cellStyle name="40% - Accent6 2 2 4 8" xfId="33604" xr:uid="{00000000-0005-0000-0000-000085750000}"/>
    <cellStyle name="40% - Accent6 2 2 4 8 2" xfId="33605" xr:uid="{00000000-0005-0000-0000-000086750000}"/>
    <cellStyle name="40% - Accent6 2 2 4 9" xfId="33606" xr:uid="{00000000-0005-0000-0000-000087750000}"/>
    <cellStyle name="40% - Accent6 2 2 5" xfId="33607" xr:uid="{00000000-0005-0000-0000-000088750000}"/>
    <cellStyle name="40% - Accent6 2 2 5 10" xfId="33608" xr:uid="{00000000-0005-0000-0000-000089750000}"/>
    <cellStyle name="40% - Accent6 2 2 5 11" xfId="33609" xr:uid="{00000000-0005-0000-0000-00008A750000}"/>
    <cellStyle name="40% - Accent6 2 2 5 2" xfId="33610" xr:uid="{00000000-0005-0000-0000-00008B750000}"/>
    <cellStyle name="40% - Accent6 2 2 5 2 2" xfId="33611" xr:uid="{00000000-0005-0000-0000-00008C750000}"/>
    <cellStyle name="40% - Accent6 2 2 5 2 2 2" xfId="33612" xr:uid="{00000000-0005-0000-0000-00008D750000}"/>
    <cellStyle name="40% - Accent6 2 2 5 2 2 2 2" xfId="33613" xr:uid="{00000000-0005-0000-0000-00008E750000}"/>
    <cellStyle name="40% - Accent6 2 2 5 2 2 2 2 2" xfId="33614" xr:uid="{00000000-0005-0000-0000-00008F750000}"/>
    <cellStyle name="40% - Accent6 2 2 5 2 2 2 3" xfId="33615" xr:uid="{00000000-0005-0000-0000-000090750000}"/>
    <cellStyle name="40% - Accent6 2 2 5 2 2 3" xfId="33616" xr:uid="{00000000-0005-0000-0000-000091750000}"/>
    <cellStyle name="40% - Accent6 2 2 5 2 2 3 2" xfId="33617" xr:uid="{00000000-0005-0000-0000-000092750000}"/>
    <cellStyle name="40% - Accent6 2 2 5 2 2 4" xfId="33618" xr:uid="{00000000-0005-0000-0000-000093750000}"/>
    <cellStyle name="40% - Accent6 2 2 5 2 2 5" xfId="33619" xr:uid="{00000000-0005-0000-0000-000094750000}"/>
    <cellStyle name="40% - Accent6 2 2 5 2 2 6" xfId="33620" xr:uid="{00000000-0005-0000-0000-000095750000}"/>
    <cellStyle name="40% - Accent6 2 2 5 2 3" xfId="33621" xr:uid="{00000000-0005-0000-0000-000096750000}"/>
    <cellStyle name="40% - Accent6 2 2 5 2 3 2" xfId="33622" xr:uid="{00000000-0005-0000-0000-000097750000}"/>
    <cellStyle name="40% - Accent6 2 2 5 2 3 2 2" xfId="33623" xr:uid="{00000000-0005-0000-0000-000098750000}"/>
    <cellStyle name="40% - Accent6 2 2 5 2 3 3" xfId="33624" xr:uid="{00000000-0005-0000-0000-000099750000}"/>
    <cellStyle name="40% - Accent6 2 2 5 2 4" xfId="33625" xr:uid="{00000000-0005-0000-0000-00009A750000}"/>
    <cellStyle name="40% - Accent6 2 2 5 2 4 2" xfId="33626" xr:uid="{00000000-0005-0000-0000-00009B750000}"/>
    <cellStyle name="40% - Accent6 2 2 5 2 5" xfId="33627" xr:uid="{00000000-0005-0000-0000-00009C750000}"/>
    <cellStyle name="40% - Accent6 2 2 5 2 5 2" xfId="33628" xr:uid="{00000000-0005-0000-0000-00009D750000}"/>
    <cellStyle name="40% - Accent6 2 2 5 2 6" xfId="33629" xr:uid="{00000000-0005-0000-0000-00009E750000}"/>
    <cellStyle name="40% - Accent6 2 2 5 2 7" xfId="33630" xr:uid="{00000000-0005-0000-0000-00009F750000}"/>
    <cellStyle name="40% - Accent6 2 2 5 2 8" xfId="33631" xr:uid="{00000000-0005-0000-0000-0000A0750000}"/>
    <cellStyle name="40% - Accent6 2 2 5 3" xfId="33632" xr:uid="{00000000-0005-0000-0000-0000A1750000}"/>
    <cellStyle name="40% - Accent6 2 2 5 3 2" xfId="33633" xr:uid="{00000000-0005-0000-0000-0000A2750000}"/>
    <cellStyle name="40% - Accent6 2 2 5 3 2 2" xfId="33634" xr:uid="{00000000-0005-0000-0000-0000A3750000}"/>
    <cellStyle name="40% - Accent6 2 2 5 3 2 2 2" xfId="33635" xr:uid="{00000000-0005-0000-0000-0000A4750000}"/>
    <cellStyle name="40% - Accent6 2 2 5 3 2 2 2 2" xfId="33636" xr:uid="{00000000-0005-0000-0000-0000A5750000}"/>
    <cellStyle name="40% - Accent6 2 2 5 3 2 2 3" xfId="33637" xr:uid="{00000000-0005-0000-0000-0000A6750000}"/>
    <cellStyle name="40% - Accent6 2 2 5 3 2 3" xfId="33638" xr:uid="{00000000-0005-0000-0000-0000A7750000}"/>
    <cellStyle name="40% - Accent6 2 2 5 3 2 3 2" xfId="33639" xr:uid="{00000000-0005-0000-0000-0000A8750000}"/>
    <cellStyle name="40% - Accent6 2 2 5 3 2 4" xfId="33640" xr:uid="{00000000-0005-0000-0000-0000A9750000}"/>
    <cellStyle name="40% - Accent6 2 2 5 3 2 5" xfId="33641" xr:uid="{00000000-0005-0000-0000-0000AA750000}"/>
    <cellStyle name="40% - Accent6 2 2 5 3 2 6" xfId="33642" xr:uid="{00000000-0005-0000-0000-0000AB750000}"/>
    <cellStyle name="40% - Accent6 2 2 5 3 3" xfId="33643" xr:uid="{00000000-0005-0000-0000-0000AC750000}"/>
    <cellStyle name="40% - Accent6 2 2 5 3 3 2" xfId="33644" xr:uid="{00000000-0005-0000-0000-0000AD750000}"/>
    <cellStyle name="40% - Accent6 2 2 5 3 3 2 2" xfId="33645" xr:uid="{00000000-0005-0000-0000-0000AE750000}"/>
    <cellStyle name="40% - Accent6 2 2 5 3 3 3" xfId="33646" xr:uid="{00000000-0005-0000-0000-0000AF750000}"/>
    <cellStyle name="40% - Accent6 2 2 5 3 4" xfId="33647" xr:uid="{00000000-0005-0000-0000-0000B0750000}"/>
    <cellStyle name="40% - Accent6 2 2 5 3 4 2" xfId="33648" xr:uid="{00000000-0005-0000-0000-0000B1750000}"/>
    <cellStyle name="40% - Accent6 2 2 5 3 5" xfId="33649" xr:uid="{00000000-0005-0000-0000-0000B2750000}"/>
    <cellStyle name="40% - Accent6 2 2 5 3 6" xfId="33650" xr:uid="{00000000-0005-0000-0000-0000B3750000}"/>
    <cellStyle name="40% - Accent6 2 2 5 3 7" xfId="33651" xr:uid="{00000000-0005-0000-0000-0000B4750000}"/>
    <cellStyle name="40% - Accent6 2 2 5 4" xfId="33652" xr:uid="{00000000-0005-0000-0000-0000B5750000}"/>
    <cellStyle name="40% - Accent6 2 2 5 4 2" xfId="33653" xr:uid="{00000000-0005-0000-0000-0000B6750000}"/>
    <cellStyle name="40% - Accent6 2 2 5 4 2 2" xfId="33654" xr:uid="{00000000-0005-0000-0000-0000B7750000}"/>
    <cellStyle name="40% - Accent6 2 2 5 4 2 2 2" xfId="33655" xr:uid="{00000000-0005-0000-0000-0000B8750000}"/>
    <cellStyle name="40% - Accent6 2 2 5 4 2 3" xfId="33656" xr:uid="{00000000-0005-0000-0000-0000B9750000}"/>
    <cellStyle name="40% - Accent6 2 2 5 4 3" xfId="33657" xr:uid="{00000000-0005-0000-0000-0000BA750000}"/>
    <cellStyle name="40% - Accent6 2 2 5 4 3 2" xfId="33658" xr:uid="{00000000-0005-0000-0000-0000BB750000}"/>
    <cellStyle name="40% - Accent6 2 2 5 4 4" xfId="33659" xr:uid="{00000000-0005-0000-0000-0000BC750000}"/>
    <cellStyle name="40% - Accent6 2 2 5 4 5" xfId="33660" xr:uid="{00000000-0005-0000-0000-0000BD750000}"/>
    <cellStyle name="40% - Accent6 2 2 5 4 6" xfId="33661" xr:uid="{00000000-0005-0000-0000-0000BE750000}"/>
    <cellStyle name="40% - Accent6 2 2 5 5" xfId="33662" xr:uid="{00000000-0005-0000-0000-0000BF750000}"/>
    <cellStyle name="40% - Accent6 2 2 5 5 2" xfId="33663" xr:uid="{00000000-0005-0000-0000-0000C0750000}"/>
    <cellStyle name="40% - Accent6 2 2 5 5 2 2" xfId="33664" xr:uid="{00000000-0005-0000-0000-0000C1750000}"/>
    <cellStyle name="40% - Accent6 2 2 5 5 3" xfId="33665" xr:uid="{00000000-0005-0000-0000-0000C2750000}"/>
    <cellStyle name="40% - Accent6 2 2 5 6" xfId="33666" xr:uid="{00000000-0005-0000-0000-0000C3750000}"/>
    <cellStyle name="40% - Accent6 2 2 5 6 2" xfId="33667" xr:uid="{00000000-0005-0000-0000-0000C4750000}"/>
    <cellStyle name="40% - Accent6 2 2 5 6 2 2" xfId="33668" xr:uid="{00000000-0005-0000-0000-0000C5750000}"/>
    <cellStyle name="40% - Accent6 2 2 5 6 3" xfId="33669" xr:uid="{00000000-0005-0000-0000-0000C6750000}"/>
    <cellStyle name="40% - Accent6 2 2 5 7" xfId="33670" xr:uid="{00000000-0005-0000-0000-0000C7750000}"/>
    <cellStyle name="40% - Accent6 2 2 5 7 2" xfId="33671" xr:uid="{00000000-0005-0000-0000-0000C8750000}"/>
    <cellStyle name="40% - Accent6 2 2 5 8" xfId="33672" xr:uid="{00000000-0005-0000-0000-0000C9750000}"/>
    <cellStyle name="40% - Accent6 2 2 5 8 2" xfId="33673" xr:uid="{00000000-0005-0000-0000-0000CA750000}"/>
    <cellStyle name="40% - Accent6 2 2 5 9" xfId="33674" xr:uid="{00000000-0005-0000-0000-0000CB750000}"/>
    <cellStyle name="40% - Accent6 2 2 6" xfId="33675" xr:uid="{00000000-0005-0000-0000-0000CC750000}"/>
    <cellStyle name="40% - Accent6 2 2 6 10" xfId="33676" xr:uid="{00000000-0005-0000-0000-0000CD750000}"/>
    <cellStyle name="40% - Accent6 2 2 6 11" xfId="33677" xr:uid="{00000000-0005-0000-0000-0000CE750000}"/>
    <cellStyle name="40% - Accent6 2 2 6 2" xfId="33678" xr:uid="{00000000-0005-0000-0000-0000CF750000}"/>
    <cellStyle name="40% - Accent6 2 2 6 2 2" xfId="33679" xr:uid="{00000000-0005-0000-0000-0000D0750000}"/>
    <cellStyle name="40% - Accent6 2 2 6 2 2 2" xfId="33680" xr:uid="{00000000-0005-0000-0000-0000D1750000}"/>
    <cellStyle name="40% - Accent6 2 2 6 2 2 2 2" xfId="33681" xr:uid="{00000000-0005-0000-0000-0000D2750000}"/>
    <cellStyle name="40% - Accent6 2 2 6 2 2 2 2 2" xfId="33682" xr:uid="{00000000-0005-0000-0000-0000D3750000}"/>
    <cellStyle name="40% - Accent6 2 2 6 2 2 2 3" xfId="33683" xr:uid="{00000000-0005-0000-0000-0000D4750000}"/>
    <cellStyle name="40% - Accent6 2 2 6 2 2 3" xfId="33684" xr:uid="{00000000-0005-0000-0000-0000D5750000}"/>
    <cellStyle name="40% - Accent6 2 2 6 2 2 3 2" xfId="33685" xr:uid="{00000000-0005-0000-0000-0000D6750000}"/>
    <cellStyle name="40% - Accent6 2 2 6 2 2 4" xfId="33686" xr:uid="{00000000-0005-0000-0000-0000D7750000}"/>
    <cellStyle name="40% - Accent6 2 2 6 2 2 5" xfId="33687" xr:uid="{00000000-0005-0000-0000-0000D8750000}"/>
    <cellStyle name="40% - Accent6 2 2 6 2 2 6" xfId="33688" xr:uid="{00000000-0005-0000-0000-0000D9750000}"/>
    <cellStyle name="40% - Accent6 2 2 6 2 3" xfId="33689" xr:uid="{00000000-0005-0000-0000-0000DA750000}"/>
    <cellStyle name="40% - Accent6 2 2 6 2 3 2" xfId="33690" xr:uid="{00000000-0005-0000-0000-0000DB750000}"/>
    <cellStyle name="40% - Accent6 2 2 6 2 3 2 2" xfId="33691" xr:uid="{00000000-0005-0000-0000-0000DC750000}"/>
    <cellStyle name="40% - Accent6 2 2 6 2 3 3" xfId="33692" xr:uid="{00000000-0005-0000-0000-0000DD750000}"/>
    <cellStyle name="40% - Accent6 2 2 6 2 4" xfId="33693" xr:uid="{00000000-0005-0000-0000-0000DE750000}"/>
    <cellStyle name="40% - Accent6 2 2 6 2 4 2" xfId="33694" xr:uid="{00000000-0005-0000-0000-0000DF750000}"/>
    <cellStyle name="40% - Accent6 2 2 6 2 5" xfId="33695" xr:uid="{00000000-0005-0000-0000-0000E0750000}"/>
    <cellStyle name="40% - Accent6 2 2 6 2 5 2" xfId="33696" xr:uid="{00000000-0005-0000-0000-0000E1750000}"/>
    <cellStyle name="40% - Accent6 2 2 6 2 6" xfId="33697" xr:uid="{00000000-0005-0000-0000-0000E2750000}"/>
    <cellStyle name="40% - Accent6 2 2 6 2 7" xfId="33698" xr:uid="{00000000-0005-0000-0000-0000E3750000}"/>
    <cellStyle name="40% - Accent6 2 2 6 2 8" xfId="33699" xr:uid="{00000000-0005-0000-0000-0000E4750000}"/>
    <cellStyle name="40% - Accent6 2 2 6 3" xfId="33700" xr:uid="{00000000-0005-0000-0000-0000E5750000}"/>
    <cellStyle name="40% - Accent6 2 2 6 3 2" xfId="33701" xr:uid="{00000000-0005-0000-0000-0000E6750000}"/>
    <cellStyle name="40% - Accent6 2 2 6 3 2 2" xfId="33702" xr:uid="{00000000-0005-0000-0000-0000E7750000}"/>
    <cellStyle name="40% - Accent6 2 2 6 3 2 2 2" xfId="33703" xr:uid="{00000000-0005-0000-0000-0000E8750000}"/>
    <cellStyle name="40% - Accent6 2 2 6 3 2 2 2 2" xfId="33704" xr:uid="{00000000-0005-0000-0000-0000E9750000}"/>
    <cellStyle name="40% - Accent6 2 2 6 3 2 2 3" xfId="33705" xr:uid="{00000000-0005-0000-0000-0000EA750000}"/>
    <cellStyle name="40% - Accent6 2 2 6 3 2 3" xfId="33706" xr:uid="{00000000-0005-0000-0000-0000EB750000}"/>
    <cellStyle name="40% - Accent6 2 2 6 3 2 3 2" xfId="33707" xr:uid="{00000000-0005-0000-0000-0000EC750000}"/>
    <cellStyle name="40% - Accent6 2 2 6 3 2 4" xfId="33708" xr:uid="{00000000-0005-0000-0000-0000ED750000}"/>
    <cellStyle name="40% - Accent6 2 2 6 3 2 5" xfId="33709" xr:uid="{00000000-0005-0000-0000-0000EE750000}"/>
    <cellStyle name="40% - Accent6 2 2 6 3 2 6" xfId="33710" xr:uid="{00000000-0005-0000-0000-0000EF750000}"/>
    <cellStyle name="40% - Accent6 2 2 6 3 3" xfId="33711" xr:uid="{00000000-0005-0000-0000-0000F0750000}"/>
    <cellStyle name="40% - Accent6 2 2 6 3 3 2" xfId="33712" xr:uid="{00000000-0005-0000-0000-0000F1750000}"/>
    <cellStyle name="40% - Accent6 2 2 6 3 3 2 2" xfId="33713" xr:uid="{00000000-0005-0000-0000-0000F2750000}"/>
    <cellStyle name="40% - Accent6 2 2 6 3 3 3" xfId="33714" xr:uid="{00000000-0005-0000-0000-0000F3750000}"/>
    <cellStyle name="40% - Accent6 2 2 6 3 4" xfId="33715" xr:uid="{00000000-0005-0000-0000-0000F4750000}"/>
    <cellStyle name="40% - Accent6 2 2 6 3 4 2" xfId="33716" xr:uid="{00000000-0005-0000-0000-0000F5750000}"/>
    <cellStyle name="40% - Accent6 2 2 6 3 5" xfId="33717" xr:uid="{00000000-0005-0000-0000-0000F6750000}"/>
    <cellStyle name="40% - Accent6 2 2 6 3 6" xfId="33718" xr:uid="{00000000-0005-0000-0000-0000F7750000}"/>
    <cellStyle name="40% - Accent6 2 2 6 3 7" xfId="33719" xr:uid="{00000000-0005-0000-0000-0000F8750000}"/>
    <cellStyle name="40% - Accent6 2 2 6 4" xfId="33720" xr:uid="{00000000-0005-0000-0000-0000F9750000}"/>
    <cellStyle name="40% - Accent6 2 2 6 4 2" xfId="33721" xr:uid="{00000000-0005-0000-0000-0000FA750000}"/>
    <cellStyle name="40% - Accent6 2 2 6 4 2 2" xfId="33722" xr:uid="{00000000-0005-0000-0000-0000FB750000}"/>
    <cellStyle name="40% - Accent6 2 2 6 4 2 2 2" xfId="33723" xr:uid="{00000000-0005-0000-0000-0000FC750000}"/>
    <cellStyle name="40% - Accent6 2 2 6 4 2 3" xfId="33724" xr:uid="{00000000-0005-0000-0000-0000FD750000}"/>
    <cellStyle name="40% - Accent6 2 2 6 4 3" xfId="33725" xr:uid="{00000000-0005-0000-0000-0000FE750000}"/>
    <cellStyle name="40% - Accent6 2 2 6 4 3 2" xfId="33726" xr:uid="{00000000-0005-0000-0000-0000FF750000}"/>
    <cellStyle name="40% - Accent6 2 2 6 4 4" xfId="33727" xr:uid="{00000000-0005-0000-0000-000000760000}"/>
    <cellStyle name="40% - Accent6 2 2 6 4 5" xfId="33728" xr:uid="{00000000-0005-0000-0000-000001760000}"/>
    <cellStyle name="40% - Accent6 2 2 6 4 6" xfId="33729" xr:uid="{00000000-0005-0000-0000-000002760000}"/>
    <cellStyle name="40% - Accent6 2 2 6 5" xfId="33730" xr:uid="{00000000-0005-0000-0000-000003760000}"/>
    <cellStyle name="40% - Accent6 2 2 6 5 2" xfId="33731" xr:uid="{00000000-0005-0000-0000-000004760000}"/>
    <cellStyle name="40% - Accent6 2 2 6 5 2 2" xfId="33732" xr:uid="{00000000-0005-0000-0000-000005760000}"/>
    <cellStyle name="40% - Accent6 2 2 6 5 3" xfId="33733" xr:uid="{00000000-0005-0000-0000-000006760000}"/>
    <cellStyle name="40% - Accent6 2 2 6 6" xfId="33734" xr:uid="{00000000-0005-0000-0000-000007760000}"/>
    <cellStyle name="40% - Accent6 2 2 6 6 2" xfId="33735" xr:uid="{00000000-0005-0000-0000-000008760000}"/>
    <cellStyle name="40% - Accent6 2 2 6 6 2 2" xfId="33736" xr:uid="{00000000-0005-0000-0000-000009760000}"/>
    <cellStyle name="40% - Accent6 2 2 6 6 3" xfId="33737" xr:uid="{00000000-0005-0000-0000-00000A760000}"/>
    <cellStyle name="40% - Accent6 2 2 6 7" xfId="33738" xr:uid="{00000000-0005-0000-0000-00000B760000}"/>
    <cellStyle name="40% - Accent6 2 2 6 7 2" xfId="33739" xr:uid="{00000000-0005-0000-0000-00000C760000}"/>
    <cellStyle name="40% - Accent6 2 2 6 8" xfId="33740" xr:uid="{00000000-0005-0000-0000-00000D760000}"/>
    <cellStyle name="40% - Accent6 2 2 6 8 2" xfId="33741" xr:uid="{00000000-0005-0000-0000-00000E760000}"/>
    <cellStyle name="40% - Accent6 2 2 6 9" xfId="33742" xr:uid="{00000000-0005-0000-0000-00000F760000}"/>
    <cellStyle name="40% - Accent6 2 2 7" xfId="33743" xr:uid="{00000000-0005-0000-0000-000010760000}"/>
    <cellStyle name="40% - Accent6 2 2 7 2" xfId="33744" xr:uid="{00000000-0005-0000-0000-000011760000}"/>
    <cellStyle name="40% - Accent6 2 2 7 2 2" xfId="33745" xr:uid="{00000000-0005-0000-0000-000012760000}"/>
    <cellStyle name="40% - Accent6 2 2 7 2 2 2" xfId="33746" xr:uid="{00000000-0005-0000-0000-000013760000}"/>
    <cellStyle name="40% - Accent6 2 2 7 2 2 2 2" xfId="33747" xr:uid="{00000000-0005-0000-0000-000014760000}"/>
    <cellStyle name="40% - Accent6 2 2 7 2 2 3" xfId="33748" xr:uid="{00000000-0005-0000-0000-000015760000}"/>
    <cellStyle name="40% - Accent6 2 2 7 2 3" xfId="33749" xr:uid="{00000000-0005-0000-0000-000016760000}"/>
    <cellStyle name="40% - Accent6 2 2 7 2 3 2" xfId="33750" xr:uid="{00000000-0005-0000-0000-000017760000}"/>
    <cellStyle name="40% - Accent6 2 2 7 2 4" xfId="33751" xr:uid="{00000000-0005-0000-0000-000018760000}"/>
    <cellStyle name="40% - Accent6 2 2 7 2 5" xfId="33752" xr:uid="{00000000-0005-0000-0000-000019760000}"/>
    <cellStyle name="40% - Accent6 2 2 7 2 6" xfId="33753" xr:uid="{00000000-0005-0000-0000-00001A760000}"/>
    <cellStyle name="40% - Accent6 2 2 7 3" xfId="33754" xr:uid="{00000000-0005-0000-0000-00001B760000}"/>
    <cellStyle name="40% - Accent6 2 2 7 3 2" xfId="33755" xr:uid="{00000000-0005-0000-0000-00001C760000}"/>
    <cellStyle name="40% - Accent6 2 2 7 3 2 2" xfId="33756" xr:uid="{00000000-0005-0000-0000-00001D760000}"/>
    <cellStyle name="40% - Accent6 2 2 7 3 3" xfId="33757" xr:uid="{00000000-0005-0000-0000-00001E760000}"/>
    <cellStyle name="40% - Accent6 2 2 7 4" xfId="33758" xr:uid="{00000000-0005-0000-0000-00001F760000}"/>
    <cellStyle name="40% - Accent6 2 2 7 4 2" xfId="33759" xr:uid="{00000000-0005-0000-0000-000020760000}"/>
    <cellStyle name="40% - Accent6 2 2 7 5" xfId="33760" xr:uid="{00000000-0005-0000-0000-000021760000}"/>
    <cellStyle name="40% - Accent6 2 2 7 5 2" xfId="33761" xr:uid="{00000000-0005-0000-0000-000022760000}"/>
    <cellStyle name="40% - Accent6 2 2 7 6" xfId="33762" xr:uid="{00000000-0005-0000-0000-000023760000}"/>
    <cellStyle name="40% - Accent6 2 2 7 7" xfId="33763" xr:uid="{00000000-0005-0000-0000-000024760000}"/>
    <cellStyle name="40% - Accent6 2 2 7 8" xfId="33764" xr:uid="{00000000-0005-0000-0000-000025760000}"/>
    <cellStyle name="40% - Accent6 2 2 8" xfId="33765" xr:uid="{00000000-0005-0000-0000-000026760000}"/>
    <cellStyle name="40% - Accent6 2 2 8 2" xfId="33766" xr:uid="{00000000-0005-0000-0000-000027760000}"/>
    <cellStyle name="40% - Accent6 2 2 8 2 2" xfId="33767" xr:uid="{00000000-0005-0000-0000-000028760000}"/>
    <cellStyle name="40% - Accent6 2 2 8 2 2 2" xfId="33768" xr:uid="{00000000-0005-0000-0000-000029760000}"/>
    <cellStyle name="40% - Accent6 2 2 8 2 2 2 2" xfId="33769" xr:uid="{00000000-0005-0000-0000-00002A760000}"/>
    <cellStyle name="40% - Accent6 2 2 8 2 2 3" xfId="33770" xr:uid="{00000000-0005-0000-0000-00002B760000}"/>
    <cellStyle name="40% - Accent6 2 2 8 2 3" xfId="33771" xr:uid="{00000000-0005-0000-0000-00002C760000}"/>
    <cellStyle name="40% - Accent6 2 2 8 2 3 2" xfId="33772" xr:uid="{00000000-0005-0000-0000-00002D760000}"/>
    <cellStyle name="40% - Accent6 2 2 8 2 4" xfId="33773" xr:uid="{00000000-0005-0000-0000-00002E760000}"/>
    <cellStyle name="40% - Accent6 2 2 8 2 5" xfId="33774" xr:uid="{00000000-0005-0000-0000-00002F760000}"/>
    <cellStyle name="40% - Accent6 2 2 8 2 6" xfId="33775" xr:uid="{00000000-0005-0000-0000-000030760000}"/>
    <cellStyle name="40% - Accent6 2 2 8 3" xfId="33776" xr:uid="{00000000-0005-0000-0000-000031760000}"/>
    <cellStyle name="40% - Accent6 2 2 8 3 2" xfId="33777" xr:uid="{00000000-0005-0000-0000-000032760000}"/>
    <cellStyle name="40% - Accent6 2 2 8 3 2 2" xfId="33778" xr:uid="{00000000-0005-0000-0000-000033760000}"/>
    <cellStyle name="40% - Accent6 2 2 8 3 3" xfId="33779" xr:uid="{00000000-0005-0000-0000-000034760000}"/>
    <cellStyle name="40% - Accent6 2 2 8 4" xfId="33780" xr:uid="{00000000-0005-0000-0000-000035760000}"/>
    <cellStyle name="40% - Accent6 2 2 8 4 2" xfId="33781" xr:uid="{00000000-0005-0000-0000-000036760000}"/>
    <cellStyle name="40% - Accent6 2 2 8 5" xfId="33782" xr:uid="{00000000-0005-0000-0000-000037760000}"/>
    <cellStyle name="40% - Accent6 2 2 8 6" xfId="33783" xr:uid="{00000000-0005-0000-0000-000038760000}"/>
    <cellStyle name="40% - Accent6 2 2 8 7" xfId="33784" xr:uid="{00000000-0005-0000-0000-000039760000}"/>
    <cellStyle name="40% - Accent6 2 2 9" xfId="33785" xr:uid="{00000000-0005-0000-0000-00003A760000}"/>
    <cellStyle name="40% - Accent6 2 2 9 2" xfId="33786" xr:uid="{00000000-0005-0000-0000-00003B760000}"/>
    <cellStyle name="40% - Accent6 2 2 9 2 2" xfId="33787" xr:uid="{00000000-0005-0000-0000-00003C760000}"/>
    <cellStyle name="40% - Accent6 2 2 9 2 2 2" xfId="33788" xr:uid="{00000000-0005-0000-0000-00003D760000}"/>
    <cellStyle name="40% - Accent6 2 2 9 2 3" xfId="33789" xr:uid="{00000000-0005-0000-0000-00003E760000}"/>
    <cellStyle name="40% - Accent6 2 2 9 3" xfId="33790" xr:uid="{00000000-0005-0000-0000-00003F760000}"/>
    <cellStyle name="40% - Accent6 2 2 9 3 2" xfId="33791" xr:uid="{00000000-0005-0000-0000-000040760000}"/>
    <cellStyle name="40% - Accent6 2 2 9 4" xfId="33792" xr:uid="{00000000-0005-0000-0000-000041760000}"/>
    <cellStyle name="40% - Accent6 2 2 9 5" xfId="33793" xr:uid="{00000000-0005-0000-0000-000042760000}"/>
    <cellStyle name="40% - Accent6 2 2 9 6" xfId="33794" xr:uid="{00000000-0005-0000-0000-000043760000}"/>
    <cellStyle name="40% - Accent6 2 3" xfId="33795" xr:uid="{00000000-0005-0000-0000-000044760000}"/>
    <cellStyle name="40% - Accent6 2 3 2" xfId="33796" xr:uid="{00000000-0005-0000-0000-000045760000}"/>
    <cellStyle name="40% - Accent6 2 3 2 2" xfId="33797" xr:uid="{00000000-0005-0000-0000-000046760000}"/>
    <cellStyle name="40% - Accent6 2 3 2 2 2" xfId="33798" xr:uid="{00000000-0005-0000-0000-000047760000}"/>
    <cellStyle name="40% - Accent6 2 3 2 2 2 2" xfId="33799" xr:uid="{00000000-0005-0000-0000-000048760000}"/>
    <cellStyle name="40% - Accent6 2 3 2 2 3" xfId="33800" xr:uid="{00000000-0005-0000-0000-000049760000}"/>
    <cellStyle name="40% - Accent6 2 3 2 3" xfId="33801" xr:uid="{00000000-0005-0000-0000-00004A760000}"/>
    <cellStyle name="40% - Accent6 2 3 2 3 2" xfId="33802" xr:uid="{00000000-0005-0000-0000-00004B760000}"/>
    <cellStyle name="40% - Accent6 2 3 2 4" xfId="33803" xr:uid="{00000000-0005-0000-0000-00004C760000}"/>
    <cellStyle name="40% - Accent6 2 3 3" xfId="33804" xr:uid="{00000000-0005-0000-0000-00004D760000}"/>
    <cellStyle name="40% - Accent6 2 3 3 2" xfId="33805" xr:uid="{00000000-0005-0000-0000-00004E760000}"/>
    <cellStyle name="40% - Accent6 2 3 3 2 2" xfId="33806" xr:uid="{00000000-0005-0000-0000-00004F760000}"/>
    <cellStyle name="40% - Accent6 2 3 3 2 2 2" xfId="33807" xr:uid="{00000000-0005-0000-0000-000050760000}"/>
    <cellStyle name="40% - Accent6 2 3 3 2 3" xfId="33808" xr:uid="{00000000-0005-0000-0000-000051760000}"/>
    <cellStyle name="40% - Accent6 2 3 3 3" xfId="33809" xr:uid="{00000000-0005-0000-0000-000052760000}"/>
    <cellStyle name="40% - Accent6 2 3 3 3 2" xfId="33810" xr:uid="{00000000-0005-0000-0000-000053760000}"/>
    <cellStyle name="40% - Accent6 2 3 3 4" xfId="33811" xr:uid="{00000000-0005-0000-0000-000054760000}"/>
    <cellStyle name="40% - Accent6 2 3 4" xfId="33812" xr:uid="{00000000-0005-0000-0000-000055760000}"/>
    <cellStyle name="40% - Accent6 2 3 4 2" xfId="33813" xr:uid="{00000000-0005-0000-0000-000056760000}"/>
    <cellStyle name="40% - Accent6 2 3 4 2 2" xfId="33814" xr:uid="{00000000-0005-0000-0000-000057760000}"/>
    <cellStyle name="40% - Accent6 2 3 4 2 2 2" xfId="33815" xr:uid="{00000000-0005-0000-0000-000058760000}"/>
    <cellStyle name="40% - Accent6 2 3 4 2 3" xfId="33816" xr:uid="{00000000-0005-0000-0000-000059760000}"/>
    <cellStyle name="40% - Accent6 2 3 4 3" xfId="33817" xr:uid="{00000000-0005-0000-0000-00005A760000}"/>
    <cellStyle name="40% - Accent6 2 3 4 3 2" xfId="33818" xr:uid="{00000000-0005-0000-0000-00005B760000}"/>
    <cellStyle name="40% - Accent6 2 3 4 4" xfId="33819" xr:uid="{00000000-0005-0000-0000-00005C760000}"/>
    <cellStyle name="40% - Accent6 2 4" xfId="33820" xr:uid="{00000000-0005-0000-0000-00005D760000}"/>
    <cellStyle name="40% - Accent6 2 4 2" xfId="33821" xr:uid="{00000000-0005-0000-0000-00005E760000}"/>
    <cellStyle name="40% - Accent6 2 5" xfId="33822" xr:uid="{00000000-0005-0000-0000-00005F760000}"/>
    <cellStyle name="40% - Accent6 2 5 2" xfId="33823" xr:uid="{00000000-0005-0000-0000-000060760000}"/>
    <cellStyle name="40% - Accent6 2 6" xfId="33824" xr:uid="{00000000-0005-0000-0000-000061760000}"/>
    <cellStyle name="40% - Accent6 2 6 2" xfId="33825" xr:uid="{00000000-0005-0000-0000-000062760000}"/>
    <cellStyle name="40% - Accent6 2 7" xfId="33826" xr:uid="{00000000-0005-0000-0000-000063760000}"/>
    <cellStyle name="40% - Accent6 2 7 2" xfId="33827" xr:uid="{00000000-0005-0000-0000-000064760000}"/>
    <cellStyle name="40% - Accent6 2 7 2 2" xfId="33828" xr:uid="{00000000-0005-0000-0000-000065760000}"/>
    <cellStyle name="40% - Accent6 2 7 3" xfId="33829" xr:uid="{00000000-0005-0000-0000-000066760000}"/>
    <cellStyle name="40% - Accent6 3" xfId="217" xr:uid="{00000000-0005-0000-0000-000067760000}"/>
    <cellStyle name="40% - Accent6 3 10" xfId="33830" xr:uid="{00000000-0005-0000-0000-000068760000}"/>
    <cellStyle name="40% - Accent6 3 10 2" xfId="33831" xr:uid="{00000000-0005-0000-0000-000069760000}"/>
    <cellStyle name="40% - Accent6 3 10 2 2" xfId="33832" xr:uid="{00000000-0005-0000-0000-00006A760000}"/>
    <cellStyle name="40% - Accent6 3 10 2 2 2" xfId="33833" xr:uid="{00000000-0005-0000-0000-00006B760000}"/>
    <cellStyle name="40% - Accent6 3 10 2 2 2 2" xfId="33834" xr:uid="{00000000-0005-0000-0000-00006C760000}"/>
    <cellStyle name="40% - Accent6 3 10 2 2 3" xfId="33835" xr:uid="{00000000-0005-0000-0000-00006D760000}"/>
    <cellStyle name="40% - Accent6 3 10 2 3" xfId="33836" xr:uid="{00000000-0005-0000-0000-00006E760000}"/>
    <cellStyle name="40% - Accent6 3 10 2 3 2" xfId="33837" xr:uid="{00000000-0005-0000-0000-00006F760000}"/>
    <cellStyle name="40% - Accent6 3 10 2 4" xfId="33838" xr:uid="{00000000-0005-0000-0000-000070760000}"/>
    <cellStyle name="40% - Accent6 3 10 2 5" xfId="33839" xr:uid="{00000000-0005-0000-0000-000071760000}"/>
    <cellStyle name="40% - Accent6 3 10 2 6" xfId="33840" xr:uid="{00000000-0005-0000-0000-000072760000}"/>
    <cellStyle name="40% - Accent6 3 10 3" xfId="33841" xr:uid="{00000000-0005-0000-0000-000073760000}"/>
    <cellStyle name="40% - Accent6 3 10 3 2" xfId="33842" xr:uid="{00000000-0005-0000-0000-000074760000}"/>
    <cellStyle name="40% - Accent6 3 10 3 2 2" xfId="33843" xr:uid="{00000000-0005-0000-0000-000075760000}"/>
    <cellStyle name="40% - Accent6 3 10 3 3" xfId="33844" xr:uid="{00000000-0005-0000-0000-000076760000}"/>
    <cellStyle name="40% - Accent6 3 10 4" xfId="33845" xr:uid="{00000000-0005-0000-0000-000077760000}"/>
    <cellStyle name="40% - Accent6 3 10 4 2" xfId="33846" xr:uid="{00000000-0005-0000-0000-000078760000}"/>
    <cellStyle name="40% - Accent6 3 10 4 2 2" xfId="33847" xr:uid="{00000000-0005-0000-0000-000079760000}"/>
    <cellStyle name="40% - Accent6 3 10 4 3" xfId="33848" xr:uid="{00000000-0005-0000-0000-00007A760000}"/>
    <cellStyle name="40% - Accent6 3 10 5" xfId="33849" xr:uid="{00000000-0005-0000-0000-00007B760000}"/>
    <cellStyle name="40% - Accent6 3 10 6" xfId="33850" xr:uid="{00000000-0005-0000-0000-00007C760000}"/>
    <cellStyle name="40% - Accent6 3 11" xfId="33851" xr:uid="{00000000-0005-0000-0000-00007D760000}"/>
    <cellStyle name="40% - Accent6 3 11 2" xfId="33852" xr:uid="{00000000-0005-0000-0000-00007E760000}"/>
    <cellStyle name="40% - Accent6 3 11 2 2" xfId="33853" xr:uid="{00000000-0005-0000-0000-00007F760000}"/>
    <cellStyle name="40% - Accent6 3 11 2 2 2" xfId="33854" xr:uid="{00000000-0005-0000-0000-000080760000}"/>
    <cellStyle name="40% - Accent6 3 11 2 2 2 2" xfId="33855" xr:uid="{00000000-0005-0000-0000-000081760000}"/>
    <cellStyle name="40% - Accent6 3 11 2 2 3" xfId="33856" xr:uid="{00000000-0005-0000-0000-000082760000}"/>
    <cellStyle name="40% - Accent6 3 11 2 3" xfId="33857" xr:uid="{00000000-0005-0000-0000-000083760000}"/>
    <cellStyle name="40% - Accent6 3 11 2 3 2" xfId="33858" xr:uid="{00000000-0005-0000-0000-000084760000}"/>
    <cellStyle name="40% - Accent6 3 11 2 4" xfId="33859" xr:uid="{00000000-0005-0000-0000-000085760000}"/>
    <cellStyle name="40% - Accent6 3 11 2 5" xfId="33860" xr:uid="{00000000-0005-0000-0000-000086760000}"/>
    <cellStyle name="40% - Accent6 3 11 2 6" xfId="33861" xr:uid="{00000000-0005-0000-0000-000087760000}"/>
    <cellStyle name="40% - Accent6 3 11 3" xfId="33862" xr:uid="{00000000-0005-0000-0000-000088760000}"/>
    <cellStyle name="40% - Accent6 3 11 3 2" xfId="33863" xr:uid="{00000000-0005-0000-0000-000089760000}"/>
    <cellStyle name="40% - Accent6 3 11 3 2 2" xfId="33864" xr:uid="{00000000-0005-0000-0000-00008A760000}"/>
    <cellStyle name="40% - Accent6 3 11 3 3" xfId="33865" xr:uid="{00000000-0005-0000-0000-00008B760000}"/>
    <cellStyle name="40% - Accent6 3 11 4" xfId="33866" xr:uid="{00000000-0005-0000-0000-00008C760000}"/>
    <cellStyle name="40% - Accent6 3 11 4 2" xfId="33867" xr:uid="{00000000-0005-0000-0000-00008D760000}"/>
    <cellStyle name="40% - Accent6 3 11 5" xfId="33868" xr:uid="{00000000-0005-0000-0000-00008E760000}"/>
    <cellStyle name="40% - Accent6 3 11 6" xfId="33869" xr:uid="{00000000-0005-0000-0000-00008F760000}"/>
    <cellStyle name="40% - Accent6 3 11 7" xfId="33870" xr:uid="{00000000-0005-0000-0000-000090760000}"/>
    <cellStyle name="40% - Accent6 3 12" xfId="33871" xr:uid="{00000000-0005-0000-0000-000091760000}"/>
    <cellStyle name="40% - Accent6 3 13" xfId="33872" xr:uid="{00000000-0005-0000-0000-000092760000}"/>
    <cellStyle name="40% - Accent6 3 13 2" xfId="33873" xr:uid="{00000000-0005-0000-0000-000093760000}"/>
    <cellStyle name="40% - Accent6 3 13 2 2" xfId="33874" xr:uid="{00000000-0005-0000-0000-000094760000}"/>
    <cellStyle name="40% - Accent6 3 13 2 2 2" xfId="33875" xr:uid="{00000000-0005-0000-0000-000095760000}"/>
    <cellStyle name="40% - Accent6 3 13 2 3" xfId="33876" xr:uid="{00000000-0005-0000-0000-000096760000}"/>
    <cellStyle name="40% - Accent6 3 13 3" xfId="33877" xr:uid="{00000000-0005-0000-0000-000097760000}"/>
    <cellStyle name="40% - Accent6 3 13 3 2" xfId="33878" xr:uid="{00000000-0005-0000-0000-000098760000}"/>
    <cellStyle name="40% - Accent6 3 13 4" xfId="33879" xr:uid="{00000000-0005-0000-0000-000099760000}"/>
    <cellStyle name="40% - Accent6 3 14" xfId="33880" xr:uid="{00000000-0005-0000-0000-00009A760000}"/>
    <cellStyle name="40% - Accent6 3 14 2" xfId="33881" xr:uid="{00000000-0005-0000-0000-00009B760000}"/>
    <cellStyle name="40% - Accent6 3 14 2 2" xfId="33882" xr:uid="{00000000-0005-0000-0000-00009C760000}"/>
    <cellStyle name="40% - Accent6 3 14 2 2 2" xfId="33883" xr:uid="{00000000-0005-0000-0000-00009D760000}"/>
    <cellStyle name="40% - Accent6 3 14 2 3" xfId="33884" xr:uid="{00000000-0005-0000-0000-00009E760000}"/>
    <cellStyle name="40% - Accent6 3 14 3" xfId="33885" xr:uid="{00000000-0005-0000-0000-00009F760000}"/>
    <cellStyle name="40% - Accent6 3 14 3 2" xfId="33886" xr:uid="{00000000-0005-0000-0000-0000A0760000}"/>
    <cellStyle name="40% - Accent6 3 14 4" xfId="33887" xr:uid="{00000000-0005-0000-0000-0000A1760000}"/>
    <cellStyle name="40% - Accent6 3 15" xfId="33888" xr:uid="{00000000-0005-0000-0000-0000A2760000}"/>
    <cellStyle name="40% - Accent6 3 15 2" xfId="33889" xr:uid="{00000000-0005-0000-0000-0000A3760000}"/>
    <cellStyle name="40% - Accent6 3 15 2 2" xfId="33890" xr:uid="{00000000-0005-0000-0000-0000A4760000}"/>
    <cellStyle name="40% - Accent6 3 15 2 2 2" xfId="33891" xr:uid="{00000000-0005-0000-0000-0000A5760000}"/>
    <cellStyle name="40% - Accent6 3 15 2 3" xfId="33892" xr:uid="{00000000-0005-0000-0000-0000A6760000}"/>
    <cellStyle name="40% - Accent6 3 15 3" xfId="33893" xr:uid="{00000000-0005-0000-0000-0000A7760000}"/>
    <cellStyle name="40% - Accent6 3 15 3 2" xfId="33894" xr:uid="{00000000-0005-0000-0000-0000A8760000}"/>
    <cellStyle name="40% - Accent6 3 15 4" xfId="33895" xr:uid="{00000000-0005-0000-0000-0000A9760000}"/>
    <cellStyle name="40% - Accent6 3 16" xfId="33896" xr:uid="{00000000-0005-0000-0000-0000AA760000}"/>
    <cellStyle name="40% - Accent6 3 16 2" xfId="33897" xr:uid="{00000000-0005-0000-0000-0000AB760000}"/>
    <cellStyle name="40% - Accent6 3 16 2 2" xfId="33898" xr:uid="{00000000-0005-0000-0000-0000AC760000}"/>
    <cellStyle name="40% - Accent6 3 16 3" xfId="33899" xr:uid="{00000000-0005-0000-0000-0000AD760000}"/>
    <cellStyle name="40% - Accent6 3 2" xfId="33900" xr:uid="{00000000-0005-0000-0000-0000AE760000}"/>
    <cellStyle name="40% - Accent6 3 2 10" xfId="33901" xr:uid="{00000000-0005-0000-0000-0000AF760000}"/>
    <cellStyle name="40% - Accent6 3 2 11" xfId="33902" xr:uid="{00000000-0005-0000-0000-0000B0760000}"/>
    <cellStyle name="40% - Accent6 3 2 2" xfId="33903" xr:uid="{00000000-0005-0000-0000-0000B1760000}"/>
    <cellStyle name="40% - Accent6 3 2 2 2" xfId="33904" xr:uid="{00000000-0005-0000-0000-0000B2760000}"/>
    <cellStyle name="40% - Accent6 3 2 2 2 2" xfId="33905" xr:uid="{00000000-0005-0000-0000-0000B3760000}"/>
    <cellStyle name="40% - Accent6 3 2 2 2 2 2" xfId="33906" xr:uid="{00000000-0005-0000-0000-0000B4760000}"/>
    <cellStyle name="40% - Accent6 3 2 2 2 2 2 2" xfId="33907" xr:uid="{00000000-0005-0000-0000-0000B5760000}"/>
    <cellStyle name="40% - Accent6 3 2 2 2 2 3" xfId="33908" xr:uid="{00000000-0005-0000-0000-0000B6760000}"/>
    <cellStyle name="40% - Accent6 3 2 2 2 3" xfId="33909" xr:uid="{00000000-0005-0000-0000-0000B7760000}"/>
    <cellStyle name="40% - Accent6 3 2 2 2 3 2" xfId="33910" xr:uid="{00000000-0005-0000-0000-0000B8760000}"/>
    <cellStyle name="40% - Accent6 3 2 2 2 4" xfId="33911" xr:uid="{00000000-0005-0000-0000-0000B9760000}"/>
    <cellStyle name="40% - Accent6 3 2 2 2 5" xfId="33912" xr:uid="{00000000-0005-0000-0000-0000BA760000}"/>
    <cellStyle name="40% - Accent6 3 2 2 2 6" xfId="33913" xr:uid="{00000000-0005-0000-0000-0000BB760000}"/>
    <cellStyle name="40% - Accent6 3 2 2 3" xfId="33914" xr:uid="{00000000-0005-0000-0000-0000BC760000}"/>
    <cellStyle name="40% - Accent6 3 2 2 3 2" xfId="33915" xr:uid="{00000000-0005-0000-0000-0000BD760000}"/>
    <cellStyle name="40% - Accent6 3 2 2 3 2 2" xfId="33916" xr:uid="{00000000-0005-0000-0000-0000BE760000}"/>
    <cellStyle name="40% - Accent6 3 2 2 3 3" xfId="33917" xr:uid="{00000000-0005-0000-0000-0000BF760000}"/>
    <cellStyle name="40% - Accent6 3 2 2 4" xfId="33918" xr:uid="{00000000-0005-0000-0000-0000C0760000}"/>
    <cellStyle name="40% - Accent6 3 2 2 4 2" xfId="33919" xr:uid="{00000000-0005-0000-0000-0000C1760000}"/>
    <cellStyle name="40% - Accent6 3 2 2 5" xfId="33920" xr:uid="{00000000-0005-0000-0000-0000C2760000}"/>
    <cellStyle name="40% - Accent6 3 2 2 5 2" xfId="33921" xr:uid="{00000000-0005-0000-0000-0000C3760000}"/>
    <cellStyle name="40% - Accent6 3 2 2 6" xfId="33922" xr:uid="{00000000-0005-0000-0000-0000C4760000}"/>
    <cellStyle name="40% - Accent6 3 2 2 7" xfId="33923" xr:uid="{00000000-0005-0000-0000-0000C5760000}"/>
    <cellStyle name="40% - Accent6 3 2 2 8" xfId="33924" xr:uid="{00000000-0005-0000-0000-0000C6760000}"/>
    <cellStyle name="40% - Accent6 3 2 3" xfId="33925" xr:uid="{00000000-0005-0000-0000-0000C7760000}"/>
    <cellStyle name="40% - Accent6 3 2 3 2" xfId="33926" xr:uid="{00000000-0005-0000-0000-0000C8760000}"/>
    <cellStyle name="40% - Accent6 3 2 3 2 2" xfId="33927" xr:uid="{00000000-0005-0000-0000-0000C9760000}"/>
    <cellStyle name="40% - Accent6 3 2 3 2 2 2" xfId="33928" xr:uid="{00000000-0005-0000-0000-0000CA760000}"/>
    <cellStyle name="40% - Accent6 3 2 3 2 2 2 2" xfId="33929" xr:uid="{00000000-0005-0000-0000-0000CB760000}"/>
    <cellStyle name="40% - Accent6 3 2 3 2 2 3" xfId="33930" xr:uid="{00000000-0005-0000-0000-0000CC760000}"/>
    <cellStyle name="40% - Accent6 3 2 3 2 3" xfId="33931" xr:uid="{00000000-0005-0000-0000-0000CD760000}"/>
    <cellStyle name="40% - Accent6 3 2 3 2 3 2" xfId="33932" xr:uid="{00000000-0005-0000-0000-0000CE760000}"/>
    <cellStyle name="40% - Accent6 3 2 3 2 4" xfId="33933" xr:uid="{00000000-0005-0000-0000-0000CF760000}"/>
    <cellStyle name="40% - Accent6 3 2 3 2 5" xfId="33934" xr:uid="{00000000-0005-0000-0000-0000D0760000}"/>
    <cellStyle name="40% - Accent6 3 2 3 2 6" xfId="33935" xr:uid="{00000000-0005-0000-0000-0000D1760000}"/>
    <cellStyle name="40% - Accent6 3 2 3 3" xfId="33936" xr:uid="{00000000-0005-0000-0000-0000D2760000}"/>
    <cellStyle name="40% - Accent6 3 2 3 3 2" xfId="33937" xr:uid="{00000000-0005-0000-0000-0000D3760000}"/>
    <cellStyle name="40% - Accent6 3 2 3 3 2 2" xfId="33938" xr:uid="{00000000-0005-0000-0000-0000D4760000}"/>
    <cellStyle name="40% - Accent6 3 2 3 3 3" xfId="33939" xr:uid="{00000000-0005-0000-0000-0000D5760000}"/>
    <cellStyle name="40% - Accent6 3 2 3 4" xfId="33940" xr:uid="{00000000-0005-0000-0000-0000D6760000}"/>
    <cellStyle name="40% - Accent6 3 2 3 4 2" xfId="33941" xr:uid="{00000000-0005-0000-0000-0000D7760000}"/>
    <cellStyle name="40% - Accent6 3 2 3 5" xfId="33942" xr:uid="{00000000-0005-0000-0000-0000D8760000}"/>
    <cellStyle name="40% - Accent6 3 2 3 6" xfId="33943" xr:uid="{00000000-0005-0000-0000-0000D9760000}"/>
    <cellStyle name="40% - Accent6 3 2 3 7" xfId="33944" xr:uid="{00000000-0005-0000-0000-0000DA760000}"/>
    <cellStyle name="40% - Accent6 3 2 4" xfId="33945" xr:uid="{00000000-0005-0000-0000-0000DB760000}"/>
    <cellStyle name="40% - Accent6 3 2 4 2" xfId="33946" xr:uid="{00000000-0005-0000-0000-0000DC760000}"/>
    <cellStyle name="40% - Accent6 3 2 4 2 2" xfId="33947" xr:uid="{00000000-0005-0000-0000-0000DD760000}"/>
    <cellStyle name="40% - Accent6 3 2 4 2 2 2" xfId="33948" xr:uid="{00000000-0005-0000-0000-0000DE760000}"/>
    <cellStyle name="40% - Accent6 3 2 4 2 3" xfId="33949" xr:uid="{00000000-0005-0000-0000-0000DF760000}"/>
    <cellStyle name="40% - Accent6 3 2 4 3" xfId="33950" xr:uid="{00000000-0005-0000-0000-0000E0760000}"/>
    <cellStyle name="40% - Accent6 3 2 4 3 2" xfId="33951" xr:uid="{00000000-0005-0000-0000-0000E1760000}"/>
    <cellStyle name="40% - Accent6 3 2 4 4" xfId="33952" xr:uid="{00000000-0005-0000-0000-0000E2760000}"/>
    <cellStyle name="40% - Accent6 3 2 4 5" xfId="33953" xr:uid="{00000000-0005-0000-0000-0000E3760000}"/>
    <cellStyle name="40% - Accent6 3 2 4 6" xfId="33954" xr:uid="{00000000-0005-0000-0000-0000E4760000}"/>
    <cellStyle name="40% - Accent6 3 2 5" xfId="33955" xr:uid="{00000000-0005-0000-0000-0000E5760000}"/>
    <cellStyle name="40% - Accent6 3 2 5 2" xfId="33956" xr:uid="{00000000-0005-0000-0000-0000E6760000}"/>
    <cellStyle name="40% - Accent6 3 2 5 2 2" xfId="33957" xr:uid="{00000000-0005-0000-0000-0000E7760000}"/>
    <cellStyle name="40% - Accent6 3 2 5 3" xfId="33958" xr:uid="{00000000-0005-0000-0000-0000E8760000}"/>
    <cellStyle name="40% - Accent6 3 2 6" xfId="33959" xr:uid="{00000000-0005-0000-0000-0000E9760000}"/>
    <cellStyle name="40% - Accent6 3 2 6 2" xfId="33960" xr:uid="{00000000-0005-0000-0000-0000EA760000}"/>
    <cellStyle name="40% - Accent6 3 2 6 2 2" xfId="33961" xr:uid="{00000000-0005-0000-0000-0000EB760000}"/>
    <cellStyle name="40% - Accent6 3 2 6 3" xfId="33962" xr:uid="{00000000-0005-0000-0000-0000EC760000}"/>
    <cellStyle name="40% - Accent6 3 2 7" xfId="33963" xr:uid="{00000000-0005-0000-0000-0000ED760000}"/>
    <cellStyle name="40% - Accent6 3 2 7 2" xfId="33964" xr:uid="{00000000-0005-0000-0000-0000EE760000}"/>
    <cellStyle name="40% - Accent6 3 2 8" xfId="33965" xr:uid="{00000000-0005-0000-0000-0000EF760000}"/>
    <cellStyle name="40% - Accent6 3 2 8 2" xfId="33966" xr:uid="{00000000-0005-0000-0000-0000F0760000}"/>
    <cellStyle name="40% - Accent6 3 2 9" xfId="33967" xr:uid="{00000000-0005-0000-0000-0000F1760000}"/>
    <cellStyle name="40% - Accent6 3 3" xfId="33968" xr:uid="{00000000-0005-0000-0000-0000F2760000}"/>
    <cellStyle name="40% - Accent6 3 3 10" xfId="33969" xr:uid="{00000000-0005-0000-0000-0000F3760000}"/>
    <cellStyle name="40% - Accent6 3 3 11" xfId="33970" xr:uid="{00000000-0005-0000-0000-0000F4760000}"/>
    <cellStyle name="40% - Accent6 3 3 2" xfId="33971" xr:uid="{00000000-0005-0000-0000-0000F5760000}"/>
    <cellStyle name="40% - Accent6 3 3 2 2" xfId="33972" xr:uid="{00000000-0005-0000-0000-0000F6760000}"/>
    <cellStyle name="40% - Accent6 3 3 2 2 2" xfId="33973" xr:uid="{00000000-0005-0000-0000-0000F7760000}"/>
    <cellStyle name="40% - Accent6 3 3 2 2 2 2" xfId="33974" xr:uid="{00000000-0005-0000-0000-0000F8760000}"/>
    <cellStyle name="40% - Accent6 3 3 2 2 2 2 2" xfId="33975" xr:uid="{00000000-0005-0000-0000-0000F9760000}"/>
    <cellStyle name="40% - Accent6 3 3 2 2 2 3" xfId="33976" xr:uid="{00000000-0005-0000-0000-0000FA760000}"/>
    <cellStyle name="40% - Accent6 3 3 2 2 3" xfId="33977" xr:uid="{00000000-0005-0000-0000-0000FB760000}"/>
    <cellStyle name="40% - Accent6 3 3 2 2 3 2" xfId="33978" xr:uid="{00000000-0005-0000-0000-0000FC760000}"/>
    <cellStyle name="40% - Accent6 3 3 2 2 4" xfId="33979" xr:uid="{00000000-0005-0000-0000-0000FD760000}"/>
    <cellStyle name="40% - Accent6 3 3 2 2 5" xfId="33980" xr:uid="{00000000-0005-0000-0000-0000FE760000}"/>
    <cellStyle name="40% - Accent6 3 3 2 2 6" xfId="33981" xr:uid="{00000000-0005-0000-0000-0000FF760000}"/>
    <cellStyle name="40% - Accent6 3 3 2 3" xfId="33982" xr:uid="{00000000-0005-0000-0000-000000770000}"/>
    <cellStyle name="40% - Accent6 3 3 2 3 2" xfId="33983" xr:uid="{00000000-0005-0000-0000-000001770000}"/>
    <cellStyle name="40% - Accent6 3 3 2 3 2 2" xfId="33984" xr:uid="{00000000-0005-0000-0000-000002770000}"/>
    <cellStyle name="40% - Accent6 3 3 2 3 3" xfId="33985" xr:uid="{00000000-0005-0000-0000-000003770000}"/>
    <cellStyle name="40% - Accent6 3 3 2 4" xfId="33986" xr:uid="{00000000-0005-0000-0000-000004770000}"/>
    <cellStyle name="40% - Accent6 3 3 2 4 2" xfId="33987" xr:uid="{00000000-0005-0000-0000-000005770000}"/>
    <cellStyle name="40% - Accent6 3 3 2 5" xfId="33988" xr:uid="{00000000-0005-0000-0000-000006770000}"/>
    <cellStyle name="40% - Accent6 3 3 2 5 2" xfId="33989" xr:uid="{00000000-0005-0000-0000-000007770000}"/>
    <cellStyle name="40% - Accent6 3 3 2 6" xfId="33990" xr:uid="{00000000-0005-0000-0000-000008770000}"/>
    <cellStyle name="40% - Accent6 3 3 2 7" xfId="33991" xr:uid="{00000000-0005-0000-0000-000009770000}"/>
    <cellStyle name="40% - Accent6 3 3 2 8" xfId="33992" xr:uid="{00000000-0005-0000-0000-00000A770000}"/>
    <cellStyle name="40% - Accent6 3 3 3" xfId="33993" xr:uid="{00000000-0005-0000-0000-00000B770000}"/>
    <cellStyle name="40% - Accent6 3 3 3 2" xfId="33994" xr:uid="{00000000-0005-0000-0000-00000C770000}"/>
    <cellStyle name="40% - Accent6 3 3 3 2 2" xfId="33995" xr:uid="{00000000-0005-0000-0000-00000D770000}"/>
    <cellStyle name="40% - Accent6 3 3 3 2 2 2" xfId="33996" xr:uid="{00000000-0005-0000-0000-00000E770000}"/>
    <cellStyle name="40% - Accent6 3 3 3 2 2 2 2" xfId="33997" xr:uid="{00000000-0005-0000-0000-00000F770000}"/>
    <cellStyle name="40% - Accent6 3 3 3 2 2 3" xfId="33998" xr:uid="{00000000-0005-0000-0000-000010770000}"/>
    <cellStyle name="40% - Accent6 3 3 3 2 3" xfId="33999" xr:uid="{00000000-0005-0000-0000-000011770000}"/>
    <cellStyle name="40% - Accent6 3 3 3 2 3 2" xfId="34000" xr:uid="{00000000-0005-0000-0000-000012770000}"/>
    <cellStyle name="40% - Accent6 3 3 3 2 4" xfId="34001" xr:uid="{00000000-0005-0000-0000-000013770000}"/>
    <cellStyle name="40% - Accent6 3 3 3 2 5" xfId="34002" xr:uid="{00000000-0005-0000-0000-000014770000}"/>
    <cellStyle name="40% - Accent6 3 3 3 2 6" xfId="34003" xr:uid="{00000000-0005-0000-0000-000015770000}"/>
    <cellStyle name="40% - Accent6 3 3 3 3" xfId="34004" xr:uid="{00000000-0005-0000-0000-000016770000}"/>
    <cellStyle name="40% - Accent6 3 3 3 3 2" xfId="34005" xr:uid="{00000000-0005-0000-0000-000017770000}"/>
    <cellStyle name="40% - Accent6 3 3 3 3 2 2" xfId="34006" xr:uid="{00000000-0005-0000-0000-000018770000}"/>
    <cellStyle name="40% - Accent6 3 3 3 3 3" xfId="34007" xr:uid="{00000000-0005-0000-0000-000019770000}"/>
    <cellStyle name="40% - Accent6 3 3 3 4" xfId="34008" xr:uid="{00000000-0005-0000-0000-00001A770000}"/>
    <cellStyle name="40% - Accent6 3 3 3 4 2" xfId="34009" xr:uid="{00000000-0005-0000-0000-00001B770000}"/>
    <cellStyle name="40% - Accent6 3 3 3 5" xfId="34010" xr:uid="{00000000-0005-0000-0000-00001C770000}"/>
    <cellStyle name="40% - Accent6 3 3 3 6" xfId="34011" xr:uid="{00000000-0005-0000-0000-00001D770000}"/>
    <cellStyle name="40% - Accent6 3 3 3 7" xfId="34012" xr:uid="{00000000-0005-0000-0000-00001E770000}"/>
    <cellStyle name="40% - Accent6 3 3 4" xfId="34013" xr:uid="{00000000-0005-0000-0000-00001F770000}"/>
    <cellStyle name="40% - Accent6 3 3 4 2" xfId="34014" xr:uid="{00000000-0005-0000-0000-000020770000}"/>
    <cellStyle name="40% - Accent6 3 3 4 2 2" xfId="34015" xr:uid="{00000000-0005-0000-0000-000021770000}"/>
    <cellStyle name="40% - Accent6 3 3 4 2 2 2" xfId="34016" xr:uid="{00000000-0005-0000-0000-000022770000}"/>
    <cellStyle name="40% - Accent6 3 3 4 2 3" xfId="34017" xr:uid="{00000000-0005-0000-0000-000023770000}"/>
    <cellStyle name="40% - Accent6 3 3 4 3" xfId="34018" xr:uid="{00000000-0005-0000-0000-000024770000}"/>
    <cellStyle name="40% - Accent6 3 3 4 3 2" xfId="34019" xr:uid="{00000000-0005-0000-0000-000025770000}"/>
    <cellStyle name="40% - Accent6 3 3 4 4" xfId="34020" xr:uid="{00000000-0005-0000-0000-000026770000}"/>
    <cellStyle name="40% - Accent6 3 3 4 5" xfId="34021" xr:uid="{00000000-0005-0000-0000-000027770000}"/>
    <cellStyle name="40% - Accent6 3 3 4 6" xfId="34022" xr:uid="{00000000-0005-0000-0000-000028770000}"/>
    <cellStyle name="40% - Accent6 3 3 5" xfId="34023" xr:uid="{00000000-0005-0000-0000-000029770000}"/>
    <cellStyle name="40% - Accent6 3 3 5 2" xfId="34024" xr:uid="{00000000-0005-0000-0000-00002A770000}"/>
    <cellStyle name="40% - Accent6 3 3 5 2 2" xfId="34025" xr:uid="{00000000-0005-0000-0000-00002B770000}"/>
    <cellStyle name="40% - Accent6 3 3 5 3" xfId="34026" xr:uid="{00000000-0005-0000-0000-00002C770000}"/>
    <cellStyle name="40% - Accent6 3 3 6" xfId="34027" xr:uid="{00000000-0005-0000-0000-00002D770000}"/>
    <cellStyle name="40% - Accent6 3 3 6 2" xfId="34028" xr:uid="{00000000-0005-0000-0000-00002E770000}"/>
    <cellStyle name="40% - Accent6 3 3 6 2 2" xfId="34029" xr:uid="{00000000-0005-0000-0000-00002F770000}"/>
    <cellStyle name="40% - Accent6 3 3 6 3" xfId="34030" xr:uid="{00000000-0005-0000-0000-000030770000}"/>
    <cellStyle name="40% - Accent6 3 3 7" xfId="34031" xr:uid="{00000000-0005-0000-0000-000031770000}"/>
    <cellStyle name="40% - Accent6 3 3 7 2" xfId="34032" xr:uid="{00000000-0005-0000-0000-000032770000}"/>
    <cellStyle name="40% - Accent6 3 3 8" xfId="34033" xr:uid="{00000000-0005-0000-0000-000033770000}"/>
    <cellStyle name="40% - Accent6 3 3 8 2" xfId="34034" xr:uid="{00000000-0005-0000-0000-000034770000}"/>
    <cellStyle name="40% - Accent6 3 3 9" xfId="34035" xr:uid="{00000000-0005-0000-0000-000035770000}"/>
    <cellStyle name="40% - Accent6 3 4" xfId="34036" xr:uid="{00000000-0005-0000-0000-000036770000}"/>
    <cellStyle name="40% - Accent6 3 4 10" xfId="34037" xr:uid="{00000000-0005-0000-0000-000037770000}"/>
    <cellStyle name="40% - Accent6 3 4 11" xfId="34038" xr:uid="{00000000-0005-0000-0000-000038770000}"/>
    <cellStyle name="40% - Accent6 3 4 2" xfId="34039" xr:uid="{00000000-0005-0000-0000-000039770000}"/>
    <cellStyle name="40% - Accent6 3 4 2 2" xfId="34040" xr:uid="{00000000-0005-0000-0000-00003A770000}"/>
    <cellStyle name="40% - Accent6 3 4 2 2 2" xfId="34041" xr:uid="{00000000-0005-0000-0000-00003B770000}"/>
    <cellStyle name="40% - Accent6 3 4 2 2 2 2" xfId="34042" xr:uid="{00000000-0005-0000-0000-00003C770000}"/>
    <cellStyle name="40% - Accent6 3 4 2 2 2 2 2" xfId="34043" xr:uid="{00000000-0005-0000-0000-00003D770000}"/>
    <cellStyle name="40% - Accent6 3 4 2 2 2 3" xfId="34044" xr:uid="{00000000-0005-0000-0000-00003E770000}"/>
    <cellStyle name="40% - Accent6 3 4 2 2 3" xfId="34045" xr:uid="{00000000-0005-0000-0000-00003F770000}"/>
    <cellStyle name="40% - Accent6 3 4 2 2 3 2" xfId="34046" xr:uid="{00000000-0005-0000-0000-000040770000}"/>
    <cellStyle name="40% - Accent6 3 4 2 2 4" xfId="34047" xr:uid="{00000000-0005-0000-0000-000041770000}"/>
    <cellStyle name="40% - Accent6 3 4 2 2 5" xfId="34048" xr:uid="{00000000-0005-0000-0000-000042770000}"/>
    <cellStyle name="40% - Accent6 3 4 2 2 6" xfId="34049" xr:uid="{00000000-0005-0000-0000-000043770000}"/>
    <cellStyle name="40% - Accent6 3 4 2 3" xfId="34050" xr:uid="{00000000-0005-0000-0000-000044770000}"/>
    <cellStyle name="40% - Accent6 3 4 2 3 2" xfId="34051" xr:uid="{00000000-0005-0000-0000-000045770000}"/>
    <cellStyle name="40% - Accent6 3 4 2 3 2 2" xfId="34052" xr:uid="{00000000-0005-0000-0000-000046770000}"/>
    <cellStyle name="40% - Accent6 3 4 2 3 3" xfId="34053" xr:uid="{00000000-0005-0000-0000-000047770000}"/>
    <cellStyle name="40% - Accent6 3 4 2 4" xfId="34054" xr:uid="{00000000-0005-0000-0000-000048770000}"/>
    <cellStyle name="40% - Accent6 3 4 2 4 2" xfId="34055" xr:uid="{00000000-0005-0000-0000-000049770000}"/>
    <cellStyle name="40% - Accent6 3 4 2 5" xfId="34056" xr:uid="{00000000-0005-0000-0000-00004A770000}"/>
    <cellStyle name="40% - Accent6 3 4 2 5 2" xfId="34057" xr:uid="{00000000-0005-0000-0000-00004B770000}"/>
    <cellStyle name="40% - Accent6 3 4 2 6" xfId="34058" xr:uid="{00000000-0005-0000-0000-00004C770000}"/>
    <cellStyle name="40% - Accent6 3 4 2 7" xfId="34059" xr:uid="{00000000-0005-0000-0000-00004D770000}"/>
    <cellStyle name="40% - Accent6 3 4 2 8" xfId="34060" xr:uid="{00000000-0005-0000-0000-00004E770000}"/>
    <cellStyle name="40% - Accent6 3 4 3" xfId="34061" xr:uid="{00000000-0005-0000-0000-00004F770000}"/>
    <cellStyle name="40% - Accent6 3 4 3 2" xfId="34062" xr:uid="{00000000-0005-0000-0000-000050770000}"/>
    <cellStyle name="40% - Accent6 3 4 3 2 2" xfId="34063" xr:uid="{00000000-0005-0000-0000-000051770000}"/>
    <cellStyle name="40% - Accent6 3 4 3 2 2 2" xfId="34064" xr:uid="{00000000-0005-0000-0000-000052770000}"/>
    <cellStyle name="40% - Accent6 3 4 3 2 2 2 2" xfId="34065" xr:uid="{00000000-0005-0000-0000-000053770000}"/>
    <cellStyle name="40% - Accent6 3 4 3 2 2 3" xfId="34066" xr:uid="{00000000-0005-0000-0000-000054770000}"/>
    <cellStyle name="40% - Accent6 3 4 3 2 3" xfId="34067" xr:uid="{00000000-0005-0000-0000-000055770000}"/>
    <cellStyle name="40% - Accent6 3 4 3 2 3 2" xfId="34068" xr:uid="{00000000-0005-0000-0000-000056770000}"/>
    <cellStyle name="40% - Accent6 3 4 3 2 4" xfId="34069" xr:uid="{00000000-0005-0000-0000-000057770000}"/>
    <cellStyle name="40% - Accent6 3 4 3 2 5" xfId="34070" xr:uid="{00000000-0005-0000-0000-000058770000}"/>
    <cellStyle name="40% - Accent6 3 4 3 2 6" xfId="34071" xr:uid="{00000000-0005-0000-0000-000059770000}"/>
    <cellStyle name="40% - Accent6 3 4 3 3" xfId="34072" xr:uid="{00000000-0005-0000-0000-00005A770000}"/>
    <cellStyle name="40% - Accent6 3 4 3 3 2" xfId="34073" xr:uid="{00000000-0005-0000-0000-00005B770000}"/>
    <cellStyle name="40% - Accent6 3 4 3 3 2 2" xfId="34074" xr:uid="{00000000-0005-0000-0000-00005C770000}"/>
    <cellStyle name="40% - Accent6 3 4 3 3 3" xfId="34075" xr:uid="{00000000-0005-0000-0000-00005D770000}"/>
    <cellStyle name="40% - Accent6 3 4 3 4" xfId="34076" xr:uid="{00000000-0005-0000-0000-00005E770000}"/>
    <cellStyle name="40% - Accent6 3 4 3 4 2" xfId="34077" xr:uid="{00000000-0005-0000-0000-00005F770000}"/>
    <cellStyle name="40% - Accent6 3 4 3 5" xfId="34078" xr:uid="{00000000-0005-0000-0000-000060770000}"/>
    <cellStyle name="40% - Accent6 3 4 3 6" xfId="34079" xr:uid="{00000000-0005-0000-0000-000061770000}"/>
    <cellStyle name="40% - Accent6 3 4 3 7" xfId="34080" xr:uid="{00000000-0005-0000-0000-000062770000}"/>
    <cellStyle name="40% - Accent6 3 4 4" xfId="34081" xr:uid="{00000000-0005-0000-0000-000063770000}"/>
    <cellStyle name="40% - Accent6 3 4 4 2" xfId="34082" xr:uid="{00000000-0005-0000-0000-000064770000}"/>
    <cellStyle name="40% - Accent6 3 4 4 2 2" xfId="34083" xr:uid="{00000000-0005-0000-0000-000065770000}"/>
    <cellStyle name="40% - Accent6 3 4 4 2 2 2" xfId="34084" xr:uid="{00000000-0005-0000-0000-000066770000}"/>
    <cellStyle name="40% - Accent6 3 4 4 2 3" xfId="34085" xr:uid="{00000000-0005-0000-0000-000067770000}"/>
    <cellStyle name="40% - Accent6 3 4 4 3" xfId="34086" xr:uid="{00000000-0005-0000-0000-000068770000}"/>
    <cellStyle name="40% - Accent6 3 4 4 3 2" xfId="34087" xr:uid="{00000000-0005-0000-0000-000069770000}"/>
    <cellStyle name="40% - Accent6 3 4 4 4" xfId="34088" xr:uid="{00000000-0005-0000-0000-00006A770000}"/>
    <cellStyle name="40% - Accent6 3 4 4 5" xfId="34089" xr:uid="{00000000-0005-0000-0000-00006B770000}"/>
    <cellStyle name="40% - Accent6 3 4 4 6" xfId="34090" xr:uid="{00000000-0005-0000-0000-00006C770000}"/>
    <cellStyle name="40% - Accent6 3 4 5" xfId="34091" xr:uid="{00000000-0005-0000-0000-00006D770000}"/>
    <cellStyle name="40% - Accent6 3 4 5 2" xfId="34092" xr:uid="{00000000-0005-0000-0000-00006E770000}"/>
    <cellStyle name="40% - Accent6 3 4 5 2 2" xfId="34093" xr:uid="{00000000-0005-0000-0000-00006F770000}"/>
    <cellStyle name="40% - Accent6 3 4 5 3" xfId="34094" xr:uid="{00000000-0005-0000-0000-000070770000}"/>
    <cellStyle name="40% - Accent6 3 4 6" xfId="34095" xr:uid="{00000000-0005-0000-0000-000071770000}"/>
    <cellStyle name="40% - Accent6 3 4 6 2" xfId="34096" xr:uid="{00000000-0005-0000-0000-000072770000}"/>
    <cellStyle name="40% - Accent6 3 4 6 2 2" xfId="34097" xr:uid="{00000000-0005-0000-0000-000073770000}"/>
    <cellStyle name="40% - Accent6 3 4 6 3" xfId="34098" xr:uid="{00000000-0005-0000-0000-000074770000}"/>
    <cellStyle name="40% - Accent6 3 4 7" xfId="34099" xr:uid="{00000000-0005-0000-0000-000075770000}"/>
    <cellStyle name="40% - Accent6 3 4 7 2" xfId="34100" xr:uid="{00000000-0005-0000-0000-000076770000}"/>
    <cellStyle name="40% - Accent6 3 4 8" xfId="34101" xr:uid="{00000000-0005-0000-0000-000077770000}"/>
    <cellStyle name="40% - Accent6 3 4 8 2" xfId="34102" xr:uid="{00000000-0005-0000-0000-000078770000}"/>
    <cellStyle name="40% - Accent6 3 4 9" xfId="34103" xr:uid="{00000000-0005-0000-0000-000079770000}"/>
    <cellStyle name="40% - Accent6 3 5" xfId="34104" xr:uid="{00000000-0005-0000-0000-00007A770000}"/>
    <cellStyle name="40% - Accent6 3 5 10" xfId="34105" xr:uid="{00000000-0005-0000-0000-00007B770000}"/>
    <cellStyle name="40% - Accent6 3 5 11" xfId="34106" xr:uid="{00000000-0005-0000-0000-00007C770000}"/>
    <cellStyle name="40% - Accent6 3 5 2" xfId="34107" xr:uid="{00000000-0005-0000-0000-00007D770000}"/>
    <cellStyle name="40% - Accent6 3 5 2 2" xfId="34108" xr:uid="{00000000-0005-0000-0000-00007E770000}"/>
    <cellStyle name="40% - Accent6 3 5 2 2 2" xfId="34109" xr:uid="{00000000-0005-0000-0000-00007F770000}"/>
    <cellStyle name="40% - Accent6 3 5 2 2 2 2" xfId="34110" xr:uid="{00000000-0005-0000-0000-000080770000}"/>
    <cellStyle name="40% - Accent6 3 5 2 2 2 2 2" xfId="34111" xr:uid="{00000000-0005-0000-0000-000081770000}"/>
    <cellStyle name="40% - Accent6 3 5 2 2 2 3" xfId="34112" xr:uid="{00000000-0005-0000-0000-000082770000}"/>
    <cellStyle name="40% - Accent6 3 5 2 2 3" xfId="34113" xr:uid="{00000000-0005-0000-0000-000083770000}"/>
    <cellStyle name="40% - Accent6 3 5 2 2 3 2" xfId="34114" xr:uid="{00000000-0005-0000-0000-000084770000}"/>
    <cellStyle name="40% - Accent6 3 5 2 2 4" xfId="34115" xr:uid="{00000000-0005-0000-0000-000085770000}"/>
    <cellStyle name="40% - Accent6 3 5 2 2 5" xfId="34116" xr:uid="{00000000-0005-0000-0000-000086770000}"/>
    <cellStyle name="40% - Accent6 3 5 2 2 6" xfId="34117" xr:uid="{00000000-0005-0000-0000-000087770000}"/>
    <cellStyle name="40% - Accent6 3 5 2 3" xfId="34118" xr:uid="{00000000-0005-0000-0000-000088770000}"/>
    <cellStyle name="40% - Accent6 3 5 2 3 2" xfId="34119" xr:uid="{00000000-0005-0000-0000-000089770000}"/>
    <cellStyle name="40% - Accent6 3 5 2 3 2 2" xfId="34120" xr:uid="{00000000-0005-0000-0000-00008A770000}"/>
    <cellStyle name="40% - Accent6 3 5 2 3 3" xfId="34121" xr:uid="{00000000-0005-0000-0000-00008B770000}"/>
    <cellStyle name="40% - Accent6 3 5 2 4" xfId="34122" xr:uid="{00000000-0005-0000-0000-00008C770000}"/>
    <cellStyle name="40% - Accent6 3 5 2 4 2" xfId="34123" xr:uid="{00000000-0005-0000-0000-00008D770000}"/>
    <cellStyle name="40% - Accent6 3 5 2 5" xfId="34124" xr:uid="{00000000-0005-0000-0000-00008E770000}"/>
    <cellStyle name="40% - Accent6 3 5 2 5 2" xfId="34125" xr:uid="{00000000-0005-0000-0000-00008F770000}"/>
    <cellStyle name="40% - Accent6 3 5 2 6" xfId="34126" xr:uid="{00000000-0005-0000-0000-000090770000}"/>
    <cellStyle name="40% - Accent6 3 5 2 7" xfId="34127" xr:uid="{00000000-0005-0000-0000-000091770000}"/>
    <cellStyle name="40% - Accent6 3 5 2 8" xfId="34128" xr:uid="{00000000-0005-0000-0000-000092770000}"/>
    <cellStyle name="40% - Accent6 3 5 3" xfId="34129" xr:uid="{00000000-0005-0000-0000-000093770000}"/>
    <cellStyle name="40% - Accent6 3 5 3 2" xfId="34130" xr:uid="{00000000-0005-0000-0000-000094770000}"/>
    <cellStyle name="40% - Accent6 3 5 3 2 2" xfId="34131" xr:uid="{00000000-0005-0000-0000-000095770000}"/>
    <cellStyle name="40% - Accent6 3 5 3 2 2 2" xfId="34132" xr:uid="{00000000-0005-0000-0000-000096770000}"/>
    <cellStyle name="40% - Accent6 3 5 3 2 2 2 2" xfId="34133" xr:uid="{00000000-0005-0000-0000-000097770000}"/>
    <cellStyle name="40% - Accent6 3 5 3 2 2 3" xfId="34134" xr:uid="{00000000-0005-0000-0000-000098770000}"/>
    <cellStyle name="40% - Accent6 3 5 3 2 3" xfId="34135" xr:uid="{00000000-0005-0000-0000-000099770000}"/>
    <cellStyle name="40% - Accent6 3 5 3 2 3 2" xfId="34136" xr:uid="{00000000-0005-0000-0000-00009A770000}"/>
    <cellStyle name="40% - Accent6 3 5 3 2 4" xfId="34137" xr:uid="{00000000-0005-0000-0000-00009B770000}"/>
    <cellStyle name="40% - Accent6 3 5 3 2 5" xfId="34138" xr:uid="{00000000-0005-0000-0000-00009C770000}"/>
    <cellStyle name="40% - Accent6 3 5 3 2 6" xfId="34139" xr:uid="{00000000-0005-0000-0000-00009D770000}"/>
    <cellStyle name="40% - Accent6 3 5 3 3" xfId="34140" xr:uid="{00000000-0005-0000-0000-00009E770000}"/>
    <cellStyle name="40% - Accent6 3 5 3 3 2" xfId="34141" xr:uid="{00000000-0005-0000-0000-00009F770000}"/>
    <cellStyle name="40% - Accent6 3 5 3 3 2 2" xfId="34142" xr:uid="{00000000-0005-0000-0000-0000A0770000}"/>
    <cellStyle name="40% - Accent6 3 5 3 3 3" xfId="34143" xr:uid="{00000000-0005-0000-0000-0000A1770000}"/>
    <cellStyle name="40% - Accent6 3 5 3 4" xfId="34144" xr:uid="{00000000-0005-0000-0000-0000A2770000}"/>
    <cellStyle name="40% - Accent6 3 5 3 4 2" xfId="34145" xr:uid="{00000000-0005-0000-0000-0000A3770000}"/>
    <cellStyle name="40% - Accent6 3 5 3 5" xfId="34146" xr:uid="{00000000-0005-0000-0000-0000A4770000}"/>
    <cellStyle name="40% - Accent6 3 5 3 6" xfId="34147" xr:uid="{00000000-0005-0000-0000-0000A5770000}"/>
    <cellStyle name="40% - Accent6 3 5 3 7" xfId="34148" xr:uid="{00000000-0005-0000-0000-0000A6770000}"/>
    <cellStyle name="40% - Accent6 3 5 4" xfId="34149" xr:uid="{00000000-0005-0000-0000-0000A7770000}"/>
    <cellStyle name="40% - Accent6 3 5 4 2" xfId="34150" xr:uid="{00000000-0005-0000-0000-0000A8770000}"/>
    <cellStyle name="40% - Accent6 3 5 4 2 2" xfId="34151" xr:uid="{00000000-0005-0000-0000-0000A9770000}"/>
    <cellStyle name="40% - Accent6 3 5 4 2 2 2" xfId="34152" xr:uid="{00000000-0005-0000-0000-0000AA770000}"/>
    <cellStyle name="40% - Accent6 3 5 4 2 3" xfId="34153" xr:uid="{00000000-0005-0000-0000-0000AB770000}"/>
    <cellStyle name="40% - Accent6 3 5 4 3" xfId="34154" xr:uid="{00000000-0005-0000-0000-0000AC770000}"/>
    <cellStyle name="40% - Accent6 3 5 4 3 2" xfId="34155" xr:uid="{00000000-0005-0000-0000-0000AD770000}"/>
    <cellStyle name="40% - Accent6 3 5 4 4" xfId="34156" xr:uid="{00000000-0005-0000-0000-0000AE770000}"/>
    <cellStyle name="40% - Accent6 3 5 4 5" xfId="34157" xr:uid="{00000000-0005-0000-0000-0000AF770000}"/>
    <cellStyle name="40% - Accent6 3 5 4 6" xfId="34158" xr:uid="{00000000-0005-0000-0000-0000B0770000}"/>
    <cellStyle name="40% - Accent6 3 5 5" xfId="34159" xr:uid="{00000000-0005-0000-0000-0000B1770000}"/>
    <cellStyle name="40% - Accent6 3 5 5 2" xfId="34160" xr:uid="{00000000-0005-0000-0000-0000B2770000}"/>
    <cellStyle name="40% - Accent6 3 5 5 2 2" xfId="34161" xr:uid="{00000000-0005-0000-0000-0000B3770000}"/>
    <cellStyle name="40% - Accent6 3 5 5 3" xfId="34162" xr:uid="{00000000-0005-0000-0000-0000B4770000}"/>
    <cellStyle name="40% - Accent6 3 5 6" xfId="34163" xr:uid="{00000000-0005-0000-0000-0000B5770000}"/>
    <cellStyle name="40% - Accent6 3 5 6 2" xfId="34164" xr:uid="{00000000-0005-0000-0000-0000B6770000}"/>
    <cellStyle name="40% - Accent6 3 5 6 2 2" xfId="34165" xr:uid="{00000000-0005-0000-0000-0000B7770000}"/>
    <cellStyle name="40% - Accent6 3 5 6 3" xfId="34166" xr:uid="{00000000-0005-0000-0000-0000B8770000}"/>
    <cellStyle name="40% - Accent6 3 5 7" xfId="34167" xr:uid="{00000000-0005-0000-0000-0000B9770000}"/>
    <cellStyle name="40% - Accent6 3 5 7 2" xfId="34168" xr:uid="{00000000-0005-0000-0000-0000BA770000}"/>
    <cellStyle name="40% - Accent6 3 5 8" xfId="34169" xr:uid="{00000000-0005-0000-0000-0000BB770000}"/>
    <cellStyle name="40% - Accent6 3 5 8 2" xfId="34170" xr:uid="{00000000-0005-0000-0000-0000BC770000}"/>
    <cellStyle name="40% - Accent6 3 5 9" xfId="34171" xr:uid="{00000000-0005-0000-0000-0000BD770000}"/>
    <cellStyle name="40% - Accent6 3 6" xfId="34172" xr:uid="{00000000-0005-0000-0000-0000BE770000}"/>
    <cellStyle name="40% - Accent6 3 6 10" xfId="34173" xr:uid="{00000000-0005-0000-0000-0000BF770000}"/>
    <cellStyle name="40% - Accent6 3 6 11" xfId="34174" xr:uid="{00000000-0005-0000-0000-0000C0770000}"/>
    <cellStyle name="40% - Accent6 3 6 2" xfId="34175" xr:uid="{00000000-0005-0000-0000-0000C1770000}"/>
    <cellStyle name="40% - Accent6 3 6 2 2" xfId="34176" xr:uid="{00000000-0005-0000-0000-0000C2770000}"/>
    <cellStyle name="40% - Accent6 3 6 2 2 2" xfId="34177" xr:uid="{00000000-0005-0000-0000-0000C3770000}"/>
    <cellStyle name="40% - Accent6 3 6 2 2 2 2" xfId="34178" xr:uid="{00000000-0005-0000-0000-0000C4770000}"/>
    <cellStyle name="40% - Accent6 3 6 2 2 2 2 2" xfId="34179" xr:uid="{00000000-0005-0000-0000-0000C5770000}"/>
    <cellStyle name="40% - Accent6 3 6 2 2 2 3" xfId="34180" xr:uid="{00000000-0005-0000-0000-0000C6770000}"/>
    <cellStyle name="40% - Accent6 3 6 2 2 3" xfId="34181" xr:uid="{00000000-0005-0000-0000-0000C7770000}"/>
    <cellStyle name="40% - Accent6 3 6 2 2 3 2" xfId="34182" xr:uid="{00000000-0005-0000-0000-0000C8770000}"/>
    <cellStyle name="40% - Accent6 3 6 2 2 4" xfId="34183" xr:uid="{00000000-0005-0000-0000-0000C9770000}"/>
    <cellStyle name="40% - Accent6 3 6 2 2 5" xfId="34184" xr:uid="{00000000-0005-0000-0000-0000CA770000}"/>
    <cellStyle name="40% - Accent6 3 6 2 2 6" xfId="34185" xr:uid="{00000000-0005-0000-0000-0000CB770000}"/>
    <cellStyle name="40% - Accent6 3 6 2 3" xfId="34186" xr:uid="{00000000-0005-0000-0000-0000CC770000}"/>
    <cellStyle name="40% - Accent6 3 6 2 3 2" xfId="34187" xr:uid="{00000000-0005-0000-0000-0000CD770000}"/>
    <cellStyle name="40% - Accent6 3 6 2 3 2 2" xfId="34188" xr:uid="{00000000-0005-0000-0000-0000CE770000}"/>
    <cellStyle name="40% - Accent6 3 6 2 3 3" xfId="34189" xr:uid="{00000000-0005-0000-0000-0000CF770000}"/>
    <cellStyle name="40% - Accent6 3 6 2 4" xfId="34190" xr:uid="{00000000-0005-0000-0000-0000D0770000}"/>
    <cellStyle name="40% - Accent6 3 6 2 4 2" xfId="34191" xr:uid="{00000000-0005-0000-0000-0000D1770000}"/>
    <cellStyle name="40% - Accent6 3 6 2 5" xfId="34192" xr:uid="{00000000-0005-0000-0000-0000D2770000}"/>
    <cellStyle name="40% - Accent6 3 6 2 5 2" xfId="34193" xr:uid="{00000000-0005-0000-0000-0000D3770000}"/>
    <cellStyle name="40% - Accent6 3 6 2 6" xfId="34194" xr:uid="{00000000-0005-0000-0000-0000D4770000}"/>
    <cellStyle name="40% - Accent6 3 6 2 7" xfId="34195" xr:uid="{00000000-0005-0000-0000-0000D5770000}"/>
    <cellStyle name="40% - Accent6 3 6 2 8" xfId="34196" xr:uid="{00000000-0005-0000-0000-0000D6770000}"/>
    <cellStyle name="40% - Accent6 3 6 3" xfId="34197" xr:uid="{00000000-0005-0000-0000-0000D7770000}"/>
    <cellStyle name="40% - Accent6 3 6 3 2" xfId="34198" xr:uid="{00000000-0005-0000-0000-0000D8770000}"/>
    <cellStyle name="40% - Accent6 3 6 3 2 2" xfId="34199" xr:uid="{00000000-0005-0000-0000-0000D9770000}"/>
    <cellStyle name="40% - Accent6 3 6 3 2 2 2" xfId="34200" xr:uid="{00000000-0005-0000-0000-0000DA770000}"/>
    <cellStyle name="40% - Accent6 3 6 3 2 2 2 2" xfId="34201" xr:uid="{00000000-0005-0000-0000-0000DB770000}"/>
    <cellStyle name="40% - Accent6 3 6 3 2 2 3" xfId="34202" xr:uid="{00000000-0005-0000-0000-0000DC770000}"/>
    <cellStyle name="40% - Accent6 3 6 3 2 3" xfId="34203" xr:uid="{00000000-0005-0000-0000-0000DD770000}"/>
    <cellStyle name="40% - Accent6 3 6 3 2 3 2" xfId="34204" xr:uid="{00000000-0005-0000-0000-0000DE770000}"/>
    <cellStyle name="40% - Accent6 3 6 3 2 4" xfId="34205" xr:uid="{00000000-0005-0000-0000-0000DF770000}"/>
    <cellStyle name="40% - Accent6 3 6 3 2 5" xfId="34206" xr:uid="{00000000-0005-0000-0000-0000E0770000}"/>
    <cellStyle name="40% - Accent6 3 6 3 2 6" xfId="34207" xr:uid="{00000000-0005-0000-0000-0000E1770000}"/>
    <cellStyle name="40% - Accent6 3 6 3 3" xfId="34208" xr:uid="{00000000-0005-0000-0000-0000E2770000}"/>
    <cellStyle name="40% - Accent6 3 6 3 3 2" xfId="34209" xr:uid="{00000000-0005-0000-0000-0000E3770000}"/>
    <cellStyle name="40% - Accent6 3 6 3 3 2 2" xfId="34210" xr:uid="{00000000-0005-0000-0000-0000E4770000}"/>
    <cellStyle name="40% - Accent6 3 6 3 3 3" xfId="34211" xr:uid="{00000000-0005-0000-0000-0000E5770000}"/>
    <cellStyle name="40% - Accent6 3 6 3 4" xfId="34212" xr:uid="{00000000-0005-0000-0000-0000E6770000}"/>
    <cellStyle name="40% - Accent6 3 6 3 4 2" xfId="34213" xr:uid="{00000000-0005-0000-0000-0000E7770000}"/>
    <cellStyle name="40% - Accent6 3 6 3 5" xfId="34214" xr:uid="{00000000-0005-0000-0000-0000E8770000}"/>
    <cellStyle name="40% - Accent6 3 6 3 6" xfId="34215" xr:uid="{00000000-0005-0000-0000-0000E9770000}"/>
    <cellStyle name="40% - Accent6 3 6 3 7" xfId="34216" xr:uid="{00000000-0005-0000-0000-0000EA770000}"/>
    <cellStyle name="40% - Accent6 3 6 4" xfId="34217" xr:uid="{00000000-0005-0000-0000-0000EB770000}"/>
    <cellStyle name="40% - Accent6 3 6 4 2" xfId="34218" xr:uid="{00000000-0005-0000-0000-0000EC770000}"/>
    <cellStyle name="40% - Accent6 3 6 4 2 2" xfId="34219" xr:uid="{00000000-0005-0000-0000-0000ED770000}"/>
    <cellStyle name="40% - Accent6 3 6 4 2 2 2" xfId="34220" xr:uid="{00000000-0005-0000-0000-0000EE770000}"/>
    <cellStyle name="40% - Accent6 3 6 4 2 3" xfId="34221" xr:uid="{00000000-0005-0000-0000-0000EF770000}"/>
    <cellStyle name="40% - Accent6 3 6 4 3" xfId="34222" xr:uid="{00000000-0005-0000-0000-0000F0770000}"/>
    <cellStyle name="40% - Accent6 3 6 4 3 2" xfId="34223" xr:uid="{00000000-0005-0000-0000-0000F1770000}"/>
    <cellStyle name="40% - Accent6 3 6 4 4" xfId="34224" xr:uid="{00000000-0005-0000-0000-0000F2770000}"/>
    <cellStyle name="40% - Accent6 3 6 4 5" xfId="34225" xr:uid="{00000000-0005-0000-0000-0000F3770000}"/>
    <cellStyle name="40% - Accent6 3 6 4 6" xfId="34226" xr:uid="{00000000-0005-0000-0000-0000F4770000}"/>
    <cellStyle name="40% - Accent6 3 6 5" xfId="34227" xr:uid="{00000000-0005-0000-0000-0000F5770000}"/>
    <cellStyle name="40% - Accent6 3 6 5 2" xfId="34228" xr:uid="{00000000-0005-0000-0000-0000F6770000}"/>
    <cellStyle name="40% - Accent6 3 6 5 2 2" xfId="34229" xr:uid="{00000000-0005-0000-0000-0000F7770000}"/>
    <cellStyle name="40% - Accent6 3 6 5 3" xfId="34230" xr:uid="{00000000-0005-0000-0000-0000F8770000}"/>
    <cellStyle name="40% - Accent6 3 6 6" xfId="34231" xr:uid="{00000000-0005-0000-0000-0000F9770000}"/>
    <cellStyle name="40% - Accent6 3 6 6 2" xfId="34232" xr:uid="{00000000-0005-0000-0000-0000FA770000}"/>
    <cellStyle name="40% - Accent6 3 6 6 2 2" xfId="34233" xr:uid="{00000000-0005-0000-0000-0000FB770000}"/>
    <cellStyle name="40% - Accent6 3 6 6 3" xfId="34234" xr:uid="{00000000-0005-0000-0000-0000FC770000}"/>
    <cellStyle name="40% - Accent6 3 6 7" xfId="34235" xr:uid="{00000000-0005-0000-0000-0000FD770000}"/>
    <cellStyle name="40% - Accent6 3 6 7 2" xfId="34236" xr:uid="{00000000-0005-0000-0000-0000FE770000}"/>
    <cellStyle name="40% - Accent6 3 6 8" xfId="34237" xr:uid="{00000000-0005-0000-0000-0000FF770000}"/>
    <cellStyle name="40% - Accent6 3 6 8 2" xfId="34238" xr:uid="{00000000-0005-0000-0000-000000780000}"/>
    <cellStyle name="40% - Accent6 3 6 9" xfId="34239" xr:uid="{00000000-0005-0000-0000-000001780000}"/>
    <cellStyle name="40% - Accent6 3 7" xfId="34240" xr:uid="{00000000-0005-0000-0000-000002780000}"/>
    <cellStyle name="40% - Accent6 3 7 10" xfId="34241" xr:uid="{00000000-0005-0000-0000-000003780000}"/>
    <cellStyle name="40% - Accent6 3 7 11" xfId="34242" xr:uid="{00000000-0005-0000-0000-000004780000}"/>
    <cellStyle name="40% - Accent6 3 7 2" xfId="34243" xr:uid="{00000000-0005-0000-0000-000005780000}"/>
    <cellStyle name="40% - Accent6 3 7 2 2" xfId="34244" xr:uid="{00000000-0005-0000-0000-000006780000}"/>
    <cellStyle name="40% - Accent6 3 7 2 2 2" xfId="34245" xr:uid="{00000000-0005-0000-0000-000007780000}"/>
    <cellStyle name="40% - Accent6 3 7 2 2 2 2" xfId="34246" xr:uid="{00000000-0005-0000-0000-000008780000}"/>
    <cellStyle name="40% - Accent6 3 7 2 2 2 2 2" xfId="34247" xr:uid="{00000000-0005-0000-0000-000009780000}"/>
    <cellStyle name="40% - Accent6 3 7 2 2 2 3" xfId="34248" xr:uid="{00000000-0005-0000-0000-00000A780000}"/>
    <cellStyle name="40% - Accent6 3 7 2 2 3" xfId="34249" xr:uid="{00000000-0005-0000-0000-00000B780000}"/>
    <cellStyle name="40% - Accent6 3 7 2 2 3 2" xfId="34250" xr:uid="{00000000-0005-0000-0000-00000C780000}"/>
    <cellStyle name="40% - Accent6 3 7 2 2 4" xfId="34251" xr:uid="{00000000-0005-0000-0000-00000D780000}"/>
    <cellStyle name="40% - Accent6 3 7 2 2 5" xfId="34252" xr:uid="{00000000-0005-0000-0000-00000E780000}"/>
    <cellStyle name="40% - Accent6 3 7 2 2 6" xfId="34253" xr:uid="{00000000-0005-0000-0000-00000F780000}"/>
    <cellStyle name="40% - Accent6 3 7 2 3" xfId="34254" xr:uid="{00000000-0005-0000-0000-000010780000}"/>
    <cellStyle name="40% - Accent6 3 7 2 3 2" xfId="34255" xr:uid="{00000000-0005-0000-0000-000011780000}"/>
    <cellStyle name="40% - Accent6 3 7 2 3 2 2" xfId="34256" xr:uid="{00000000-0005-0000-0000-000012780000}"/>
    <cellStyle name="40% - Accent6 3 7 2 3 3" xfId="34257" xr:uid="{00000000-0005-0000-0000-000013780000}"/>
    <cellStyle name="40% - Accent6 3 7 2 4" xfId="34258" xr:uid="{00000000-0005-0000-0000-000014780000}"/>
    <cellStyle name="40% - Accent6 3 7 2 4 2" xfId="34259" xr:uid="{00000000-0005-0000-0000-000015780000}"/>
    <cellStyle name="40% - Accent6 3 7 2 5" xfId="34260" xr:uid="{00000000-0005-0000-0000-000016780000}"/>
    <cellStyle name="40% - Accent6 3 7 2 5 2" xfId="34261" xr:uid="{00000000-0005-0000-0000-000017780000}"/>
    <cellStyle name="40% - Accent6 3 7 2 6" xfId="34262" xr:uid="{00000000-0005-0000-0000-000018780000}"/>
    <cellStyle name="40% - Accent6 3 7 2 7" xfId="34263" xr:uid="{00000000-0005-0000-0000-000019780000}"/>
    <cellStyle name="40% - Accent6 3 7 2 8" xfId="34264" xr:uid="{00000000-0005-0000-0000-00001A780000}"/>
    <cellStyle name="40% - Accent6 3 7 3" xfId="34265" xr:uid="{00000000-0005-0000-0000-00001B780000}"/>
    <cellStyle name="40% - Accent6 3 7 3 2" xfId="34266" xr:uid="{00000000-0005-0000-0000-00001C780000}"/>
    <cellStyle name="40% - Accent6 3 7 3 2 2" xfId="34267" xr:uid="{00000000-0005-0000-0000-00001D780000}"/>
    <cellStyle name="40% - Accent6 3 7 3 2 2 2" xfId="34268" xr:uid="{00000000-0005-0000-0000-00001E780000}"/>
    <cellStyle name="40% - Accent6 3 7 3 2 2 2 2" xfId="34269" xr:uid="{00000000-0005-0000-0000-00001F780000}"/>
    <cellStyle name="40% - Accent6 3 7 3 2 2 3" xfId="34270" xr:uid="{00000000-0005-0000-0000-000020780000}"/>
    <cellStyle name="40% - Accent6 3 7 3 2 3" xfId="34271" xr:uid="{00000000-0005-0000-0000-000021780000}"/>
    <cellStyle name="40% - Accent6 3 7 3 2 3 2" xfId="34272" xr:uid="{00000000-0005-0000-0000-000022780000}"/>
    <cellStyle name="40% - Accent6 3 7 3 2 4" xfId="34273" xr:uid="{00000000-0005-0000-0000-000023780000}"/>
    <cellStyle name="40% - Accent6 3 7 3 2 5" xfId="34274" xr:uid="{00000000-0005-0000-0000-000024780000}"/>
    <cellStyle name="40% - Accent6 3 7 3 2 6" xfId="34275" xr:uid="{00000000-0005-0000-0000-000025780000}"/>
    <cellStyle name="40% - Accent6 3 7 3 3" xfId="34276" xr:uid="{00000000-0005-0000-0000-000026780000}"/>
    <cellStyle name="40% - Accent6 3 7 3 3 2" xfId="34277" xr:uid="{00000000-0005-0000-0000-000027780000}"/>
    <cellStyle name="40% - Accent6 3 7 3 3 2 2" xfId="34278" xr:uid="{00000000-0005-0000-0000-000028780000}"/>
    <cellStyle name="40% - Accent6 3 7 3 3 3" xfId="34279" xr:uid="{00000000-0005-0000-0000-000029780000}"/>
    <cellStyle name="40% - Accent6 3 7 3 4" xfId="34280" xr:uid="{00000000-0005-0000-0000-00002A780000}"/>
    <cellStyle name="40% - Accent6 3 7 3 4 2" xfId="34281" xr:uid="{00000000-0005-0000-0000-00002B780000}"/>
    <cellStyle name="40% - Accent6 3 7 3 5" xfId="34282" xr:uid="{00000000-0005-0000-0000-00002C780000}"/>
    <cellStyle name="40% - Accent6 3 7 3 6" xfId="34283" xr:uid="{00000000-0005-0000-0000-00002D780000}"/>
    <cellStyle name="40% - Accent6 3 7 3 7" xfId="34284" xr:uid="{00000000-0005-0000-0000-00002E780000}"/>
    <cellStyle name="40% - Accent6 3 7 4" xfId="34285" xr:uid="{00000000-0005-0000-0000-00002F780000}"/>
    <cellStyle name="40% - Accent6 3 7 4 2" xfId="34286" xr:uid="{00000000-0005-0000-0000-000030780000}"/>
    <cellStyle name="40% - Accent6 3 7 4 2 2" xfId="34287" xr:uid="{00000000-0005-0000-0000-000031780000}"/>
    <cellStyle name="40% - Accent6 3 7 4 2 2 2" xfId="34288" xr:uid="{00000000-0005-0000-0000-000032780000}"/>
    <cellStyle name="40% - Accent6 3 7 4 2 3" xfId="34289" xr:uid="{00000000-0005-0000-0000-000033780000}"/>
    <cellStyle name="40% - Accent6 3 7 4 3" xfId="34290" xr:uid="{00000000-0005-0000-0000-000034780000}"/>
    <cellStyle name="40% - Accent6 3 7 4 3 2" xfId="34291" xr:uid="{00000000-0005-0000-0000-000035780000}"/>
    <cellStyle name="40% - Accent6 3 7 4 4" xfId="34292" xr:uid="{00000000-0005-0000-0000-000036780000}"/>
    <cellStyle name="40% - Accent6 3 7 4 5" xfId="34293" xr:uid="{00000000-0005-0000-0000-000037780000}"/>
    <cellStyle name="40% - Accent6 3 7 4 6" xfId="34294" xr:uid="{00000000-0005-0000-0000-000038780000}"/>
    <cellStyle name="40% - Accent6 3 7 5" xfId="34295" xr:uid="{00000000-0005-0000-0000-000039780000}"/>
    <cellStyle name="40% - Accent6 3 7 5 2" xfId="34296" xr:uid="{00000000-0005-0000-0000-00003A780000}"/>
    <cellStyle name="40% - Accent6 3 7 5 2 2" xfId="34297" xr:uid="{00000000-0005-0000-0000-00003B780000}"/>
    <cellStyle name="40% - Accent6 3 7 5 3" xfId="34298" xr:uid="{00000000-0005-0000-0000-00003C780000}"/>
    <cellStyle name="40% - Accent6 3 7 6" xfId="34299" xr:uid="{00000000-0005-0000-0000-00003D780000}"/>
    <cellStyle name="40% - Accent6 3 7 6 2" xfId="34300" xr:uid="{00000000-0005-0000-0000-00003E780000}"/>
    <cellStyle name="40% - Accent6 3 7 6 2 2" xfId="34301" xr:uid="{00000000-0005-0000-0000-00003F780000}"/>
    <cellStyle name="40% - Accent6 3 7 6 3" xfId="34302" xr:uid="{00000000-0005-0000-0000-000040780000}"/>
    <cellStyle name="40% - Accent6 3 7 7" xfId="34303" xr:uid="{00000000-0005-0000-0000-000041780000}"/>
    <cellStyle name="40% - Accent6 3 7 7 2" xfId="34304" xr:uid="{00000000-0005-0000-0000-000042780000}"/>
    <cellStyle name="40% - Accent6 3 7 8" xfId="34305" xr:uid="{00000000-0005-0000-0000-000043780000}"/>
    <cellStyle name="40% - Accent6 3 7 8 2" xfId="34306" xr:uid="{00000000-0005-0000-0000-000044780000}"/>
    <cellStyle name="40% - Accent6 3 7 9" xfId="34307" xr:uid="{00000000-0005-0000-0000-000045780000}"/>
    <cellStyle name="40% - Accent6 3 8" xfId="34308" xr:uid="{00000000-0005-0000-0000-000046780000}"/>
    <cellStyle name="40% - Accent6 3 8 10" xfId="34309" xr:uid="{00000000-0005-0000-0000-000047780000}"/>
    <cellStyle name="40% - Accent6 3 8 11" xfId="34310" xr:uid="{00000000-0005-0000-0000-000048780000}"/>
    <cellStyle name="40% - Accent6 3 8 2" xfId="34311" xr:uid="{00000000-0005-0000-0000-000049780000}"/>
    <cellStyle name="40% - Accent6 3 8 2 2" xfId="34312" xr:uid="{00000000-0005-0000-0000-00004A780000}"/>
    <cellStyle name="40% - Accent6 3 8 2 2 2" xfId="34313" xr:uid="{00000000-0005-0000-0000-00004B780000}"/>
    <cellStyle name="40% - Accent6 3 8 2 2 2 2" xfId="34314" xr:uid="{00000000-0005-0000-0000-00004C780000}"/>
    <cellStyle name="40% - Accent6 3 8 2 2 2 2 2" xfId="34315" xr:uid="{00000000-0005-0000-0000-00004D780000}"/>
    <cellStyle name="40% - Accent6 3 8 2 2 2 3" xfId="34316" xr:uid="{00000000-0005-0000-0000-00004E780000}"/>
    <cellStyle name="40% - Accent6 3 8 2 2 3" xfId="34317" xr:uid="{00000000-0005-0000-0000-00004F780000}"/>
    <cellStyle name="40% - Accent6 3 8 2 2 3 2" xfId="34318" xr:uid="{00000000-0005-0000-0000-000050780000}"/>
    <cellStyle name="40% - Accent6 3 8 2 2 4" xfId="34319" xr:uid="{00000000-0005-0000-0000-000051780000}"/>
    <cellStyle name="40% - Accent6 3 8 2 2 5" xfId="34320" xr:uid="{00000000-0005-0000-0000-000052780000}"/>
    <cellStyle name="40% - Accent6 3 8 2 2 6" xfId="34321" xr:uid="{00000000-0005-0000-0000-000053780000}"/>
    <cellStyle name="40% - Accent6 3 8 2 3" xfId="34322" xr:uid="{00000000-0005-0000-0000-000054780000}"/>
    <cellStyle name="40% - Accent6 3 8 2 3 2" xfId="34323" xr:uid="{00000000-0005-0000-0000-000055780000}"/>
    <cellStyle name="40% - Accent6 3 8 2 3 2 2" xfId="34324" xr:uid="{00000000-0005-0000-0000-000056780000}"/>
    <cellStyle name="40% - Accent6 3 8 2 3 3" xfId="34325" xr:uid="{00000000-0005-0000-0000-000057780000}"/>
    <cellStyle name="40% - Accent6 3 8 2 4" xfId="34326" xr:uid="{00000000-0005-0000-0000-000058780000}"/>
    <cellStyle name="40% - Accent6 3 8 2 4 2" xfId="34327" xr:uid="{00000000-0005-0000-0000-000059780000}"/>
    <cellStyle name="40% - Accent6 3 8 2 5" xfId="34328" xr:uid="{00000000-0005-0000-0000-00005A780000}"/>
    <cellStyle name="40% - Accent6 3 8 2 5 2" xfId="34329" xr:uid="{00000000-0005-0000-0000-00005B780000}"/>
    <cellStyle name="40% - Accent6 3 8 2 6" xfId="34330" xr:uid="{00000000-0005-0000-0000-00005C780000}"/>
    <cellStyle name="40% - Accent6 3 8 2 7" xfId="34331" xr:uid="{00000000-0005-0000-0000-00005D780000}"/>
    <cellStyle name="40% - Accent6 3 8 2 8" xfId="34332" xr:uid="{00000000-0005-0000-0000-00005E780000}"/>
    <cellStyle name="40% - Accent6 3 8 3" xfId="34333" xr:uid="{00000000-0005-0000-0000-00005F780000}"/>
    <cellStyle name="40% - Accent6 3 8 3 2" xfId="34334" xr:uid="{00000000-0005-0000-0000-000060780000}"/>
    <cellStyle name="40% - Accent6 3 8 3 2 2" xfId="34335" xr:uid="{00000000-0005-0000-0000-000061780000}"/>
    <cellStyle name="40% - Accent6 3 8 3 2 2 2" xfId="34336" xr:uid="{00000000-0005-0000-0000-000062780000}"/>
    <cellStyle name="40% - Accent6 3 8 3 2 2 2 2" xfId="34337" xr:uid="{00000000-0005-0000-0000-000063780000}"/>
    <cellStyle name="40% - Accent6 3 8 3 2 2 3" xfId="34338" xr:uid="{00000000-0005-0000-0000-000064780000}"/>
    <cellStyle name="40% - Accent6 3 8 3 2 3" xfId="34339" xr:uid="{00000000-0005-0000-0000-000065780000}"/>
    <cellStyle name="40% - Accent6 3 8 3 2 3 2" xfId="34340" xr:uid="{00000000-0005-0000-0000-000066780000}"/>
    <cellStyle name="40% - Accent6 3 8 3 2 4" xfId="34341" xr:uid="{00000000-0005-0000-0000-000067780000}"/>
    <cellStyle name="40% - Accent6 3 8 3 2 5" xfId="34342" xr:uid="{00000000-0005-0000-0000-000068780000}"/>
    <cellStyle name="40% - Accent6 3 8 3 2 6" xfId="34343" xr:uid="{00000000-0005-0000-0000-000069780000}"/>
    <cellStyle name="40% - Accent6 3 8 3 3" xfId="34344" xr:uid="{00000000-0005-0000-0000-00006A780000}"/>
    <cellStyle name="40% - Accent6 3 8 3 3 2" xfId="34345" xr:uid="{00000000-0005-0000-0000-00006B780000}"/>
    <cellStyle name="40% - Accent6 3 8 3 3 2 2" xfId="34346" xr:uid="{00000000-0005-0000-0000-00006C780000}"/>
    <cellStyle name="40% - Accent6 3 8 3 3 3" xfId="34347" xr:uid="{00000000-0005-0000-0000-00006D780000}"/>
    <cellStyle name="40% - Accent6 3 8 3 4" xfId="34348" xr:uid="{00000000-0005-0000-0000-00006E780000}"/>
    <cellStyle name="40% - Accent6 3 8 3 4 2" xfId="34349" xr:uid="{00000000-0005-0000-0000-00006F780000}"/>
    <cellStyle name="40% - Accent6 3 8 3 5" xfId="34350" xr:uid="{00000000-0005-0000-0000-000070780000}"/>
    <cellStyle name="40% - Accent6 3 8 3 6" xfId="34351" xr:uid="{00000000-0005-0000-0000-000071780000}"/>
    <cellStyle name="40% - Accent6 3 8 3 7" xfId="34352" xr:uid="{00000000-0005-0000-0000-000072780000}"/>
    <cellStyle name="40% - Accent6 3 8 4" xfId="34353" xr:uid="{00000000-0005-0000-0000-000073780000}"/>
    <cellStyle name="40% - Accent6 3 8 4 2" xfId="34354" xr:uid="{00000000-0005-0000-0000-000074780000}"/>
    <cellStyle name="40% - Accent6 3 8 4 2 2" xfId="34355" xr:uid="{00000000-0005-0000-0000-000075780000}"/>
    <cellStyle name="40% - Accent6 3 8 4 2 2 2" xfId="34356" xr:uid="{00000000-0005-0000-0000-000076780000}"/>
    <cellStyle name="40% - Accent6 3 8 4 2 3" xfId="34357" xr:uid="{00000000-0005-0000-0000-000077780000}"/>
    <cellStyle name="40% - Accent6 3 8 4 3" xfId="34358" xr:uid="{00000000-0005-0000-0000-000078780000}"/>
    <cellStyle name="40% - Accent6 3 8 4 3 2" xfId="34359" xr:uid="{00000000-0005-0000-0000-000079780000}"/>
    <cellStyle name="40% - Accent6 3 8 4 4" xfId="34360" xr:uid="{00000000-0005-0000-0000-00007A780000}"/>
    <cellStyle name="40% - Accent6 3 8 4 5" xfId="34361" xr:uid="{00000000-0005-0000-0000-00007B780000}"/>
    <cellStyle name="40% - Accent6 3 8 4 6" xfId="34362" xr:uid="{00000000-0005-0000-0000-00007C780000}"/>
    <cellStyle name="40% - Accent6 3 8 5" xfId="34363" xr:uid="{00000000-0005-0000-0000-00007D780000}"/>
    <cellStyle name="40% - Accent6 3 8 5 2" xfId="34364" xr:uid="{00000000-0005-0000-0000-00007E780000}"/>
    <cellStyle name="40% - Accent6 3 8 5 2 2" xfId="34365" xr:uid="{00000000-0005-0000-0000-00007F780000}"/>
    <cellStyle name="40% - Accent6 3 8 5 3" xfId="34366" xr:uid="{00000000-0005-0000-0000-000080780000}"/>
    <cellStyle name="40% - Accent6 3 8 6" xfId="34367" xr:uid="{00000000-0005-0000-0000-000081780000}"/>
    <cellStyle name="40% - Accent6 3 8 6 2" xfId="34368" xr:uid="{00000000-0005-0000-0000-000082780000}"/>
    <cellStyle name="40% - Accent6 3 8 6 2 2" xfId="34369" xr:uid="{00000000-0005-0000-0000-000083780000}"/>
    <cellStyle name="40% - Accent6 3 8 6 3" xfId="34370" xr:uid="{00000000-0005-0000-0000-000084780000}"/>
    <cellStyle name="40% - Accent6 3 8 7" xfId="34371" xr:uid="{00000000-0005-0000-0000-000085780000}"/>
    <cellStyle name="40% - Accent6 3 8 7 2" xfId="34372" xr:uid="{00000000-0005-0000-0000-000086780000}"/>
    <cellStyle name="40% - Accent6 3 8 8" xfId="34373" xr:uid="{00000000-0005-0000-0000-000087780000}"/>
    <cellStyle name="40% - Accent6 3 8 8 2" xfId="34374" xr:uid="{00000000-0005-0000-0000-000088780000}"/>
    <cellStyle name="40% - Accent6 3 8 9" xfId="34375" xr:uid="{00000000-0005-0000-0000-000089780000}"/>
    <cellStyle name="40% - Accent6 3 9" xfId="34376" xr:uid="{00000000-0005-0000-0000-00008A780000}"/>
    <cellStyle name="40% - Accent6 3 9 2" xfId="34377" xr:uid="{00000000-0005-0000-0000-00008B780000}"/>
    <cellStyle name="40% - Accent6 3 9 2 2" xfId="34378" xr:uid="{00000000-0005-0000-0000-00008C780000}"/>
    <cellStyle name="40% - Accent6 4" xfId="218" xr:uid="{00000000-0005-0000-0000-00008D780000}"/>
    <cellStyle name="40% - Accent6 4 10" xfId="34379" xr:uid="{00000000-0005-0000-0000-00008E780000}"/>
    <cellStyle name="40% - Accent6 4 10 2" xfId="34380" xr:uid="{00000000-0005-0000-0000-00008F780000}"/>
    <cellStyle name="40% - Accent6 4 10 2 2" xfId="34381" xr:uid="{00000000-0005-0000-0000-000090780000}"/>
    <cellStyle name="40% - Accent6 4 10 2 2 2" xfId="34382" xr:uid="{00000000-0005-0000-0000-000091780000}"/>
    <cellStyle name="40% - Accent6 4 10 2 2 2 2" xfId="34383" xr:uid="{00000000-0005-0000-0000-000092780000}"/>
    <cellStyle name="40% - Accent6 4 10 2 2 3" xfId="34384" xr:uid="{00000000-0005-0000-0000-000093780000}"/>
    <cellStyle name="40% - Accent6 4 10 2 3" xfId="34385" xr:uid="{00000000-0005-0000-0000-000094780000}"/>
    <cellStyle name="40% - Accent6 4 10 2 3 2" xfId="34386" xr:uid="{00000000-0005-0000-0000-000095780000}"/>
    <cellStyle name="40% - Accent6 4 10 2 4" xfId="34387" xr:uid="{00000000-0005-0000-0000-000096780000}"/>
    <cellStyle name="40% - Accent6 4 10 2 5" xfId="34388" xr:uid="{00000000-0005-0000-0000-000097780000}"/>
    <cellStyle name="40% - Accent6 4 10 2 6" xfId="34389" xr:uid="{00000000-0005-0000-0000-000098780000}"/>
    <cellStyle name="40% - Accent6 4 10 3" xfId="34390" xr:uid="{00000000-0005-0000-0000-000099780000}"/>
    <cellStyle name="40% - Accent6 4 10 3 2" xfId="34391" xr:uid="{00000000-0005-0000-0000-00009A780000}"/>
    <cellStyle name="40% - Accent6 4 10 3 2 2" xfId="34392" xr:uid="{00000000-0005-0000-0000-00009B780000}"/>
    <cellStyle name="40% - Accent6 4 10 3 3" xfId="34393" xr:uid="{00000000-0005-0000-0000-00009C780000}"/>
    <cellStyle name="40% - Accent6 4 10 4" xfId="34394" xr:uid="{00000000-0005-0000-0000-00009D780000}"/>
    <cellStyle name="40% - Accent6 4 10 4 2" xfId="34395" xr:uid="{00000000-0005-0000-0000-00009E780000}"/>
    <cellStyle name="40% - Accent6 4 10 4 2 2" xfId="34396" xr:uid="{00000000-0005-0000-0000-00009F780000}"/>
    <cellStyle name="40% - Accent6 4 10 4 3" xfId="34397" xr:uid="{00000000-0005-0000-0000-0000A0780000}"/>
    <cellStyle name="40% - Accent6 4 10 5" xfId="34398" xr:uid="{00000000-0005-0000-0000-0000A1780000}"/>
    <cellStyle name="40% - Accent6 4 10 6" xfId="34399" xr:uid="{00000000-0005-0000-0000-0000A2780000}"/>
    <cellStyle name="40% - Accent6 4 11" xfId="34400" xr:uid="{00000000-0005-0000-0000-0000A3780000}"/>
    <cellStyle name="40% - Accent6 4 11 2" xfId="34401" xr:uid="{00000000-0005-0000-0000-0000A4780000}"/>
    <cellStyle name="40% - Accent6 4 11 2 2" xfId="34402" xr:uid="{00000000-0005-0000-0000-0000A5780000}"/>
    <cellStyle name="40% - Accent6 4 11 2 2 2" xfId="34403" xr:uid="{00000000-0005-0000-0000-0000A6780000}"/>
    <cellStyle name="40% - Accent6 4 11 2 2 2 2" xfId="34404" xr:uid="{00000000-0005-0000-0000-0000A7780000}"/>
    <cellStyle name="40% - Accent6 4 11 2 2 3" xfId="34405" xr:uid="{00000000-0005-0000-0000-0000A8780000}"/>
    <cellStyle name="40% - Accent6 4 11 2 3" xfId="34406" xr:uid="{00000000-0005-0000-0000-0000A9780000}"/>
    <cellStyle name="40% - Accent6 4 11 2 3 2" xfId="34407" xr:uid="{00000000-0005-0000-0000-0000AA780000}"/>
    <cellStyle name="40% - Accent6 4 11 2 4" xfId="34408" xr:uid="{00000000-0005-0000-0000-0000AB780000}"/>
    <cellStyle name="40% - Accent6 4 11 2 5" xfId="34409" xr:uid="{00000000-0005-0000-0000-0000AC780000}"/>
    <cellStyle name="40% - Accent6 4 11 2 6" xfId="34410" xr:uid="{00000000-0005-0000-0000-0000AD780000}"/>
    <cellStyle name="40% - Accent6 4 11 3" xfId="34411" xr:uid="{00000000-0005-0000-0000-0000AE780000}"/>
    <cellStyle name="40% - Accent6 4 11 3 2" xfId="34412" xr:uid="{00000000-0005-0000-0000-0000AF780000}"/>
    <cellStyle name="40% - Accent6 4 11 3 2 2" xfId="34413" xr:uid="{00000000-0005-0000-0000-0000B0780000}"/>
    <cellStyle name="40% - Accent6 4 11 3 3" xfId="34414" xr:uid="{00000000-0005-0000-0000-0000B1780000}"/>
    <cellStyle name="40% - Accent6 4 11 4" xfId="34415" xr:uid="{00000000-0005-0000-0000-0000B2780000}"/>
    <cellStyle name="40% - Accent6 4 11 4 2" xfId="34416" xr:uid="{00000000-0005-0000-0000-0000B3780000}"/>
    <cellStyle name="40% - Accent6 4 11 5" xfId="34417" xr:uid="{00000000-0005-0000-0000-0000B4780000}"/>
    <cellStyle name="40% - Accent6 4 11 6" xfId="34418" xr:uid="{00000000-0005-0000-0000-0000B5780000}"/>
    <cellStyle name="40% - Accent6 4 11 7" xfId="34419" xr:uid="{00000000-0005-0000-0000-0000B6780000}"/>
    <cellStyle name="40% - Accent6 4 12" xfId="34420" xr:uid="{00000000-0005-0000-0000-0000B7780000}"/>
    <cellStyle name="40% - Accent6 4 13" xfId="34421" xr:uid="{00000000-0005-0000-0000-0000B8780000}"/>
    <cellStyle name="40% - Accent6 4 13 2" xfId="34422" xr:uid="{00000000-0005-0000-0000-0000B9780000}"/>
    <cellStyle name="40% - Accent6 4 13 2 2" xfId="34423" xr:uid="{00000000-0005-0000-0000-0000BA780000}"/>
    <cellStyle name="40% - Accent6 4 13 3" xfId="34424" xr:uid="{00000000-0005-0000-0000-0000BB780000}"/>
    <cellStyle name="40% - Accent6 4 14" xfId="34425" xr:uid="{00000000-0005-0000-0000-0000BC780000}"/>
    <cellStyle name="40% - Accent6 4 14 2" xfId="34426" xr:uid="{00000000-0005-0000-0000-0000BD780000}"/>
    <cellStyle name="40% - Accent6 4 15" xfId="34427" xr:uid="{00000000-0005-0000-0000-0000BE780000}"/>
    <cellStyle name="40% - Accent6 4 16" xfId="34428" xr:uid="{00000000-0005-0000-0000-0000BF780000}"/>
    <cellStyle name="40% - Accent6 4 2" xfId="34429" xr:uid="{00000000-0005-0000-0000-0000C0780000}"/>
    <cellStyle name="40% - Accent6 4 2 10" xfId="34430" xr:uid="{00000000-0005-0000-0000-0000C1780000}"/>
    <cellStyle name="40% - Accent6 4 2 11" xfId="34431" xr:uid="{00000000-0005-0000-0000-0000C2780000}"/>
    <cellStyle name="40% - Accent6 4 2 2" xfId="34432" xr:uid="{00000000-0005-0000-0000-0000C3780000}"/>
    <cellStyle name="40% - Accent6 4 2 2 2" xfId="34433" xr:uid="{00000000-0005-0000-0000-0000C4780000}"/>
    <cellStyle name="40% - Accent6 4 2 2 2 2" xfId="34434" xr:uid="{00000000-0005-0000-0000-0000C5780000}"/>
    <cellStyle name="40% - Accent6 4 2 2 2 2 2" xfId="34435" xr:uid="{00000000-0005-0000-0000-0000C6780000}"/>
    <cellStyle name="40% - Accent6 4 2 2 2 2 2 2" xfId="34436" xr:uid="{00000000-0005-0000-0000-0000C7780000}"/>
    <cellStyle name="40% - Accent6 4 2 2 2 2 3" xfId="34437" xr:uid="{00000000-0005-0000-0000-0000C8780000}"/>
    <cellStyle name="40% - Accent6 4 2 2 2 3" xfId="34438" xr:uid="{00000000-0005-0000-0000-0000C9780000}"/>
    <cellStyle name="40% - Accent6 4 2 2 2 3 2" xfId="34439" xr:uid="{00000000-0005-0000-0000-0000CA780000}"/>
    <cellStyle name="40% - Accent6 4 2 2 2 4" xfId="34440" xr:uid="{00000000-0005-0000-0000-0000CB780000}"/>
    <cellStyle name="40% - Accent6 4 2 2 2 5" xfId="34441" xr:uid="{00000000-0005-0000-0000-0000CC780000}"/>
    <cellStyle name="40% - Accent6 4 2 2 2 6" xfId="34442" xr:uid="{00000000-0005-0000-0000-0000CD780000}"/>
    <cellStyle name="40% - Accent6 4 2 2 3" xfId="34443" xr:uid="{00000000-0005-0000-0000-0000CE780000}"/>
    <cellStyle name="40% - Accent6 4 2 2 3 2" xfId="34444" xr:uid="{00000000-0005-0000-0000-0000CF780000}"/>
    <cellStyle name="40% - Accent6 4 2 2 3 2 2" xfId="34445" xr:uid="{00000000-0005-0000-0000-0000D0780000}"/>
    <cellStyle name="40% - Accent6 4 2 2 3 3" xfId="34446" xr:uid="{00000000-0005-0000-0000-0000D1780000}"/>
    <cellStyle name="40% - Accent6 4 2 2 4" xfId="34447" xr:uid="{00000000-0005-0000-0000-0000D2780000}"/>
    <cellStyle name="40% - Accent6 4 2 2 4 2" xfId="34448" xr:uid="{00000000-0005-0000-0000-0000D3780000}"/>
    <cellStyle name="40% - Accent6 4 2 2 5" xfId="34449" xr:uid="{00000000-0005-0000-0000-0000D4780000}"/>
    <cellStyle name="40% - Accent6 4 2 2 5 2" xfId="34450" xr:uid="{00000000-0005-0000-0000-0000D5780000}"/>
    <cellStyle name="40% - Accent6 4 2 2 6" xfId="34451" xr:uid="{00000000-0005-0000-0000-0000D6780000}"/>
    <cellStyle name="40% - Accent6 4 2 2 7" xfId="34452" xr:uid="{00000000-0005-0000-0000-0000D7780000}"/>
    <cellStyle name="40% - Accent6 4 2 2 8" xfId="34453" xr:uid="{00000000-0005-0000-0000-0000D8780000}"/>
    <cellStyle name="40% - Accent6 4 2 3" xfId="34454" xr:uid="{00000000-0005-0000-0000-0000D9780000}"/>
    <cellStyle name="40% - Accent6 4 2 3 2" xfId="34455" xr:uid="{00000000-0005-0000-0000-0000DA780000}"/>
    <cellStyle name="40% - Accent6 4 2 3 2 2" xfId="34456" xr:uid="{00000000-0005-0000-0000-0000DB780000}"/>
    <cellStyle name="40% - Accent6 4 2 3 2 2 2" xfId="34457" xr:uid="{00000000-0005-0000-0000-0000DC780000}"/>
    <cellStyle name="40% - Accent6 4 2 3 2 2 2 2" xfId="34458" xr:uid="{00000000-0005-0000-0000-0000DD780000}"/>
    <cellStyle name="40% - Accent6 4 2 3 2 2 3" xfId="34459" xr:uid="{00000000-0005-0000-0000-0000DE780000}"/>
    <cellStyle name="40% - Accent6 4 2 3 2 3" xfId="34460" xr:uid="{00000000-0005-0000-0000-0000DF780000}"/>
    <cellStyle name="40% - Accent6 4 2 3 2 3 2" xfId="34461" xr:uid="{00000000-0005-0000-0000-0000E0780000}"/>
    <cellStyle name="40% - Accent6 4 2 3 2 4" xfId="34462" xr:uid="{00000000-0005-0000-0000-0000E1780000}"/>
    <cellStyle name="40% - Accent6 4 2 3 2 5" xfId="34463" xr:uid="{00000000-0005-0000-0000-0000E2780000}"/>
    <cellStyle name="40% - Accent6 4 2 3 2 6" xfId="34464" xr:uid="{00000000-0005-0000-0000-0000E3780000}"/>
    <cellStyle name="40% - Accent6 4 2 3 3" xfId="34465" xr:uid="{00000000-0005-0000-0000-0000E4780000}"/>
    <cellStyle name="40% - Accent6 4 2 3 3 2" xfId="34466" xr:uid="{00000000-0005-0000-0000-0000E5780000}"/>
    <cellStyle name="40% - Accent6 4 2 3 3 2 2" xfId="34467" xr:uid="{00000000-0005-0000-0000-0000E6780000}"/>
    <cellStyle name="40% - Accent6 4 2 3 3 3" xfId="34468" xr:uid="{00000000-0005-0000-0000-0000E7780000}"/>
    <cellStyle name="40% - Accent6 4 2 3 4" xfId="34469" xr:uid="{00000000-0005-0000-0000-0000E8780000}"/>
    <cellStyle name="40% - Accent6 4 2 3 4 2" xfId="34470" xr:uid="{00000000-0005-0000-0000-0000E9780000}"/>
    <cellStyle name="40% - Accent6 4 2 3 5" xfId="34471" xr:uid="{00000000-0005-0000-0000-0000EA780000}"/>
    <cellStyle name="40% - Accent6 4 2 3 6" xfId="34472" xr:uid="{00000000-0005-0000-0000-0000EB780000}"/>
    <cellStyle name="40% - Accent6 4 2 3 7" xfId="34473" xr:uid="{00000000-0005-0000-0000-0000EC780000}"/>
    <cellStyle name="40% - Accent6 4 2 4" xfId="34474" xr:uid="{00000000-0005-0000-0000-0000ED780000}"/>
    <cellStyle name="40% - Accent6 4 2 4 2" xfId="34475" xr:uid="{00000000-0005-0000-0000-0000EE780000}"/>
    <cellStyle name="40% - Accent6 4 2 4 2 2" xfId="34476" xr:uid="{00000000-0005-0000-0000-0000EF780000}"/>
    <cellStyle name="40% - Accent6 4 2 4 2 2 2" xfId="34477" xr:uid="{00000000-0005-0000-0000-0000F0780000}"/>
    <cellStyle name="40% - Accent6 4 2 4 2 3" xfId="34478" xr:uid="{00000000-0005-0000-0000-0000F1780000}"/>
    <cellStyle name="40% - Accent6 4 2 4 3" xfId="34479" xr:uid="{00000000-0005-0000-0000-0000F2780000}"/>
    <cellStyle name="40% - Accent6 4 2 4 3 2" xfId="34480" xr:uid="{00000000-0005-0000-0000-0000F3780000}"/>
    <cellStyle name="40% - Accent6 4 2 4 4" xfId="34481" xr:uid="{00000000-0005-0000-0000-0000F4780000}"/>
    <cellStyle name="40% - Accent6 4 2 4 5" xfId="34482" xr:uid="{00000000-0005-0000-0000-0000F5780000}"/>
    <cellStyle name="40% - Accent6 4 2 4 6" xfId="34483" xr:uid="{00000000-0005-0000-0000-0000F6780000}"/>
    <cellStyle name="40% - Accent6 4 2 5" xfId="34484" xr:uid="{00000000-0005-0000-0000-0000F7780000}"/>
    <cellStyle name="40% - Accent6 4 2 5 2" xfId="34485" xr:uid="{00000000-0005-0000-0000-0000F8780000}"/>
    <cellStyle name="40% - Accent6 4 2 5 2 2" xfId="34486" xr:uid="{00000000-0005-0000-0000-0000F9780000}"/>
    <cellStyle name="40% - Accent6 4 2 5 3" xfId="34487" xr:uid="{00000000-0005-0000-0000-0000FA780000}"/>
    <cellStyle name="40% - Accent6 4 2 6" xfId="34488" xr:uid="{00000000-0005-0000-0000-0000FB780000}"/>
    <cellStyle name="40% - Accent6 4 2 6 2" xfId="34489" xr:uid="{00000000-0005-0000-0000-0000FC780000}"/>
    <cellStyle name="40% - Accent6 4 2 6 2 2" xfId="34490" xr:uid="{00000000-0005-0000-0000-0000FD780000}"/>
    <cellStyle name="40% - Accent6 4 2 6 3" xfId="34491" xr:uid="{00000000-0005-0000-0000-0000FE780000}"/>
    <cellStyle name="40% - Accent6 4 2 7" xfId="34492" xr:uid="{00000000-0005-0000-0000-0000FF780000}"/>
    <cellStyle name="40% - Accent6 4 2 7 2" xfId="34493" xr:uid="{00000000-0005-0000-0000-000000790000}"/>
    <cellStyle name="40% - Accent6 4 2 8" xfId="34494" xr:uid="{00000000-0005-0000-0000-000001790000}"/>
    <cellStyle name="40% - Accent6 4 2 8 2" xfId="34495" xr:uid="{00000000-0005-0000-0000-000002790000}"/>
    <cellStyle name="40% - Accent6 4 2 9" xfId="34496" xr:uid="{00000000-0005-0000-0000-000003790000}"/>
    <cellStyle name="40% - Accent6 4 3" xfId="34497" xr:uid="{00000000-0005-0000-0000-000004790000}"/>
    <cellStyle name="40% - Accent6 4 3 10" xfId="34498" xr:uid="{00000000-0005-0000-0000-000005790000}"/>
    <cellStyle name="40% - Accent6 4 3 11" xfId="34499" xr:uid="{00000000-0005-0000-0000-000006790000}"/>
    <cellStyle name="40% - Accent6 4 3 2" xfId="34500" xr:uid="{00000000-0005-0000-0000-000007790000}"/>
    <cellStyle name="40% - Accent6 4 3 2 2" xfId="34501" xr:uid="{00000000-0005-0000-0000-000008790000}"/>
    <cellStyle name="40% - Accent6 4 3 2 2 2" xfId="34502" xr:uid="{00000000-0005-0000-0000-000009790000}"/>
    <cellStyle name="40% - Accent6 4 3 2 2 2 2" xfId="34503" xr:uid="{00000000-0005-0000-0000-00000A790000}"/>
    <cellStyle name="40% - Accent6 4 3 2 2 2 2 2" xfId="34504" xr:uid="{00000000-0005-0000-0000-00000B790000}"/>
    <cellStyle name="40% - Accent6 4 3 2 2 2 3" xfId="34505" xr:uid="{00000000-0005-0000-0000-00000C790000}"/>
    <cellStyle name="40% - Accent6 4 3 2 2 3" xfId="34506" xr:uid="{00000000-0005-0000-0000-00000D790000}"/>
    <cellStyle name="40% - Accent6 4 3 2 2 3 2" xfId="34507" xr:uid="{00000000-0005-0000-0000-00000E790000}"/>
    <cellStyle name="40% - Accent6 4 3 2 2 4" xfId="34508" xr:uid="{00000000-0005-0000-0000-00000F790000}"/>
    <cellStyle name="40% - Accent6 4 3 2 2 5" xfId="34509" xr:uid="{00000000-0005-0000-0000-000010790000}"/>
    <cellStyle name="40% - Accent6 4 3 2 2 6" xfId="34510" xr:uid="{00000000-0005-0000-0000-000011790000}"/>
    <cellStyle name="40% - Accent6 4 3 2 3" xfId="34511" xr:uid="{00000000-0005-0000-0000-000012790000}"/>
    <cellStyle name="40% - Accent6 4 3 2 3 2" xfId="34512" xr:uid="{00000000-0005-0000-0000-000013790000}"/>
    <cellStyle name="40% - Accent6 4 3 2 3 2 2" xfId="34513" xr:uid="{00000000-0005-0000-0000-000014790000}"/>
    <cellStyle name="40% - Accent6 4 3 2 3 3" xfId="34514" xr:uid="{00000000-0005-0000-0000-000015790000}"/>
    <cellStyle name="40% - Accent6 4 3 2 4" xfId="34515" xr:uid="{00000000-0005-0000-0000-000016790000}"/>
    <cellStyle name="40% - Accent6 4 3 2 4 2" xfId="34516" xr:uid="{00000000-0005-0000-0000-000017790000}"/>
    <cellStyle name="40% - Accent6 4 3 2 5" xfId="34517" xr:uid="{00000000-0005-0000-0000-000018790000}"/>
    <cellStyle name="40% - Accent6 4 3 2 5 2" xfId="34518" xr:uid="{00000000-0005-0000-0000-000019790000}"/>
    <cellStyle name="40% - Accent6 4 3 2 6" xfId="34519" xr:uid="{00000000-0005-0000-0000-00001A790000}"/>
    <cellStyle name="40% - Accent6 4 3 2 7" xfId="34520" xr:uid="{00000000-0005-0000-0000-00001B790000}"/>
    <cellStyle name="40% - Accent6 4 3 2 8" xfId="34521" xr:uid="{00000000-0005-0000-0000-00001C790000}"/>
    <cellStyle name="40% - Accent6 4 3 3" xfId="34522" xr:uid="{00000000-0005-0000-0000-00001D790000}"/>
    <cellStyle name="40% - Accent6 4 3 3 2" xfId="34523" xr:uid="{00000000-0005-0000-0000-00001E790000}"/>
    <cellStyle name="40% - Accent6 4 3 3 2 2" xfId="34524" xr:uid="{00000000-0005-0000-0000-00001F790000}"/>
    <cellStyle name="40% - Accent6 4 3 3 2 2 2" xfId="34525" xr:uid="{00000000-0005-0000-0000-000020790000}"/>
    <cellStyle name="40% - Accent6 4 3 3 2 2 2 2" xfId="34526" xr:uid="{00000000-0005-0000-0000-000021790000}"/>
    <cellStyle name="40% - Accent6 4 3 3 2 2 3" xfId="34527" xr:uid="{00000000-0005-0000-0000-000022790000}"/>
    <cellStyle name="40% - Accent6 4 3 3 2 3" xfId="34528" xr:uid="{00000000-0005-0000-0000-000023790000}"/>
    <cellStyle name="40% - Accent6 4 3 3 2 3 2" xfId="34529" xr:uid="{00000000-0005-0000-0000-000024790000}"/>
    <cellStyle name="40% - Accent6 4 3 3 2 4" xfId="34530" xr:uid="{00000000-0005-0000-0000-000025790000}"/>
    <cellStyle name="40% - Accent6 4 3 3 2 5" xfId="34531" xr:uid="{00000000-0005-0000-0000-000026790000}"/>
    <cellStyle name="40% - Accent6 4 3 3 2 6" xfId="34532" xr:uid="{00000000-0005-0000-0000-000027790000}"/>
    <cellStyle name="40% - Accent6 4 3 3 3" xfId="34533" xr:uid="{00000000-0005-0000-0000-000028790000}"/>
    <cellStyle name="40% - Accent6 4 3 3 3 2" xfId="34534" xr:uid="{00000000-0005-0000-0000-000029790000}"/>
    <cellStyle name="40% - Accent6 4 3 3 3 2 2" xfId="34535" xr:uid="{00000000-0005-0000-0000-00002A790000}"/>
    <cellStyle name="40% - Accent6 4 3 3 3 3" xfId="34536" xr:uid="{00000000-0005-0000-0000-00002B790000}"/>
    <cellStyle name="40% - Accent6 4 3 3 4" xfId="34537" xr:uid="{00000000-0005-0000-0000-00002C790000}"/>
    <cellStyle name="40% - Accent6 4 3 3 4 2" xfId="34538" xr:uid="{00000000-0005-0000-0000-00002D790000}"/>
    <cellStyle name="40% - Accent6 4 3 3 5" xfId="34539" xr:uid="{00000000-0005-0000-0000-00002E790000}"/>
    <cellStyle name="40% - Accent6 4 3 3 6" xfId="34540" xr:uid="{00000000-0005-0000-0000-00002F790000}"/>
    <cellStyle name="40% - Accent6 4 3 3 7" xfId="34541" xr:uid="{00000000-0005-0000-0000-000030790000}"/>
    <cellStyle name="40% - Accent6 4 3 4" xfId="34542" xr:uid="{00000000-0005-0000-0000-000031790000}"/>
    <cellStyle name="40% - Accent6 4 3 4 2" xfId="34543" xr:uid="{00000000-0005-0000-0000-000032790000}"/>
    <cellStyle name="40% - Accent6 4 3 4 2 2" xfId="34544" xr:uid="{00000000-0005-0000-0000-000033790000}"/>
    <cellStyle name="40% - Accent6 4 3 4 2 2 2" xfId="34545" xr:uid="{00000000-0005-0000-0000-000034790000}"/>
    <cellStyle name="40% - Accent6 4 3 4 2 3" xfId="34546" xr:uid="{00000000-0005-0000-0000-000035790000}"/>
    <cellStyle name="40% - Accent6 4 3 4 3" xfId="34547" xr:uid="{00000000-0005-0000-0000-000036790000}"/>
    <cellStyle name="40% - Accent6 4 3 4 3 2" xfId="34548" xr:uid="{00000000-0005-0000-0000-000037790000}"/>
    <cellStyle name="40% - Accent6 4 3 4 4" xfId="34549" xr:uid="{00000000-0005-0000-0000-000038790000}"/>
    <cellStyle name="40% - Accent6 4 3 4 5" xfId="34550" xr:uid="{00000000-0005-0000-0000-000039790000}"/>
    <cellStyle name="40% - Accent6 4 3 4 6" xfId="34551" xr:uid="{00000000-0005-0000-0000-00003A790000}"/>
    <cellStyle name="40% - Accent6 4 3 5" xfId="34552" xr:uid="{00000000-0005-0000-0000-00003B790000}"/>
    <cellStyle name="40% - Accent6 4 3 5 2" xfId="34553" xr:uid="{00000000-0005-0000-0000-00003C790000}"/>
    <cellStyle name="40% - Accent6 4 3 5 2 2" xfId="34554" xr:uid="{00000000-0005-0000-0000-00003D790000}"/>
    <cellStyle name="40% - Accent6 4 3 5 3" xfId="34555" xr:uid="{00000000-0005-0000-0000-00003E790000}"/>
    <cellStyle name="40% - Accent6 4 3 6" xfId="34556" xr:uid="{00000000-0005-0000-0000-00003F790000}"/>
    <cellStyle name="40% - Accent6 4 3 6 2" xfId="34557" xr:uid="{00000000-0005-0000-0000-000040790000}"/>
    <cellStyle name="40% - Accent6 4 3 6 2 2" xfId="34558" xr:uid="{00000000-0005-0000-0000-000041790000}"/>
    <cellStyle name="40% - Accent6 4 3 6 3" xfId="34559" xr:uid="{00000000-0005-0000-0000-000042790000}"/>
    <cellStyle name="40% - Accent6 4 3 7" xfId="34560" xr:uid="{00000000-0005-0000-0000-000043790000}"/>
    <cellStyle name="40% - Accent6 4 3 7 2" xfId="34561" xr:uid="{00000000-0005-0000-0000-000044790000}"/>
    <cellStyle name="40% - Accent6 4 3 8" xfId="34562" xr:uid="{00000000-0005-0000-0000-000045790000}"/>
    <cellStyle name="40% - Accent6 4 3 8 2" xfId="34563" xr:uid="{00000000-0005-0000-0000-000046790000}"/>
    <cellStyle name="40% - Accent6 4 3 9" xfId="34564" xr:uid="{00000000-0005-0000-0000-000047790000}"/>
    <cellStyle name="40% - Accent6 4 4" xfId="34565" xr:uid="{00000000-0005-0000-0000-000048790000}"/>
    <cellStyle name="40% - Accent6 4 4 10" xfId="34566" xr:uid="{00000000-0005-0000-0000-000049790000}"/>
    <cellStyle name="40% - Accent6 4 4 11" xfId="34567" xr:uid="{00000000-0005-0000-0000-00004A790000}"/>
    <cellStyle name="40% - Accent6 4 4 2" xfId="34568" xr:uid="{00000000-0005-0000-0000-00004B790000}"/>
    <cellStyle name="40% - Accent6 4 4 2 2" xfId="34569" xr:uid="{00000000-0005-0000-0000-00004C790000}"/>
    <cellStyle name="40% - Accent6 4 4 2 2 2" xfId="34570" xr:uid="{00000000-0005-0000-0000-00004D790000}"/>
    <cellStyle name="40% - Accent6 4 4 2 2 2 2" xfId="34571" xr:uid="{00000000-0005-0000-0000-00004E790000}"/>
    <cellStyle name="40% - Accent6 4 4 2 2 2 2 2" xfId="34572" xr:uid="{00000000-0005-0000-0000-00004F790000}"/>
    <cellStyle name="40% - Accent6 4 4 2 2 2 3" xfId="34573" xr:uid="{00000000-0005-0000-0000-000050790000}"/>
    <cellStyle name="40% - Accent6 4 4 2 2 3" xfId="34574" xr:uid="{00000000-0005-0000-0000-000051790000}"/>
    <cellStyle name="40% - Accent6 4 4 2 2 3 2" xfId="34575" xr:uid="{00000000-0005-0000-0000-000052790000}"/>
    <cellStyle name="40% - Accent6 4 4 2 2 4" xfId="34576" xr:uid="{00000000-0005-0000-0000-000053790000}"/>
    <cellStyle name="40% - Accent6 4 4 2 2 5" xfId="34577" xr:uid="{00000000-0005-0000-0000-000054790000}"/>
    <cellStyle name="40% - Accent6 4 4 2 2 6" xfId="34578" xr:uid="{00000000-0005-0000-0000-000055790000}"/>
    <cellStyle name="40% - Accent6 4 4 2 3" xfId="34579" xr:uid="{00000000-0005-0000-0000-000056790000}"/>
    <cellStyle name="40% - Accent6 4 4 2 3 2" xfId="34580" xr:uid="{00000000-0005-0000-0000-000057790000}"/>
    <cellStyle name="40% - Accent6 4 4 2 3 2 2" xfId="34581" xr:uid="{00000000-0005-0000-0000-000058790000}"/>
    <cellStyle name="40% - Accent6 4 4 2 3 3" xfId="34582" xr:uid="{00000000-0005-0000-0000-000059790000}"/>
    <cellStyle name="40% - Accent6 4 4 2 4" xfId="34583" xr:uid="{00000000-0005-0000-0000-00005A790000}"/>
    <cellStyle name="40% - Accent6 4 4 2 4 2" xfId="34584" xr:uid="{00000000-0005-0000-0000-00005B790000}"/>
    <cellStyle name="40% - Accent6 4 4 2 5" xfId="34585" xr:uid="{00000000-0005-0000-0000-00005C790000}"/>
    <cellStyle name="40% - Accent6 4 4 2 5 2" xfId="34586" xr:uid="{00000000-0005-0000-0000-00005D790000}"/>
    <cellStyle name="40% - Accent6 4 4 2 6" xfId="34587" xr:uid="{00000000-0005-0000-0000-00005E790000}"/>
    <cellStyle name="40% - Accent6 4 4 2 7" xfId="34588" xr:uid="{00000000-0005-0000-0000-00005F790000}"/>
    <cellStyle name="40% - Accent6 4 4 2 8" xfId="34589" xr:uid="{00000000-0005-0000-0000-000060790000}"/>
    <cellStyle name="40% - Accent6 4 4 3" xfId="34590" xr:uid="{00000000-0005-0000-0000-000061790000}"/>
    <cellStyle name="40% - Accent6 4 4 3 2" xfId="34591" xr:uid="{00000000-0005-0000-0000-000062790000}"/>
    <cellStyle name="40% - Accent6 4 4 3 2 2" xfId="34592" xr:uid="{00000000-0005-0000-0000-000063790000}"/>
    <cellStyle name="40% - Accent6 4 4 3 2 2 2" xfId="34593" xr:uid="{00000000-0005-0000-0000-000064790000}"/>
    <cellStyle name="40% - Accent6 4 4 3 2 2 2 2" xfId="34594" xr:uid="{00000000-0005-0000-0000-000065790000}"/>
    <cellStyle name="40% - Accent6 4 4 3 2 2 3" xfId="34595" xr:uid="{00000000-0005-0000-0000-000066790000}"/>
    <cellStyle name="40% - Accent6 4 4 3 2 3" xfId="34596" xr:uid="{00000000-0005-0000-0000-000067790000}"/>
    <cellStyle name="40% - Accent6 4 4 3 2 3 2" xfId="34597" xr:uid="{00000000-0005-0000-0000-000068790000}"/>
    <cellStyle name="40% - Accent6 4 4 3 2 4" xfId="34598" xr:uid="{00000000-0005-0000-0000-000069790000}"/>
    <cellStyle name="40% - Accent6 4 4 3 2 5" xfId="34599" xr:uid="{00000000-0005-0000-0000-00006A790000}"/>
    <cellStyle name="40% - Accent6 4 4 3 2 6" xfId="34600" xr:uid="{00000000-0005-0000-0000-00006B790000}"/>
    <cellStyle name="40% - Accent6 4 4 3 3" xfId="34601" xr:uid="{00000000-0005-0000-0000-00006C790000}"/>
    <cellStyle name="40% - Accent6 4 4 3 3 2" xfId="34602" xr:uid="{00000000-0005-0000-0000-00006D790000}"/>
    <cellStyle name="40% - Accent6 4 4 3 3 2 2" xfId="34603" xr:uid="{00000000-0005-0000-0000-00006E790000}"/>
    <cellStyle name="40% - Accent6 4 4 3 3 3" xfId="34604" xr:uid="{00000000-0005-0000-0000-00006F790000}"/>
    <cellStyle name="40% - Accent6 4 4 3 4" xfId="34605" xr:uid="{00000000-0005-0000-0000-000070790000}"/>
    <cellStyle name="40% - Accent6 4 4 3 4 2" xfId="34606" xr:uid="{00000000-0005-0000-0000-000071790000}"/>
    <cellStyle name="40% - Accent6 4 4 3 5" xfId="34607" xr:uid="{00000000-0005-0000-0000-000072790000}"/>
    <cellStyle name="40% - Accent6 4 4 3 6" xfId="34608" xr:uid="{00000000-0005-0000-0000-000073790000}"/>
    <cellStyle name="40% - Accent6 4 4 3 7" xfId="34609" xr:uid="{00000000-0005-0000-0000-000074790000}"/>
    <cellStyle name="40% - Accent6 4 4 4" xfId="34610" xr:uid="{00000000-0005-0000-0000-000075790000}"/>
    <cellStyle name="40% - Accent6 4 4 4 2" xfId="34611" xr:uid="{00000000-0005-0000-0000-000076790000}"/>
    <cellStyle name="40% - Accent6 4 4 4 2 2" xfId="34612" xr:uid="{00000000-0005-0000-0000-000077790000}"/>
    <cellStyle name="40% - Accent6 4 4 4 2 2 2" xfId="34613" xr:uid="{00000000-0005-0000-0000-000078790000}"/>
    <cellStyle name="40% - Accent6 4 4 4 2 3" xfId="34614" xr:uid="{00000000-0005-0000-0000-000079790000}"/>
    <cellStyle name="40% - Accent6 4 4 4 3" xfId="34615" xr:uid="{00000000-0005-0000-0000-00007A790000}"/>
    <cellStyle name="40% - Accent6 4 4 4 3 2" xfId="34616" xr:uid="{00000000-0005-0000-0000-00007B790000}"/>
    <cellStyle name="40% - Accent6 4 4 4 4" xfId="34617" xr:uid="{00000000-0005-0000-0000-00007C790000}"/>
    <cellStyle name="40% - Accent6 4 4 4 5" xfId="34618" xr:uid="{00000000-0005-0000-0000-00007D790000}"/>
    <cellStyle name="40% - Accent6 4 4 4 6" xfId="34619" xr:uid="{00000000-0005-0000-0000-00007E790000}"/>
    <cellStyle name="40% - Accent6 4 4 5" xfId="34620" xr:uid="{00000000-0005-0000-0000-00007F790000}"/>
    <cellStyle name="40% - Accent6 4 4 5 2" xfId="34621" xr:uid="{00000000-0005-0000-0000-000080790000}"/>
    <cellStyle name="40% - Accent6 4 4 5 2 2" xfId="34622" xr:uid="{00000000-0005-0000-0000-000081790000}"/>
    <cellStyle name="40% - Accent6 4 4 5 3" xfId="34623" xr:uid="{00000000-0005-0000-0000-000082790000}"/>
    <cellStyle name="40% - Accent6 4 4 6" xfId="34624" xr:uid="{00000000-0005-0000-0000-000083790000}"/>
    <cellStyle name="40% - Accent6 4 4 6 2" xfId="34625" xr:uid="{00000000-0005-0000-0000-000084790000}"/>
    <cellStyle name="40% - Accent6 4 4 6 2 2" xfId="34626" xr:uid="{00000000-0005-0000-0000-000085790000}"/>
    <cellStyle name="40% - Accent6 4 4 6 3" xfId="34627" xr:uid="{00000000-0005-0000-0000-000086790000}"/>
    <cellStyle name="40% - Accent6 4 4 7" xfId="34628" xr:uid="{00000000-0005-0000-0000-000087790000}"/>
    <cellStyle name="40% - Accent6 4 4 7 2" xfId="34629" xr:uid="{00000000-0005-0000-0000-000088790000}"/>
    <cellStyle name="40% - Accent6 4 4 8" xfId="34630" xr:uid="{00000000-0005-0000-0000-000089790000}"/>
    <cellStyle name="40% - Accent6 4 4 8 2" xfId="34631" xr:uid="{00000000-0005-0000-0000-00008A790000}"/>
    <cellStyle name="40% - Accent6 4 4 9" xfId="34632" xr:uid="{00000000-0005-0000-0000-00008B790000}"/>
    <cellStyle name="40% - Accent6 4 5" xfId="34633" xr:uid="{00000000-0005-0000-0000-00008C790000}"/>
    <cellStyle name="40% - Accent6 4 5 10" xfId="34634" xr:uid="{00000000-0005-0000-0000-00008D790000}"/>
    <cellStyle name="40% - Accent6 4 5 11" xfId="34635" xr:uid="{00000000-0005-0000-0000-00008E790000}"/>
    <cellStyle name="40% - Accent6 4 5 2" xfId="34636" xr:uid="{00000000-0005-0000-0000-00008F790000}"/>
    <cellStyle name="40% - Accent6 4 5 2 2" xfId="34637" xr:uid="{00000000-0005-0000-0000-000090790000}"/>
    <cellStyle name="40% - Accent6 4 5 2 2 2" xfId="34638" xr:uid="{00000000-0005-0000-0000-000091790000}"/>
    <cellStyle name="40% - Accent6 4 5 2 2 2 2" xfId="34639" xr:uid="{00000000-0005-0000-0000-000092790000}"/>
    <cellStyle name="40% - Accent6 4 5 2 2 2 2 2" xfId="34640" xr:uid="{00000000-0005-0000-0000-000093790000}"/>
    <cellStyle name="40% - Accent6 4 5 2 2 2 3" xfId="34641" xr:uid="{00000000-0005-0000-0000-000094790000}"/>
    <cellStyle name="40% - Accent6 4 5 2 2 3" xfId="34642" xr:uid="{00000000-0005-0000-0000-000095790000}"/>
    <cellStyle name="40% - Accent6 4 5 2 2 3 2" xfId="34643" xr:uid="{00000000-0005-0000-0000-000096790000}"/>
    <cellStyle name="40% - Accent6 4 5 2 2 4" xfId="34644" xr:uid="{00000000-0005-0000-0000-000097790000}"/>
    <cellStyle name="40% - Accent6 4 5 2 2 5" xfId="34645" xr:uid="{00000000-0005-0000-0000-000098790000}"/>
    <cellStyle name="40% - Accent6 4 5 2 2 6" xfId="34646" xr:uid="{00000000-0005-0000-0000-000099790000}"/>
    <cellStyle name="40% - Accent6 4 5 2 3" xfId="34647" xr:uid="{00000000-0005-0000-0000-00009A790000}"/>
    <cellStyle name="40% - Accent6 4 5 2 3 2" xfId="34648" xr:uid="{00000000-0005-0000-0000-00009B790000}"/>
    <cellStyle name="40% - Accent6 4 5 2 3 2 2" xfId="34649" xr:uid="{00000000-0005-0000-0000-00009C790000}"/>
    <cellStyle name="40% - Accent6 4 5 2 3 3" xfId="34650" xr:uid="{00000000-0005-0000-0000-00009D790000}"/>
    <cellStyle name="40% - Accent6 4 5 2 4" xfId="34651" xr:uid="{00000000-0005-0000-0000-00009E790000}"/>
    <cellStyle name="40% - Accent6 4 5 2 4 2" xfId="34652" xr:uid="{00000000-0005-0000-0000-00009F790000}"/>
    <cellStyle name="40% - Accent6 4 5 2 5" xfId="34653" xr:uid="{00000000-0005-0000-0000-0000A0790000}"/>
    <cellStyle name="40% - Accent6 4 5 2 5 2" xfId="34654" xr:uid="{00000000-0005-0000-0000-0000A1790000}"/>
    <cellStyle name="40% - Accent6 4 5 2 6" xfId="34655" xr:uid="{00000000-0005-0000-0000-0000A2790000}"/>
    <cellStyle name="40% - Accent6 4 5 2 7" xfId="34656" xr:uid="{00000000-0005-0000-0000-0000A3790000}"/>
    <cellStyle name="40% - Accent6 4 5 2 8" xfId="34657" xr:uid="{00000000-0005-0000-0000-0000A4790000}"/>
    <cellStyle name="40% - Accent6 4 5 3" xfId="34658" xr:uid="{00000000-0005-0000-0000-0000A5790000}"/>
    <cellStyle name="40% - Accent6 4 5 3 2" xfId="34659" xr:uid="{00000000-0005-0000-0000-0000A6790000}"/>
    <cellStyle name="40% - Accent6 4 5 3 2 2" xfId="34660" xr:uid="{00000000-0005-0000-0000-0000A7790000}"/>
    <cellStyle name="40% - Accent6 4 5 3 2 2 2" xfId="34661" xr:uid="{00000000-0005-0000-0000-0000A8790000}"/>
    <cellStyle name="40% - Accent6 4 5 3 2 2 2 2" xfId="34662" xr:uid="{00000000-0005-0000-0000-0000A9790000}"/>
    <cellStyle name="40% - Accent6 4 5 3 2 2 3" xfId="34663" xr:uid="{00000000-0005-0000-0000-0000AA790000}"/>
    <cellStyle name="40% - Accent6 4 5 3 2 3" xfId="34664" xr:uid="{00000000-0005-0000-0000-0000AB790000}"/>
    <cellStyle name="40% - Accent6 4 5 3 2 3 2" xfId="34665" xr:uid="{00000000-0005-0000-0000-0000AC790000}"/>
    <cellStyle name="40% - Accent6 4 5 3 2 4" xfId="34666" xr:uid="{00000000-0005-0000-0000-0000AD790000}"/>
    <cellStyle name="40% - Accent6 4 5 3 2 5" xfId="34667" xr:uid="{00000000-0005-0000-0000-0000AE790000}"/>
    <cellStyle name="40% - Accent6 4 5 3 2 6" xfId="34668" xr:uid="{00000000-0005-0000-0000-0000AF790000}"/>
    <cellStyle name="40% - Accent6 4 5 3 3" xfId="34669" xr:uid="{00000000-0005-0000-0000-0000B0790000}"/>
    <cellStyle name="40% - Accent6 4 5 3 3 2" xfId="34670" xr:uid="{00000000-0005-0000-0000-0000B1790000}"/>
    <cellStyle name="40% - Accent6 4 5 3 3 2 2" xfId="34671" xr:uid="{00000000-0005-0000-0000-0000B2790000}"/>
    <cellStyle name="40% - Accent6 4 5 3 3 3" xfId="34672" xr:uid="{00000000-0005-0000-0000-0000B3790000}"/>
    <cellStyle name="40% - Accent6 4 5 3 4" xfId="34673" xr:uid="{00000000-0005-0000-0000-0000B4790000}"/>
    <cellStyle name="40% - Accent6 4 5 3 4 2" xfId="34674" xr:uid="{00000000-0005-0000-0000-0000B5790000}"/>
    <cellStyle name="40% - Accent6 4 5 3 5" xfId="34675" xr:uid="{00000000-0005-0000-0000-0000B6790000}"/>
    <cellStyle name="40% - Accent6 4 5 3 6" xfId="34676" xr:uid="{00000000-0005-0000-0000-0000B7790000}"/>
    <cellStyle name="40% - Accent6 4 5 3 7" xfId="34677" xr:uid="{00000000-0005-0000-0000-0000B8790000}"/>
    <cellStyle name="40% - Accent6 4 5 4" xfId="34678" xr:uid="{00000000-0005-0000-0000-0000B9790000}"/>
    <cellStyle name="40% - Accent6 4 5 4 2" xfId="34679" xr:uid="{00000000-0005-0000-0000-0000BA790000}"/>
    <cellStyle name="40% - Accent6 4 5 4 2 2" xfId="34680" xr:uid="{00000000-0005-0000-0000-0000BB790000}"/>
    <cellStyle name="40% - Accent6 4 5 4 2 2 2" xfId="34681" xr:uid="{00000000-0005-0000-0000-0000BC790000}"/>
    <cellStyle name="40% - Accent6 4 5 4 2 3" xfId="34682" xr:uid="{00000000-0005-0000-0000-0000BD790000}"/>
    <cellStyle name="40% - Accent6 4 5 4 3" xfId="34683" xr:uid="{00000000-0005-0000-0000-0000BE790000}"/>
    <cellStyle name="40% - Accent6 4 5 4 3 2" xfId="34684" xr:uid="{00000000-0005-0000-0000-0000BF790000}"/>
    <cellStyle name="40% - Accent6 4 5 4 4" xfId="34685" xr:uid="{00000000-0005-0000-0000-0000C0790000}"/>
    <cellStyle name="40% - Accent6 4 5 4 5" xfId="34686" xr:uid="{00000000-0005-0000-0000-0000C1790000}"/>
    <cellStyle name="40% - Accent6 4 5 4 6" xfId="34687" xr:uid="{00000000-0005-0000-0000-0000C2790000}"/>
    <cellStyle name="40% - Accent6 4 5 5" xfId="34688" xr:uid="{00000000-0005-0000-0000-0000C3790000}"/>
    <cellStyle name="40% - Accent6 4 5 5 2" xfId="34689" xr:uid="{00000000-0005-0000-0000-0000C4790000}"/>
    <cellStyle name="40% - Accent6 4 5 5 2 2" xfId="34690" xr:uid="{00000000-0005-0000-0000-0000C5790000}"/>
    <cellStyle name="40% - Accent6 4 5 5 3" xfId="34691" xr:uid="{00000000-0005-0000-0000-0000C6790000}"/>
    <cellStyle name="40% - Accent6 4 5 6" xfId="34692" xr:uid="{00000000-0005-0000-0000-0000C7790000}"/>
    <cellStyle name="40% - Accent6 4 5 6 2" xfId="34693" xr:uid="{00000000-0005-0000-0000-0000C8790000}"/>
    <cellStyle name="40% - Accent6 4 5 6 2 2" xfId="34694" xr:uid="{00000000-0005-0000-0000-0000C9790000}"/>
    <cellStyle name="40% - Accent6 4 5 6 3" xfId="34695" xr:uid="{00000000-0005-0000-0000-0000CA790000}"/>
    <cellStyle name="40% - Accent6 4 5 7" xfId="34696" xr:uid="{00000000-0005-0000-0000-0000CB790000}"/>
    <cellStyle name="40% - Accent6 4 5 7 2" xfId="34697" xr:uid="{00000000-0005-0000-0000-0000CC790000}"/>
    <cellStyle name="40% - Accent6 4 5 8" xfId="34698" xr:uid="{00000000-0005-0000-0000-0000CD790000}"/>
    <cellStyle name="40% - Accent6 4 5 8 2" xfId="34699" xr:uid="{00000000-0005-0000-0000-0000CE790000}"/>
    <cellStyle name="40% - Accent6 4 5 9" xfId="34700" xr:uid="{00000000-0005-0000-0000-0000CF790000}"/>
    <cellStyle name="40% - Accent6 4 6" xfId="34701" xr:uid="{00000000-0005-0000-0000-0000D0790000}"/>
    <cellStyle name="40% - Accent6 4 6 10" xfId="34702" xr:uid="{00000000-0005-0000-0000-0000D1790000}"/>
    <cellStyle name="40% - Accent6 4 6 11" xfId="34703" xr:uid="{00000000-0005-0000-0000-0000D2790000}"/>
    <cellStyle name="40% - Accent6 4 6 2" xfId="34704" xr:uid="{00000000-0005-0000-0000-0000D3790000}"/>
    <cellStyle name="40% - Accent6 4 6 2 2" xfId="34705" xr:uid="{00000000-0005-0000-0000-0000D4790000}"/>
    <cellStyle name="40% - Accent6 4 6 2 2 2" xfId="34706" xr:uid="{00000000-0005-0000-0000-0000D5790000}"/>
    <cellStyle name="40% - Accent6 4 6 2 2 2 2" xfId="34707" xr:uid="{00000000-0005-0000-0000-0000D6790000}"/>
    <cellStyle name="40% - Accent6 4 6 2 2 2 2 2" xfId="34708" xr:uid="{00000000-0005-0000-0000-0000D7790000}"/>
    <cellStyle name="40% - Accent6 4 6 2 2 2 3" xfId="34709" xr:uid="{00000000-0005-0000-0000-0000D8790000}"/>
    <cellStyle name="40% - Accent6 4 6 2 2 3" xfId="34710" xr:uid="{00000000-0005-0000-0000-0000D9790000}"/>
    <cellStyle name="40% - Accent6 4 6 2 2 3 2" xfId="34711" xr:uid="{00000000-0005-0000-0000-0000DA790000}"/>
    <cellStyle name="40% - Accent6 4 6 2 2 4" xfId="34712" xr:uid="{00000000-0005-0000-0000-0000DB790000}"/>
    <cellStyle name="40% - Accent6 4 6 2 2 5" xfId="34713" xr:uid="{00000000-0005-0000-0000-0000DC790000}"/>
    <cellStyle name="40% - Accent6 4 6 2 2 6" xfId="34714" xr:uid="{00000000-0005-0000-0000-0000DD790000}"/>
    <cellStyle name="40% - Accent6 4 6 2 3" xfId="34715" xr:uid="{00000000-0005-0000-0000-0000DE790000}"/>
    <cellStyle name="40% - Accent6 4 6 2 3 2" xfId="34716" xr:uid="{00000000-0005-0000-0000-0000DF790000}"/>
    <cellStyle name="40% - Accent6 4 6 2 3 2 2" xfId="34717" xr:uid="{00000000-0005-0000-0000-0000E0790000}"/>
    <cellStyle name="40% - Accent6 4 6 2 3 3" xfId="34718" xr:uid="{00000000-0005-0000-0000-0000E1790000}"/>
    <cellStyle name="40% - Accent6 4 6 2 4" xfId="34719" xr:uid="{00000000-0005-0000-0000-0000E2790000}"/>
    <cellStyle name="40% - Accent6 4 6 2 4 2" xfId="34720" xr:uid="{00000000-0005-0000-0000-0000E3790000}"/>
    <cellStyle name="40% - Accent6 4 6 2 5" xfId="34721" xr:uid="{00000000-0005-0000-0000-0000E4790000}"/>
    <cellStyle name="40% - Accent6 4 6 2 5 2" xfId="34722" xr:uid="{00000000-0005-0000-0000-0000E5790000}"/>
    <cellStyle name="40% - Accent6 4 6 2 6" xfId="34723" xr:uid="{00000000-0005-0000-0000-0000E6790000}"/>
    <cellStyle name="40% - Accent6 4 6 2 7" xfId="34724" xr:uid="{00000000-0005-0000-0000-0000E7790000}"/>
    <cellStyle name="40% - Accent6 4 6 2 8" xfId="34725" xr:uid="{00000000-0005-0000-0000-0000E8790000}"/>
    <cellStyle name="40% - Accent6 4 6 3" xfId="34726" xr:uid="{00000000-0005-0000-0000-0000E9790000}"/>
    <cellStyle name="40% - Accent6 4 6 3 2" xfId="34727" xr:uid="{00000000-0005-0000-0000-0000EA790000}"/>
    <cellStyle name="40% - Accent6 4 6 3 2 2" xfId="34728" xr:uid="{00000000-0005-0000-0000-0000EB790000}"/>
    <cellStyle name="40% - Accent6 4 6 3 2 2 2" xfId="34729" xr:uid="{00000000-0005-0000-0000-0000EC790000}"/>
    <cellStyle name="40% - Accent6 4 6 3 2 2 2 2" xfId="34730" xr:uid="{00000000-0005-0000-0000-0000ED790000}"/>
    <cellStyle name="40% - Accent6 4 6 3 2 2 3" xfId="34731" xr:uid="{00000000-0005-0000-0000-0000EE790000}"/>
    <cellStyle name="40% - Accent6 4 6 3 2 3" xfId="34732" xr:uid="{00000000-0005-0000-0000-0000EF790000}"/>
    <cellStyle name="40% - Accent6 4 6 3 2 3 2" xfId="34733" xr:uid="{00000000-0005-0000-0000-0000F0790000}"/>
    <cellStyle name="40% - Accent6 4 6 3 2 4" xfId="34734" xr:uid="{00000000-0005-0000-0000-0000F1790000}"/>
    <cellStyle name="40% - Accent6 4 6 3 2 5" xfId="34735" xr:uid="{00000000-0005-0000-0000-0000F2790000}"/>
    <cellStyle name="40% - Accent6 4 6 3 2 6" xfId="34736" xr:uid="{00000000-0005-0000-0000-0000F3790000}"/>
    <cellStyle name="40% - Accent6 4 6 3 3" xfId="34737" xr:uid="{00000000-0005-0000-0000-0000F4790000}"/>
    <cellStyle name="40% - Accent6 4 6 3 3 2" xfId="34738" xr:uid="{00000000-0005-0000-0000-0000F5790000}"/>
    <cellStyle name="40% - Accent6 4 6 3 3 2 2" xfId="34739" xr:uid="{00000000-0005-0000-0000-0000F6790000}"/>
    <cellStyle name="40% - Accent6 4 6 3 3 3" xfId="34740" xr:uid="{00000000-0005-0000-0000-0000F7790000}"/>
    <cellStyle name="40% - Accent6 4 6 3 4" xfId="34741" xr:uid="{00000000-0005-0000-0000-0000F8790000}"/>
    <cellStyle name="40% - Accent6 4 6 3 4 2" xfId="34742" xr:uid="{00000000-0005-0000-0000-0000F9790000}"/>
    <cellStyle name="40% - Accent6 4 6 3 5" xfId="34743" xr:uid="{00000000-0005-0000-0000-0000FA790000}"/>
    <cellStyle name="40% - Accent6 4 6 3 6" xfId="34744" xr:uid="{00000000-0005-0000-0000-0000FB790000}"/>
    <cellStyle name="40% - Accent6 4 6 3 7" xfId="34745" xr:uid="{00000000-0005-0000-0000-0000FC790000}"/>
    <cellStyle name="40% - Accent6 4 6 4" xfId="34746" xr:uid="{00000000-0005-0000-0000-0000FD790000}"/>
    <cellStyle name="40% - Accent6 4 6 4 2" xfId="34747" xr:uid="{00000000-0005-0000-0000-0000FE790000}"/>
    <cellStyle name="40% - Accent6 4 6 4 2 2" xfId="34748" xr:uid="{00000000-0005-0000-0000-0000FF790000}"/>
    <cellStyle name="40% - Accent6 4 6 4 2 2 2" xfId="34749" xr:uid="{00000000-0005-0000-0000-0000007A0000}"/>
    <cellStyle name="40% - Accent6 4 6 4 2 3" xfId="34750" xr:uid="{00000000-0005-0000-0000-0000017A0000}"/>
    <cellStyle name="40% - Accent6 4 6 4 3" xfId="34751" xr:uid="{00000000-0005-0000-0000-0000027A0000}"/>
    <cellStyle name="40% - Accent6 4 6 4 3 2" xfId="34752" xr:uid="{00000000-0005-0000-0000-0000037A0000}"/>
    <cellStyle name="40% - Accent6 4 6 4 4" xfId="34753" xr:uid="{00000000-0005-0000-0000-0000047A0000}"/>
    <cellStyle name="40% - Accent6 4 6 4 5" xfId="34754" xr:uid="{00000000-0005-0000-0000-0000057A0000}"/>
    <cellStyle name="40% - Accent6 4 6 4 6" xfId="34755" xr:uid="{00000000-0005-0000-0000-0000067A0000}"/>
    <cellStyle name="40% - Accent6 4 6 5" xfId="34756" xr:uid="{00000000-0005-0000-0000-0000077A0000}"/>
    <cellStyle name="40% - Accent6 4 6 5 2" xfId="34757" xr:uid="{00000000-0005-0000-0000-0000087A0000}"/>
    <cellStyle name="40% - Accent6 4 6 5 2 2" xfId="34758" xr:uid="{00000000-0005-0000-0000-0000097A0000}"/>
    <cellStyle name="40% - Accent6 4 6 5 3" xfId="34759" xr:uid="{00000000-0005-0000-0000-00000A7A0000}"/>
    <cellStyle name="40% - Accent6 4 6 6" xfId="34760" xr:uid="{00000000-0005-0000-0000-00000B7A0000}"/>
    <cellStyle name="40% - Accent6 4 6 6 2" xfId="34761" xr:uid="{00000000-0005-0000-0000-00000C7A0000}"/>
    <cellStyle name="40% - Accent6 4 6 6 2 2" xfId="34762" xr:uid="{00000000-0005-0000-0000-00000D7A0000}"/>
    <cellStyle name="40% - Accent6 4 6 6 3" xfId="34763" xr:uid="{00000000-0005-0000-0000-00000E7A0000}"/>
    <cellStyle name="40% - Accent6 4 6 7" xfId="34764" xr:uid="{00000000-0005-0000-0000-00000F7A0000}"/>
    <cellStyle name="40% - Accent6 4 6 7 2" xfId="34765" xr:uid="{00000000-0005-0000-0000-0000107A0000}"/>
    <cellStyle name="40% - Accent6 4 6 8" xfId="34766" xr:uid="{00000000-0005-0000-0000-0000117A0000}"/>
    <cellStyle name="40% - Accent6 4 6 8 2" xfId="34767" xr:uid="{00000000-0005-0000-0000-0000127A0000}"/>
    <cellStyle name="40% - Accent6 4 6 9" xfId="34768" xr:uid="{00000000-0005-0000-0000-0000137A0000}"/>
    <cellStyle name="40% - Accent6 4 7" xfId="34769" xr:uid="{00000000-0005-0000-0000-0000147A0000}"/>
    <cellStyle name="40% - Accent6 4 7 10" xfId="34770" xr:uid="{00000000-0005-0000-0000-0000157A0000}"/>
    <cellStyle name="40% - Accent6 4 7 11" xfId="34771" xr:uid="{00000000-0005-0000-0000-0000167A0000}"/>
    <cellStyle name="40% - Accent6 4 7 2" xfId="34772" xr:uid="{00000000-0005-0000-0000-0000177A0000}"/>
    <cellStyle name="40% - Accent6 4 7 2 2" xfId="34773" xr:uid="{00000000-0005-0000-0000-0000187A0000}"/>
    <cellStyle name="40% - Accent6 4 7 2 2 2" xfId="34774" xr:uid="{00000000-0005-0000-0000-0000197A0000}"/>
    <cellStyle name="40% - Accent6 4 7 2 2 2 2" xfId="34775" xr:uid="{00000000-0005-0000-0000-00001A7A0000}"/>
    <cellStyle name="40% - Accent6 4 7 2 2 2 2 2" xfId="34776" xr:uid="{00000000-0005-0000-0000-00001B7A0000}"/>
    <cellStyle name="40% - Accent6 4 7 2 2 2 3" xfId="34777" xr:uid="{00000000-0005-0000-0000-00001C7A0000}"/>
    <cellStyle name="40% - Accent6 4 7 2 2 3" xfId="34778" xr:uid="{00000000-0005-0000-0000-00001D7A0000}"/>
    <cellStyle name="40% - Accent6 4 7 2 2 3 2" xfId="34779" xr:uid="{00000000-0005-0000-0000-00001E7A0000}"/>
    <cellStyle name="40% - Accent6 4 7 2 2 4" xfId="34780" xr:uid="{00000000-0005-0000-0000-00001F7A0000}"/>
    <cellStyle name="40% - Accent6 4 7 2 2 5" xfId="34781" xr:uid="{00000000-0005-0000-0000-0000207A0000}"/>
    <cellStyle name="40% - Accent6 4 7 2 2 6" xfId="34782" xr:uid="{00000000-0005-0000-0000-0000217A0000}"/>
    <cellStyle name="40% - Accent6 4 7 2 3" xfId="34783" xr:uid="{00000000-0005-0000-0000-0000227A0000}"/>
    <cellStyle name="40% - Accent6 4 7 2 3 2" xfId="34784" xr:uid="{00000000-0005-0000-0000-0000237A0000}"/>
    <cellStyle name="40% - Accent6 4 7 2 3 2 2" xfId="34785" xr:uid="{00000000-0005-0000-0000-0000247A0000}"/>
    <cellStyle name="40% - Accent6 4 7 2 3 3" xfId="34786" xr:uid="{00000000-0005-0000-0000-0000257A0000}"/>
    <cellStyle name="40% - Accent6 4 7 2 4" xfId="34787" xr:uid="{00000000-0005-0000-0000-0000267A0000}"/>
    <cellStyle name="40% - Accent6 4 7 2 4 2" xfId="34788" xr:uid="{00000000-0005-0000-0000-0000277A0000}"/>
    <cellStyle name="40% - Accent6 4 7 2 5" xfId="34789" xr:uid="{00000000-0005-0000-0000-0000287A0000}"/>
    <cellStyle name="40% - Accent6 4 7 2 5 2" xfId="34790" xr:uid="{00000000-0005-0000-0000-0000297A0000}"/>
    <cellStyle name="40% - Accent6 4 7 2 6" xfId="34791" xr:uid="{00000000-0005-0000-0000-00002A7A0000}"/>
    <cellStyle name="40% - Accent6 4 7 2 7" xfId="34792" xr:uid="{00000000-0005-0000-0000-00002B7A0000}"/>
    <cellStyle name="40% - Accent6 4 7 2 8" xfId="34793" xr:uid="{00000000-0005-0000-0000-00002C7A0000}"/>
    <cellStyle name="40% - Accent6 4 7 3" xfId="34794" xr:uid="{00000000-0005-0000-0000-00002D7A0000}"/>
    <cellStyle name="40% - Accent6 4 7 3 2" xfId="34795" xr:uid="{00000000-0005-0000-0000-00002E7A0000}"/>
    <cellStyle name="40% - Accent6 4 7 3 2 2" xfId="34796" xr:uid="{00000000-0005-0000-0000-00002F7A0000}"/>
    <cellStyle name="40% - Accent6 4 7 3 2 2 2" xfId="34797" xr:uid="{00000000-0005-0000-0000-0000307A0000}"/>
    <cellStyle name="40% - Accent6 4 7 3 2 2 2 2" xfId="34798" xr:uid="{00000000-0005-0000-0000-0000317A0000}"/>
    <cellStyle name="40% - Accent6 4 7 3 2 2 3" xfId="34799" xr:uid="{00000000-0005-0000-0000-0000327A0000}"/>
    <cellStyle name="40% - Accent6 4 7 3 2 3" xfId="34800" xr:uid="{00000000-0005-0000-0000-0000337A0000}"/>
    <cellStyle name="40% - Accent6 4 7 3 2 3 2" xfId="34801" xr:uid="{00000000-0005-0000-0000-0000347A0000}"/>
    <cellStyle name="40% - Accent6 4 7 3 2 4" xfId="34802" xr:uid="{00000000-0005-0000-0000-0000357A0000}"/>
    <cellStyle name="40% - Accent6 4 7 3 2 5" xfId="34803" xr:uid="{00000000-0005-0000-0000-0000367A0000}"/>
    <cellStyle name="40% - Accent6 4 7 3 2 6" xfId="34804" xr:uid="{00000000-0005-0000-0000-0000377A0000}"/>
    <cellStyle name="40% - Accent6 4 7 3 3" xfId="34805" xr:uid="{00000000-0005-0000-0000-0000387A0000}"/>
    <cellStyle name="40% - Accent6 4 7 3 3 2" xfId="34806" xr:uid="{00000000-0005-0000-0000-0000397A0000}"/>
    <cellStyle name="40% - Accent6 4 7 3 3 2 2" xfId="34807" xr:uid="{00000000-0005-0000-0000-00003A7A0000}"/>
    <cellStyle name="40% - Accent6 4 7 3 3 3" xfId="34808" xr:uid="{00000000-0005-0000-0000-00003B7A0000}"/>
    <cellStyle name="40% - Accent6 4 7 3 4" xfId="34809" xr:uid="{00000000-0005-0000-0000-00003C7A0000}"/>
    <cellStyle name="40% - Accent6 4 7 3 4 2" xfId="34810" xr:uid="{00000000-0005-0000-0000-00003D7A0000}"/>
    <cellStyle name="40% - Accent6 4 7 3 5" xfId="34811" xr:uid="{00000000-0005-0000-0000-00003E7A0000}"/>
    <cellStyle name="40% - Accent6 4 7 3 6" xfId="34812" xr:uid="{00000000-0005-0000-0000-00003F7A0000}"/>
    <cellStyle name="40% - Accent6 4 7 3 7" xfId="34813" xr:uid="{00000000-0005-0000-0000-0000407A0000}"/>
    <cellStyle name="40% - Accent6 4 7 4" xfId="34814" xr:uid="{00000000-0005-0000-0000-0000417A0000}"/>
    <cellStyle name="40% - Accent6 4 7 4 2" xfId="34815" xr:uid="{00000000-0005-0000-0000-0000427A0000}"/>
    <cellStyle name="40% - Accent6 4 7 4 2 2" xfId="34816" xr:uid="{00000000-0005-0000-0000-0000437A0000}"/>
    <cellStyle name="40% - Accent6 4 7 4 2 2 2" xfId="34817" xr:uid="{00000000-0005-0000-0000-0000447A0000}"/>
    <cellStyle name="40% - Accent6 4 7 4 2 3" xfId="34818" xr:uid="{00000000-0005-0000-0000-0000457A0000}"/>
    <cellStyle name="40% - Accent6 4 7 4 3" xfId="34819" xr:uid="{00000000-0005-0000-0000-0000467A0000}"/>
    <cellStyle name="40% - Accent6 4 7 4 3 2" xfId="34820" xr:uid="{00000000-0005-0000-0000-0000477A0000}"/>
    <cellStyle name="40% - Accent6 4 7 4 4" xfId="34821" xr:uid="{00000000-0005-0000-0000-0000487A0000}"/>
    <cellStyle name="40% - Accent6 4 7 4 5" xfId="34822" xr:uid="{00000000-0005-0000-0000-0000497A0000}"/>
    <cellStyle name="40% - Accent6 4 7 4 6" xfId="34823" xr:uid="{00000000-0005-0000-0000-00004A7A0000}"/>
    <cellStyle name="40% - Accent6 4 7 5" xfId="34824" xr:uid="{00000000-0005-0000-0000-00004B7A0000}"/>
    <cellStyle name="40% - Accent6 4 7 5 2" xfId="34825" xr:uid="{00000000-0005-0000-0000-00004C7A0000}"/>
    <cellStyle name="40% - Accent6 4 7 5 2 2" xfId="34826" xr:uid="{00000000-0005-0000-0000-00004D7A0000}"/>
    <cellStyle name="40% - Accent6 4 7 5 3" xfId="34827" xr:uid="{00000000-0005-0000-0000-00004E7A0000}"/>
    <cellStyle name="40% - Accent6 4 7 6" xfId="34828" xr:uid="{00000000-0005-0000-0000-00004F7A0000}"/>
    <cellStyle name="40% - Accent6 4 7 6 2" xfId="34829" xr:uid="{00000000-0005-0000-0000-0000507A0000}"/>
    <cellStyle name="40% - Accent6 4 7 6 2 2" xfId="34830" xr:uid="{00000000-0005-0000-0000-0000517A0000}"/>
    <cellStyle name="40% - Accent6 4 7 6 3" xfId="34831" xr:uid="{00000000-0005-0000-0000-0000527A0000}"/>
    <cellStyle name="40% - Accent6 4 7 7" xfId="34832" xr:uid="{00000000-0005-0000-0000-0000537A0000}"/>
    <cellStyle name="40% - Accent6 4 7 7 2" xfId="34833" xr:uid="{00000000-0005-0000-0000-0000547A0000}"/>
    <cellStyle name="40% - Accent6 4 7 8" xfId="34834" xr:uid="{00000000-0005-0000-0000-0000557A0000}"/>
    <cellStyle name="40% - Accent6 4 7 8 2" xfId="34835" xr:uid="{00000000-0005-0000-0000-0000567A0000}"/>
    <cellStyle name="40% - Accent6 4 7 9" xfId="34836" xr:uid="{00000000-0005-0000-0000-0000577A0000}"/>
    <cellStyle name="40% - Accent6 4 8" xfId="34837" xr:uid="{00000000-0005-0000-0000-0000587A0000}"/>
    <cellStyle name="40% - Accent6 4 8 10" xfId="34838" xr:uid="{00000000-0005-0000-0000-0000597A0000}"/>
    <cellStyle name="40% - Accent6 4 8 11" xfId="34839" xr:uid="{00000000-0005-0000-0000-00005A7A0000}"/>
    <cellStyle name="40% - Accent6 4 8 2" xfId="34840" xr:uid="{00000000-0005-0000-0000-00005B7A0000}"/>
    <cellStyle name="40% - Accent6 4 8 2 2" xfId="34841" xr:uid="{00000000-0005-0000-0000-00005C7A0000}"/>
    <cellStyle name="40% - Accent6 4 8 2 2 2" xfId="34842" xr:uid="{00000000-0005-0000-0000-00005D7A0000}"/>
    <cellStyle name="40% - Accent6 4 8 2 2 2 2" xfId="34843" xr:uid="{00000000-0005-0000-0000-00005E7A0000}"/>
    <cellStyle name="40% - Accent6 4 8 2 2 2 2 2" xfId="34844" xr:uid="{00000000-0005-0000-0000-00005F7A0000}"/>
    <cellStyle name="40% - Accent6 4 8 2 2 2 3" xfId="34845" xr:uid="{00000000-0005-0000-0000-0000607A0000}"/>
    <cellStyle name="40% - Accent6 4 8 2 2 3" xfId="34846" xr:uid="{00000000-0005-0000-0000-0000617A0000}"/>
    <cellStyle name="40% - Accent6 4 8 2 2 3 2" xfId="34847" xr:uid="{00000000-0005-0000-0000-0000627A0000}"/>
    <cellStyle name="40% - Accent6 4 8 2 2 4" xfId="34848" xr:uid="{00000000-0005-0000-0000-0000637A0000}"/>
    <cellStyle name="40% - Accent6 4 8 2 2 5" xfId="34849" xr:uid="{00000000-0005-0000-0000-0000647A0000}"/>
    <cellStyle name="40% - Accent6 4 8 2 2 6" xfId="34850" xr:uid="{00000000-0005-0000-0000-0000657A0000}"/>
    <cellStyle name="40% - Accent6 4 8 2 3" xfId="34851" xr:uid="{00000000-0005-0000-0000-0000667A0000}"/>
    <cellStyle name="40% - Accent6 4 8 2 3 2" xfId="34852" xr:uid="{00000000-0005-0000-0000-0000677A0000}"/>
    <cellStyle name="40% - Accent6 4 8 2 3 2 2" xfId="34853" xr:uid="{00000000-0005-0000-0000-0000687A0000}"/>
    <cellStyle name="40% - Accent6 4 8 2 3 3" xfId="34854" xr:uid="{00000000-0005-0000-0000-0000697A0000}"/>
    <cellStyle name="40% - Accent6 4 8 2 4" xfId="34855" xr:uid="{00000000-0005-0000-0000-00006A7A0000}"/>
    <cellStyle name="40% - Accent6 4 8 2 4 2" xfId="34856" xr:uid="{00000000-0005-0000-0000-00006B7A0000}"/>
    <cellStyle name="40% - Accent6 4 8 2 5" xfId="34857" xr:uid="{00000000-0005-0000-0000-00006C7A0000}"/>
    <cellStyle name="40% - Accent6 4 8 2 5 2" xfId="34858" xr:uid="{00000000-0005-0000-0000-00006D7A0000}"/>
    <cellStyle name="40% - Accent6 4 8 2 6" xfId="34859" xr:uid="{00000000-0005-0000-0000-00006E7A0000}"/>
    <cellStyle name="40% - Accent6 4 8 2 7" xfId="34860" xr:uid="{00000000-0005-0000-0000-00006F7A0000}"/>
    <cellStyle name="40% - Accent6 4 8 2 8" xfId="34861" xr:uid="{00000000-0005-0000-0000-0000707A0000}"/>
    <cellStyle name="40% - Accent6 4 8 3" xfId="34862" xr:uid="{00000000-0005-0000-0000-0000717A0000}"/>
    <cellStyle name="40% - Accent6 4 8 3 2" xfId="34863" xr:uid="{00000000-0005-0000-0000-0000727A0000}"/>
    <cellStyle name="40% - Accent6 4 8 3 2 2" xfId="34864" xr:uid="{00000000-0005-0000-0000-0000737A0000}"/>
    <cellStyle name="40% - Accent6 4 8 3 2 2 2" xfId="34865" xr:uid="{00000000-0005-0000-0000-0000747A0000}"/>
    <cellStyle name="40% - Accent6 4 8 3 2 2 2 2" xfId="34866" xr:uid="{00000000-0005-0000-0000-0000757A0000}"/>
    <cellStyle name="40% - Accent6 4 8 3 2 2 3" xfId="34867" xr:uid="{00000000-0005-0000-0000-0000767A0000}"/>
    <cellStyle name="40% - Accent6 4 8 3 2 3" xfId="34868" xr:uid="{00000000-0005-0000-0000-0000777A0000}"/>
    <cellStyle name="40% - Accent6 4 8 3 2 3 2" xfId="34869" xr:uid="{00000000-0005-0000-0000-0000787A0000}"/>
    <cellStyle name="40% - Accent6 4 8 3 2 4" xfId="34870" xr:uid="{00000000-0005-0000-0000-0000797A0000}"/>
    <cellStyle name="40% - Accent6 4 8 3 2 5" xfId="34871" xr:uid="{00000000-0005-0000-0000-00007A7A0000}"/>
    <cellStyle name="40% - Accent6 4 8 3 2 6" xfId="34872" xr:uid="{00000000-0005-0000-0000-00007B7A0000}"/>
    <cellStyle name="40% - Accent6 4 8 3 3" xfId="34873" xr:uid="{00000000-0005-0000-0000-00007C7A0000}"/>
    <cellStyle name="40% - Accent6 4 8 3 3 2" xfId="34874" xr:uid="{00000000-0005-0000-0000-00007D7A0000}"/>
    <cellStyle name="40% - Accent6 4 8 3 3 2 2" xfId="34875" xr:uid="{00000000-0005-0000-0000-00007E7A0000}"/>
    <cellStyle name="40% - Accent6 4 8 3 3 3" xfId="34876" xr:uid="{00000000-0005-0000-0000-00007F7A0000}"/>
    <cellStyle name="40% - Accent6 4 8 3 4" xfId="34877" xr:uid="{00000000-0005-0000-0000-0000807A0000}"/>
    <cellStyle name="40% - Accent6 4 8 3 4 2" xfId="34878" xr:uid="{00000000-0005-0000-0000-0000817A0000}"/>
    <cellStyle name="40% - Accent6 4 8 3 5" xfId="34879" xr:uid="{00000000-0005-0000-0000-0000827A0000}"/>
    <cellStyle name="40% - Accent6 4 8 3 6" xfId="34880" xr:uid="{00000000-0005-0000-0000-0000837A0000}"/>
    <cellStyle name="40% - Accent6 4 8 3 7" xfId="34881" xr:uid="{00000000-0005-0000-0000-0000847A0000}"/>
    <cellStyle name="40% - Accent6 4 8 4" xfId="34882" xr:uid="{00000000-0005-0000-0000-0000857A0000}"/>
    <cellStyle name="40% - Accent6 4 8 4 2" xfId="34883" xr:uid="{00000000-0005-0000-0000-0000867A0000}"/>
    <cellStyle name="40% - Accent6 4 8 4 2 2" xfId="34884" xr:uid="{00000000-0005-0000-0000-0000877A0000}"/>
    <cellStyle name="40% - Accent6 4 8 4 2 2 2" xfId="34885" xr:uid="{00000000-0005-0000-0000-0000887A0000}"/>
    <cellStyle name="40% - Accent6 4 8 4 2 3" xfId="34886" xr:uid="{00000000-0005-0000-0000-0000897A0000}"/>
    <cellStyle name="40% - Accent6 4 8 4 3" xfId="34887" xr:uid="{00000000-0005-0000-0000-00008A7A0000}"/>
    <cellStyle name="40% - Accent6 4 8 4 3 2" xfId="34888" xr:uid="{00000000-0005-0000-0000-00008B7A0000}"/>
    <cellStyle name="40% - Accent6 4 8 4 4" xfId="34889" xr:uid="{00000000-0005-0000-0000-00008C7A0000}"/>
    <cellStyle name="40% - Accent6 4 8 4 5" xfId="34890" xr:uid="{00000000-0005-0000-0000-00008D7A0000}"/>
    <cellStyle name="40% - Accent6 4 8 4 6" xfId="34891" xr:uid="{00000000-0005-0000-0000-00008E7A0000}"/>
    <cellStyle name="40% - Accent6 4 8 5" xfId="34892" xr:uid="{00000000-0005-0000-0000-00008F7A0000}"/>
    <cellStyle name="40% - Accent6 4 8 5 2" xfId="34893" xr:uid="{00000000-0005-0000-0000-0000907A0000}"/>
    <cellStyle name="40% - Accent6 4 8 5 2 2" xfId="34894" xr:uid="{00000000-0005-0000-0000-0000917A0000}"/>
    <cellStyle name="40% - Accent6 4 8 5 3" xfId="34895" xr:uid="{00000000-0005-0000-0000-0000927A0000}"/>
    <cellStyle name="40% - Accent6 4 8 6" xfId="34896" xr:uid="{00000000-0005-0000-0000-0000937A0000}"/>
    <cellStyle name="40% - Accent6 4 8 6 2" xfId="34897" xr:uid="{00000000-0005-0000-0000-0000947A0000}"/>
    <cellStyle name="40% - Accent6 4 8 6 2 2" xfId="34898" xr:uid="{00000000-0005-0000-0000-0000957A0000}"/>
    <cellStyle name="40% - Accent6 4 8 6 3" xfId="34899" xr:uid="{00000000-0005-0000-0000-0000967A0000}"/>
    <cellStyle name="40% - Accent6 4 8 7" xfId="34900" xr:uid="{00000000-0005-0000-0000-0000977A0000}"/>
    <cellStyle name="40% - Accent6 4 8 7 2" xfId="34901" xr:uid="{00000000-0005-0000-0000-0000987A0000}"/>
    <cellStyle name="40% - Accent6 4 8 8" xfId="34902" xr:uid="{00000000-0005-0000-0000-0000997A0000}"/>
    <cellStyle name="40% - Accent6 4 8 8 2" xfId="34903" xr:uid="{00000000-0005-0000-0000-00009A7A0000}"/>
    <cellStyle name="40% - Accent6 4 8 9" xfId="34904" xr:uid="{00000000-0005-0000-0000-00009B7A0000}"/>
    <cellStyle name="40% - Accent6 4 9" xfId="34905" xr:uid="{00000000-0005-0000-0000-00009C7A0000}"/>
    <cellStyle name="40% - Accent6 4 9 10" xfId="34906" xr:uid="{00000000-0005-0000-0000-00009D7A0000}"/>
    <cellStyle name="40% - Accent6 4 9 2" xfId="34907" xr:uid="{00000000-0005-0000-0000-00009E7A0000}"/>
    <cellStyle name="40% - Accent6 4 9 2 2" xfId="34908" xr:uid="{00000000-0005-0000-0000-00009F7A0000}"/>
    <cellStyle name="40% - Accent6 4 9 2 2 2" xfId="34909" xr:uid="{00000000-0005-0000-0000-0000A07A0000}"/>
    <cellStyle name="40% - Accent6 4 9 2 2 2 2" xfId="34910" xr:uid="{00000000-0005-0000-0000-0000A17A0000}"/>
    <cellStyle name="40% - Accent6 4 9 2 2 2 2 2" xfId="34911" xr:uid="{00000000-0005-0000-0000-0000A27A0000}"/>
    <cellStyle name="40% - Accent6 4 9 2 2 2 3" xfId="34912" xr:uid="{00000000-0005-0000-0000-0000A37A0000}"/>
    <cellStyle name="40% - Accent6 4 9 2 2 3" xfId="34913" xr:uid="{00000000-0005-0000-0000-0000A47A0000}"/>
    <cellStyle name="40% - Accent6 4 9 2 2 3 2" xfId="34914" xr:uid="{00000000-0005-0000-0000-0000A57A0000}"/>
    <cellStyle name="40% - Accent6 4 9 2 2 4" xfId="34915" xr:uid="{00000000-0005-0000-0000-0000A67A0000}"/>
    <cellStyle name="40% - Accent6 4 9 2 2 5" xfId="34916" xr:uid="{00000000-0005-0000-0000-0000A77A0000}"/>
    <cellStyle name="40% - Accent6 4 9 2 2 6" xfId="34917" xr:uid="{00000000-0005-0000-0000-0000A87A0000}"/>
    <cellStyle name="40% - Accent6 4 9 2 3" xfId="34918" xr:uid="{00000000-0005-0000-0000-0000A97A0000}"/>
    <cellStyle name="40% - Accent6 4 9 2 3 2" xfId="34919" xr:uid="{00000000-0005-0000-0000-0000AA7A0000}"/>
    <cellStyle name="40% - Accent6 4 9 2 3 2 2" xfId="34920" xr:uid="{00000000-0005-0000-0000-0000AB7A0000}"/>
    <cellStyle name="40% - Accent6 4 9 2 3 3" xfId="34921" xr:uid="{00000000-0005-0000-0000-0000AC7A0000}"/>
    <cellStyle name="40% - Accent6 4 9 2 4" xfId="34922" xr:uid="{00000000-0005-0000-0000-0000AD7A0000}"/>
    <cellStyle name="40% - Accent6 4 9 2 4 2" xfId="34923" xr:uid="{00000000-0005-0000-0000-0000AE7A0000}"/>
    <cellStyle name="40% - Accent6 4 9 2 5" xfId="34924" xr:uid="{00000000-0005-0000-0000-0000AF7A0000}"/>
    <cellStyle name="40% - Accent6 4 9 2 6" xfId="34925" xr:uid="{00000000-0005-0000-0000-0000B07A0000}"/>
    <cellStyle name="40% - Accent6 4 9 2 7" xfId="34926" xr:uid="{00000000-0005-0000-0000-0000B17A0000}"/>
    <cellStyle name="40% - Accent6 4 9 3" xfId="34927" xr:uid="{00000000-0005-0000-0000-0000B27A0000}"/>
    <cellStyle name="40% - Accent6 4 9 3 2" xfId="34928" xr:uid="{00000000-0005-0000-0000-0000B37A0000}"/>
    <cellStyle name="40% - Accent6 4 9 3 2 2" xfId="34929" xr:uid="{00000000-0005-0000-0000-0000B47A0000}"/>
    <cellStyle name="40% - Accent6 4 9 3 2 2 2" xfId="34930" xr:uid="{00000000-0005-0000-0000-0000B57A0000}"/>
    <cellStyle name="40% - Accent6 4 9 3 2 3" xfId="34931" xr:uid="{00000000-0005-0000-0000-0000B67A0000}"/>
    <cellStyle name="40% - Accent6 4 9 3 3" xfId="34932" xr:uid="{00000000-0005-0000-0000-0000B77A0000}"/>
    <cellStyle name="40% - Accent6 4 9 3 3 2" xfId="34933" xr:uid="{00000000-0005-0000-0000-0000B87A0000}"/>
    <cellStyle name="40% - Accent6 4 9 3 4" xfId="34934" xr:uid="{00000000-0005-0000-0000-0000B97A0000}"/>
    <cellStyle name="40% - Accent6 4 9 3 5" xfId="34935" xr:uid="{00000000-0005-0000-0000-0000BA7A0000}"/>
    <cellStyle name="40% - Accent6 4 9 3 6" xfId="34936" xr:uid="{00000000-0005-0000-0000-0000BB7A0000}"/>
    <cellStyle name="40% - Accent6 4 9 4" xfId="34937" xr:uid="{00000000-0005-0000-0000-0000BC7A0000}"/>
    <cellStyle name="40% - Accent6 4 9 4 2" xfId="34938" xr:uid="{00000000-0005-0000-0000-0000BD7A0000}"/>
    <cellStyle name="40% - Accent6 4 9 4 2 2" xfId="34939" xr:uid="{00000000-0005-0000-0000-0000BE7A0000}"/>
    <cellStyle name="40% - Accent6 4 9 4 3" xfId="34940" xr:uid="{00000000-0005-0000-0000-0000BF7A0000}"/>
    <cellStyle name="40% - Accent6 4 9 5" xfId="34941" xr:uid="{00000000-0005-0000-0000-0000C07A0000}"/>
    <cellStyle name="40% - Accent6 4 9 5 2" xfId="34942" xr:uid="{00000000-0005-0000-0000-0000C17A0000}"/>
    <cellStyle name="40% - Accent6 4 9 5 2 2" xfId="34943" xr:uid="{00000000-0005-0000-0000-0000C27A0000}"/>
    <cellStyle name="40% - Accent6 4 9 5 3" xfId="34944" xr:uid="{00000000-0005-0000-0000-0000C37A0000}"/>
    <cellStyle name="40% - Accent6 4 9 6" xfId="34945" xr:uid="{00000000-0005-0000-0000-0000C47A0000}"/>
    <cellStyle name="40% - Accent6 4 9 6 2" xfId="34946" xr:uid="{00000000-0005-0000-0000-0000C57A0000}"/>
    <cellStyle name="40% - Accent6 4 9 7" xfId="34947" xr:uid="{00000000-0005-0000-0000-0000C67A0000}"/>
    <cellStyle name="40% - Accent6 4 9 7 2" xfId="34948" xr:uid="{00000000-0005-0000-0000-0000C77A0000}"/>
    <cellStyle name="40% - Accent6 4 9 8" xfId="34949" xr:uid="{00000000-0005-0000-0000-0000C87A0000}"/>
    <cellStyle name="40% - Accent6 4 9 9" xfId="34950" xr:uid="{00000000-0005-0000-0000-0000C97A0000}"/>
    <cellStyle name="40% - Accent6 5" xfId="219" xr:uid="{00000000-0005-0000-0000-0000CA7A0000}"/>
    <cellStyle name="40% - Accent6 5 10" xfId="34951" xr:uid="{00000000-0005-0000-0000-0000CB7A0000}"/>
    <cellStyle name="40% - Accent6 5 10 2" xfId="34952" xr:uid="{00000000-0005-0000-0000-0000CC7A0000}"/>
    <cellStyle name="40% - Accent6 5 11" xfId="34953" xr:uid="{00000000-0005-0000-0000-0000CD7A0000}"/>
    <cellStyle name="40% - Accent6 5 11 2" xfId="34954" xr:uid="{00000000-0005-0000-0000-0000CE7A0000}"/>
    <cellStyle name="40% - Accent6 5 11 2 2" xfId="34955" xr:uid="{00000000-0005-0000-0000-0000CF7A0000}"/>
    <cellStyle name="40% - Accent6 5 11 2 2 2" xfId="34956" xr:uid="{00000000-0005-0000-0000-0000D07A0000}"/>
    <cellStyle name="40% - Accent6 5 11 2 2 2 2" xfId="34957" xr:uid="{00000000-0005-0000-0000-0000D17A0000}"/>
    <cellStyle name="40% - Accent6 5 11 2 2 3" xfId="34958" xr:uid="{00000000-0005-0000-0000-0000D27A0000}"/>
    <cellStyle name="40% - Accent6 5 11 2 3" xfId="34959" xr:uid="{00000000-0005-0000-0000-0000D37A0000}"/>
    <cellStyle name="40% - Accent6 5 11 2 3 2" xfId="34960" xr:uid="{00000000-0005-0000-0000-0000D47A0000}"/>
    <cellStyle name="40% - Accent6 5 11 2 4" xfId="34961" xr:uid="{00000000-0005-0000-0000-0000D57A0000}"/>
    <cellStyle name="40% - Accent6 5 11 2 5" xfId="34962" xr:uid="{00000000-0005-0000-0000-0000D67A0000}"/>
    <cellStyle name="40% - Accent6 5 11 2 6" xfId="34963" xr:uid="{00000000-0005-0000-0000-0000D77A0000}"/>
    <cellStyle name="40% - Accent6 5 11 3" xfId="34964" xr:uid="{00000000-0005-0000-0000-0000D87A0000}"/>
    <cellStyle name="40% - Accent6 5 11 3 2" xfId="34965" xr:uid="{00000000-0005-0000-0000-0000D97A0000}"/>
    <cellStyle name="40% - Accent6 5 11 3 2 2" xfId="34966" xr:uid="{00000000-0005-0000-0000-0000DA7A0000}"/>
    <cellStyle name="40% - Accent6 5 11 3 3" xfId="34967" xr:uid="{00000000-0005-0000-0000-0000DB7A0000}"/>
    <cellStyle name="40% - Accent6 5 11 4" xfId="34968" xr:uid="{00000000-0005-0000-0000-0000DC7A0000}"/>
    <cellStyle name="40% - Accent6 5 11 4 2" xfId="34969" xr:uid="{00000000-0005-0000-0000-0000DD7A0000}"/>
    <cellStyle name="40% - Accent6 5 11 5" xfId="34970" xr:uid="{00000000-0005-0000-0000-0000DE7A0000}"/>
    <cellStyle name="40% - Accent6 5 11 6" xfId="34971" xr:uid="{00000000-0005-0000-0000-0000DF7A0000}"/>
    <cellStyle name="40% - Accent6 5 11 7" xfId="34972" xr:uid="{00000000-0005-0000-0000-0000E07A0000}"/>
    <cellStyle name="40% - Accent6 5 12" xfId="34973" xr:uid="{00000000-0005-0000-0000-0000E17A0000}"/>
    <cellStyle name="40% - Accent6 5 12 2" xfId="34974" xr:uid="{00000000-0005-0000-0000-0000E27A0000}"/>
    <cellStyle name="40% - Accent6 5 12 2 2" xfId="34975" xr:uid="{00000000-0005-0000-0000-0000E37A0000}"/>
    <cellStyle name="40% - Accent6 5 12 2 2 2" xfId="34976" xr:uid="{00000000-0005-0000-0000-0000E47A0000}"/>
    <cellStyle name="40% - Accent6 5 12 2 2 2 2" xfId="34977" xr:uid="{00000000-0005-0000-0000-0000E57A0000}"/>
    <cellStyle name="40% - Accent6 5 12 2 2 3" xfId="34978" xr:uid="{00000000-0005-0000-0000-0000E67A0000}"/>
    <cellStyle name="40% - Accent6 5 12 2 3" xfId="34979" xr:uid="{00000000-0005-0000-0000-0000E77A0000}"/>
    <cellStyle name="40% - Accent6 5 12 2 3 2" xfId="34980" xr:uid="{00000000-0005-0000-0000-0000E87A0000}"/>
    <cellStyle name="40% - Accent6 5 12 2 4" xfId="34981" xr:uid="{00000000-0005-0000-0000-0000E97A0000}"/>
    <cellStyle name="40% - Accent6 5 12 2 5" xfId="34982" xr:uid="{00000000-0005-0000-0000-0000EA7A0000}"/>
    <cellStyle name="40% - Accent6 5 12 2 6" xfId="34983" xr:uid="{00000000-0005-0000-0000-0000EB7A0000}"/>
    <cellStyle name="40% - Accent6 5 12 3" xfId="34984" xr:uid="{00000000-0005-0000-0000-0000EC7A0000}"/>
    <cellStyle name="40% - Accent6 5 12 3 2" xfId="34985" xr:uid="{00000000-0005-0000-0000-0000ED7A0000}"/>
    <cellStyle name="40% - Accent6 5 12 3 2 2" xfId="34986" xr:uid="{00000000-0005-0000-0000-0000EE7A0000}"/>
    <cellStyle name="40% - Accent6 5 12 3 3" xfId="34987" xr:uid="{00000000-0005-0000-0000-0000EF7A0000}"/>
    <cellStyle name="40% - Accent6 5 12 4" xfId="34988" xr:uid="{00000000-0005-0000-0000-0000F07A0000}"/>
    <cellStyle name="40% - Accent6 5 12 4 2" xfId="34989" xr:uid="{00000000-0005-0000-0000-0000F17A0000}"/>
    <cellStyle name="40% - Accent6 5 12 5" xfId="34990" xr:uid="{00000000-0005-0000-0000-0000F27A0000}"/>
    <cellStyle name="40% - Accent6 5 12 6" xfId="34991" xr:uid="{00000000-0005-0000-0000-0000F37A0000}"/>
    <cellStyle name="40% - Accent6 5 12 7" xfId="34992" xr:uid="{00000000-0005-0000-0000-0000F47A0000}"/>
    <cellStyle name="40% - Accent6 5 13" xfId="34993" xr:uid="{00000000-0005-0000-0000-0000F57A0000}"/>
    <cellStyle name="40% - Accent6 5 13 2" xfId="34994" xr:uid="{00000000-0005-0000-0000-0000F67A0000}"/>
    <cellStyle name="40% - Accent6 5 13 2 2" xfId="34995" xr:uid="{00000000-0005-0000-0000-0000F77A0000}"/>
    <cellStyle name="40% - Accent6 5 13 2 2 2" xfId="34996" xr:uid="{00000000-0005-0000-0000-0000F87A0000}"/>
    <cellStyle name="40% - Accent6 5 13 2 3" xfId="34997" xr:uid="{00000000-0005-0000-0000-0000F97A0000}"/>
    <cellStyle name="40% - Accent6 5 13 3" xfId="34998" xr:uid="{00000000-0005-0000-0000-0000FA7A0000}"/>
    <cellStyle name="40% - Accent6 5 13 3 2" xfId="34999" xr:uid="{00000000-0005-0000-0000-0000FB7A0000}"/>
    <cellStyle name="40% - Accent6 5 13 4" xfId="35000" xr:uid="{00000000-0005-0000-0000-0000FC7A0000}"/>
    <cellStyle name="40% - Accent6 5 13 5" xfId="35001" xr:uid="{00000000-0005-0000-0000-0000FD7A0000}"/>
    <cellStyle name="40% - Accent6 5 13 6" xfId="35002" xr:uid="{00000000-0005-0000-0000-0000FE7A0000}"/>
    <cellStyle name="40% - Accent6 5 14" xfId="35003" xr:uid="{00000000-0005-0000-0000-0000FF7A0000}"/>
    <cellStyle name="40% - Accent6 5 14 2" xfId="35004" xr:uid="{00000000-0005-0000-0000-0000007B0000}"/>
    <cellStyle name="40% - Accent6 5 14 2 2" xfId="35005" xr:uid="{00000000-0005-0000-0000-0000017B0000}"/>
    <cellStyle name="40% - Accent6 5 14 3" xfId="35006" xr:uid="{00000000-0005-0000-0000-0000027B0000}"/>
    <cellStyle name="40% - Accent6 5 15" xfId="35007" xr:uid="{00000000-0005-0000-0000-0000037B0000}"/>
    <cellStyle name="40% - Accent6 5 15 2" xfId="35008" xr:uid="{00000000-0005-0000-0000-0000047B0000}"/>
    <cellStyle name="40% - Accent6 5 15 2 2" xfId="35009" xr:uid="{00000000-0005-0000-0000-0000057B0000}"/>
    <cellStyle name="40% - Accent6 5 15 3" xfId="35010" xr:uid="{00000000-0005-0000-0000-0000067B0000}"/>
    <cellStyle name="40% - Accent6 5 16" xfId="35011" xr:uid="{00000000-0005-0000-0000-0000077B0000}"/>
    <cellStyle name="40% - Accent6 5 16 2" xfId="35012" xr:uid="{00000000-0005-0000-0000-0000087B0000}"/>
    <cellStyle name="40% - Accent6 5 17" xfId="35013" xr:uid="{00000000-0005-0000-0000-0000097B0000}"/>
    <cellStyle name="40% - Accent6 5 17 2" xfId="35014" xr:uid="{00000000-0005-0000-0000-00000A7B0000}"/>
    <cellStyle name="40% - Accent6 5 18" xfId="35015" xr:uid="{00000000-0005-0000-0000-00000B7B0000}"/>
    <cellStyle name="40% - Accent6 5 19" xfId="35016" xr:uid="{00000000-0005-0000-0000-00000C7B0000}"/>
    <cellStyle name="40% - Accent6 5 2" xfId="35017" xr:uid="{00000000-0005-0000-0000-00000D7B0000}"/>
    <cellStyle name="40% - Accent6 5 2 10" xfId="35018" xr:uid="{00000000-0005-0000-0000-00000E7B0000}"/>
    <cellStyle name="40% - Accent6 5 2 11" xfId="35019" xr:uid="{00000000-0005-0000-0000-00000F7B0000}"/>
    <cellStyle name="40% - Accent6 5 2 2" xfId="35020" xr:uid="{00000000-0005-0000-0000-0000107B0000}"/>
    <cellStyle name="40% - Accent6 5 2 2 2" xfId="35021" xr:uid="{00000000-0005-0000-0000-0000117B0000}"/>
    <cellStyle name="40% - Accent6 5 2 2 2 2" xfId="35022" xr:uid="{00000000-0005-0000-0000-0000127B0000}"/>
    <cellStyle name="40% - Accent6 5 2 2 2 2 2" xfId="35023" xr:uid="{00000000-0005-0000-0000-0000137B0000}"/>
    <cellStyle name="40% - Accent6 5 2 2 2 2 2 2" xfId="35024" xr:uid="{00000000-0005-0000-0000-0000147B0000}"/>
    <cellStyle name="40% - Accent6 5 2 2 2 2 3" xfId="35025" xr:uid="{00000000-0005-0000-0000-0000157B0000}"/>
    <cellStyle name="40% - Accent6 5 2 2 2 3" xfId="35026" xr:uid="{00000000-0005-0000-0000-0000167B0000}"/>
    <cellStyle name="40% - Accent6 5 2 2 2 3 2" xfId="35027" xr:uid="{00000000-0005-0000-0000-0000177B0000}"/>
    <cellStyle name="40% - Accent6 5 2 2 2 4" xfId="35028" xr:uid="{00000000-0005-0000-0000-0000187B0000}"/>
    <cellStyle name="40% - Accent6 5 2 2 2 5" xfId="35029" xr:uid="{00000000-0005-0000-0000-0000197B0000}"/>
    <cellStyle name="40% - Accent6 5 2 2 2 6" xfId="35030" xr:uid="{00000000-0005-0000-0000-00001A7B0000}"/>
    <cellStyle name="40% - Accent6 5 2 2 3" xfId="35031" xr:uid="{00000000-0005-0000-0000-00001B7B0000}"/>
    <cellStyle name="40% - Accent6 5 2 2 3 2" xfId="35032" xr:uid="{00000000-0005-0000-0000-00001C7B0000}"/>
    <cellStyle name="40% - Accent6 5 2 2 3 2 2" xfId="35033" xr:uid="{00000000-0005-0000-0000-00001D7B0000}"/>
    <cellStyle name="40% - Accent6 5 2 2 3 3" xfId="35034" xr:uid="{00000000-0005-0000-0000-00001E7B0000}"/>
    <cellStyle name="40% - Accent6 5 2 2 4" xfId="35035" xr:uid="{00000000-0005-0000-0000-00001F7B0000}"/>
    <cellStyle name="40% - Accent6 5 2 2 4 2" xfId="35036" xr:uid="{00000000-0005-0000-0000-0000207B0000}"/>
    <cellStyle name="40% - Accent6 5 2 2 5" xfId="35037" xr:uid="{00000000-0005-0000-0000-0000217B0000}"/>
    <cellStyle name="40% - Accent6 5 2 2 5 2" xfId="35038" xr:uid="{00000000-0005-0000-0000-0000227B0000}"/>
    <cellStyle name="40% - Accent6 5 2 2 6" xfId="35039" xr:uid="{00000000-0005-0000-0000-0000237B0000}"/>
    <cellStyle name="40% - Accent6 5 2 2 7" xfId="35040" xr:uid="{00000000-0005-0000-0000-0000247B0000}"/>
    <cellStyle name="40% - Accent6 5 2 2 8" xfId="35041" xr:uid="{00000000-0005-0000-0000-0000257B0000}"/>
    <cellStyle name="40% - Accent6 5 2 3" xfId="35042" xr:uid="{00000000-0005-0000-0000-0000267B0000}"/>
    <cellStyle name="40% - Accent6 5 2 3 2" xfId="35043" xr:uid="{00000000-0005-0000-0000-0000277B0000}"/>
    <cellStyle name="40% - Accent6 5 2 3 2 2" xfId="35044" xr:uid="{00000000-0005-0000-0000-0000287B0000}"/>
    <cellStyle name="40% - Accent6 5 2 3 2 2 2" xfId="35045" xr:uid="{00000000-0005-0000-0000-0000297B0000}"/>
    <cellStyle name="40% - Accent6 5 2 3 2 2 2 2" xfId="35046" xr:uid="{00000000-0005-0000-0000-00002A7B0000}"/>
    <cellStyle name="40% - Accent6 5 2 3 2 2 3" xfId="35047" xr:uid="{00000000-0005-0000-0000-00002B7B0000}"/>
    <cellStyle name="40% - Accent6 5 2 3 2 3" xfId="35048" xr:uid="{00000000-0005-0000-0000-00002C7B0000}"/>
    <cellStyle name="40% - Accent6 5 2 3 2 3 2" xfId="35049" xr:uid="{00000000-0005-0000-0000-00002D7B0000}"/>
    <cellStyle name="40% - Accent6 5 2 3 2 4" xfId="35050" xr:uid="{00000000-0005-0000-0000-00002E7B0000}"/>
    <cellStyle name="40% - Accent6 5 2 3 2 5" xfId="35051" xr:uid="{00000000-0005-0000-0000-00002F7B0000}"/>
    <cellStyle name="40% - Accent6 5 2 3 2 6" xfId="35052" xr:uid="{00000000-0005-0000-0000-0000307B0000}"/>
    <cellStyle name="40% - Accent6 5 2 3 3" xfId="35053" xr:uid="{00000000-0005-0000-0000-0000317B0000}"/>
    <cellStyle name="40% - Accent6 5 2 3 3 2" xfId="35054" xr:uid="{00000000-0005-0000-0000-0000327B0000}"/>
    <cellStyle name="40% - Accent6 5 2 3 3 2 2" xfId="35055" xr:uid="{00000000-0005-0000-0000-0000337B0000}"/>
    <cellStyle name="40% - Accent6 5 2 3 3 3" xfId="35056" xr:uid="{00000000-0005-0000-0000-0000347B0000}"/>
    <cellStyle name="40% - Accent6 5 2 3 4" xfId="35057" xr:uid="{00000000-0005-0000-0000-0000357B0000}"/>
    <cellStyle name="40% - Accent6 5 2 3 4 2" xfId="35058" xr:uid="{00000000-0005-0000-0000-0000367B0000}"/>
    <cellStyle name="40% - Accent6 5 2 3 5" xfId="35059" xr:uid="{00000000-0005-0000-0000-0000377B0000}"/>
    <cellStyle name="40% - Accent6 5 2 3 6" xfId="35060" xr:uid="{00000000-0005-0000-0000-0000387B0000}"/>
    <cellStyle name="40% - Accent6 5 2 3 7" xfId="35061" xr:uid="{00000000-0005-0000-0000-0000397B0000}"/>
    <cellStyle name="40% - Accent6 5 2 4" xfId="35062" xr:uid="{00000000-0005-0000-0000-00003A7B0000}"/>
    <cellStyle name="40% - Accent6 5 2 4 2" xfId="35063" xr:uid="{00000000-0005-0000-0000-00003B7B0000}"/>
    <cellStyle name="40% - Accent6 5 2 4 2 2" xfId="35064" xr:uid="{00000000-0005-0000-0000-00003C7B0000}"/>
    <cellStyle name="40% - Accent6 5 2 4 2 2 2" xfId="35065" xr:uid="{00000000-0005-0000-0000-00003D7B0000}"/>
    <cellStyle name="40% - Accent6 5 2 4 2 3" xfId="35066" xr:uid="{00000000-0005-0000-0000-00003E7B0000}"/>
    <cellStyle name="40% - Accent6 5 2 4 3" xfId="35067" xr:uid="{00000000-0005-0000-0000-00003F7B0000}"/>
    <cellStyle name="40% - Accent6 5 2 4 3 2" xfId="35068" xr:uid="{00000000-0005-0000-0000-0000407B0000}"/>
    <cellStyle name="40% - Accent6 5 2 4 4" xfId="35069" xr:uid="{00000000-0005-0000-0000-0000417B0000}"/>
    <cellStyle name="40% - Accent6 5 2 4 5" xfId="35070" xr:uid="{00000000-0005-0000-0000-0000427B0000}"/>
    <cellStyle name="40% - Accent6 5 2 4 6" xfId="35071" xr:uid="{00000000-0005-0000-0000-0000437B0000}"/>
    <cellStyle name="40% - Accent6 5 2 5" xfId="35072" xr:uid="{00000000-0005-0000-0000-0000447B0000}"/>
    <cellStyle name="40% - Accent6 5 2 5 2" xfId="35073" xr:uid="{00000000-0005-0000-0000-0000457B0000}"/>
    <cellStyle name="40% - Accent6 5 2 5 2 2" xfId="35074" xr:uid="{00000000-0005-0000-0000-0000467B0000}"/>
    <cellStyle name="40% - Accent6 5 2 5 3" xfId="35075" xr:uid="{00000000-0005-0000-0000-0000477B0000}"/>
    <cellStyle name="40% - Accent6 5 2 6" xfId="35076" xr:uid="{00000000-0005-0000-0000-0000487B0000}"/>
    <cellStyle name="40% - Accent6 5 2 6 2" xfId="35077" xr:uid="{00000000-0005-0000-0000-0000497B0000}"/>
    <cellStyle name="40% - Accent6 5 2 6 2 2" xfId="35078" xr:uid="{00000000-0005-0000-0000-00004A7B0000}"/>
    <cellStyle name="40% - Accent6 5 2 6 3" xfId="35079" xr:uid="{00000000-0005-0000-0000-00004B7B0000}"/>
    <cellStyle name="40% - Accent6 5 2 7" xfId="35080" xr:uid="{00000000-0005-0000-0000-00004C7B0000}"/>
    <cellStyle name="40% - Accent6 5 2 7 2" xfId="35081" xr:uid="{00000000-0005-0000-0000-00004D7B0000}"/>
    <cellStyle name="40% - Accent6 5 2 8" xfId="35082" xr:uid="{00000000-0005-0000-0000-00004E7B0000}"/>
    <cellStyle name="40% - Accent6 5 2 8 2" xfId="35083" xr:uid="{00000000-0005-0000-0000-00004F7B0000}"/>
    <cellStyle name="40% - Accent6 5 2 9" xfId="35084" xr:uid="{00000000-0005-0000-0000-0000507B0000}"/>
    <cellStyle name="40% - Accent6 5 20" xfId="35085" xr:uid="{00000000-0005-0000-0000-0000517B0000}"/>
    <cellStyle name="40% - Accent6 5 3" xfId="35086" xr:uid="{00000000-0005-0000-0000-0000527B0000}"/>
    <cellStyle name="40% - Accent6 5 3 10" xfId="35087" xr:uid="{00000000-0005-0000-0000-0000537B0000}"/>
    <cellStyle name="40% - Accent6 5 3 11" xfId="35088" xr:uid="{00000000-0005-0000-0000-0000547B0000}"/>
    <cellStyle name="40% - Accent6 5 3 2" xfId="35089" xr:uid="{00000000-0005-0000-0000-0000557B0000}"/>
    <cellStyle name="40% - Accent6 5 3 2 2" xfId="35090" xr:uid="{00000000-0005-0000-0000-0000567B0000}"/>
    <cellStyle name="40% - Accent6 5 3 2 2 2" xfId="35091" xr:uid="{00000000-0005-0000-0000-0000577B0000}"/>
    <cellStyle name="40% - Accent6 5 3 2 2 2 2" xfId="35092" xr:uid="{00000000-0005-0000-0000-0000587B0000}"/>
    <cellStyle name="40% - Accent6 5 3 2 2 2 2 2" xfId="35093" xr:uid="{00000000-0005-0000-0000-0000597B0000}"/>
    <cellStyle name="40% - Accent6 5 3 2 2 2 3" xfId="35094" xr:uid="{00000000-0005-0000-0000-00005A7B0000}"/>
    <cellStyle name="40% - Accent6 5 3 2 2 3" xfId="35095" xr:uid="{00000000-0005-0000-0000-00005B7B0000}"/>
    <cellStyle name="40% - Accent6 5 3 2 2 3 2" xfId="35096" xr:uid="{00000000-0005-0000-0000-00005C7B0000}"/>
    <cellStyle name="40% - Accent6 5 3 2 2 4" xfId="35097" xr:uid="{00000000-0005-0000-0000-00005D7B0000}"/>
    <cellStyle name="40% - Accent6 5 3 2 2 5" xfId="35098" xr:uid="{00000000-0005-0000-0000-00005E7B0000}"/>
    <cellStyle name="40% - Accent6 5 3 2 2 6" xfId="35099" xr:uid="{00000000-0005-0000-0000-00005F7B0000}"/>
    <cellStyle name="40% - Accent6 5 3 2 3" xfId="35100" xr:uid="{00000000-0005-0000-0000-0000607B0000}"/>
    <cellStyle name="40% - Accent6 5 3 2 3 2" xfId="35101" xr:uid="{00000000-0005-0000-0000-0000617B0000}"/>
    <cellStyle name="40% - Accent6 5 3 2 3 2 2" xfId="35102" xr:uid="{00000000-0005-0000-0000-0000627B0000}"/>
    <cellStyle name="40% - Accent6 5 3 2 3 3" xfId="35103" xr:uid="{00000000-0005-0000-0000-0000637B0000}"/>
    <cellStyle name="40% - Accent6 5 3 2 4" xfId="35104" xr:uid="{00000000-0005-0000-0000-0000647B0000}"/>
    <cellStyle name="40% - Accent6 5 3 2 4 2" xfId="35105" xr:uid="{00000000-0005-0000-0000-0000657B0000}"/>
    <cellStyle name="40% - Accent6 5 3 2 5" xfId="35106" xr:uid="{00000000-0005-0000-0000-0000667B0000}"/>
    <cellStyle name="40% - Accent6 5 3 2 5 2" xfId="35107" xr:uid="{00000000-0005-0000-0000-0000677B0000}"/>
    <cellStyle name="40% - Accent6 5 3 2 6" xfId="35108" xr:uid="{00000000-0005-0000-0000-0000687B0000}"/>
    <cellStyle name="40% - Accent6 5 3 2 7" xfId="35109" xr:uid="{00000000-0005-0000-0000-0000697B0000}"/>
    <cellStyle name="40% - Accent6 5 3 2 8" xfId="35110" xr:uid="{00000000-0005-0000-0000-00006A7B0000}"/>
    <cellStyle name="40% - Accent6 5 3 3" xfId="35111" xr:uid="{00000000-0005-0000-0000-00006B7B0000}"/>
    <cellStyle name="40% - Accent6 5 3 3 2" xfId="35112" xr:uid="{00000000-0005-0000-0000-00006C7B0000}"/>
    <cellStyle name="40% - Accent6 5 3 3 2 2" xfId="35113" xr:uid="{00000000-0005-0000-0000-00006D7B0000}"/>
    <cellStyle name="40% - Accent6 5 3 3 2 2 2" xfId="35114" xr:uid="{00000000-0005-0000-0000-00006E7B0000}"/>
    <cellStyle name="40% - Accent6 5 3 3 2 2 2 2" xfId="35115" xr:uid="{00000000-0005-0000-0000-00006F7B0000}"/>
    <cellStyle name="40% - Accent6 5 3 3 2 2 3" xfId="35116" xr:uid="{00000000-0005-0000-0000-0000707B0000}"/>
    <cellStyle name="40% - Accent6 5 3 3 2 3" xfId="35117" xr:uid="{00000000-0005-0000-0000-0000717B0000}"/>
    <cellStyle name="40% - Accent6 5 3 3 2 3 2" xfId="35118" xr:uid="{00000000-0005-0000-0000-0000727B0000}"/>
    <cellStyle name="40% - Accent6 5 3 3 2 4" xfId="35119" xr:uid="{00000000-0005-0000-0000-0000737B0000}"/>
    <cellStyle name="40% - Accent6 5 3 3 2 5" xfId="35120" xr:uid="{00000000-0005-0000-0000-0000747B0000}"/>
    <cellStyle name="40% - Accent6 5 3 3 2 6" xfId="35121" xr:uid="{00000000-0005-0000-0000-0000757B0000}"/>
    <cellStyle name="40% - Accent6 5 3 3 3" xfId="35122" xr:uid="{00000000-0005-0000-0000-0000767B0000}"/>
    <cellStyle name="40% - Accent6 5 3 3 3 2" xfId="35123" xr:uid="{00000000-0005-0000-0000-0000777B0000}"/>
    <cellStyle name="40% - Accent6 5 3 3 3 2 2" xfId="35124" xr:uid="{00000000-0005-0000-0000-0000787B0000}"/>
    <cellStyle name="40% - Accent6 5 3 3 3 3" xfId="35125" xr:uid="{00000000-0005-0000-0000-0000797B0000}"/>
    <cellStyle name="40% - Accent6 5 3 3 4" xfId="35126" xr:uid="{00000000-0005-0000-0000-00007A7B0000}"/>
    <cellStyle name="40% - Accent6 5 3 3 4 2" xfId="35127" xr:uid="{00000000-0005-0000-0000-00007B7B0000}"/>
    <cellStyle name="40% - Accent6 5 3 3 5" xfId="35128" xr:uid="{00000000-0005-0000-0000-00007C7B0000}"/>
    <cellStyle name="40% - Accent6 5 3 3 6" xfId="35129" xr:uid="{00000000-0005-0000-0000-00007D7B0000}"/>
    <cellStyle name="40% - Accent6 5 3 3 7" xfId="35130" xr:uid="{00000000-0005-0000-0000-00007E7B0000}"/>
    <cellStyle name="40% - Accent6 5 3 4" xfId="35131" xr:uid="{00000000-0005-0000-0000-00007F7B0000}"/>
    <cellStyle name="40% - Accent6 5 3 4 2" xfId="35132" xr:uid="{00000000-0005-0000-0000-0000807B0000}"/>
    <cellStyle name="40% - Accent6 5 3 4 2 2" xfId="35133" xr:uid="{00000000-0005-0000-0000-0000817B0000}"/>
    <cellStyle name="40% - Accent6 5 3 4 2 2 2" xfId="35134" xr:uid="{00000000-0005-0000-0000-0000827B0000}"/>
    <cellStyle name="40% - Accent6 5 3 4 2 3" xfId="35135" xr:uid="{00000000-0005-0000-0000-0000837B0000}"/>
    <cellStyle name="40% - Accent6 5 3 4 3" xfId="35136" xr:uid="{00000000-0005-0000-0000-0000847B0000}"/>
    <cellStyle name="40% - Accent6 5 3 4 3 2" xfId="35137" xr:uid="{00000000-0005-0000-0000-0000857B0000}"/>
    <cellStyle name="40% - Accent6 5 3 4 4" xfId="35138" xr:uid="{00000000-0005-0000-0000-0000867B0000}"/>
    <cellStyle name="40% - Accent6 5 3 4 5" xfId="35139" xr:uid="{00000000-0005-0000-0000-0000877B0000}"/>
    <cellStyle name="40% - Accent6 5 3 4 6" xfId="35140" xr:uid="{00000000-0005-0000-0000-0000887B0000}"/>
    <cellStyle name="40% - Accent6 5 3 5" xfId="35141" xr:uid="{00000000-0005-0000-0000-0000897B0000}"/>
    <cellStyle name="40% - Accent6 5 3 5 2" xfId="35142" xr:uid="{00000000-0005-0000-0000-00008A7B0000}"/>
    <cellStyle name="40% - Accent6 5 3 5 2 2" xfId="35143" xr:uid="{00000000-0005-0000-0000-00008B7B0000}"/>
    <cellStyle name="40% - Accent6 5 3 5 3" xfId="35144" xr:uid="{00000000-0005-0000-0000-00008C7B0000}"/>
    <cellStyle name="40% - Accent6 5 3 6" xfId="35145" xr:uid="{00000000-0005-0000-0000-00008D7B0000}"/>
    <cellStyle name="40% - Accent6 5 3 6 2" xfId="35146" xr:uid="{00000000-0005-0000-0000-00008E7B0000}"/>
    <cellStyle name="40% - Accent6 5 3 6 2 2" xfId="35147" xr:uid="{00000000-0005-0000-0000-00008F7B0000}"/>
    <cellStyle name="40% - Accent6 5 3 6 3" xfId="35148" xr:uid="{00000000-0005-0000-0000-0000907B0000}"/>
    <cellStyle name="40% - Accent6 5 3 7" xfId="35149" xr:uid="{00000000-0005-0000-0000-0000917B0000}"/>
    <cellStyle name="40% - Accent6 5 3 7 2" xfId="35150" xr:uid="{00000000-0005-0000-0000-0000927B0000}"/>
    <cellStyle name="40% - Accent6 5 3 8" xfId="35151" xr:uid="{00000000-0005-0000-0000-0000937B0000}"/>
    <cellStyle name="40% - Accent6 5 3 8 2" xfId="35152" xr:uid="{00000000-0005-0000-0000-0000947B0000}"/>
    <cellStyle name="40% - Accent6 5 3 9" xfId="35153" xr:uid="{00000000-0005-0000-0000-0000957B0000}"/>
    <cellStyle name="40% - Accent6 5 4" xfId="35154" xr:uid="{00000000-0005-0000-0000-0000967B0000}"/>
    <cellStyle name="40% - Accent6 5 4 10" xfId="35155" xr:uid="{00000000-0005-0000-0000-0000977B0000}"/>
    <cellStyle name="40% - Accent6 5 4 11" xfId="35156" xr:uid="{00000000-0005-0000-0000-0000987B0000}"/>
    <cellStyle name="40% - Accent6 5 4 2" xfId="35157" xr:uid="{00000000-0005-0000-0000-0000997B0000}"/>
    <cellStyle name="40% - Accent6 5 4 2 2" xfId="35158" xr:uid="{00000000-0005-0000-0000-00009A7B0000}"/>
    <cellStyle name="40% - Accent6 5 4 2 2 2" xfId="35159" xr:uid="{00000000-0005-0000-0000-00009B7B0000}"/>
    <cellStyle name="40% - Accent6 5 4 2 2 2 2" xfId="35160" xr:uid="{00000000-0005-0000-0000-00009C7B0000}"/>
    <cellStyle name="40% - Accent6 5 4 2 2 2 2 2" xfId="35161" xr:uid="{00000000-0005-0000-0000-00009D7B0000}"/>
    <cellStyle name="40% - Accent6 5 4 2 2 2 3" xfId="35162" xr:uid="{00000000-0005-0000-0000-00009E7B0000}"/>
    <cellStyle name="40% - Accent6 5 4 2 2 3" xfId="35163" xr:uid="{00000000-0005-0000-0000-00009F7B0000}"/>
    <cellStyle name="40% - Accent6 5 4 2 2 3 2" xfId="35164" xr:uid="{00000000-0005-0000-0000-0000A07B0000}"/>
    <cellStyle name="40% - Accent6 5 4 2 2 4" xfId="35165" xr:uid="{00000000-0005-0000-0000-0000A17B0000}"/>
    <cellStyle name="40% - Accent6 5 4 2 2 5" xfId="35166" xr:uid="{00000000-0005-0000-0000-0000A27B0000}"/>
    <cellStyle name="40% - Accent6 5 4 2 2 6" xfId="35167" xr:uid="{00000000-0005-0000-0000-0000A37B0000}"/>
    <cellStyle name="40% - Accent6 5 4 2 3" xfId="35168" xr:uid="{00000000-0005-0000-0000-0000A47B0000}"/>
    <cellStyle name="40% - Accent6 5 4 2 3 2" xfId="35169" xr:uid="{00000000-0005-0000-0000-0000A57B0000}"/>
    <cellStyle name="40% - Accent6 5 4 2 3 2 2" xfId="35170" xr:uid="{00000000-0005-0000-0000-0000A67B0000}"/>
    <cellStyle name="40% - Accent6 5 4 2 3 3" xfId="35171" xr:uid="{00000000-0005-0000-0000-0000A77B0000}"/>
    <cellStyle name="40% - Accent6 5 4 2 4" xfId="35172" xr:uid="{00000000-0005-0000-0000-0000A87B0000}"/>
    <cellStyle name="40% - Accent6 5 4 2 4 2" xfId="35173" xr:uid="{00000000-0005-0000-0000-0000A97B0000}"/>
    <cellStyle name="40% - Accent6 5 4 2 5" xfId="35174" xr:uid="{00000000-0005-0000-0000-0000AA7B0000}"/>
    <cellStyle name="40% - Accent6 5 4 2 5 2" xfId="35175" xr:uid="{00000000-0005-0000-0000-0000AB7B0000}"/>
    <cellStyle name="40% - Accent6 5 4 2 6" xfId="35176" xr:uid="{00000000-0005-0000-0000-0000AC7B0000}"/>
    <cellStyle name="40% - Accent6 5 4 2 7" xfId="35177" xr:uid="{00000000-0005-0000-0000-0000AD7B0000}"/>
    <cellStyle name="40% - Accent6 5 4 2 8" xfId="35178" xr:uid="{00000000-0005-0000-0000-0000AE7B0000}"/>
    <cellStyle name="40% - Accent6 5 4 3" xfId="35179" xr:uid="{00000000-0005-0000-0000-0000AF7B0000}"/>
    <cellStyle name="40% - Accent6 5 4 3 2" xfId="35180" xr:uid="{00000000-0005-0000-0000-0000B07B0000}"/>
    <cellStyle name="40% - Accent6 5 4 3 2 2" xfId="35181" xr:uid="{00000000-0005-0000-0000-0000B17B0000}"/>
    <cellStyle name="40% - Accent6 5 4 3 2 2 2" xfId="35182" xr:uid="{00000000-0005-0000-0000-0000B27B0000}"/>
    <cellStyle name="40% - Accent6 5 4 3 2 2 2 2" xfId="35183" xr:uid="{00000000-0005-0000-0000-0000B37B0000}"/>
    <cellStyle name="40% - Accent6 5 4 3 2 2 3" xfId="35184" xr:uid="{00000000-0005-0000-0000-0000B47B0000}"/>
    <cellStyle name="40% - Accent6 5 4 3 2 3" xfId="35185" xr:uid="{00000000-0005-0000-0000-0000B57B0000}"/>
    <cellStyle name="40% - Accent6 5 4 3 2 3 2" xfId="35186" xr:uid="{00000000-0005-0000-0000-0000B67B0000}"/>
    <cellStyle name="40% - Accent6 5 4 3 2 4" xfId="35187" xr:uid="{00000000-0005-0000-0000-0000B77B0000}"/>
    <cellStyle name="40% - Accent6 5 4 3 2 5" xfId="35188" xr:uid="{00000000-0005-0000-0000-0000B87B0000}"/>
    <cellStyle name="40% - Accent6 5 4 3 2 6" xfId="35189" xr:uid="{00000000-0005-0000-0000-0000B97B0000}"/>
    <cellStyle name="40% - Accent6 5 4 3 3" xfId="35190" xr:uid="{00000000-0005-0000-0000-0000BA7B0000}"/>
    <cellStyle name="40% - Accent6 5 4 3 3 2" xfId="35191" xr:uid="{00000000-0005-0000-0000-0000BB7B0000}"/>
    <cellStyle name="40% - Accent6 5 4 3 3 2 2" xfId="35192" xr:uid="{00000000-0005-0000-0000-0000BC7B0000}"/>
    <cellStyle name="40% - Accent6 5 4 3 3 3" xfId="35193" xr:uid="{00000000-0005-0000-0000-0000BD7B0000}"/>
    <cellStyle name="40% - Accent6 5 4 3 4" xfId="35194" xr:uid="{00000000-0005-0000-0000-0000BE7B0000}"/>
    <cellStyle name="40% - Accent6 5 4 3 4 2" xfId="35195" xr:uid="{00000000-0005-0000-0000-0000BF7B0000}"/>
    <cellStyle name="40% - Accent6 5 4 3 5" xfId="35196" xr:uid="{00000000-0005-0000-0000-0000C07B0000}"/>
    <cellStyle name="40% - Accent6 5 4 3 6" xfId="35197" xr:uid="{00000000-0005-0000-0000-0000C17B0000}"/>
    <cellStyle name="40% - Accent6 5 4 3 7" xfId="35198" xr:uid="{00000000-0005-0000-0000-0000C27B0000}"/>
    <cellStyle name="40% - Accent6 5 4 4" xfId="35199" xr:uid="{00000000-0005-0000-0000-0000C37B0000}"/>
    <cellStyle name="40% - Accent6 5 4 4 2" xfId="35200" xr:uid="{00000000-0005-0000-0000-0000C47B0000}"/>
    <cellStyle name="40% - Accent6 5 4 4 2 2" xfId="35201" xr:uid="{00000000-0005-0000-0000-0000C57B0000}"/>
    <cellStyle name="40% - Accent6 5 4 4 2 2 2" xfId="35202" xr:uid="{00000000-0005-0000-0000-0000C67B0000}"/>
    <cellStyle name="40% - Accent6 5 4 4 2 3" xfId="35203" xr:uid="{00000000-0005-0000-0000-0000C77B0000}"/>
    <cellStyle name="40% - Accent6 5 4 4 3" xfId="35204" xr:uid="{00000000-0005-0000-0000-0000C87B0000}"/>
    <cellStyle name="40% - Accent6 5 4 4 3 2" xfId="35205" xr:uid="{00000000-0005-0000-0000-0000C97B0000}"/>
    <cellStyle name="40% - Accent6 5 4 4 4" xfId="35206" xr:uid="{00000000-0005-0000-0000-0000CA7B0000}"/>
    <cellStyle name="40% - Accent6 5 4 4 5" xfId="35207" xr:uid="{00000000-0005-0000-0000-0000CB7B0000}"/>
    <cellStyle name="40% - Accent6 5 4 4 6" xfId="35208" xr:uid="{00000000-0005-0000-0000-0000CC7B0000}"/>
    <cellStyle name="40% - Accent6 5 4 5" xfId="35209" xr:uid="{00000000-0005-0000-0000-0000CD7B0000}"/>
    <cellStyle name="40% - Accent6 5 4 5 2" xfId="35210" xr:uid="{00000000-0005-0000-0000-0000CE7B0000}"/>
    <cellStyle name="40% - Accent6 5 4 5 2 2" xfId="35211" xr:uid="{00000000-0005-0000-0000-0000CF7B0000}"/>
    <cellStyle name="40% - Accent6 5 4 5 3" xfId="35212" xr:uid="{00000000-0005-0000-0000-0000D07B0000}"/>
    <cellStyle name="40% - Accent6 5 4 6" xfId="35213" xr:uid="{00000000-0005-0000-0000-0000D17B0000}"/>
    <cellStyle name="40% - Accent6 5 4 6 2" xfId="35214" xr:uid="{00000000-0005-0000-0000-0000D27B0000}"/>
    <cellStyle name="40% - Accent6 5 4 6 2 2" xfId="35215" xr:uid="{00000000-0005-0000-0000-0000D37B0000}"/>
    <cellStyle name="40% - Accent6 5 4 6 3" xfId="35216" xr:uid="{00000000-0005-0000-0000-0000D47B0000}"/>
    <cellStyle name="40% - Accent6 5 4 7" xfId="35217" xr:uid="{00000000-0005-0000-0000-0000D57B0000}"/>
    <cellStyle name="40% - Accent6 5 4 7 2" xfId="35218" xr:uid="{00000000-0005-0000-0000-0000D67B0000}"/>
    <cellStyle name="40% - Accent6 5 4 8" xfId="35219" xr:uid="{00000000-0005-0000-0000-0000D77B0000}"/>
    <cellStyle name="40% - Accent6 5 4 8 2" xfId="35220" xr:uid="{00000000-0005-0000-0000-0000D87B0000}"/>
    <cellStyle name="40% - Accent6 5 4 9" xfId="35221" xr:uid="{00000000-0005-0000-0000-0000D97B0000}"/>
    <cellStyle name="40% - Accent6 5 5" xfId="35222" xr:uid="{00000000-0005-0000-0000-0000DA7B0000}"/>
    <cellStyle name="40% - Accent6 5 5 10" xfId="35223" xr:uid="{00000000-0005-0000-0000-0000DB7B0000}"/>
    <cellStyle name="40% - Accent6 5 5 11" xfId="35224" xr:uid="{00000000-0005-0000-0000-0000DC7B0000}"/>
    <cellStyle name="40% - Accent6 5 5 2" xfId="35225" xr:uid="{00000000-0005-0000-0000-0000DD7B0000}"/>
    <cellStyle name="40% - Accent6 5 5 2 2" xfId="35226" xr:uid="{00000000-0005-0000-0000-0000DE7B0000}"/>
    <cellStyle name="40% - Accent6 5 5 2 2 2" xfId="35227" xr:uid="{00000000-0005-0000-0000-0000DF7B0000}"/>
    <cellStyle name="40% - Accent6 5 5 2 2 2 2" xfId="35228" xr:uid="{00000000-0005-0000-0000-0000E07B0000}"/>
    <cellStyle name="40% - Accent6 5 5 2 2 2 2 2" xfId="35229" xr:uid="{00000000-0005-0000-0000-0000E17B0000}"/>
    <cellStyle name="40% - Accent6 5 5 2 2 2 3" xfId="35230" xr:uid="{00000000-0005-0000-0000-0000E27B0000}"/>
    <cellStyle name="40% - Accent6 5 5 2 2 3" xfId="35231" xr:uid="{00000000-0005-0000-0000-0000E37B0000}"/>
    <cellStyle name="40% - Accent6 5 5 2 2 3 2" xfId="35232" xr:uid="{00000000-0005-0000-0000-0000E47B0000}"/>
    <cellStyle name="40% - Accent6 5 5 2 2 4" xfId="35233" xr:uid="{00000000-0005-0000-0000-0000E57B0000}"/>
    <cellStyle name="40% - Accent6 5 5 2 2 5" xfId="35234" xr:uid="{00000000-0005-0000-0000-0000E67B0000}"/>
    <cellStyle name="40% - Accent6 5 5 2 2 6" xfId="35235" xr:uid="{00000000-0005-0000-0000-0000E77B0000}"/>
    <cellStyle name="40% - Accent6 5 5 2 3" xfId="35236" xr:uid="{00000000-0005-0000-0000-0000E87B0000}"/>
    <cellStyle name="40% - Accent6 5 5 2 3 2" xfId="35237" xr:uid="{00000000-0005-0000-0000-0000E97B0000}"/>
    <cellStyle name="40% - Accent6 5 5 2 3 2 2" xfId="35238" xr:uid="{00000000-0005-0000-0000-0000EA7B0000}"/>
    <cellStyle name="40% - Accent6 5 5 2 3 3" xfId="35239" xr:uid="{00000000-0005-0000-0000-0000EB7B0000}"/>
    <cellStyle name="40% - Accent6 5 5 2 4" xfId="35240" xr:uid="{00000000-0005-0000-0000-0000EC7B0000}"/>
    <cellStyle name="40% - Accent6 5 5 2 4 2" xfId="35241" xr:uid="{00000000-0005-0000-0000-0000ED7B0000}"/>
    <cellStyle name="40% - Accent6 5 5 2 5" xfId="35242" xr:uid="{00000000-0005-0000-0000-0000EE7B0000}"/>
    <cellStyle name="40% - Accent6 5 5 2 5 2" xfId="35243" xr:uid="{00000000-0005-0000-0000-0000EF7B0000}"/>
    <cellStyle name="40% - Accent6 5 5 2 6" xfId="35244" xr:uid="{00000000-0005-0000-0000-0000F07B0000}"/>
    <cellStyle name="40% - Accent6 5 5 2 7" xfId="35245" xr:uid="{00000000-0005-0000-0000-0000F17B0000}"/>
    <cellStyle name="40% - Accent6 5 5 2 8" xfId="35246" xr:uid="{00000000-0005-0000-0000-0000F27B0000}"/>
    <cellStyle name="40% - Accent6 5 5 3" xfId="35247" xr:uid="{00000000-0005-0000-0000-0000F37B0000}"/>
    <cellStyle name="40% - Accent6 5 5 3 2" xfId="35248" xr:uid="{00000000-0005-0000-0000-0000F47B0000}"/>
    <cellStyle name="40% - Accent6 5 5 3 2 2" xfId="35249" xr:uid="{00000000-0005-0000-0000-0000F57B0000}"/>
    <cellStyle name="40% - Accent6 5 5 3 2 2 2" xfId="35250" xr:uid="{00000000-0005-0000-0000-0000F67B0000}"/>
    <cellStyle name="40% - Accent6 5 5 3 2 2 2 2" xfId="35251" xr:uid="{00000000-0005-0000-0000-0000F77B0000}"/>
    <cellStyle name="40% - Accent6 5 5 3 2 2 3" xfId="35252" xr:uid="{00000000-0005-0000-0000-0000F87B0000}"/>
    <cellStyle name="40% - Accent6 5 5 3 2 3" xfId="35253" xr:uid="{00000000-0005-0000-0000-0000F97B0000}"/>
    <cellStyle name="40% - Accent6 5 5 3 2 3 2" xfId="35254" xr:uid="{00000000-0005-0000-0000-0000FA7B0000}"/>
    <cellStyle name="40% - Accent6 5 5 3 2 4" xfId="35255" xr:uid="{00000000-0005-0000-0000-0000FB7B0000}"/>
    <cellStyle name="40% - Accent6 5 5 3 2 5" xfId="35256" xr:uid="{00000000-0005-0000-0000-0000FC7B0000}"/>
    <cellStyle name="40% - Accent6 5 5 3 2 6" xfId="35257" xr:uid="{00000000-0005-0000-0000-0000FD7B0000}"/>
    <cellStyle name="40% - Accent6 5 5 3 3" xfId="35258" xr:uid="{00000000-0005-0000-0000-0000FE7B0000}"/>
    <cellStyle name="40% - Accent6 5 5 3 3 2" xfId="35259" xr:uid="{00000000-0005-0000-0000-0000FF7B0000}"/>
    <cellStyle name="40% - Accent6 5 5 3 3 2 2" xfId="35260" xr:uid="{00000000-0005-0000-0000-0000007C0000}"/>
    <cellStyle name="40% - Accent6 5 5 3 3 3" xfId="35261" xr:uid="{00000000-0005-0000-0000-0000017C0000}"/>
    <cellStyle name="40% - Accent6 5 5 3 4" xfId="35262" xr:uid="{00000000-0005-0000-0000-0000027C0000}"/>
    <cellStyle name="40% - Accent6 5 5 3 4 2" xfId="35263" xr:uid="{00000000-0005-0000-0000-0000037C0000}"/>
    <cellStyle name="40% - Accent6 5 5 3 5" xfId="35264" xr:uid="{00000000-0005-0000-0000-0000047C0000}"/>
    <cellStyle name="40% - Accent6 5 5 3 6" xfId="35265" xr:uid="{00000000-0005-0000-0000-0000057C0000}"/>
    <cellStyle name="40% - Accent6 5 5 3 7" xfId="35266" xr:uid="{00000000-0005-0000-0000-0000067C0000}"/>
    <cellStyle name="40% - Accent6 5 5 4" xfId="35267" xr:uid="{00000000-0005-0000-0000-0000077C0000}"/>
    <cellStyle name="40% - Accent6 5 5 4 2" xfId="35268" xr:uid="{00000000-0005-0000-0000-0000087C0000}"/>
    <cellStyle name="40% - Accent6 5 5 4 2 2" xfId="35269" xr:uid="{00000000-0005-0000-0000-0000097C0000}"/>
    <cellStyle name="40% - Accent6 5 5 4 2 2 2" xfId="35270" xr:uid="{00000000-0005-0000-0000-00000A7C0000}"/>
    <cellStyle name="40% - Accent6 5 5 4 2 3" xfId="35271" xr:uid="{00000000-0005-0000-0000-00000B7C0000}"/>
    <cellStyle name="40% - Accent6 5 5 4 3" xfId="35272" xr:uid="{00000000-0005-0000-0000-00000C7C0000}"/>
    <cellStyle name="40% - Accent6 5 5 4 3 2" xfId="35273" xr:uid="{00000000-0005-0000-0000-00000D7C0000}"/>
    <cellStyle name="40% - Accent6 5 5 4 4" xfId="35274" xr:uid="{00000000-0005-0000-0000-00000E7C0000}"/>
    <cellStyle name="40% - Accent6 5 5 4 5" xfId="35275" xr:uid="{00000000-0005-0000-0000-00000F7C0000}"/>
    <cellStyle name="40% - Accent6 5 5 4 6" xfId="35276" xr:uid="{00000000-0005-0000-0000-0000107C0000}"/>
    <cellStyle name="40% - Accent6 5 5 5" xfId="35277" xr:uid="{00000000-0005-0000-0000-0000117C0000}"/>
    <cellStyle name="40% - Accent6 5 5 5 2" xfId="35278" xr:uid="{00000000-0005-0000-0000-0000127C0000}"/>
    <cellStyle name="40% - Accent6 5 5 5 2 2" xfId="35279" xr:uid="{00000000-0005-0000-0000-0000137C0000}"/>
    <cellStyle name="40% - Accent6 5 5 5 3" xfId="35280" xr:uid="{00000000-0005-0000-0000-0000147C0000}"/>
    <cellStyle name="40% - Accent6 5 5 6" xfId="35281" xr:uid="{00000000-0005-0000-0000-0000157C0000}"/>
    <cellStyle name="40% - Accent6 5 5 6 2" xfId="35282" xr:uid="{00000000-0005-0000-0000-0000167C0000}"/>
    <cellStyle name="40% - Accent6 5 5 6 2 2" xfId="35283" xr:uid="{00000000-0005-0000-0000-0000177C0000}"/>
    <cellStyle name="40% - Accent6 5 5 6 3" xfId="35284" xr:uid="{00000000-0005-0000-0000-0000187C0000}"/>
    <cellStyle name="40% - Accent6 5 5 7" xfId="35285" xr:uid="{00000000-0005-0000-0000-0000197C0000}"/>
    <cellStyle name="40% - Accent6 5 5 7 2" xfId="35286" xr:uid="{00000000-0005-0000-0000-00001A7C0000}"/>
    <cellStyle name="40% - Accent6 5 5 8" xfId="35287" xr:uid="{00000000-0005-0000-0000-00001B7C0000}"/>
    <cellStyle name="40% - Accent6 5 5 8 2" xfId="35288" xr:uid="{00000000-0005-0000-0000-00001C7C0000}"/>
    <cellStyle name="40% - Accent6 5 5 9" xfId="35289" xr:uid="{00000000-0005-0000-0000-00001D7C0000}"/>
    <cellStyle name="40% - Accent6 5 6" xfId="35290" xr:uid="{00000000-0005-0000-0000-00001E7C0000}"/>
    <cellStyle name="40% - Accent6 5 6 10" xfId="35291" xr:uid="{00000000-0005-0000-0000-00001F7C0000}"/>
    <cellStyle name="40% - Accent6 5 6 11" xfId="35292" xr:uid="{00000000-0005-0000-0000-0000207C0000}"/>
    <cellStyle name="40% - Accent6 5 6 2" xfId="35293" xr:uid="{00000000-0005-0000-0000-0000217C0000}"/>
    <cellStyle name="40% - Accent6 5 6 2 2" xfId="35294" xr:uid="{00000000-0005-0000-0000-0000227C0000}"/>
    <cellStyle name="40% - Accent6 5 6 2 2 2" xfId="35295" xr:uid="{00000000-0005-0000-0000-0000237C0000}"/>
    <cellStyle name="40% - Accent6 5 6 2 2 2 2" xfId="35296" xr:uid="{00000000-0005-0000-0000-0000247C0000}"/>
    <cellStyle name="40% - Accent6 5 6 2 2 2 2 2" xfId="35297" xr:uid="{00000000-0005-0000-0000-0000257C0000}"/>
    <cellStyle name="40% - Accent6 5 6 2 2 2 3" xfId="35298" xr:uid="{00000000-0005-0000-0000-0000267C0000}"/>
    <cellStyle name="40% - Accent6 5 6 2 2 3" xfId="35299" xr:uid="{00000000-0005-0000-0000-0000277C0000}"/>
    <cellStyle name="40% - Accent6 5 6 2 2 3 2" xfId="35300" xr:uid="{00000000-0005-0000-0000-0000287C0000}"/>
    <cellStyle name="40% - Accent6 5 6 2 2 4" xfId="35301" xr:uid="{00000000-0005-0000-0000-0000297C0000}"/>
    <cellStyle name="40% - Accent6 5 6 2 2 5" xfId="35302" xr:uid="{00000000-0005-0000-0000-00002A7C0000}"/>
    <cellStyle name="40% - Accent6 5 6 2 2 6" xfId="35303" xr:uid="{00000000-0005-0000-0000-00002B7C0000}"/>
    <cellStyle name="40% - Accent6 5 6 2 3" xfId="35304" xr:uid="{00000000-0005-0000-0000-00002C7C0000}"/>
    <cellStyle name="40% - Accent6 5 6 2 3 2" xfId="35305" xr:uid="{00000000-0005-0000-0000-00002D7C0000}"/>
    <cellStyle name="40% - Accent6 5 6 2 3 2 2" xfId="35306" xr:uid="{00000000-0005-0000-0000-00002E7C0000}"/>
    <cellStyle name="40% - Accent6 5 6 2 3 3" xfId="35307" xr:uid="{00000000-0005-0000-0000-00002F7C0000}"/>
    <cellStyle name="40% - Accent6 5 6 2 4" xfId="35308" xr:uid="{00000000-0005-0000-0000-0000307C0000}"/>
    <cellStyle name="40% - Accent6 5 6 2 4 2" xfId="35309" xr:uid="{00000000-0005-0000-0000-0000317C0000}"/>
    <cellStyle name="40% - Accent6 5 6 2 5" xfId="35310" xr:uid="{00000000-0005-0000-0000-0000327C0000}"/>
    <cellStyle name="40% - Accent6 5 6 2 5 2" xfId="35311" xr:uid="{00000000-0005-0000-0000-0000337C0000}"/>
    <cellStyle name="40% - Accent6 5 6 2 6" xfId="35312" xr:uid="{00000000-0005-0000-0000-0000347C0000}"/>
    <cellStyle name="40% - Accent6 5 6 2 7" xfId="35313" xr:uid="{00000000-0005-0000-0000-0000357C0000}"/>
    <cellStyle name="40% - Accent6 5 6 2 8" xfId="35314" xr:uid="{00000000-0005-0000-0000-0000367C0000}"/>
    <cellStyle name="40% - Accent6 5 6 3" xfId="35315" xr:uid="{00000000-0005-0000-0000-0000377C0000}"/>
    <cellStyle name="40% - Accent6 5 6 3 2" xfId="35316" xr:uid="{00000000-0005-0000-0000-0000387C0000}"/>
    <cellStyle name="40% - Accent6 5 6 3 2 2" xfId="35317" xr:uid="{00000000-0005-0000-0000-0000397C0000}"/>
    <cellStyle name="40% - Accent6 5 6 3 2 2 2" xfId="35318" xr:uid="{00000000-0005-0000-0000-00003A7C0000}"/>
    <cellStyle name="40% - Accent6 5 6 3 2 2 2 2" xfId="35319" xr:uid="{00000000-0005-0000-0000-00003B7C0000}"/>
    <cellStyle name="40% - Accent6 5 6 3 2 2 3" xfId="35320" xr:uid="{00000000-0005-0000-0000-00003C7C0000}"/>
    <cellStyle name="40% - Accent6 5 6 3 2 3" xfId="35321" xr:uid="{00000000-0005-0000-0000-00003D7C0000}"/>
    <cellStyle name="40% - Accent6 5 6 3 2 3 2" xfId="35322" xr:uid="{00000000-0005-0000-0000-00003E7C0000}"/>
    <cellStyle name="40% - Accent6 5 6 3 2 4" xfId="35323" xr:uid="{00000000-0005-0000-0000-00003F7C0000}"/>
    <cellStyle name="40% - Accent6 5 6 3 2 5" xfId="35324" xr:uid="{00000000-0005-0000-0000-0000407C0000}"/>
    <cellStyle name="40% - Accent6 5 6 3 2 6" xfId="35325" xr:uid="{00000000-0005-0000-0000-0000417C0000}"/>
    <cellStyle name="40% - Accent6 5 6 3 3" xfId="35326" xr:uid="{00000000-0005-0000-0000-0000427C0000}"/>
    <cellStyle name="40% - Accent6 5 6 3 3 2" xfId="35327" xr:uid="{00000000-0005-0000-0000-0000437C0000}"/>
    <cellStyle name="40% - Accent6 5 6 3 3 2 2" xfId="35328" xr:uid="{00000000-0005-0000-0000-0000447C0000}"/>
    <cellStyle name="40% - Accent6 5 6 3 3 3" xfId="35329" xr:uid="{00000000-0005-0000-0000-0000457C0000}"/>
    <cellStyle name="40% - Accent6 5 6 3 4" xfId="35330" xr:uid="{00000000-0005-0000-0000-0000467C0000}"/>
    <cellStyle name="40% - Accent6 5 6 3 4 2" xfId="35331" xr:uid="{00000000-0005-0000-0000-0000477C0000}"/>
    <cellStyle name="40% - Accent6 5 6 3 5" xfId="35332" xr:uid="{00000000-0005-0000-0000-0000487C0000}"/>
    <cellStyle name="40% - Accent6 5 6 3 6" xfId="35333" xr:uid="{00000000-0005-0000-0000-0000497C0000}"/>
    <cellStyle name="40% - Accent6 5 6 3 7" xfId="35334" xr:uid="{00000000-0005-0000-0000-00004A7C0000}"/>
    <cellStyle name="40% - Accent6 5 6 4" xfId="35335" xr:uid="{00000000-0005-0000-0000-00004B7C0000}"/>
    <cellStyle name="40% - Accent6 5 6 4 2" xfId="35336" xr:uid="{00000000-0005-0000-0000-00004C7C0000}"/>
    <cellStyle name="40% - Accent6 5 6 4 2 2" xfId="35337" xr:uid="{00000000-0005-0000-0000-00004D7C0000}"/>
    <cellStyle name="40% - Accent6 5 6 4 2 2 2" xfId="35338" xr:uid="{00000000-0005-0000-0000-00004E7C0000}"/>
    <cellStyle name="40% - Accent6 5 6 4 2 3" xfId="35339" xr:uid="{00000000-0005-0000-0000-00004F7C0000}"/>
    <cellStyle name="40% - Accent6 5 6 4 3" xfId="35340" xr:uid="{00000000-0005-0000-0000-0000507C0000}"/>
    <cellStyle name="40% - Accent6 5 6 4 3 2" xfId="35341" xr:uid="{00000000-0005-0000-0000-0000517C0000}"/>
    <cellStyle name="40% - Accent6 5 6 4 4" xfId="35342" xr:uid="{00000000-0005-0000-0000-0000527C0000}"/>
    <cellStyle name="40% - Accent6 5 6 4 5" xfId="35343" xr:uid="{00000000-0005-0000-0000-0000537C0000}"/>
    <cellStyle name="40% - Accent6 5 6 4 6" xfId="35344" xr:uid="{00000000-0005-0000-0000-0000547C0000}"/>
    <cellStyle name="40% - Accent6 5 6 5" xfId="35345" xr:uid="{00000000-0005-0000-0000-0000557C0000}"/>
    <cellStyle name="40% - Accent6 5 6 5 2" xfId="35346" xr:uid="{00000000-0005-0000-0000-0000567C0000}"/>
    <cellStyle name="40% - Accent6 5 6 5 2 2" xfId="35347" xr:uid="{00000000-0005-0000-0000-0000577C0000}"/>
    <cellStyle name="40% - Accent6 5 6 5 3" xfId="35348" xr:uid="{00000000-0005-0000-0000-0000587C0000}"/>
    <cellStyle name="40% - Accent6 5 6 6" xfId="35349" xr:uid="{00000000-0005-0000-0000-0000597C0000}"/>
    <cellStyle name="40% - Accent6 5 6 6 2" xfId="35350" xr:uid="{00000000-0005-0000-0000-00005A7C0000}"/>
    <cellStyle name="40% - Accent6 5 6 6 2 2" xfId="35351" xr:uid="{00000000-0005-0000-0000-00005B7C0000}"/>
    <cellStyle name="40% - Accent6 5 6 6 3" xfId="35352" xr:uid="{00000000-0005-0000-0000-00005C7C0000}"/>
    <cellStyle name="40% - Accent6 5 6 7" xfId="35353" xr:uid="{00000000-0005-0000-0000-00005D7C0000}"/>
    <cellStyle name="40% - Accent6 5 6 7 2" xfId="35354" xr:uid="{00000000-0005-0000-0000-00005E7C0000}"/>
    <cellStyle name="40% - Accent6 5 6 8" xfId="35355" xr:uid="{00000000-0005-0000-0000-00005F7C0000}"/>
    <cellStyle name="40% - Accent6 5 6 8 2" xfId="35356" xr:uid="{00000000-0005-0000-0000-0000607C0000}"/>
    <cellStyle name="40% - Accent6 5 6 9" xfId="35357" xr:uid="{00000000-0005-0000-0000-0000617C0000}"/>
    <cellStyle name="40% - Accent6 5 7" xfId="35358" xr:uid="{00000000-0005-0000-0000-0000627C0000}"/>
    <cellStyle name="40% - Accent6 5 7 10" xfId="35359" xr:uid="{00000000-0005-0000-0000-0000637C0000}"/>
    <cellStyle name="40% - Accent6 5 7 11" xfId="35360" xr:uid="{00000000-0005-0000-0000-0000647C0000}"/>
    <cellStyle name="40% - Accent6 5 7 2" xfId="35361" xr:uid="{00000000-0005-0000-0000-0000657C0000}"/>
    <cellStyle name="40% - Accent6 5 7 2 2" xfId="35362" xr:uid="{00000000-0005-0000-0000-0000667C0000}"/>
    <cellStyle name="40% - Accent6 5 7 2 2 2" xfId="35363" xr:uid="{00000000-0005-0000-0000-0000677C0000}"/>
    <cellStyle name="40% - Accent6 5 7 2 2 2 2" xfId="35364" xr:uid="{00000000-0005-0000-0000-0000687C0000}"/>
    <cellStyle name="40% - Accent6 5 7 2 2 2 2 2" xfId="35365" xr:uid="{00000000-0005-0000-0000-0000697C0000}"/>
    <cellStyle name="40% - Accent6 5 7 2 2 2 3" xfId="35366" xr:uid="{00000000-0005-0000-0000-00006A7C0000}"/>
    <cellStyle name="40% - Accent6 5 7 2 2 3" xfId="35367" xr:uid="{00000000-0005-0000-0000-00006B7C0000}"/>
    <cellStyle name="40% - Accent6 5 7 2 2 3 2" xfId="35368" xr:uid="{00000000-0005-0000-0000-00006C7C0000}"/>
    <cellStyle name="40% - Accent6 5 7 2 2 4" xfId="35369" xr:uid="{00000000-0005-0000-0000-00006D7C0000}"/>
    <cellStyle name="40% - Accent6 5 7 2 2 5" xfId="35370" xr:uid="{00000000-0005-0000-0000-00006E7C0000}"/>
    <cellStyle name="40% - Accent6 5 7 2 2 6" xfId="35371" xr:uid="{00000000-0005-0000-0000-00006F7C0000}"/>
    <cellStyle name="40% - Accent6 5 7 2 3" xfId="35372" xr:uid="{00000000-0005-0000-0000-0000707C0000}"/>
    <cellStyle name="40% - Accent6 5 7 2 3 2" xfId="35373" xr:uid="{00000000-0005-0000-0000-0000717C0000}"/>
    <cellStyle name="40% - Accent6 5 7 2 3 2 2" xfId="35374" xr:uid="{00000000-0005-0000-0000-0000727C0000}"/>
    <cellStyle name="40% - Accent6 5 7 2 3 3" xfId="35375" xr:uid="{00000000-0005-0000-0000-0000737C0000}"/>
    <cellStyle name="40% - Accent6 5 7 2 4" xfId="35376" xr:uid="{00000000-0005-0000-0000-0000747C0000}"/>
    <cellStyle name="40% - Accent6 5 7 2 4 2" xfId="35377" xr:uid="{00000000-0005-0000-0000-0000757C0000}"/>
    <cellStyle name="40% - Accent6 5 7 2 5" xfId="35378" xr:uid="{00000000-0005-0000-0000-0000767C0000}"/>
    <cellStyle name="40% - Accent6 5 7 2 5 2" xfId="35379" xr:uid="{00000000-0005-0000-0000-0000777C0000}"/>
    <cellStyle name="40% - Accent6 5 7 2 6" xfId="35380" xr:uid="{00000000-0005-0000-0000-0000787C0000}"/>
    <cellStyle name="40% - Accent6 5 7 2 7" xfId="35381" xr:uid="{00000000-0005-0000-0000-0000797C0000}"/>
    <cellStyle name="40% - Accent6 5 7 2 8" xfId="35382" xr:uid="{00000000-0005-0000-0000-00007A7C0000}"/>
    <cellStyle name="40% - Accent6 5 7 3" xfId="35383" xr:uid="{00000000-0005-0000-0000-00007B7C0000}"/>
    <cellStyle name="40% - Accent6 5 7 3 2" xfId="35384" xr:uid="{00000000-0005-0000-0000-00007C7C0000}"/>
    <cellStyle name="40% - Accent6 5 7 3 2 2" xfId="35385" xr:uid="{00000000-0005-0000-0000-00007D7C0000}"/>
    <cellStyle name="40% - Accent6 5 7 3 2 2 2" xfId="35386" xr:uid="{00000000-0005-0000-0000-00007E7C0000}"/>
    <cellStyle name="40% - Accent6 5 7 3 2 2 2 2" xfId="35387" xr:uid="{00000000-0005-0000-0000-00007F7C0000}"/>
    <cellStyle name="40% - Accent6 5 7 3 2 2 3" xfId="35388" xr:uid="{00000000-0005-0000-0000-0000807C0000}"/>
    <cellStyle name="40% - Accent6 5 7 3 2 3" xfId="35389" xr:uid="{00000000-0005-0000-0000-0000817C0000}"/>
    <cellStyle name="40% - Accent6 5 7 3 2 3 2" xfId="35390" xr:uid="{00000000-0005-0000-0000-0000827C0000}"/>
    <cellStyle name="40% - Accent6 5 7 3 2 4" xfId="35391" xr:uid="{00000000-0005-0000-0000-0000837C0000}"/>
    <cellStyle name="40% - Accent6 5 7 3 2 5" xfId="35392" xr:uid="{00000000-0005-0000-0000-0000847C0000}"/>
    <cellStyle name="40% - Accent6 5 7 3 2 6" xfId="35393" xr:uid="{00000000-0005-0000-0000-0000857C0000}"/>
    <cellStyle name="40% - Accent6 5 7 3 3" xfId="35394" xr:uid="{00000000-0005-0000-0000-0000867C0000}"/>
    <cellStyle name="40% - Accent6 5 7 3 3 2" xfId="35395" xr:uid="{00000000-0005-0000-0000-0000877C0000}"/>
    <cellStyle name="40% - Accent6 5 7 3 3 2 2" xfId="35396" xr:uid="{00000000-0005-0000-0000-0000887C0000}"/>
    <cellStyle name="40% - Accent6 5 7 3 3 3" xfId="35397" xr:uid="{00000000-0005-0000-0000-0000897C0000}"/>
    <cellStyle name="40% - Accent6 5 7 3 4" xfId="35398" xr:uid="{00000000-0005-0000-0000-00008A7C0000}"/>
    <cellStyle name="40% - Accent6 5 7 3 4 2" xfId="35399" xr:uid="{00000000-0005-0000-0000-00008B7C0000}"/>
    <cellStyle name="40% - Accent6 5 7 3 5" xfId="35400" xr:uid="{00000000-0005-0000-0000-00008C7C0000}"/>
    <cellStyle name="40% - Accent6 5 7 3 6" xfId="35401" xr:uid="{00000000-0005-0000-0000-00008D7C0000}"/>
    <cellStyle name="40% - Accent6 5 7 3 7" xfId="35402" xr:uid="{00000000-0005-0000-0000-00008E7C0000}"/>
    <cellStyle name="40% - Accent6 5 7 4" xfId="35403" xr:uid="{00000000-0005-0000-0000-00008F7C0000}"/>
    <cellStyle name="40% - Accent6 5 7 4 2" xfId="35404" xr:uid="{00000000-0005-0000-0000-0000907C0000}"/>
    <cellStyle name="40% - Accent6 5 7 4 2 2" xfId="35405" xr:uid="{00000000-0005-0000-0000-0000917C0000}"/>
    <cellStyle name="40% - Accent6 5 7 4 2 2 2" xfId="35406" xr:uid="{00000000-0005-0000-0000-0000927C0000}"/>
    <cellStyle name="40% - Accent6 5 7 4 2 3" xfId="35407" xr:uid="{00000000-0005-0000-0000-0000937C0000}"/>
    <cellStyle name="40% - Accent6 5 7 4 3" xfId="35408" xr:uid="{00000000-0005-0000-0000-0000947C0000}"/>
    <cellStyle name="40% - Accent6 5 7 4 3 2" xfId="35409" xr:uid="{00000000-0005-0000-0000-0000957C0000}"/>
    <cellStyle name="40% - Accent6 5 7 4 4" xfId="35410" xr:uid="{00000000-0005-0000-0000-0000967C0000}"/>
    <cellStyle name="40% - Accent6 5 7 4 5" xfId="35411" xr:uid="{00000000-0005-0000-0000-0000977C0000}"/>
    <cellStyle name="40% - Accent6 5 7 4 6" xfId="35412" xr:uid="{00000000-0005-0000-0000-0000987C0000}"/>
    <cellStyle name="40% - Accent6 5 7 5" xfId="35413" xr:uid="{00000000-0005-0000-0000-0000997C0000}"/>
    <cellStyle name="40% - Accent6 5 7 5 2" xfId="35414" xr:uid="{00000000-0005-0000-0000-00009A7C0000}"/>
    <cellStyle name="40% - Accent6 5 7 5 2 2" xfId="35415" xr:uid="{00000000-0005-0000-0000-00009B7C0000}"/>
    <cellStyle name="40% - Accent6 5 7 5 3" xfId="35416" xr:uid="{00000000-0005-0000-0000-00009C7C0000}"/>
    <cellStyle name="40% - Accent6 5 7 6" xfId="35417" xr:uid="{00000000-0005-0000-0000-00009D7C0000}"/>
    <cellStyle name="40% - Accent6 5 7 6 2" xfId="35418" xr:uid="{00000000-0005-0000-0000-00009E7C0000}"/>
    <cellStyle name="40% - Accent6 5 7 6 2 2" xfId="35419" xr:uid="{00000000-0005-0000-0000-00009F7C0000}"/>
    <cellStyle name="40% - Accent6 5 7 6 3" xfId="35420" xr:uid="{00000000-0005-0000-0000-0000A07C0000}"/>
    <cellStyle name="40% - Accent6 5 7 7" xfId="35421" xr:uid="{00000000-0005-0000-0000-0000A17C0000}"/>
    <cellStyle name="40% - Accent6 5 7 7 2" xfId="35422" xr:uid="{00000000-0005-0000-0000-0000A27C0000}"/>
    <cellStyle name="40% - Accent6 5 7 8" xfId="35423" xr:uid="{00000000-0005-0000-0000-0000A37C0000}"/>
    <cellStyle name="40% - Accent6 5 7 8 2" xfId="35424" xr:uid="{00000000-0005-0000-0000-0000A47C0000}"/>
    <cellStyle name="40% - Accent6 5 7 9" xfId="35425" xr:uid="{00000000-0005-0000-0000-0000A57C0000}"/>
    <cellStyle name="40% - Accent6 5 8" xfId="35426" xr:uid="{00000000-0005-0000-0000-0000A67C0000}"/>
    <cellStyle name="40% - Accent6 5 8 10" xfId="35427" xr:uid="{00000000-0005-0000-0000-0000A77C0000}"/>
    <cellStyle name="40% - Accent6 5 8 11" xfId="35428" xr:uid="{00000000-0005-0000-0000-0000A87C0000}"/>
    <cellStyle name="40% - Accent6 5 8 2" xfId="35429" xr:uid="{00000000-0005-0000-0000-0000A97C0000}"/>
    <cellStyle name="40% - Accent6 5 8 2 2" xfId="35430" xr:uid="{00000000-0005-0000-0000-0000AA7C0000}"/>
    <cellStyle name="40% - Accent6 5 8 2 2 2" xfId="35431" xr:uid="{00000000-0005-0000-0000-0000AB7C0000}"/>
    <cellStyle name="40% - Accent6 5 8 2 2 2 2" xfId="35432" xr:uid="{00000000-0005-0000-0000-0000AC7C0000}"/>
    <cellStyle name="40% - Accent6 5 8 2 2 2 2 2" xfId="35433" xr:uid="{00000000-0005-0000-0000-0000AD7C0000}"/>
    <cellStyle name="40% - Accent6 5 8 2 2 2 3" xfId="35434" xr:uid="{00000000-0005-0000-0000-0000AE7C0000}"/>
    <cellStyle name="40% - Accent6 5 8 2 2 3" xfId="35435" xr:uid="{00000000-0005-0000-0000-0000AF7C0000}"/>
    <cellStyle name="40% - Accent6 5 8 2 2 3 2" xfId="35436" xr:uid="{00000000-0005-0000-0000-0000B07C0000}"/>
    <cellStyle name="40% - Accent6 5 8 2 2 4" xfId="35437" xr:uid="{00000000-0005-0000-0000-0000B17C0000}"/>
    <cellStyle name="40% - Accent6 5 8 2 2 5" xfId="35438" xr:uid="{00000000-0005-0000-0000-0000B27C0000}"/>
    <cellStyle name="40% - Accent6 5 8 2 2 6" xfId="35439" xr:uid="{00000000-0005-0000-0000-0000B37C0000}"/>
    <cellStyle name="40% - Accent6 5 8 2 3" xfId="35440" xr:uid="{00000000-0005-0000-0000-0000B47C0000}"/>
    <cellStyle name="40% - Accent6 5 8 2 3 2" xfId="35441" xr:uid="{00000000-0005-0000-0000-0000B57C0000}"/>
    <cellStyle name="40% - Accent6 5 8 2 3 2 2" xfId="35442" xr:uid="{00000000-0005-0000-0000-0000B67C0000}"/>
    <cellStyle name="40% - Accent6 5 8 2 3 3" xfId="35443" xr:uid="{00000000-0005-0000-0000-0000B77C0000}"/>
    <cellStyle name="40% - Accent6 5 8 2 4" xfId="35444" xr:uid="{00000000-0005-0000-0000-0000B87C0000}"/>
    <cellStyle name="40% - Accent6 5 8 2 4 2" xfId="35445" xr:uid="{00000000-0005-0000-0000-0000B97C0000}"/>
    <cellStyle name="40% - Accent6 5 8 2 5" xfId="35446" xr:uid="{00000000-0005-0000-0000-0000BA7C0000}"/>
    <cellStyle name="40% - Accent6 5 8 2 5 2" xfId="35447" xr:uid="{00000000-0005-0000-0000-0000BB7C0000}"/>
    <cellStyle name="40% - Accent6 5 8 2 6" xfId="35448" xr:uid="{00000000-0005-0000-0000-0000BC7C0000}"/>
    <cellStyle name="40% - Accent6 5 8 2 7" xfId="35449" xr:uid="{00000000-0005-0000-0000-0000BD7C0000}"/>
    <cellStyle name="40% - Accent6 5 8 2 8" xfId="35450" xr:uid="{00000000-0005-0000-0000-0000BE7C0000}"/>
    <cellStyle name="40% - Accent6 5 8 3" xfId="35451" xr:uid="{00000000-0005-0000-0000-0000BF7C0000}"/>
    <cellStyle name="40% - Accent6 5 8 3 2" xfId="35452" xr:uid="{00000000-0005-0000-0000-0000C07C0000}"/>
    <cellStyle name="40% - Accent6 5 8 3 2 2" xfId="35453" xr:uid="{00000000-0005-0000-0000-0000C17C0000}"/>
    <cellStyle name="40% - Accent6 5 8 3 2 2 2" xfId="35454" xr:uid="{00000000-0005-0000-0000-0000C27C0000}"/>
    <cellStyle name="40% - Accent6 5 8 3 2 2 2 2" xfId="35455" xr:uid="{00000000-0005-0000-0000-0000C37C0000}"/>
    <cellStyle name="40% - Accent6 5 8 3 2 2 3" xfId="35456" xr:uid="{00000000-0005-0000-0000-0000C47C0000}"/>
    <cellStyle name="40% - Accent6 5 8 3 2 3" xfId="35457" xr:uid="{00000000-0005-0000-0000-0000C57C0000}"/>
    <cellStyle name="40% - Accent6 5 8 3 2 3 2" xfId="35458" xr:uid="{00000000-0005-0000-0000-0000C67C0000}"/>
    <cellStyle name="40% - Accent6 5 8 3 2 4" xfId="35459" xr:uid="{00000000-0005-0000-0000-0000C77C0000}"/>
    <cellStyle name="40% - Accent6 5 8 3 2 5" xfId="35460" xr:uid="{00000000-0005-0000-0000-0000C87C0000}"/>
    <cellStyle name="40% - Accent6 5 8 3 2 6" xfId="35461" xr:uid="{00000000-0005-0000-0000-0000C97C0000}"/>
    <cellStyle name="40% - Accent6 5 8 3 3" xfId="35462" xr:uid="{00000000-0005-0000-0000-0000CA7C0000}"/>
    <cellStyle name="40% - Accent6 5 8 3 3 2" xfId="35463" xr:uid="{00000000-0005-0000-0000-0000CB7C0000}"/>
    <cellStyle name="40% - Accent6 5 8 3 3 2 2" xfId="35464" xr:uid="{00000000-0005-0000-0000-0000CC7C0000}"/>
    <cellStyle name="40% - Accent6 5 8 3 3 3" xfId="35465" xr:uid="{00000000-0005-0000-0000-0000CD7C0000}"/>
    <cellStyle name="40% - Accent6 5 8 3 4" xfId="35466" xr:uid="{00000000-0005-0000-0000-0000CE7C0000}"/>
    <cellStyle name="40% - Accent6 5 8 3 4 2" xfId="35467" xr:uid="{00000000-0005-0000-0000-0000CF7C0000}"/>
    <cellStyle name="40% - Accent6 5 8 3 5" xfId="35468" xr:uid="{00000000-0005-0000-0000-0000D07C0000}"/>
    <cellStyle name="40% - Accent6 5 8 3 6" xfId="35469" xr:uid="{00000000-0005-0000-0000-0000D17C0000}"/>
    <cellStyle name="40% - Accent6 5 8 3 7" xfId="35470" xr:uid="{00000000-0005-0000-0000-0000D27C0000}"/>
    <cellStyle name="40% - Accent6 5 8 4" xfId="35471" xr:uid="{00000000-0005-0000-0000-0000D37C0000}"/>
    <cellStyle name="40% - Accent6 5 8 4 2" xfId="35472" xr:uid="{00000000-0005-0000-0000-0000D47C0000}"/>
    <cellStyle name="40% - Accent6 5 8 4 2 2" xfId="35473" xr:uid="{00000000-0005-0000-0000-0000D57C0000}"/>
    <cellStyle name="40% - Accent6 5 8 4 2 2 2" xfId="35474" xr:uid="{00000000-0005-0000-0000-0000D67C0000}"/>
    <cellStyle name="40% - Accent6 5 8 4 2 3" xfId="35475" xr:uid="{00000000-0005-0000-0000-0000D77C0000}"/>
    <cellStyle name="40% - Accent6 5 8 4 3" xfId="35476" xr:uid="{00000000-0005-0000-0000-0000D87C0000}"/>
    <cellStyle name="40% - Accent6 5 8 4 3 2" xfId="35477" xr:uid="{00000000-0005-0000-0000-0000D97C0000}"/>
    <cellStyle name="40% - Accent6 5 8 4 4" xfId="35478" xr:uid="{00000000-0005-0000-0000-0000DA7C0000}"/>
    <cellStyle name="40% - Accent6 5 8 4 5" xfId="35479" xr:uid="{00000000-0005-0000-0000-0000DB7C0000}"/>
    <cellStyle name="40% - Accent6 5 8 4 6" xfId="35480" xr:uid="{00000000-0005-0000-0000-0000DC7C0000}"/>
    <cellStyle name="40% - Accent6 5 8 5" xfId="35481" xr:uid="{00000000-0005-0000-0000-0000DD7C0000}"/>
    <cellStyle name="40% - Accent6 5 8 5 2" xfId="35482" xr:uid="{00000000-0005-0000-0000-0000DE7C0000}"/>
    <cellStyle name="40% - Accent6 5 8 5 2 2" xfId="35483" xr:uid="{00000000-0005-0000-0000-0000DF7C0000}"/>
    <cellStyle name="40% - Accent6 5 8 5 3" xfId="35484" xr:uid="{00000000-0005-0000-0000-0000E07C0000}"/>
    <cellStyle name="40% - Accent6 5 8 6" xfId="35485" xr:uid="{00000000-0005-0000-0000-0000E17C0000}"/>
    <cellStyle name="40% - Accent6 5 8 6 2" xfId="35486" xr:uid="{00000000-0005-0000-0000-0000E27C0000}"/>
    <cellStyle name="40% - Accent6 5 8 6 2 2" xfId="35487" xr:uid="{00000000-0005-0000-0000-0000E37C0000}"/>
    <cellStyle name="40% - Accent6 5 8 6 3" xfId="35488" xr:uid="{00000000-0005-0000-0000-0000E47C0000}"/>
    <cellStyle name="40% - Accent6 5 8 7" xfId="35489" xr:uid="{00000000-0005-0000-0000-0000E57C0000}"/>
    <cellStyle name="40% - Accent6 5 8 7 2" xfId="35490" xr:uid="{00000000-0005-0000-0000-0000E67C0000}"/>
    <cellStyle name="40% - Accent6 5 8 8" xfId="35491" xr:uid="{00000000-0005-0000-0000-0000E77C0000}"/>
    <cellStyle name="40% - Accent6 5 8 8 2" xfId="35492" xr:uid="{00000000-0005-0000-0000-0000E87C0000}"/>
    <cellStyle name="40% - Accent6 5 8 9" xfId="35493" xr:uid="{00000000-0005-0000-0000-0000E97C0000}"/>
    <cellStyle name="40% - Accent6 5 9" xfId="35494" xr:uid="{00000000-0005-0000-0000-0000EA7C0000}"/>
    <cellStyle name="40% - Accent6 5 9 10" xfId="35495" xr:uid="{00000000-0005-0000-0000-0000EB7C0000}"/>
    <cellStyle name="40% - Accent6 5 9 11" xfId="35496" xr:uid="{00000000-0005-0000-0000-0000EC7C0000}"/>
    <cellStyle name="40% - Accent6 5 9 2" xfId="35497" xr:uid="{00000000-0005-0000-0000-0000ED7C0000}"/>
    <cellStyle name="40% - Accent6 5 9 2 2" xfId="35498" xr:uid="{00000000-0005-0000-0000-0000EE7C0000}"/>
    <cellStyle name="40% - Accent6 5 9 2 2 2" xfId="35499" xr:uid="{00000000-0005-0000-0000-0000EF7C0000}"/>
    <cellStyle name="40% - Accent6 5 9 2 2 2 2" xfId="35500" xr:uid="{00000000-0005-0000-0000-0000F07C0000}"/>
    <cellStyle name="40% - Accent6 5 9 2 2 2 2 2" xfId="35501" xr:uid="{00000000-0005-0000-0000-0000F17C0000}"/>
    <cellStyle name="40% - Accent6 5 9 2 2 2 3" xfId="35502" xr:uid="{00000000-0005-0000-0000-0000F27C0000}"/>
    <cellStyle name="40% - Accent6 5 9 2 2 3" xfId="35503" xr:uid="{00000000-0005-0000-0000-0000F37C0000}"/>
    <cellStyle name="40% - Accent6 5 9 2 2 3 2" xfId="35504" xr:uid="{00000000-0005-0000-0000-0000F47C0000}"/>
    <cellStyle name="40% - Accent6 5 9 2 2 4" xfId="35505" xr:uid="{00000000-0005-0000-0000-0000F57C0000}"/>
    <cellStyle name="40% - Accent6 5 9 2 2 5" xfId="35506" xr:uid="{00000000-0005-0000-0000-0000F67C0000}"/>
    <cellStyle name="40% - Accent6 5 9 2 2 6" xfId="35507" xr:uid="{00000000-0005-0000-0000-0000F77C0000}"/>
    <cellStyle name="40% - Accent6 5 9 2 3" xfId="35508" xr:uid="{00000000-0005-0000-0000-0000F87C0000}"/>
    <cellStyle name="40% - Accent6 5 9 2 3 2" xfId="35509" xr:uid="{00000000-0005-0000-0000-0000F97C0000}"/>
    <cellStyle name="40% - Accent6 5 9 2 3 2 2" xfId="35510" xr:uid="{00000000-0005-0000-0000-0000FA7C0000}"/>
    <cellStyle name="40% - Accent6 5 9 2 3 3" xfId="35511" xr:uid="{00000000-0005-0000-0000-0000FB7C0000}"/>
    <cellStyle name="40% - Accent6 5 9 2 4" xfId="35512" xr:uid="{00000000-0005-0000-0000-0000FC7C0000}"/>
    <cellStyle name="40% - Accent6 5 9 2 4 2" xfId="35513" xr:uid="{00000000-0005-0000-0000-0000FD7C0000}"/>
    <cellStyle name="40% - Accent6 5 9 2 5" xfId="35514" xr:uid="{00000000-0005-0000-0000-0000FE7C0000}"/>
    <cellStyle name="40% - Accent6 5 9 2 6" xfId="35515" xr:uid="{00000000-0005-0000-0000-0000FF7C0000}"/>
    <cellStyle name="40% - Accent6 5 9 2 7" xfId="35516" xr:uid="{00000000-0005-0000-0000-0000007D0000}"/>
    <cellStyle name="40% - Accent6 5 9 3" xfId="35517" xr:uid="{00000000-0005-0000-0000-0000017D0000}"/>
    <cellStyle name="40% - Accent6 5 9 3 2" xfId="35518" xr:uid="{00000000-0005-0000-0000-0000027D0000}"/>
    <cellStyle name="40% - Accent6 5 9 3 2 2" xfId="35519" xr:uid="{00000000-0005-0000-0000-0000037D0000}"/>
    <cellStyle name="40% - Accent6 5 9 3 2 2 2" xfId="35520" xr:uid="{00000000-0005-0000-0000-0000047D0000}"/>
    <cellStyle name="40% - Accent6 5 9 3 2 2 2 2" xfId="35521" xr:uid="{00000000-0005-0000-0000-0000057D0000}"/>
    <cellStyle name="40% - Accent6 5 9 3 2 2 3" xfId="35522" xr:uid="{00000000-0005-0000-0000-0000067D0000}"/>
    <cellStyle name="40% - Accent6 5 9 3 2 3" xfId="35523" xr:uid="{00000000-0005-0000-0000-0000077D0000}"/>
    <cellStyle name="40% - Accent6 5 9 3 2 3 2" xfId="35524" xr:uid="{00000000-0005-0000-0000-0000087D0000}"/>
    <cellStyle name="40% - Accent6 5 9 3 2 4" xfId="35525" xr:uid="{00000000-0005-0000-0000-0000097D0000}"/>
    <cellStyle name="40% - Accent6 5 9 3 2 5" xfId="35526" xr:uid="{00000000-0005-0000-0000-00000A7D0000}"/>
    <cellStyle name="40% - Accent6 5 9 3 2 6" xfId="35527" xr:uid="{00000000-0005-0000-0000-00000B7D0000}"/>
    <cellStyle name="40% - Accent6 5 9 3 3" xfId="35528" xr:uid="{00000000-0005-0000-0000-00000C7D0000}"/>
    <cellStyle name="40% - Accent6 5 9 3 3 2" xfId="35529" xr:uid="{00000000-0005-0000-0000-00000D7D0000}"/>
    <cellStyle name="40% - Accent6 5 9 3 3 2 2" xfId="35530" xr:uid="{00000000-0005-0000-0000-00000E7D0000}"/>
    <cellStyle name="40% - Accent6 5 9 3 3 3" xfId="35531" xr:uid="{00000000-0005-0000-0000-00000F7D0000}"/>
    <cellStyle name="40% - Accent6 5 9 3 4" xfId="35532" xr:uid="{00000000-0005-0000-0000-0000107D0000}"/>
    <cellStyle name="40% - Accent6 5 9 3 4 2" xfId="35533" xr:uid="{00000000-0005-0000-0000-0000117D0000}"/>
    <cellStyle name="40% - Accent6 5 9 3 5" xfId="35534" xr:uid="{00000000-0005-0000-0000-0000127D0000}"/>
    <cellStyle name="40% - Accent6 5 9 3 6" xfId="35535" xr:uid="{00000000-0005-0000-0000-0000137D0000}"/>
    <cellStyle name="40% - Accent6 5 9 3 7" xfId="35536" xr:uid="{00000000-0005-0000-0000-0000147D0000}"/>
    <cellStyle name="40% - Accent6 5 9 4" xfId="35537" xr:uid="{00000000-0005-0000-0000-0000157D0000}"/>
    <cellStyle name="40% - Accent6 5 9 4 2" xfId="35538" xr:uid="{00000000-0005-0000-0000-0000167D0000}"/>
    <cellStyle name="40% - Accent6 5 9 4 2 2" xfId="35539" xr:uid="{00000000-0005-0000-0000-0000177D0000}"/>
    <cellStyle name="40% - Accent6 5 9 4 2 2 2" xfId="35540" xr:uid="{00000000-0005-0000-0000-0000187D0000}"/>
    <cellStyle name="40% - Accent6 5 9 4 2 3" xfId="35541" xr:uid="{00000000-0005-0000-0000-0000197D0000}"/>
    <cellStyle name="40% - Accent6 5 9 4 3" xfId="35542" xr:uid="{00000000-0005-0000-0000-00001A7D0000}"/>
    <cellStyle name="40% - Accent6 5 9 4 3 2" xfId="35543" xr:uid="{00000000-0005-0000-0000-00001B7D0000}"/>
    <cellStyle name="40% - Accent6 5 9 4 4" xfId="35544" xr:uid="{00000000-0005-0000-0000-00001C7D0000}"/>
    <cellStyle name="40% - Accent6 5 9 4 5" xfId="35545" xr:uid="{00000000-0005-0000-0000-00001D7D0000}"/>
    <cellStyle name="40% - Accent6 5 9 4 6" xfId="35546" xr:uid="{00000000-0005-0000-0000-00001E7D0000}"/>
    <cellStyle name="40% - Accent6 5 9 5" xfId="35547" xr:uid="{00000000-0005-0000-0000-00001F7D0000}"/>
    <cellStyle name="40% - Accent6 5 9 5 2" xfId="35548" xr:uid="{00000000-0005-0000-0000-0000207D0000}"/>
    <cellStyle name="40% - Accent6 5 9 5 2 2" xfId="35549" xr:uid="{00000000-0005-0000-0000-0000217D0000}"/>
    <cellStyle name="40% - Accent6 5 9 5 3" xfId="35550" xr:uid="{00000000-0005-0000-0000-0000227D0000}"/>
    <cellStyle name="40% - Accent6 5 9 6" xfId="35551" xr:uid="{00000000-0005-0000-0000-0000237D0000}"/>
    <cellStyle name="40% - Accent6 5 9 6 2" xfId="35552" xr:uid="{00000000-0005-0000-0000-0000247D0000}"/>
    <cellStyle name="40% - Accent6 5 9 6 2 2" xfId="35553" xr:uid="{00000000-0005-0000-0000-0000257D0000}"/>
    <cellStyle name="40% - Accent6 5 9 6 3" xfId="35554" xr:uid="{00000000-0005-0000-0000-0000267D0000}"/>
    <cellStyle name="40% - Accent6 5 9 7" xfId="35555" xr:uid="{00000000-0005-0000-0000-0000277D0000}"/>
    <cellStyle name="40% - Accent6 5 9 7 2" xfId="35556" xr:uid="{00000000-0005-0000-0000-0000287D0000}"/>
    <cellStyle name="40% - Accent6 5 9 8" xfId="35557" xr:uid="{00000000-0005-0000-0000-0000297D0000}"/>
    <cellStyle name="40% - Accent6 5 9 8 2" xfId="35558" xr:uid="{00000000-0005-0000-0000-00002A7D0000}"/>
    <cellStyle name="40% - Accent6 5 9 9" xfId="35559" xr:uid="{00000000-0005-0000-0000-00002B7D0000}"/>
    <cellStyle name="40% - Accent6 6" xfId="220" xr:uid="{00000000-0005-0000-0000-00002C7D0000}"/>
    <cellStyle name="40% - Accent6 6 10" xfId="35560" xr:uid="{00000000-0005-0000-0000-00002D7D0000}"/>
    <cellStyle name="40% - Accent6 6 11" xfId="35561" xr:uid="{00000000-0005-0000-0000-00002E7D0000}"/>
    <cellStyle name="40% - Accent6 6 12" xfId="35562" xr:uid="{00000000-0005-0000-0000-00002F7D0000}"/>
    <cellStyle name="40% - Accent6 6 2" xfId="35563" xr:uid="{00000000-0005-0000-0000-0000307D0000}"/>
    <cellStyle name="40% - Accent6 6 2 10" xfId="35564" xr:uid="{00000000-0005-0000-0000-0000317D0000}"/>
    <cellStyle name="40% - Accent6 6 2 2" xfId="35565" xr:uid="{00000000-0005-0000-0000-0000327D0000}"/>
    <cellStyle name="40% - Accent6 6 2 2 2" xfId="35566" xr:uid="{00000000-0005-0000-0000-0000337D0000}"/>
    <cellStyle name="40% - Accent6 6 2 2 2 2" xfId="35567" xr:uid="{00000000-0005-0000-0000-0000347D0000}"/>
    <cellStyle name="40% - Accent6 6 2 2 2 2 2" xfId="35568" xr:uid="{00000000-0005-0000-0000-0000357D0000}"/>
    <cellStyle name="40% - Accent6 6 2 2 2 2 2 2" xfId="35569" xr:uid="{00000000-0005-0000-0000-0000367D0000}"/>
    <cellStyle name="40% - Accent6 6 2 2 2 2 3" xfId="35570" xr:uid="{00000000-0005-0000-0000-0000377D0000}"/>
    <cellStyle name="40% - Accent6 6 2 2 2 3" xfId="35571" xr:uid="{00000000-0005-0000-0000-0000387D0000}"/>
    <cellStyle name="40% - Accent6 6 2 2 2 3 2" xfId="35572" xr:uid="{00000000-0005-0000-0000-0000397D0000}"/>
    <cellStyle name="40% - Accent6 6 2 2 2 4" xfId="35573" xr:uid="{00000000-0005-0000-0000-00003A7D0000}"/>
    <cellStyle name="40% - Accent6 6 2 2 2 5" xfId="35574" xr:uid="{00000000-0005-0000-0000-00003B7D0000}"/>
    <cellStyle name="40% - Accent6 6 2 2 2 6" xfId="35575" xr:uid="{00000000-0005-0000-0000-00003C7D0000}"/>
    <cellStyle name="40% - Accent6 6 2 2 3" xfId="35576" xr:uid="{00000000-0005-0000-0000-00003D7D0000}"/>
    <cellStyle name="40% - Accent6 6 2 2 3 2" xfId="35577" xr:uid="{00000000-0005-0000-0000-00003E7D0000}"/>
    <cellStyle name="40% - Accent6 6 2 2 3 2 2" xfId="35578" xr:uid="{00000000-0005-0000-0000-00003F7D0000}"/>
    <cellStyle name="40% - Accent6 6 2 2 3 3" xfId="35579" xr:uid="{00000000-0005-0000-0000-0000407D0000}"/>
    <cellStyle name="40% - Accent6 6 2 2 4" xfId="35580" xr:uid="{00000000-0005-0000-0000-0000417D0000}"/>
    <cellStyle name="40% - Accent6 6 2 2 4 2" xfId="35581" xr:uid="{00000000-0005-0000-0000-0000427D0000}"/>
    <cellStyle name="40% - Accent6 6 2 2 5" xfId="35582" xr:uid="{00000000-0005-0000-0000-0000437D0000}"/>
    <cellStyle name="40% - Accent6 6 2 2 6" xfId="35583" xr:uid="{00000000-0005-0000-0000-0000447D0000}"/>
    <cellStyle name="40% - Accent6 6 2 2 7" xfId="35584" xr:uid="{00000000-0005-0000-0000-0000457D0000}"/>
    <cellStyle name="40% - Accent6 6 2 3" xfId="35585" xr:uid="{00000000-0005-0000-0000-0000467D0000}"/>
    <cellStyle name="40% - Accent6 6 2 3 2" xfId="35586" xr:uid="{00000000-0005-0000-0000-0000477D0000}"/>
    <cellStyle name="40% - Accent6 6 2 3 2 2" xfId="35587" xr:uid="{00000000-0005-0000-0000-0000487D0000}"/>
    <cellStyle name="40% - Accent6 6 2 3 2 2 2" xfId="35588" xr:uid="{00000000-0005-0000-0000-0000497D0000}"/>
    <cellStyle name="40% - Accent6 6 2 3 2 3" xfId="35589" xr:uid="{00000000-0005-0000-0000-00004A7D0000}"/>
    <cellStyle name="40% - Accent6 6 2 3 3" xfId="35590" xr:uid="{00000000-0005-0000-0000-00004B7D0000}"/>
    <cellStyle name="40% - Accent6 6 2 3 3 2" xfId="35591" xr:uid="{00000000-0005-0000-0000-00004C7D0000}"/>
    <cellStyle name="40% - Accent6 6 2 3 4" xfId="35592" xr:uid="{00000000-0005-0000-0000-00004D7D0000}"/>
    <cellStyle name="40% - Accent6 6 2 3 5" xfId="35593" xr:uid="{00000000-0005-0000-0000-00004E7D0000}"/>
    <cellStyle name="40% - Accent6 6 2 3 6" xfId="35594" xr:uid="{00000000-0005-0000-0000-00004F7D0000}"/>
    <cellStyle name="40% - Accent6 6 2 4" xfId="35595" xr:uid="{00000000-0005-0000-0000-0000507D0000}"/>
    <cellStyle name="40% - Accent6 6 2 4 2" xfId="35596" xr:uid="{00000000-0005-0000-0000-0000517D0000}"/>
    <cellStyle name="40% - Accent6 6 2 4 2 2" xfId="35597" xr:uid="{00000000-0005-0000-0000-0000527D0000}"/>
    <cellStyle name="40% - Accent6 6 2 4 3" xfId="35598" xr:uid="{00000000-0005-0000-0000-0000537D0000}"/>
    <cellStyle name="40% - Accent6 6 2 5" xfId="35599" xr:uid="{00000000-0005-0000-0000-0000547D0000}"/>
    <cellStyle name="40% - Accent6 6 2 5 2" xfId="35600" xr:uid="{00000000-0005-0000-0000-0000557D0000}"/>
    <cellStyle name="40% - Accent6 6 2 5 2 2" xfId="35601" xr:uid="{00000000-0005-0000-0000-0000567D0000}"/>
    <cellStyle name="40% - Accent6 6 2 5 3" xfId="35602" xr:uid="{00000000-0005-0000-0000-0000577D0000}"/>
    <cellStyle name="40% - Accent6 6 2 6" xfId="35603" xr:uid="{00000000-0005-0000-0000-0000587D0000}"/>
    <cellStyle name="40% - Accent6 6 2 6 2" xfId="35604" xr:uid="{00000000-0005-0000-0000-0000597D0000}"/>
    <cellStyle name="40% - Accent6 6 2 7" xfId="35605" xr:uid="{00000000-0005-0000-0000-00005A7D0000}"/>
    <cellStyle name="40% - Accent6 6 2 7 2" xfId="35606" xr:uid="{00000000-0005-0000-0000-00005B7D0000}"/>
    <cellStyle name="40% - Accent6 6 2 8" xfId="35607" xr:uid="{00000000-0005-0000-0000-00005C7D0000}"/>
    <cellStyle name="40% - Accent6 6 2 9" xfId="35608" xr:uid="{00000000-0005-0000-0000-00005D7D0000}"/>
    <cellStyle name="40% - Accent6 6 3" xfId="35609" xr:uid="{00000000-0005-0000-0000-00005E7D0000}"/>
    <cellStyle name="40% - Accent6 6 3 2" xfId="35610" xr:uid="{00000000-0005-0000-0000-00005F7D0000}"/>
    <cellStyle name="40% - Accent6 6 3 2 2" xfId="35611" xr:uid="{00000000-0005-0000-0000-0000607D0000}"/>
    <cellStyle name="40% - Accent6 6 3 2 2 2" xfId="35612" xr:uid="{00000000-0005-0000-0000-0000617D0000}"/>
    <cellStyle name="40% - Accent6 6 3 2 2 2 2" xfId="35613" xr:uid="{00000000-0005-0000-0000-0000627D0000}"/>
    <cellStyle name="40% - Accent6 6 3 2 2 3" xfId="35614" xr:uid="{00000000-0005-0000-0000-0000637D0000}"/>
    <cellStyle name="40% - Accent6 6 3 2 3" xfId="35615" xr:uid="{00000000-0005-0000-0000-0000647D0000}"/>
    <cellStyle name="40% - Accent6 6 3 2 3 2" xfId="35616" xr:uid="{00000000-0005-0000-0000-0000657D0000}"/>
    <cellStyle name="40% - Accent6 6 3 2 4" xfId="35617" xr:uid="{00000000-0005-0000-0000-0000667D0000}"/>
    <cellStyle name="40% - Accent6 6 3 2 5" xfId="35618" xr:uid="{00000000-0005-0000-0000-0000677D0000}"/>
    <cellStyle name="40% - Accent6 6 3 2 6" xfId="35619" xr:uid="{00000000-0005-0000-0000-0000687D0000}"/>
    <cellStyle name="40% - Accent6 6 3 3" xfId="35620" xr:uid="{00000000-0005-0000-0000-0000697D0000}"/>
    <cellStyle name="40% - Accent6 6 3 3 2" xfId="35621" xr:uid="{00000000-0005-0000-0000-00006A7D0000}"/>
    <cellStyle name="40% - Accent6 6 3 3 2 2" xfId="35622" xr:uid="{00000000-0005-0000-0000-00006B7D0000}"/>
    <cellStyle name="40% - Accent6 6 3 3 3" xfId="35623" xr:uid="{00000000-0005-0000-0000-00006C7D0000}"/>
    <cellStyle name="40% - Accent6 6 3 4" xfId="35624" xr:uid="{00000000-0005-0000-0000-00006D7D0000}"/>
    <cellStyle name="40% - Accent6 6 3 4 2" xfId="35625" xr:uid="{00000000-0005-0000-0000-00006E7D0000}"/>
    <cellStyle name="40% - Accent6 6 3 5" xfId="35626" xr:uid="{00000000-0005-0000-0000-00006F7D0000}"/>
    <cellStyle name="40% - Accent6 6 3 6" xfId="35627" xr:uid="{00000000-0005-0000-0000-0000707D0000}"/>
    <cellStyle name="40% - Accent6 6 3 7" xfId="35628" xr:uid="{00000000-0005-0000-0000-0000717D0000}"/>
    <cellStyle name="40% - Accent6 6 4" xfId="35629" xr:uid="{00000000-0005-0000-0000-0000727D0000}"/>
    <cellStyle name="40% - Accent6 6 4 2" xfId="35630" xr:uid="{00000000-0005-0000-0000-0000737D0000}"/>
    <cellStyle name="40% - Accent6 6 4 2 2" xfId="35631" xr:uid="{00000000-0005-0000-0000-0000747D0000}"/>
    <cellStyle name="40% - Accent6 6 4 2 2 2" xfId="35632" xr:uid="{00000000-0005-0000-0000-0000757D0000}"/>
    <cellStyle name="40% - Accent6 6 4 2 2 2 2" xfId="35633" xr:uid="{00000000-0005-0000-0000-0000767D0000}"/>
    <cellStyle name="40% - Accent6 6 4 2 2 3" xfId="35634" xr:uid="{00000000-0005-0000-0000-0000777D0000}"/>
    <cellStyle name="40% - Accent6 6 4 2 3" xfId="35635" xr:uid="{00000000-0005-0000-0000-0000787D0000}"/>
    <cellStyle name="40% - Accent6 6 4 2 3 2" xfId="35636" xr:uid="{00000000-0005-0000-0000-0000797D0000}"/>
    <cellStyle name="40% - Accent6 6 4 2 4" xfId="35637" xr:uid="{00000000-0005-0000-0000-00007A7D0000}"/>
    <cellStyle name="40% - Accent6 6 4 2 5" xfId="35638" xr:uid="{00000000-0005-0000-0000-00007B7D0000}"/>
    <cellStyle name="40% - Accent6 6 4 2 6" xfId="35639" xr:uid="{00000000-0005-0000-0000-00007C7D0000}"/>
    <cellStyle name="40% - Accent6 6 4 3" xfId="35640" xr:uid="{00000000-0005-0000-0000-00007D7D0000}"/>
    <cellStyle name="40% - Accent6 6 4 3 2" xfId="35641" xr:uid="{00000000-0005-0000-0000-00007E7D0000}"/>
    <cellStyle name="40% - Accent6 6 4 3 2 2" xfId="35642" xr:uid="{00000000-0005-0000-0000-00007F7D0000}"/>
    <cellStyle name="40% - Accent6 6 4 3 3" xfId="35643" xr:uid="{00000000-0005-0000-0000-0000807D0000}"/>
    <cellStyle name="40% - Accent6 6 4 4" xfId="35644" xr:uid="{00000000-0005-0000-0000-0000817D0000}"/>
    <cellStyle name="40% - Accent6 6 4 4 2" xfId="35645" xr:uid="{00000000-0005-0000-0000-0000827D0000}"/>
    <cellStyle name="40% - Accent6 6 4 5" xfId="35646" xr:uid="{00000000-0005-0000-0000-0000837D0000}"/>
    <cellStyle name="40% - Accent6 6 4 6" xfId="35647" xr:uid="{00000000-0005-0000-0000-0000847D0000}"/>
    <cellStyle name="40% - Accent6 6 4 7" xfId="35648" xr:uid="{00000000-0005-0000-0000-0000857D0000}"/>
    <cellStyle name="40% - Accent6 6 5" xfId="35649" xr:uid="{00000000-0005-0000-0000-0000867D0000}"/>
    <cellStyle name="40% - Accent6 6 5 2" xfId="35650" xr:uid="{00000000-0005-0000-0000-0000877D0000}"/>
    <cellStyle name="40% - Accent6 6 5 2 2" xfId="35651" xr:uid="{00000000-0005-0000-0000-0000887D0000}"/>
    <cellStyle name="40% - Accent6 6 5 2 2 2" xfId="35652" xr:uid="{00000000-0005-0000-0000-0000897D0000}"/>
    <cellStyle name="40% - Accent6 6 5 2 3" xfId="35653" xr:uid="{00000000-0005-0000-0000-00008A7D0000}"/>
    <cellStyle name="40% - Accent6 6 5 3" xfId="35654" xr:uid="{00000000-0005-0000-0000-00008B7D0000}"/>
    <cellStyle name="40% - Accent6 6 5 3 2" xfId="35655" xr:uid="{00000000-0005-0000-0000-00008C7D0000}"/>
    <cellStyle name="40% - Accent6 6 5 4" xfId="35656" xr:uid="{00000000-0005-0000-0000-00008D7D0000}"/>
    <cellStyle name="40% - Accent6 6 5 5" xfId="35657" xr:uid="{00000000-0005-0000-0000-00008E7D0000}"/>
    <cellStyle name="40% - Accent6 6 5 6" xfId="35658" xr:uid="{00000000-0005-0000-0000-00008F7D0000}"/>
    <cellStyle name="40% - Accent6 6 6" xfId="35659" xr:uid="{00000000-0005-0000-0000-0000907D0000}"/>
    <cellStyle name="40% - Accent6 6 6 2" xfId="35660" xr:uid="{00000000-0005-0000-0000-0000917D0000}"/>
    <cellStyle name="40% - Accent6 6 6 2 2" xfId="35661" xr:uid="{00000000-0005-0000-0000-0000927D0000}"/>
    <cellStyle name="40% - Accent6 6 6 3" xfId="35662" xr:uid="{00000000-0005-0000-0000-0000937D0000}"/>
    <cellStyle name="40% - Accent6 6 7" xfId="35663" xr:uid="{00000000-0005-0000-0000-0000947D0000}"/>
    <cellStyle name="40% - Accent6 6 7 2" xfId="35664" xr:uid="{00000000-0005-0000-0000-0000957D0000}"/>
    <cellStyle name="40% - Accent6 6 7 2 2" xfId="35665" xr:uid="{00000000-0005-0000-0000-0000967D0000}"/>
    <cellStyle name="40% - Accent6 6 7 3" xfId="35666" xr:uid="{00000000-0005-0000-0000-0000977D0000}"/>
    <cellStyle name="40% - Accent6 6 8" xfId="35667" xr:uid="{00000000-0005-0000-0000-0000987D0000}"/>
    <cellStyle name="40% - Accent6 6 8 2" xfId="35668" xr:uid="{00000000-0005-0000-0000-0000997D0000}"/>
    <cellStyle name="40% - Accent6 6 9" xfId="35669" xr:uid="{00000000-0005-0000-0000-00009A7D0000}"/>
    <cellStyle name="40% - Accent6 6 9 2" xfId="35670" xr:uid="{00000000-0005-0000-0000-00009B7D0000}"/>
    <cellStyle name="40% - Accent6 7" xfId="35671" xr:uid="{00000000-0005-0000-0000-00009C7D0000}"/>
    <cellStyle name="40% - Accent6 7 10" xfId="35672" xr:uid="{00000000-0005-0000-0000-00009D7D0000}"/>
    <cellStyle name="40% - Accent6 7 11" xfId="35673" xr:uid="{00000000-0005-0000-0000-00009E7D0000}"/>
    <cellStyle name="40% - Accent6 7 12" xfId="35674" xr:uid="{00000000-0005-0000-0000-00009F7D0000}"/>
    <cellStyle name="40% - Accent6 7 2" xfId="35675" xr:uid="{00000000-0005-0000-0000-0000A07D0000}"/>
    <cellStyle name="40% - Accent6 7 2 10" xfId="35676" xr:uid="{00000000-0005-0000-0000-0000A17D0000}"/>
    <cellStyle name="40% - Accent6 7 2 2" xfId="35677" xr:uid="{00000000-0005-0000-0000-0000A27D0000}"/>
    <cellStyle name="40% - Accent6 7 2 2 2" xfId="35678" xr:uid="{00000000-0005-0000-0000-0000A37D0000}"/>
    <cellStyle name="40% - Accent6 7 2 2 2 2" xfId="35679" xr:uid="{00000000-0005-0000-0000-0000A47D0000}"/>
    <cellStyle name="40% - Accent6 7 2 2 2 2 2" xfId="35680" xr:uid="{00000000-0005-0000-0000-0000A57D0000}"/>
    <cellStyle name="40% - Accent6 7 2 2 2 2 2 2" xfId="35681" xr:uid="{00000000-0005-0000-0000-0000A67D0000}"/>
    <cellStyle name="40% - Accent6 7 2 2 2 2 3" xfId="35682" xr:uid="{00000000-0005-0000-0000-0000A77D0000}"/>
    <cellStyle name="40% - Accent6 7 2 2 2 3" xfId="35683" xr:uid="{00000000-0005-0000-0000-0000A87D0000}"/>
    <cellStyle name="40% - Accent6 7 2 2 2 3 2" xfId="35684" xr:uid="{00000000-0005-0000-0000-0000A97D0000}"/>
    <cellStyle name="40% - Accent6 7 2 2 2 4" xfId="35685" xr:uid="{00000000-0005-0000-0000-0000AA7D0000}"/>
    <cellStyle name="40% - Accent6 7 2 2 2 5" xfId="35686" xr:uid="{00000000-0005-0000-0000-0000AB7D0000}"/>
    <cellStyle name="40% - Accent6 7 2 2 2 6" xfId="35687" xr:uid="{00000000-0005-0000-0000-0000AC7D0000}"/>
    <cellStyle name="40% - Accent6 7 2 2 3" xfId="35688" xr:uid="{00000000-0005-0000-0000-0000AD7D0000}"/>
    <cellStyle name="40% - Accent6 7 2 2 3 2" xfId="35689" xr:uid="{00000000-0005-0000-0000-0000AE7D0000}"/>
    <cellStyle name="40% - Accent6 7 2 2 3 2 2" xfId="35690" xr:uid="{00000000-0005-0000-0000-0000AF7D0000}"/>
    <cellStyle name="40% - Accent6 7 2 2 3 3" xfId="35691" xr:uid="{00000000-0005-0000-0000-0000B07D0000}"/>
    <cellStyle name="40% - Accent6 7 2 2 4" xfId="35692" xr:uid="{00000000-0005-0000-0000-0000B17D0000}"/>
    <cellStyle name="40% - Accent6 7 2 2 4 2" xfId="35693" xr:uid="{00000000-0005-0000-0000-0000B27D0000}"/>
    <cellStyle name="40% - Accent6 7 2 2 5" xfId="35694" xr:uid="{00000000-0005-0000-0000-0000B37D0000}"/>
    <cellStyle name="40% - Accent6 7 2 2 6" xfId="35695" xr:uid="{00000000-0005-0000-0000-0000B47D0000}"/>
    <cellStyle name="40% - Accent6 7 2 2 7" xfId="35696" xr:uid="{00000000-0005-0000-0000-0000B57D0000}"/>
    <cellStyle name="40% - Accent6 7 2 3" xfId="35697" xr:uid="{00000000-0005-0000-0000-0000B67D0000}"/>
    <cellStyle name="40% - Accent6 7 2 3 2" xfId="35698" xr:uid="{00000000-0005-0000-0000-0000B77D0000}"/>
    <cellStyle name="40% - Accent6 7 2 3 2 2" xfId="35699" xr:uid="{00000000-0005-0000-0000-0000B87D0000}"/>
    <cellStyle name="40% - Accent6 7 2 3 2 2 2" xfId="35700" xr:uid="{00000000-0005-0000-0000-0000B97D0000}"/>
    <cellStyle name="40% - Accent6 7 2 3 2 3" xfId="35701" xr:uid="{00000000-0005-0000-0000-0000BA7D0000}"/>
    <cellStyle name="40% - Accent6 7 2 3 3" xfId="35702" xr:uid="{00000000-0005-0000-0000-0000BB7D0000}"/>
    <cellStyle name="40% - Accent6 7 2 3 3 2" xfId="35703" xr:uid="{00000000-0005-0000-0000-0000BC7D0000}"/>
    <cellStyle name="40% - Accent6 7 2 3 4" xfId="35704" xr:uid="{00000000-0005-0000-0000-0000BD7D0000}"/>
    <cellStyle name="40% - Accent6 7 2 3 5" xfId="35705" xr:uid="{00000000-0005-0000-0000-0000BE7D0000}"/>
    <cellStyle name="40% - Accent6 7 2 3 6" xfId="35706" xr:uid="{00000000-0005-0000-0000-0000BF7D0000}"/>
    <cellStyle name="40% - Accent6 7 2 4" xfId="35707" xr:uid="{00000000-0005-0000-0000-0000C07D0000}"/>
    <cellStyle name="40% - Accent6 7 2 4 2" xfId="35708" xr:uid="{00000000-0005-0000-0000-0000C17D0000}"/>
    <cellStyle name="40% - Accent6 7 2 4 2 2" xfId="35709" xr:uid="{00000000-0005-0000-0000-0000C27D0000}"/>
    <cellStyle name="40% - Accent6 7 2 4 3" xfId="35710" xr:uid="{00000000-0005-0000-0000-0000C37D0000}"/>
    <cellStyle name="40% - Accent6 7 2 5" xfId="35711" xr:uid="{00000000-0005-0000-0000-0000C47D0000}"/>
    <cellStyle name="40% - Accent6 7 2 5 2" xfId="35712" xr:uid="{00000000-0005-0000-0000-0000C57D0000}"/>
    <cellStyle name="40% - Accent6 7 2 5 2 2" xfId="35713" xr:uid="{00000000-0005-0000-0000-0000C67D0000}"/>
    <cellStyle name="40% - Accent6 7 2 5 3" xfId="35714" xr:uid="{00000000-0005-0000-0000-0000C77D0000}"/>
    <cellStyle name="40% - Accent6 7 2 6" xfId="35715" xr:uid="{00000000-0005-0000-0000-0000C87D0000}"/>
    <cellStyle name="40% - Accent6 7 2 6 2" xfId="35716" xr:uid="{00000000-0005-0000-0000-0000C97D0000}"/>
    <cellStyle name="40% - Accent6 7 2 7" xfId="35717" xr:uid="{00000000-0005-0000-0000-0000CA7D0000}"/>
    <cellStyle name="40% - Accent6 7 2 7 2" xfId="35718" xr:uid="{00000000-0005-0000-0000-0000CB7D0000}"/>
    <cellStyle name="40% - Accent6 7 2 8" xfId="35719" xr:uid="{00000000-0005-0000-0000-0000CC7D0000}"/>
    <cellStyle name="40% - Accent6 7 2 9" xfId="35720" xr:uid="{00000000-0005-0000-0000-0000CD7D0000}"/>
    <cellStyle name="40% - Accent6 7 3" xfId="35721" xr:uid="{00000000-0005-0000-0000-0000CE7D0000}"/>
    <cellStyle name="40% - Accent6 7 3 2" xfId="35722" xr:uid="{00000000-0005-0000-0000-0000CF7D0000}"/>
    <cellStyle name="40% - Accent6 7 3 2 2" xfId="35723" xr:uid="{00000000-0005-0000-0000-0000D07D0000}"/>
    <cellStyle name="40% - Accent6 7 3 2 2 2" xfId="35724" xr:uid="{00000000-0005-0000-0000-0000D17D0000}"/>
    <cellStyle name="40% - Accent6 7 3 2 2 2 2" xfId="35725" xr:uid="{00000000-0005-0000-0000-0000D27D0000}"/>
    <cellStyle name="40% - Accent6 7 3 2 2 3" xfId="35726" xr:uid="{00000000-0005-0000-0000-0000D37D0000}"/>
    <cellStyle name="40% - Accent6 7 3 2 3" xfId="35727" xr:uid="{00000000-0005-0000-0000-0000D47D0000}"/>
    <cellStyle name="40% - Accent6 7 3 2 3 2" xfId="35728" xr:uid="{00000000-0005-0000-0000-0000D57D0000}"/>
    <cellStyle name="40% - Accent6 7 3 2 4" xfId="35729" xr:uid="{00000000-0005-0000-0000-0000D67D0000}"/>
    <cellStyle name="40% - Accent6 7 3 2 5" xfId="35730" xr:uid="{00000000-0005-0000-0000-0000D77D0000}"/>
    <cellStyle name="40% - Accent6 7 3 2 6" xfId="35731" xr:uid="{00000000-0005-0000-0000-0000D87D0000}"/>
    <cellStyle name="40% - Accent6 7 3 3" xfId="35732" xr:uid="{00000000-0005-0000-0000-0000D97D0000}"/>
    <cellStyle name="40% - Accent6 7 3 3 2" xfId="35733" xr:uid="{00000000-0005-0000-0000-0000DA7D0000}"/>
    <cellStyle name="40% - Accent6 7 3 3 2 2" xfId="35734" xr:uid="{00000000-0005-0000-0000-0000DB7D0000}"/>
    <cellStyle name="40% - Accent6 7 3 3 3" xfId="35735" xr:uid="{00000000-0005-0000-0000-0000DC7D0000}"/>
    <cellStyle name="40% - Accent6 7 3 4" xfId="35736" xr:uid="{00000000-0005-0000-0000-0000DD7D0000}"/>
    <cellStyle name="40% - Accent6 7 3 4 2" xfId="35737" xr:uid="{00000000-0005-0000-0000-0000DE7D0000}"/>
    <cellStyle name="40% - Accent6 7 3 5" xfId="35738" xr:uid="{00000000-0005-0000-0000-0000DF7D0000}"/>
    <cellStyle name="40% - Accent6 7 3 6" xfId="35739" xr:uid="{00000000-0005-0000-0000-0000E07D0000}"/>
    <cellStyle name="40% - Accent6 7 3 7" xfId="35740" xr:uid="{00000000-0005-0000-0000-0000E17D0000}"/>
    <cellStyle name="40% - Accent6 7 4" xfId="35741" xr:uid="{00000000-0005-0000-0000-0000E27D0000}"/>
    <cellStyle name="40% - Accent6 7 4 2" xfId="35742" xr:uid="{00000000-0005-0000-0000-0000E37D0000}"/>
    <cellStyle name="40% - Accent6 7 4 2 2" xfId="35743" xr:uid="{00000000-0005-0000-0000-0000E47D0000}"/>
    <cellStyle name="40% - Accent6 7 4 2 2 2" xfId="35744" xr:uid="{00000000-0005-0000-0000-0000E57D0000}"/>
    <cellStyle name="40% - Accent6 7 4 2 2 2 2" xfId="35745" xr:uid="{00000000-0005-0000-0000-0000E67D0000}"/>
    <cellStyle name="40% - Accent6 7 4 2 2 3" xfId="35746" xr:uid="{00000000-0005-0000-0000-0000E77D0000}"/>
    <cellStyle name="40% - Accent6 7 4 2 3" xfId="35747" xr:uid="{00000000-0005-0000-0000-0000E87D0000}"/>
    <cellStyle name="40% - Accent6 7 4 2 3 2" xfId="35748" xr:uid="{00000000-0005-0000-0000-0000E97D0000}"/>
    <cellStyle name="40% - Accent6 7 4 2 4" xfId="35749" xr:uid="{00000000-0005-0000-0000-0000EA7D0000}"/>
    <cellStyle name="40% - Accent6 7 4 2 5" xfId="35750" xr:uid="{00000000-0005-0000-0000-0000EB7D0000}"/>
    <cellStyle name="40% - Accent6 7 4 2 6" xfId="35751" xr:uid="{00000000-0005-0000-0000-0000EC7D0000}"/>
    <cellStyle name="40% - Accent6 7 4 3" xfId="35752" xr:uid="{00000000-0005-0000-0000-0000ED7D0000}"/>
    <cellStyle name="40% - Accent6 7 4 3 2" xfId="35753" xr:uid="{00000000-0005-0000-0000-0000EE7D0000}"/>
    <cellStyle name="40% - Accent6 7 4 3 2 2" xfId="35754" xr:uid="{00000000-0005-0000-0000-0000EF7D0000}"/>
    <cellStyle name="40% - Accent6 7 4 3 3" xfId="35755" xr:uid="{00000000-0005-0000-0000-0000F07D0000}"/>
    <cellStyle name="40% - Accent6 7 4 4" xfId="35756" xr:uid="{00000000-0005-0000-0000-0000F17D0000}"/>
    <cellStyle name="40% - Accent6 7 4 4 2" xfId="35757" xr:uid="{00000000-0005-0000-0000-0000F27D0000}"/>
    <cellStyle name="40% - Accent6 7 4 5" xfId="35758" xr:uid="{00000000-0005-0000-0000-0000F37D0000}"/>
    <cellStyle name="40% - Accent6 7 4 6" xfId="35759" xr:uid="{00000000-0005-0000-0000-0000F47D0000}"/>
    <cellStyle name="40% - Accent6 7 4 7" xfId="35760" xr:uid="{00000000-0005-0000-0000-0000F57D0000}"/>
    <cellStyle name="40% - Accent6 7 5" xfId="35761" xr:uid="{00000000-0005-0000-0000-0000F67D0000}"/>
    <cellStyle name="40% - Accent6 7 5 2" xfId="35762" xr:uid="{00000000-0005-0000-0000-0000F77D0000}"/>
    <cellStyle name="40% - Accent6 7 5 2 2" xfId="35763" xr:uid="{00000000-0005-0000-0000-0000F87D0000}"/>
    <cellStyle name="40% - Accent6 7 5 2 2 2" xfId="35764" xr:uid="{00000000-0005-0000-0000-0000F97D0000}"/>
    <cellStyle name="40% - Accent6 7 5 2 3" xfId="35765" xr:uid="{00000000-0005-0000-0000-0000FA7D0000}"/>
    <cellStyle name="40% - Accent6 7 5 3" xfId="35766" xr:uid="{00000000-0005-0000-0000-0000FB7D0000}"/>
    <cellStyle name="40% - Accent6 7 5 3 2" xfId="35767" xr:uid="{00000000-0005-0000-0000-0000FC7D0000}"/>
    <cellStyle name="40% - Accent6 7 5 4" xfId="35768" xr:uid="{00000000-0005-0000-0000-0000FD7D0000}"/>
    <cellStyle name="40% - Accent6 7 5 5" xfId="35769" xr:uid="{00000000-0005-0000-0000-0000FE7D0000}"/>
    <cellStyle name="40% - Accent6 7 5 6" xfId="35770" xr:uid="{00000000-0005-0000-0000-0000FF7D0000}"/>
    <cellStyle name="40% - Accent6 7 6" xfId="35771" xr:uid="{00000000-0005-0000-0000-0000007E0000}"/>
    <cellStyle name="40% - Accent6 7 6 2" xfId="35772" xr:uid="{00000000-0005-0000-0000-0000017E0000}"/>
    <cellStyle name="40% - Accent6 7 6 2 2" xfId="35773" xr:uid="{00000000-0005-0000-0000-0000027E0000}"/>
    <cellStyle name="40% - Accent6 7 6 3" xfId="35774" xr:uid="{00000000-0005-0000-0000-0000037E0000}"/>
    <cellStyle name="40% - Accent6 7 7" xfId="35775" xr:uid="{00000000-0005-0000-0000-0000047E0000}"/>
    <cellStyle name="40% - Accent6 7 7 2" xfId="35776" xr:uid="{00000000-0005-0000-0000-0000057E0000}"/>
    <cellStyle name="40% - Accent6 7 7 2 2" xfId="35777" xr:uid="{00000000-0005-0000-0000-0000067E0000}"/>
    <cellStyle name="40% - Accent6 7 7 3" xfId="35778" xr:uid="{00000000-0005-0000-0000-0000077E0000}"/>
    <cellStyle name="40% - Accent6 7 8" xfId="35779" xr:uid="{00000000-0005-0000-0000-0000087E0000}"/>
    <cellStyle name="40% - Accent6 7 8 2" xfId="35780" xr:uid="{00000000-0005-0000-0000-0000097E0000}"/>
    <cellStyle name="40% - Accent6 7 9" xfId="35781" xr:uid="{00000000-0005-0000-0000-00000A7E0000}"/>
    <cellStyle name="40% - Accent6 7 9 2" xfId="35782" xr:uid="{00000000-0005-0000-0000-00000B7E0000}"/>
    <cellStyle name="40% - Accent6 8" xfId="35783" xr:uid="{00000000-0005-0000-0000-00000C7E0000}"/>
    <cellStyle name="40% - Accent6 8 10" xfId="35784" xr:uid="{00000000-0005-0000-0000-00000D7E0000}"/>
    <cellStyle name="40% - Accent6 8 11" xfId="35785" xr:uid="{00000000-0005-0000-0000-00000E7E0000}"/>
    <cellStyle name="40% - Accent6 8 12" xfId="35786" xr:uid="{00000000-0005-0000-0000-00000F7E0000}"/>
    <cellStyle name="40% - Accent6 8 2" xfId="35787" xr:uid="{00000000-0005-0000-0000-0000107E0000}"/>
    <cellStyle name="40% - Accent6 8 2 10" xfId="35788" xr:uid="{00000000-0005-0000-0000-0000117E0000}"/>
    <cellStyle name="40% - Accent6 8 2 2" xfId="35789" xr:uid="{00000000-0005-0000-0000-0000127E0000}"/>
    <cellStyle name="40% - Accent6 8 2 2 2" xfId="35790" xr:uid="{00000000-0005-0000-0000-0000137E0000}"/>
    <cellStyle name="40% - Accent6 8 2 2 2 2" xfId="35791" xr:uid="{00000000-0005-0000-0000-0000147E0000}"/>
    <cellStyle name="40% - Accent6 8 2 2 2 2 2" xfId="35792" xr:uid="{00000000-0005-0000-0000-0000157E0000}"/>
    <cellStyle name="40% - Accent6 8 2 2 2 2 2 2" xfId="35793" xr:uid="{00000000-0005-0000-0000-0000167E0000}"/>
    <cellStyle name="40% - Accent6 8 2 2 2 2 3" xfId="35794" xr:uid="{00000000-0005-0000-0000-0000177E0000}"/>
    <cellStyle name="40% - Accent6 8 2 2 2 3" xfId="35795" xr:uid="{00000000-0005-0000-0000-0000187E0000}"/>
    <cellStyle name="40% - Accent6 8 2 2 2 3 2" xfId="35796" xr:uid="{00000000-0005-0000-0000-0000197E0000}"/>
    <cellStyle name="40% - Accent6 8 2 2 2 4" xfId="35797" xr:uid="{00000000-0005-0000-0000-00001A7E0000}"/>
    <cellStyle name="40% - Accent6 8 2 2 2 5" xfId="35798" xr:uid="{00000000-0005-0000-0000-00001B7E0000}"/>
    <cellStyle name="40% - Accent6 8 2 2 2 6" xfId="35799" xr:uid="{00000000-0005-0000-0000-00001C7E0000}"/>
    <cellStyle name="40% - Accent6 8 2 2 3" xfId="35800" xr:uid="{00000000-0005-0000-0000-00001D7E0000}"/>
    <cellStyle name="40% - Accent6 8 2 2 3 2" xfId="35801" xr:uid="{00000000-0005-0000-0000-00001E7E0000}"/>
    <cellStyle name="40% - Accent6 8 2 2 3 2 2" xfId="35802" xr:uid="{00000000-0005-0000-0000-00001F7E0000}"/>
    <cellStyle name="40% - Accent6 8 2 2 3 3" xfId="35803" xr:uid="{00000000-0005-0000-0000-0000207E0000}"/>
    <cellStyle name="40% - Accent6 8 2 2 4" xfId="35804" xr:uid="{00000000-0005-0000-0000-0000217E0000}"/>
    <cellStyle name="40% - Accent6 8 2 2 4 2" xfId="35805" xr:uid="{00000000-0005-0000-0000-0000227E0000}"/>
    <cellStyle name="40% - Accent6 8 2 2 5" xfId="35806" xr:uid="{00000000-0005-0000-0000-0000237E0000}"/>
    <cellStyle name="40% - Accent6 8 2 2 6" xfId="35807" xr:uid="{00000000-0005-0000-0000-0000247E0000}"/>
    <cellStyle name="40% - Accent6 8 2 2 7" xfId="35808" xr:uid="{00000000-0005-0000-0000-0000257E0000}"/>
    <cellStyle name="40% - Accent6 8 2 3" xfId="35809" xr:uid="{00000000-0005-0000-0000-0000267E0000}"/>
    <cellStyle name="40% - Accent6 8 2 3 2" xfId="35810" xr:uid="{00000000-0005-0000-0000-0000277E0000}"/>
    <cellStyle name="40% - Accent6 8 2 3 2 2" xfId="35811" xr:uid="{00000000-0005-0000-0000-0000287E0000}"/>
    <cellStyle name="40% - Accent6 8 2 3 2 2 2" xfId="35812" xr:uid="{00000000-0005-0000-0000-0000297E0000}"/>
    <cellStyle name="40% - Accent6 8 2 3 2 3" xfId="35813" xr:uid="{00000000-0005-0000-0000-00002A7E0000}"/>
    <cellStyle name="40% - Accent6 8 2 3 3" xfId="35814" xr:uid="{00000000-0005-0000-0000-00002B7E0000}"/>
    <cellStyle name="40% - Accent6 8 2 3 3 2" xfId="35815" xr:uid="{00000000-0005-0000-0000-00002C7E0000}"/>
    <cellStyle name="40% - Accent6 8 2 3 4" xfId="35816" xr:uid="{00000000-0005-0000-0000-00002D7E0000}"/>
    <cellStyle name="40% - Accent6 8 2 3 5" xfId="35817" xr:uid="{00000000-0005-0000-0000-00002E7E0000}"/>
    <cellStyle name="40% - Accent6 8 2 3 6" xfId="35818" xr:uid="{00000000-0005-0000-0000-00002F7E0000}"/>
    <cellStyle name="40% - Accent6 8 2 4" xfId="35819" xr:uid="{00000000-0005-0000-0000-0000307E0000}"/>
    <cellStyle name="40% - Accent6 8 2 4 2" xfId="35820" xr:uid="{00000000-0005-0000-0000-0000317E0000}"/>
    <cellStyle name="40% - Accent6 8 2 4 2 2" xfId="35821" xr:uid="{00000000-0005-0000-0000-0000327E0000}"/>
    <cellStyle name="40% - Accent6 8 2 4 3" xfId="35822" xr:uid="{00000000-0005-0000-0000-0000337E0000}"/>
    <cellStyle name="40% - Accent6 8 2 5" xfId="35823" xr:uid="{00000000-0005-0000-0000-0000347E0000}"/>
    <cellStyle name="40% - Accent6 8 2 5 2" xfId="35824" xr:uid="{00000000-0005-0000-0000-0000357E0000}"/>
    <cellStyle name="40% - Accent6 8 2 5 2 2" xfId="35825" xr:uid="{00000000-0005-0000-0000-0000367E0000}"/>
    <cellStyle name="40% - Accent6 8 2 5 3" xfId="35826" xr:uid="{00000000-0005-0000-0000-0000377E0000}"/>
    <cellStyle name="40% - Accent6 8 2 6" xfId="35827" xr:uid="{00000000-0005-0000-0000-0000387E0000}"/>
    <cellStyle name="40% - Accent6 8 2 6 2" xfId="35828" xr:uid="{00000000-0005-0000-0000-0000397E0000}"/>
    <cellStyle name="40% - Accent6 8 2 7" xfId="35829" xr:uid="{00000000-0005-0000-0000-00003A7E0000}"/>
    <cellStyle name="40% - Accent6 8 2 7 2" xfId="35830" xr:uid="{00000000-0005-0000-0000-00003B7E0000}"/>
    <cellStyle name="40% - Accent6 8 2 8" xfId="35831" xr:uid="{00000000-0005-0000-0000-00003C7E0000}"/>
    <cellStyle name="40% - Accent6 8 2 9" xfId="35832" xr:uid="{00000000-0005-0000-0000-00003D7E0000}"/>
    <cellStyle name="40% - Accent6 8 3" xfId="35833" xr:uid="{00000000-0005-0000-0000-00003E7E0000}"/>
    <cellStyle name="40% - Accent6 8 3 2" xfId="35834" xr:uid="{00000000-0005-0000-0000-00003F7E0000}"/>
    <cellStyle name="40% - Accent6 8 3 2 2" xfId="35835" xr:uid="{00000000-0005-0000-0000-0000407E0000}"/>
    <cellStyle name="40% - Accent6 8 3 2 2 2" xfId="35836" xr:uid="{00000000-0005-0000-0000-0000417E0000}"/>
    <cellStyle name="40% - Accent6 8 3 2 2 2 2" xfId="35837" xr:uid="{00000000-0005-0000-0000-0000427E0000}"/>
    <cellStyle name="40% - Accent6 8 3 2 2 3" xfId="35838" xr:uid="{00000000-0005-0000-0000-0000437E0000}"/>
    <cellStyle name="40% - Accent6 8 3 2 3" xfId="35839" xr:uid="{00000000-0005-0000-0000-0000447E0000}"/>
    <cellStyle name="40% - Accent6 8 3 2 3 2" xfId="35840" xr:uid="{00000000-0005-0000-0000-0000457E0000}"/>
    <cellStyle name="40% - Accent6 8 3 2 4" xfId="35841" xr:uid="{00000000-0005-0000-0000-0000467E0000}"/>
    <cellStyle name="40% - Accent6 8 3 2 5" xfId="35842" xr:uid="{00000000-0005-0000-0000-0000477E0000}"/>
    <cellStyle name="40% - Accent6 8 3 2 6" xfId="35843" xr:uid="{00000000-0005-0000-0000-0000487E0000}"/>
    <cellStyle name="40% - Accent6 8 3 3" xfId="35844" xr:uid="{00000000-0005-0000-0000-0000497E0000}"/>
    <cellStyle name="40% - Accent6 8 3 3 2" xfId="35845" xr:uid="{00000000-0005-0000-0000-00004A7E0000}"/>
    <cellStyle name="40% - Accent6 8 3 3 2 2" xfId="35846" xr:uid="{00000000-0005-0000-0000-00004B7E0000}"/>
    <cellStyle name="40% - Accent6 8 3 3 3" xfId="35847" xr:uid="{00000000-0005-0000-0000-00004C7E0000}"/>
    <cellStyle name="40% - Accent6 8 3 4" xfId="35848" xr:uid="{00000000-0005-0000-0000-00004D7E0000}"/>
    <cellStyle name="40% - Accent6 8 3 4 2" xfId="35849" xr:uid="{00000000-0005-0000-0000-00004E7E0000}"/>
    <cellStyle name="40% - Accent6 8 3 5" xfId="35850" xr:uid="{00000000-0005-0000-0000-00004F7E0000}"/>
    <cellStyle name="40% - Accent6 8 3 6" xfId="35851" xr:uid="{00000000-0005-0000-0000-0000507E0000}"/>
    <cellStyle name="40% - Accent6 8 3 7" xfId="35852" xr:uid="{00000000-0005-0000-0000-0000517E0000}"/>
    <cellStyle name="40% - Accent6 8 4" xfId="35853" xr:uid="{00000000-0005-0000-0000-0000527E0000}"/>
    <cellStyle name="40% - Accent6 8 4 2" xfId="35854" xr:uid="{00000000-0005-0000-0000-0000537E0000}"/>
    <cellStyle name="40% - Accent6 8 4 2 2" xfId="35855" xr:uid="{00000000-0005-0000-0000-0000547E0000}"/>
    <cellStyle name="40% - Accent6 8 4 2 2 2" xfId="35856" xr:uid="{00000000-0005-0000-0000-0000557E0000}"/>
    <cellStyle name="40% - Accent6 8 4 2 2 2 2" xfId="35857" xr:uid="{00000000-0005-0000-0000-0000567E0000}"/>
    <cellStyle name="40% - Accent6 8 4 2 2 3" xfId="35858" xr:uid="{00000000-0005-0000-0000-0000577E0000}"/>
    <cellStyle name="40% - Accent6 8 4 2 3" xfId="35859" xr:uid="{00000000-0005-0000-0000-0000587E0000}"/>
    <cellStyle name="40% - Accent6 8 4 2 3 2" xfId="35860" xr:uid="{00000000-0005-0000-0000-0000597E0000}"/>
    <cellStyle name="40% - Accent6 8 4 2 4" xfId="35861" xr:uid="{00000000-0005-0000-0000-00005A7E0000}"/>
    <cellStyle name="40% - Accent6 8 4 2 5" xfId="35862" xr:uid="{00000000-0005-0000-0000-00005B7E0000}"/>
    <cellStyle name="40% - Accent6 8 4 2 6" xfId="35863" xr:uid="{00000000-0005-0000-0000-00005C7E0000}"/>
    <cellStyle name="40% - Accent6 8 4 3" xfId="35864" xr:uid="{00000000-0005-0000-0000-00005D7E0000}"/>
    <cellStyle name="40% - Accent6 8 4 3 2" xfId="35865" xr:uid="{00000000-0005-0000-0000-00005E7E0000}"/>
    <cellStyle name="40% - Accent6 8 4 3 2 2" xfId="35866" xr:uid="{00000000-0005-0000-0000-00005F7E0000}"/>
    <cellStyle name="40% - Accent6 8 4 3 3" xfId="35867" xr:uid="{00000000-0005-0000-0000-0000607E0000}"/>
    <cellStyle name="40% - Accent6 8 4 4" xfId="35868" xr:uid="{00000000-0005-0000-0000-0000617E0000}"/>
    <cellStyle name="40% - Accent6 8 4 4 2" xfId="35869" xr:uid="{00000000-0005-0000-0000-0000627E0000}"/>
    <cellStyle name="40% - Accent6 8 4 5" xfId="35870" xr:uid="{00000000-0005-0000-0000-0000637E0000}"/>
    <cellStyle name="40% - Accent6 8 4 6" xfId="35871" xr:uid="{00000000-0005-0000-0000-0000647E0000}"/>
    <cellStyle name="40% - Accent6 8 4 7" xfId="35872" xr:uid="{00000000-0005-0000-0000-0000657E0000}"/>
    <cellStyle name="40% - Accent6 8 5" xfId="35873" xr:uid="{00000000-0005-0000-0000-0000667E0000}"/>
    <cellStyle name="40% - Accent6 8 5 2" xfId="35874" xr:uid="{00000000-0005-0000-0000-0000677E0000}"/>
    <cellStyle name="40% - Accent6 8 5 2 2" xfId="35875" xr:uid="{00000000-0005-0000-0000-0000687E0000}"/>
    <cellStyle name="40% - Accent6 8 5 2 2 2" xfId="35876" xr:uid="{00000000-0005-0000-0000-0000697E0000}"/>
    <cellStyle name="40% - Accent6 8 5 2 3" xfId="35877" xr:uid="{00000000-0005-0000-0000-00006A7E0000}"/>
    <cellStyle name="40% - Accent6 8 5 3" xfId="35878" xr:uid="{00000000-0005-0000-0000-00006B7E0000}"/>
    <cellStyle name="40% - Accent6 8 5 3 2" xfId="35879" xr:uid="{00000000-0005-0000-0000-00006C7E0000}"/>
    <cellStyle name="40% - Accent6 8 5 4" xfId="35880" xr:uid="{00000000-0005-0000-0000-00006D7E0000}"/>
    <cellStyle name="40% - Accent6 8 5 5" xfId="35881" xr:uid="{00000000-0005-0000-0000-00006E7E0000}"/>
    <cellStyle name="40% - Accent6 8 5 6" xfId="35882" xr:uid="{00000000-0005-0000-0000-00006F7E0000}"/>
    <cellStyle name="40% - Accent6 8 6" xfId="35883" xr:uid="{00000000-0005-0000-0000-0000707E0000}"/>
    <cellStyle name="40% - Accent6 8 6 2" xfId="35884" xr:uid="{00000000-0005-0000-0000-0000717E0000}"/>
    <cellStyle name="40% - Accent6 8 6 2 2" xfId="35885" xr:uid="{00000000-0005-0000-0000-0000727E0000}"/>
    <cellStyle name="40% - Accent6 8 6 3" xfId="35886" xr:uid="{00000000-0005-0000-0000-0000737E0000}"/>
    <cellStyle name="40% - Accent6 8 7" xfId="35887" xr:uid="{00000000-0005-0000-0000-0000747E0000}"/>
    <cellStyle name="40% - Accent6 8 7 2" xfId="35888" xr:uid="{00000000-0005-0000-0000-0000757E0000}"/>
    <cellStyle name="40% - Accent6 8 7 2 2" xfId="35889" xr:uid="{00000000-0005-0000-0000-0000767E0000}"/>
    <cellStyle name="40% - Accent6 8 7 3" xfId="35890" xr:uid="{00000000-0005-0000-0000-0000777E0000}"/>
    <cellStyle name="40% - Accent6 8 8" xfId="35891" xr:uid="{00000000-0005-0000-0000-0000787E0000}"/>
    <cellStyle name="40% - Accent6 8 8 2" xfId="35892" xr:uid="{00000000-0005-0000-0000-0000797E0000}"/>
    <cellStyle name="40% - Accent6 8 9" xfId="35893" xr:uid="{00000000-0005-0000-0000-00007A7E0000}"/>
    <cellStyle name="40% - Accent6 8 9 2" xfId="35894" xr:uid="{00000000-0005-0000-0000-00007B7E0000}"/>
    <cellStyle name="40% - Accent6 9" xfId="35895" xr:uid="{00000000-0005-0000-0000-00007C7E0000}"/>
    <cellStyle name="40% - Accent6 9 10" xfId="35896" xr:uid="{00000000-0005-0000-0000-00007D7E0000}"/>
    <cellStyle name="40% - Accent6 9 11" xfId="35897" xr:uid="{00000000-0005-0000-0000-00007E7E0000}"/>
    <cellStyle name="40% - Accent6 9 12" xfId="35898" xr:uid="{00000000-0005-0000-0000-00007F7E0000}"/>
    <cellStyle name="40% - Accent6 9 2" xfId="35899" xr:uid="{00000000-0005-0000-0000-0000807E0000}"/>
    <cellStyle name="40% - Accent6 9 2 10" xfId="35900" xr:uid="{00000000-0005-0000-0000-0000817E0000}"/>
    <cellStyle name="40% - Accent6 9 2 2" xfId="35901" xr:uid="{00000000-0005-0000-0000-0000827E0000}"/>
    <cellStyle name="40% - Accent6 9 2 2 2" xfId="35902" xr:uid="{00000000-0005-0000-0000-0000837E0000}"/>
    <cellStyle name="40% - Accent6 9 2 2 2 2" xfId="35903" xr:uid="{00000000-0005-0000-0000-0000847E0000}"/>
    <cellStyle name="40% - Accent6 9 2 2 2 2 2" xfId="35904" xr:uid="{00000000-0005-0000-0000-0000857E0000}"/>
    <cellStyle name="40% - Accent6 9 2 2 2 2 2 2" xfId="35905" xr:uid="{00000000-0005-0000-0000-0000867E0000}"/>
    <cellStyle name="40% - Accent6 9 2 2 2 2 3" xfId="35906" xr:uid="{00000000-0005-0000-0000-0000877E0000}"/>
    <cellStyle name="40% - Accent6 9 2 2 2 3" xfId="35907" xr:uid="{00000000-0005-0000-0000-0000887E0000}"/>
    <cellStyle name="40% - Accent6 9 2 2 2 3 2" xfId="35908" xr:uid="{00000000-0005-0000-0000-0000897E0000}"/>
    <cellStyle name="40% - Accent6 9 2 2 2 4" xfId="35909" xr:uid="{00000000-0005-0000-0000-00008A7E0000}"/>
    <cellStyle name="40% - Accent6 9 2 2 2 5" xfId="35910" xr:uid="{00000000-0005-0000-0000-00008B7E0000}"/>
    <cellStyle name="40% - Accent6 9 2 2 2 6" xfId="35911" xr:uid="{00000000-0005-0000-0000-00008C7E0000}"/>
    <cellStyle name="40% - Accent6 9 2 2 3" xfId="35912" xr:uid="{00000000-0005-0000-0000-00008D7E0000}"/>
    <cellStyle name="40% - Accent6 9 2 2 3 2" xfId="35913" xr:uid="{00000000-0005-0000-0000-00008E7E0000}"/>
    <cellStyle name="40% - Accent6 9 2 2 3 2 2" xfId="35914" xr:uid="{00000000-0005-0000-0000-00008F7E0000}"/>
    <cellStyle name="40% - Accent6 9 2 2 3 3" xfId="35915" xr:uid="{00000000-0005-0000-0000-0000907E0000}"/>
    <cellStyle name="40% - Accent6 9 2 2 4" xfId="35916" xr:uid="{00000000-0005-0000-0000-0000917E0000}"/>
    <cellStyle name="40% - Accent6 9 2 2 4 2" xfId="35917" xr:uid="{00000000-0005-0000-0000-0000927E0000}"/>
    <cellStyle name="40% - Accent6 9 2 2 5" xfId="35918" xr:uid="{00000000-0005-0000-0000-0000937E0000}"/>
    <cellStyle name="40% - Accent6 9 2 2 6" xfId="35919" xr:uid="{00000000-0005-0000-0000-0000947E0000}"/>
    <cellStyle name="40% - Accent6 9 2 2 7" xfId="35920" xr:uid="{00000000-0005-0000-0000-0000957E0000}"/>
    <cellStyle name="40% - Accent6 9 2 3" xfId="35921" xr:uid="{00000000-0005-0000-0000-0000967E0000}"/>
    <cellStyle name="40% - Accent6 9 2 3 2" xfId="35922" xr:uid="{00000000-0005-0000-0000-0000977E0000}"/>
    <cellStyle name="40% - Accent6 9 2 3 2 2" xfId="35923" xr:uid="{00000000-0005-0000-0000-0000987E0000}"/>
    <cellStyle name="40% - Accent6 9 2 3 2 2 2" xfId="35924" xr:uid="{00000000-0005-0000-0000-0000997E0000}"/>
    <cellStyle name="40% - Accent6 9 2 3 2 3" xfId="35925" xr:uid="{00000000-0005-0000-0000-00009A7E0000}"/>
    <cellStyle name="40% - Accent6 9 2 3 3" xfId="35926" xr:uid="{00000000-0005-0000-0000-00009B7E0000}"/>
    <cellStyle name="40% - Accent6 9 2 3 3 2" xfId="35927" xr:uid="{00000000-0005-0000-0000-00009C7E0000}"/>
    <cellStyle name="40% - Accent6 9 2 3 4" xfId="35928" xr:uid="{00000000-0005-0000-0000-00009D7E0000}"/>
    <cellStyle name="40% - Accent6 9 2 3 5" xfId="35929" xr:uid="{00000000-0005-0000-0000-00009E7E0000}"/>
    <cellStyle name="40% - Accent6 9 2 3 6" xfId="35930" xr:uid="{00000000-0005-0000-0000-00009F7E0000}"/>
    <cellStyle name="40% - Accent6 9 2 4" xfId="35931" xr:uid="{00000000-0005-0000-0000-0000A07E0000}"/>
    <cellStyle name="40% - Accent6 9 2 4 2" xfId="35932" xr:uid="{00000000-0005-0000-0000-0000A17E0000}"/>
    <cellStyle name="40% - Accent6 9 2 4 2 2" xfId="35933" xr:uid="{00000000-0005-0000-0000-0000A27E0000}"/>
    <cellStyle name="40% - Accent6 9 2 4 3" xfId="35934" xr:uid="{00000000-0005-0000-0000-0000A37E0000}"/>
    <cellStyle name="40% - Accent6 9 2 5" xfId="35935" xr:uid="{00000000-0005-0000-0000-0000A47E0000}"/>
    <cellStyle name="40% - Accent6 9 2 5 2" xfId="35936" xr:uid="{00000000-0005-0000-0000-0000A57E0000}"/>
    <cellStyle name="40% - Accent6 9 2 5 2 2" xfId="35937" xr:uid="{00000000-0005-0000-0000-0000A67E0000}"/>
    <cellStyle name="40% - Accent6 9 2 5 3" xfId="35938" xr:uid="{00000000-0005-0000-0000-0000A77E0000}"/>
    <cellStyle name="40% - Accent6 9 2 6" xfId="35939" xr:uid="{00000000-0005-0000-0000-0000A87E0000}"/>
    <cellStyle name="40% - Accent6 9 2 6 2" xfId="35940" xr:uid="{00000000-0005-0000-0000-0000A97E0000}"/>
    <cellStyle name="40% - Accent6 9 2 7" xfId="35941" xr:uid="{00000000-0005-0000-0000-0000AA7E0000}"/>
    <cellStyle name="40% - Accent6 9 2 7 2" xfId="35942" xr:uid="{00000000-0005-0000-0000-0000AB7E0000}"/>
    <cellStyle name="40% - Accent6 9 2 8" xfId="35943" xr:uid="{00000000-0005-0000-0000-0000AC7E0000}"/>
    <cellStyle name="40% - Accent6 9 2 9" xfId="35944" xr:uid="{00000000-0005-0000-0000-0000AD7E0000}"/>
    <cellStyle name="40% - Accent6 9 3" xfId="35945" xr:uid="{00000000-0005-0000-0000-0000AE7E0000}"/>
    <cellStyle name="40% - Accent6 9 3 2" xfId="35946" xr:uid="{00000000-0005-0000-0000-0000AF7E0000}"/>
    <cellStyle name="40% - Accent6 9 3 2 2" xfId="35947" xr:uid="{00000000-0005-0000-0000-0000B07E0000}"/>
    <cellStyle name="40% - Accent6 9 3 2 2 2" xfId="35948" xr:uid="{00000000-0005-0000-0000-0000B17E0000}"/>
    <cellStyle name="40% - Accent6 9 3 2 2 2 2" xfId="35949" xr:uid="{00000000-0005-0000-0000-0000B27E0000}"/>
    <cellStyle name="40% - Accent6 9 3 2 2 3" xfId="35950" xr:uid="{00000000-0005-0000-0000-0000B37E0000}"/>
    <cellStyle name="40% - Accent6 9 3 2 3" xfId="35951" xr:uid="{00000000-0005-0000-0000-0000B47E0000}"/>
    <cellStyle name="40% - Accent6 9 3 2 3 2" xfId="35952" xr:uid="{00000000-0005-0000-0000-0000B57E0000}"/>
    <cellStyle name="40% - Accent6 9 3 2 4" xfId="35953" xr:uid="{00000000-0005-0000-0000-0000B67E0000}"/>
    <cellStyle name="40% - Accent6 9 3 2 5" xfId="35954" xr:uid="{00000000-0005-0000-0000-0000B77E0000}"/>
    <cellStyle name="40% - Accent6 9 3 2 6" xfId="35955" xr:uid="{00000000-0005-0000-0000-0000B87E0000}"/>
    <cellStyle name="40% - Accent6 9 3 3" xfId="35956" xr:uid="{00000000-0005-0000-0000-0000B97E0000}"/>
    <cellStyle name="40% - Accent6 9 3 3 2" xfId="35957" xr:uid="{00000000-0005-0000-0000-0000BA7E0000}"/>
    <cellStyle name="40% - Accent6 9 3 3 2 2" xfId="35958" xr:uid="{00000000-0005-0000-0000-0000BB7E0000}"/>
    <cellStyle name="40% - Accent6 9 3 3 3" xfId="35959" xr:uid="{00000000-0005-0000-0000-0000BC7E0000}"/>
    <cellStyle name="40% - Accent6 9 3 4" xfId="35960" xr:uid="{00000000-0005-0000-0000-0000BD7E0000}"/>
    <cellStyle name="40% - Accent6 9 3 4 2" xfId="35961" xr:uid="{00000000-0005-0000-0000-0000BE7E0000}"/>
    <cellStyle name="40% - Accent6 9 3 5" xfId="35962" xr:uid="{00000000-0005-0000-0000-0000BF7E0000}"/>
    <cellStyle name="40% - Accent6 9 3 6" xfId="35963" xr:uid="{00000000-0005-0000-0000-0000C07E0000}"/>
    <cellStyle name="40% - Accent6 9 3 7" xfId="35964" xr:uid="{00000000-0005-0000-0000-0000C17E0000}"/>
    <cellStyle name="40% - Accent6 9 4" xfId="35965" xr:uid="{00000000-0005-0000-0000-0000C27E0000}"/>
    <cellStyle name="40% - Accent6 9 4 2" xfId="35966" xr:uid="{00000000-0005-0000-0000-0000C37E0000}"/>
    <cellStyle name="40% - Accent6 9 4 2 2" xfId="35967" xr:uid="{00000000-0005-0000-0000-0000C47E0000}"/>
    <cellStyle name="40% - Accent6 9 4 2 2 2" xfId="35968" xr:uid="{00000000-0005-0000-0000-0000C57E0000}"/>
    <cellStyle name="40% - Accent6 9 4 2 2 2 2" xfId="35969" xr:uid="{00000000-0005-0000-0000-0000C67E0000}"/>
    <cellStyle name="40% - Accent6 9 4 2 2 3" xfId="35970" xr:uid="{00000000-0005-0000-0000-0000C77E0000}"/>
    <cellStyle name="40% - Accent6 9 4 2 3" xfId="35971" xr:uid="{00000000-0005-0000-0000-0000C87E0000}"/>
    <cellStyle name="40% - Accent6 9 4 2 3 2" xfId="35972" xr:uid="{00000000-0005-0000-0000-0000C97E0000}"/>
    <cellStyle name="40% - Accent6 9 4 2 4" xfId="35973" xr:uid="{00000000-0005-0000-0000-0000CA7E0000}"/>
    <cellStyle name="40% - Accent6 9 4 2 5" xfId="35974" xr:uid="{00000000-0005-0000-0000-0000CB7E0000}"/>
    <cellStyle name="40% - Accent6 9 4 2 6" xfId="35975" xr:uid="{00000000-0005-0000-0000-0000CC7E0000}"/>
    <cellStyle name="40% - Accent6 9 4 3" xfId="35976" xr:uid="{00000000-0005-0000-0000-0000CD7E0000}"/>
    <cellStyle name="40% - Accent6 9 4 3 2" xfId="35977" xr:uid="{00000000-0005-0000-0000-0000CE7E0000}"/>
    <cellStyle name="40% - Accent6 9 4 3 2 2" xfId="35978" xr:uid="{00000000-0005-0000-0000-0000CF7E0000}"/>
    <cellStyle name="40% - Accent6 9 4 3 3" xfId="35979" xr:uid="{00000000-0005-0000-0000-0000D07E0000}"/>
    <cellStyle name="40% - Accent6 9 4 4" xfId="35980" xr:uid="{00000000-0005-0000-0000-0000D17E0000}"/>
    <cellStyle name="40% - Accent6 9 4 4 2" xfId="35981" xr:uid="{00000000-0005-0000-0000-0000D27E0000}"/>
    <cellStyle name="40% - Accent6 9 4 5" xfId="35982" xr:uid="{00000000-0005-0000-0000-0000D37E0000}"/>
    <cellStyle name="40% - Accent6 9 4 6" xfId="35983" xr:uid="{00000000-0005-0000-0000-0000D47E0000}"/>
    <cellStyle name="40% - Accent6 9 4 7" xfId="35984" xr:uid="{00000000-0005-0000-0000-0000D57E0000}"/>
    <cellStyle name="40% - Accent6 9 5" xfId="35985" xr:uid="{00000000-0005-0000-0000-0000D67E0000}"/>
    <cellStyle name="40% - Accent6 9 5 2" xfId="35986" xr:uid="{00000000-0005-0000-0000-0000D77E0000}"/>
    <cellStyle name="40% - Accent6 9 5 2 2" xfId="35987" xr:uid="{00000000-0005-0000-0000-0000D87E0000}"/>
    <cellStyle name="40% - Accent6 9 5 2 2 2" xfId="35988" xr:uid="{00000000-0005-0000-0000-0000D97E0000}"/>
    <cellStyle name="40% - Accent6 9 5 2 3" xfId="35989" xr:uid="{00000000-0005-0000-0000-0000DA7E0000}"/>
    <cellStyle name="40% - Accent6 9 5 3" xfId="35990" xr:uid="{00000000-0005-0000-0000-0000DB7E0000}"/>
    <cellStyle name="40% - Accent6 9 5 3 2" xfId="35991" xr:uid="{00000000-0005-0000-0000-0000DC7E0000}"/>
    <cellStyle name="40% - Accent6 9 5 4" xfId="35992" xr:uid="{00000000-0005-0000-0000-0000DD7E0000}"/>
    <cellStyle name="40% - Accent6 9 5 5" xfId="35993" xr:uid="{00000000-0005-0000-0000-0000DE7E0000}"/>
    <cellStyle name="40% - Accent6 9 5 6" xfId="35994" xr:uid="{00000000-0005-0000-0000-0000DF7E0000}"/>
    <cellStyle name="40% - Accent6 9 6" xfId="35995" xr:uid="{00000000-0005-0000-0000-0000E07E0000}"/>
    <cellStyle name="40% - Accent6 9 6 2" xfId="35996" xr:uid="{00000000-0005-0000-0000-0000E17E0000}"/>
    <cellStyle name="40% - Accent6 9 6 2 2" xfId="35997" xr:uid="{00000000-0005-0000-0000-0000E27E0000}"/>
    <cellStyle name="40% - Accent6 9 6 3" xfId="35998" xr:uid="{00000000-0005-0000-0000-0000E37E0000}"/>
    <cellStyle name="40% - Accent6 9 7" xfId="35999" xr:uid="{00000000-0005-0000-0000-0000E47E0000}"/>
    <cellStyle name="40% - Accent6 9 7 2" xfId="36000" xr:uid="{00000000-0005-0000-0000-0000E57E0000}"/>
    <cellStyle name="40% - Accent6 9 7 2 2" xfId="36001" xr:uid="{00000000-0005-0000-0000-0000E67E0000}"/>
    <cellStyle name="40% - Accent6 9 7 3" xfId="36002" xr:uid="{00000000-0005-0000-0000-0000E77E0000}"/>
    <cellStyle name="40% - Accent6 9 8" xfId="36003" xr:uid="{00000000-0005-0000-0000-0000E87E0000}"/>
    <cellStyle name="40% - Accent6 9 8 2" xfId="36004" xr:uid="{00000000-0005-0000-0000-0000E97E0000}"/>
    <cellStyle name="40% - Accent6 9 9" xfId="36005" xr:uid="{00000000-0005-0000-0000-0000EA7E0000}"/>
    <cellStyle name="40% - Accent6 9 9 2" xfId="36006" xr:uid="{00000000-0005-0000-0000-0000EB7E0000}"/>
    <cellStyle name="60% - Accent1" xfId="121" builtinId="32" customBuiltin="1"/>
    <cellStyle name="60% - Accent1 2" xfId="221" xr:uid="{00000000-0005-0000-0000-0000EC7E0000}"/>
    <cellStyle name="60% - Accent1 2 2" xfId="36007" xr:uid="{00000000-0005-0000-0000-0000ED7E0000}"/>
    <cellStyle name="60% - Accent1 2 2 2" xfId="36008" xr:uid="{00000000-0005-0000-0000-0000EE7E0000}"/>
    <cellStyle name="60% - Accent1 2 3" xfId="36009" xr:uid="{00000000-0005-0000-0000-0000EF7E0000}"/>
    <cellStyle name="60% - Accent1 2 3 2" xfId="36010" xr:uid="{00000000-0005-0000-0000-0000F07E0000}"/>
    <cellStyle name="60% - Accent1 2 4" xfId="36011" xr:uid="{00000000-0005-0000-0000-0000F17E0000}"/>
    <cellStyle name="60% - Accent1 2 4 2" xfId="36012" xr:uid="{00000000-0005-0000-0000-0000F27E0000}"/>
    <cellStyle name="60% - Accent1 2 5" xfId="36013" xr:uid="{00000000-0005-0000-0000-0000F37E0000}"/>
    <cellStyle name="60% - Accent1 2 5 2" xfId="36014" xr:uid="{00000000-0005-0000-0000-0000F47E0000}"/>
    <cellStyle name="60% - Accent1 2 6" xfId="36015" xr:uid="{00000000-0005-0000-0000-0000F57E0000}"/>
    <cellStyle name="60% - Accent1 2 7" xfId="36016" xr:uid="{00000000-0005-0000-0000-0000F67E0000}"/>
    <cellStyle name="60% - Accent1 3" xfId="36017" xr:uid="{00000000-0005-0000-0000-0000F77E0000}"/>
    <cellStyle name="60% - Accent1 3 10" xfId="36018" xr:uid="{00000000-0005-0000-0000-0000F87E0000}"/>
    <cellStyle name="60% - Accent1 3 11" xfId="36019" xr:uid="{00000000-0005-0000-0000-0000F97E0000}"/>
    <cellStyle name="60% - Accent1 3 2" xfId="36020" xr:uid="{00000000-0005-0000-0000-0000FA7E0000}"/>
    <cellStyle name="60% - Accent1 3 2 2" xfId="36021" xr:uid="{00000000-0005-0000-0000-0000FB7E0000}"/>
    <cellStyle name="60% - Accent1 3 3" xfId="36022" xr:uid="{00000000-0005-0000-0000-0000FC7E0000}"/>
    <cellStyle name="60% - Accent1 3 3 2" xfId="36023" xr:uid="{00000000-0005-0000-0000-0000FD7E0000}"/>
    <cellStyle name="60% - Accent1 3 4" xfId="36024" xr:uid="{00000000-0005-0000-0000-0000FE7E0000}"/>
    <cellStyle name="60% - Accent1 3 4 2" xfId="36025" xr:uid="{00000000-0005-0000-0000-0000FF7E0000}"/>
    <cellStyle name="60% - Accent1 3 5" xfId="36026" xr:uid="{00000000-0005-0000-0000-0000007F0000}"/>
    <cellStyle name="60% - Accent1 3 5 2" xfId="36027" xr:uid="{00000000-0005-0000-0000-0000017F0000}"/>
    <cellStyle name="60% - Accent1 3 6" xfId="36028" xr:uid="{00000000-0005-0000-0000-0000027F0000}"/>
    <cellStyle name="60% - Accent1 3 6 2" xfId="36029" xr:uid="{00000000-0005-0000-0000-0000037F0000}"/>
    <cellStyle name="60% - Accent1 3 7" xfId="36030" xr:uid="{00000000-0005-0000-0000-0000047F0000}"/>
    <cellStyle name="60% - Accent1 3 7 2" xfId="36031" xr:uid="{00000000-0005-0000-0000-0000057F0000}"/>
    <cellStyle name="60% - Accent1 3 8" xfId="36032" xr:uid="{00000000-0005-0000-0000-0000067F0000}"/>
    <cellStyle name="60% - Accent1 3 8 2" xfId="36033" xr:uid="{00000000-0005-0000-0000-0000077F0000}"/>
    <cellStyle name="60% - Accent1 3 9" xfId="36034" xr:uid="{00000000-0005-0000-0000-0000087F0000}"/>
    <cellStyle name="60% - Accent1 4" xfId="36035" xr:uid="{00000000-0005-0000-0000-0000097F0000}"/>
    <cellStyle name="60% - Accent1 4 10" xfId="36036" xr:uid="{00000000-0005-0000-0000-00000A7F0000}"/>
    <cellStyle name="60% - Accent1 4 2" xfId="36037" xr:uid="{00000000-0005-0000-0000-00000B7F0000}"/>
    <cellStyle name="60% - Accent1 4 2 2" xfId="36038" xr:uid="{00000000-0005-0000-0000-00000C7F0000}"/>
    <cellStyle name="60% - Accent1 4 3" xfId="36039" xr:uid="{00000000-0005-0000-0000-00000D7F0000}"/>
    <cellStyle name="60% - Accent1 4 3 2" xfId="36040" xr:uid="{00000000-0005-0000-0000-00000E7F0000}"/>
    <cellStyle name="60% - Accent1 4 4" xfId="36041" xr:uid="{00000000-0005-0000-0000-00000F7F0000}"/>
    <cellStyle name="60% - Accent1 4 4 2" xfId="36042" xr:uid="{00000000-0005-0000-0000-0000107F0000}"/>
    <cellStyle name="60% - Accent1 4 5" xfId="36043" xr:uid="{00000000-0005-0000-0000-0000117F0000}"/>
    <cellStyle name="60% - Accent1 4 5 2" xfId="36044" xr:uid="{00000000-0005-0000-0000-0000127F0000}"/>
    <cellStyle name="60% - Accent1 4 6" xfId="36045" xr:uid="{00000000-0005-0000-0000-0000137F0000}"/>
    <cellStyle name="60% - Accent1 4 6 2" xfId="36046" xr:uid="{00000000-0005-0000-0000-0000147F0000}"/>
    <cellStyle name="60% - Accent1 4 7" xfId="36047" xr:uid="{00000000-0005-0000-0000-0000157F0000}"/>
    <cellStyle name="60% - Accent1 4 7 2" xfId="36048" xr:uid="{00000000-0005-0000-0000-0000167F0000}"/>
    <cellStyle name="60% - Accent1 4 8" xfId="36049" xr:uid="{00000000-0005-0000-0000-0000177F0000}"/>
    <cellStyle name="60% - Accent1 4 8 2" xfId="36050" xr:uid="{00000000-0005-0000-0000-0000187F0000}"/>
    <cellStyle name="60% - Accent1 4 9" xfId="36051" xr:uid="{00000000-0005-0000-0000-0000197F0000}"/>
    <cellStyle name="60% - Accent1 5" xfId="36052" xr:uid="{00000000-0005-0000-0000-00001A7F0000}"/>
    <cellStyle name="60% - Accent1 5 2" xfId="36053" xr:uid="{00000000-0005-0000-0000-00001B7F0000}"/>
    <cellStyle name="60% - Accent1 5 2 2" xfId="36054" xr:uid="{00000000-0005-0000-0000-00001C7F0000}"/>
    <cellStyle name="60% - Accent1 5 3" xfId="36055" xr:uid="{00000000-0005-0000-0000-00001D7F0000}"/>
    <cellStyle name="60% - Accent1 5 3 2" xfId="36056" xr:uid="{00000000-0005-0000-0000-00001E7F0000}"/>
    <cellStyle name="60% - Accent1 5 4" xfId="36057" xr:uid="{00000000-0005-0000-0000-00001F7F0000}"/>
    <cellStyle name="60% - Accent1 5 4 2" xfId="36058" xr:uid="{00000000-0005-0000-0000-0000207F0000}"/>
    <cellStyle name="60% - Accent1 5 5" xfId="36059" xr:uid="{00000000-0005-0000-0000-0000217F0000}"/>
    <cellStyle name="60% - Accent1 5 5 2" xfId="36060" xr:uid="{00000000-0005-0000-0000-0000227F0000}"/>
    <cellStyle name="60% - Accent1 5 6" xfId="36061" xr:uid="{00000000-0005-0000-0000-0000237F0000}"/>
    <cellStyle name="60% - Accent1 5 6 2" xfId="36062" xr:uid="{00000000-0005-0000-0000-0000247F0000}"/>
    <cellStyle name="60% - Accent1 5 7" xfId="36063" xr:uid="{00000000-0005-0000-0000-0000257F0000}"/>
    <cellStyle name="60% - Accent1 5 7 2" xfId="36064" xr:uid="{00000000-0005-0000-0000-0000267F0000}"/>
    <cellStyle name="60% - Accent1 5 8" xfId="36065" xr:uid="{00000000-0005-0000-0000-0000277F0000}"/>
    <cellStyle name="60% - Accent1 5 8 2" xfId="36066" xr:uid="{00000000-0005-0000-0000-0000287F0000}"/>
    <cellStyle name="60% - Accent1 5 9" xfId="36067" xr:uid="{00000000-0005-0000-0000-0000297F0000}"/>
    <cellStyle name="60% - Accent1 6" xfId="36068" xr:uid="{00000000-0005-0000-0000-00002A7F0000}"/>
    <cellStyle name="60% - Accent1 6 2" xfId="36069" xr:uid="{00000000-0005-0000-0000-00002B7F0000}"/>
    <cellStyle name="60% - Accent1 7" xfId="36070" xr:uid="{00000000-0005-0000-0000-00002C7F0000}"/>
    <cellStyle name="60% - Accent2" xfId="125" builtinId="36" customBuiltin="1"/>
    <cellStyle name="60% - Accent2 2" xfId="222" xr:uid="{00000000-0005-0000-0000-00002D7F0000}"/>
    <cellStyle name="60% - Accent2 2 2" xfId="36071" xr:uid="{00000000-0005-0000-0000-00002E7F0000}"/>
    <cellStyle name="60% - Accent2 2 2 2" xfId="36072" xr:uid="{00000000-0005-0000-0000-00002F7F0000}"/>
    <cellStyle name="60% - Accent2 2 3" xfId="36073" xr:uid="{00000000-0005-0000-0000-0000307F0000}"/>
    <cellStyle name="60% - Accent2 2 3 2" xfId="36074" xr:uid="{00000000-0005-0000-0000-0000317F0000}"/>
    <cellStyle name="60% - Accent2 2 4" xfId="36075" xr:uid="{00000000-0005-0000-0000-0000327F0000}"/>
    <cellStyle name="60% - Accent2 2 4 2" xfId="36076" xr:uid="{00000000-0005-0000-0000-0000337F0000}"/>
    <cellStyle name="60% - Accent2 2 5" xfId="36077" xr:uid="{00000000-0005-0000-0000-0000347F0000}"/>
    <cellStyle name="60% - Accent2 2 5 2" xfId="36078" xr:uid="{00000000-0005-0000-0000-0000357F0000}"/>
    <cellStyle name="60% - Accent2 2 6" xfId="36079" xr:uid="{00000000-0005-0000-0000-0000367F0000}"/>
    <cellStyle name="60% - Accent2 2 7" xfId="36080" xr:uid="{00000000-0005-0000-0000-0000377F0000}"/>
    <cellStyle name="60% - Accent2 3" xfId="36081" xr:uid="{00000000-0005-0000-0000-0000387F0000}"/>
    <cellStyle name="60% - Accent2 3 10" xfId="36082" xr:uid="{00000000-0005-0000-0000-0000397F0000}"/>
    <cellStyle name="60% - Accent2 3 11" xfId="36083" xr:uid="{00000000-0005-0000-0000-00003A7F0000}"/>
    <cellStyle name="60% - Accent2 3 2" xfId="36084" xr:uid="{00000000-0005-0000-0000-00003B7F0000}"/>
    <cellStyle name="60% - Accent2 3 2 2" xfId="36085" xr:uid="{00000000-0005-0000-0000-00003C7F0000}"/>
    <cellStyle name="60% - Accent2 3 3" xfId="36086" xr:uid="{00000000-0005-0000-0000-00003D7F0000}"/>
    <cellStyle name="60% - Accent2 3 3 2" xfId="36087" xr:uid="{00000000-0005-0000-0000-00003E7F0000}"/>
    <cellStyle name="60% - Accent2 3 4" xfId="36088" xr:uid="{00000000-0005-0000-0000-00003F7F0000}"/>
    <cellStyle name="60% - Accent2 3 4 2" xfId="36089" xr:uid="{00000000-0005-0000-0000-0000407F0000}"/>
    <cellStyle name="60% - Accent2 3 5" xfId="36090" xr:uid="{00000000-0005-0000-0000-0000417F0000}"/>
    <cellStyle name="60% - Accent2 3 5 2" xfId="36091" xr:uid="{00000000-0005-0000-0000-0000427F0000}"/>
    <cellStyle name="60% - Accent2 3 6" xfId="36092" xr:uid="{00000000-0005-0000-0000-0000437F0000}"/>
    <cellStyle name="60% - Accent2 3 6 2" xfId="36093" xr:uid="{00000000-0005-0000-0000-0000447F0000}"/>
    <cellStyle name="60% - Accent2 3 7" xfId="36094" xr:uid="{00000000-0005-0000-0000-0000457F0000}"/>
    <cellStyle name="60% - Accent2 3 7 2" xfId="36095" xr:uid="{00000000-0005-0000-0000-0000467F0000}"/>
    <cellStyle name="60% - Accent2 3 8" xfId="36096" xr:uid="{00000000-0005-0000-0000-0000477F0000}"/>
    <cellStyle name="60% - Accent2 3 8 2" xfId="36097" xr:uid="{00000000-0005-0000-0000-0000487F0000}"/>
    <cellStyle name="60% - Accent2 3 9" xfId="36098" xr:uid="{00000000-0005-0000-0000-0000497F0000}"/>
    <cellStyle name="60% - Accent2 4" xfId="36099" xr:uid="{00000000-0005-0000-0000-00004A7F0000}"/>
    <cellStyle name="60% - Accent2 4 10" xfId="36100" xr:uid="{00000000-0005-0000-0000-00004B7F0000}"/>
    <cellStyle name="60% - Accent2 4 2" xfId="36101" xr:uid="{00000000-0005-0000-0000-00004C7F0000}"/>
    <cellStyle name="60% - Accent2 4 2 2" xfId="36102" xr:uid="{00000000-0005-0000-0000-00004D7F0000}"/>
    <cellStyle name="60% - Accent2 4 3" xfId="36103" xr:uid="{00000000-0005-0000-0000-00004E7F0000}"/>
    <cellStyle name="60% - Accent2 4 3 2" xfId="36104" xr:uid="{00000000-0005-0000-0000-00004F7F0000}"/>
    <cellStyle name="60% - Accent2 4 4" xfId="36105" xr:uid="{00000000-0005-0000-0000-0000507F0000}"/>
    <cellStyle name="60% - Accent2 4 4 2" xfId="36106" xr:uid="{00000000-0005-0000-0000-0000517F0000}"/>
    <cellStyle name="60% - Accent2 4 5" xfId="36107" xr:uid="{00000000-0005-0000-0000-0000527F0000}"/>
    <cellStyle name="60% - Accent2 4 5 2" xfId="36108" xr:uid="{00000000-0005-0000-0000-0000537F0000}"/>
    <cellStyle name="60% - Accent2 4 6" xfId="36109" xr:uid="{00000000-0005-0000-0000-0000547F0000}"/>
    <cellStyle name="60% - Accent2 4 6 2" xfId="36110" xr:uid="{00000000-0005-0000-0000-0000557F0000}"/>
    <cellStyle name="60% - Accent2 4 7" xfId="36111" xr:uid="{00000000-0005-0000-0000-0000567F0000}"/>
    <cellStyle name="60% - Accent2 4 7 2" xfId="36112" xr:uid="{00000000-0005-0000-0000-0000577F0000}"/>
    <cellStyle name="60% - Accent2 4 8" xfId="36113" xr:uid="{00000000-0005-0000-0000-0000587F0000}"/>
    <cellStyle name="60% - Accent2 4 8 2" xfId="36114" xr:uid="{00000000-0005-0000-0000-0000597F0000}"/>
    <cellStyle name="60% - Accent2 4 9" xfId="36115" xr:uid="{00000000-0005-0000-0000-00005A7F0000}"/>
    <cellStyle name="60% - Accent2 5" xfId="36116" xr:uid="{00000000-0005-0000-0000-00005B7F0000}"/>
    <cellStyle name="60% - Accent2 5 2" xfId="36117" xr:uid="{00000000-0005-0000-0000-00005C7F0000}"/>
    <cellStyle name="60% - Accent2 5 2 2" xfId="36118" xr:uid="{00000000-0005-0000-0000-00005D7F0000}"/>
    <cellStyle name="60% - Accent2 5 3" xfId="36119" xr:uid="{00000000-0005-0000-0000-00005E7F0000}"/>
    <cellStyle name="60% - Accent2 5 3 2" xfId="36120" xr:uid="{00000000-0005-0000-0000-00005F7F0000}"/>
    <cellStyle name="60% - Accent2 5 4" xfId="36121" xr:uid="{00000000-0005-0000-0000-0000607F0000}"/>
    <cellStyle name="60% - Accent2 5 4 2" xfId="36122" xr:uid="{00000000-0005-0000-0000-0000617F0000}"/>
    <cellStyle name="60% - Accent2 5 5" xfId="36123" xr:uid="{00000000-0005-0000-0000-0000627F0000}"/>
    <cellStyle name="60% - Accent2 5 5 2" xfId="36124" xr:uid="{00000000-0005-0000-0000-0000637F0000}"/>
    <cellStyle name="60% - Accent2 5 6" xfId="36125" xr:uid="{00000000-0005-0000-0000-0000647F0000}"/>
    <cellStyle name="60% - Accent2 5 6 2" xfId="36126" xr:uid="{00000000-0005-0000-0000-0000657F0000}"/>
    <cellStyle name="60% - Accent2 5 7" xfId="36127" xr:uid="{00000000-0005-0000-0000-0000667F0000}"/>
    <cellStyle name="60% - Accent2 5 7 2" xfId="36128" xr:uid="{00000000-0005-0000-0000-0000677F0000}"/>
    <cellStyle name="60% - Accent2 5 8" xfId="36129" xr:uid="{00000000-0005-0000-0000-0000687F0000}"/>
    <cellStyle name="60% - Accent2 5 8 2" xfId="36130" xr:uid="{00000000-0005-0000-0000-0000697F0000}"/>
    <cellStyle name="60% - Accent2 5 9" xfId="36131" xr:uid="{00000000-0005-0000-0000-00006A7F0000}"/>
    <cellStyle name="60% - Accent2 6" xfId="36132" xr:uid="{00000000-0005-0000-0000-00006B7F0000}"/>
    <cellStyle name="60% - Accent2 6 2" xfId="36133" xr:uid="{00000000-0005-0000-0000-00006C7F0000}"/>
    <cellStyle name="60% - Accent2 7" xfId="36134" xr:uid="{00000000-0005-0000-0000-00006D7F0000}"/>
    <cellStyle name="60% - Accent3" xfId="129" builtinId="40" customBuiltin="1"/>
    <cellStyle name="60% - Accent3 2" xfId="223" xr:uid="{00000000-0005-0000-0000-00006E7F0000}"/>
    <cellStyle name="60% - Accent3 2 2" xfId="36135" xr:uid="{00000000-0005-0000-0000-00006F7F0000}"/>
    <cellStyle name="60% - Accent3 2 2 2" xfId="36136" xr:uid="{00000000-0005-0000-0000-0000707F0000}"/>
    <cellStyle name="60% - Accent3 2 3" xfId="36137" xr:uid="{00000000-0005-0000-0000-0000717F0000}"/>
    <cellStyle name="60% - Accent3 2 3 2" xfId="36138" xr:uid="{00000000-0005-0000-0000-0000727F0000}"/>
    <cellStyle name="60% - Accent3 2 4" xfId="36139" xr:uid="{00000000-0005-0000-0000-0000737F0000}"/>
    <cellStyle name="60% - Accent3 2 4 2" xfId="36140" xr:uid="{00000000-0005-0000-0000-0000747F0000}"/>
    <cellStyle name="60% - Accent3 2 5" xfId="36141" xr:uid="{00000000-0005-0000-0000-0000757F0000}"/>
    <cellStyle name="60% - Accent3 2 5 2" xfId="36142" xr:uid="{00000000-0005-0000-0000-0000767F0000}"/>
    <cellStyle name="60% - Accent3 2 6" xfId="36143" xr:uid="{00000000-0005-0000-0000-0000777F0000}"/>
    <cellStyle name="60% - Accent3 2 7" xfId="36144" xr:uid="{00000000-0005-0000-0000-0000787F0000}"/>
    <cellStyle name="60% - Accent3 3" xfId="36145" xr:uid="{00000000-0005-0000-0000-0000797F0000}"/>
    <cellStyle name="60% - Accent3 3 10" xfId="36146" xr:uid="{00000000-0005-0000-0000-00007A7F0000}"/>
    <cellStyle name="60% - Accent3 3 11" xfId="36147" xr:uid="{00000000-0005-0000-0000-00007B7F0000}"/>
    <cellStyle name="60% - Accent3 3 2" xfId="36148" xr:uid="{00000000-0005-0000-0000-00007C7F0000}"/>
    <cellStyle name="60% - Accent3 3 2 2" xfId="36149" xr:uid="{00000000-0005-0000-0000-00007D7F0000}"/>
    <cellStyle name="60% - Accent3 3 3" xfId="36150" xr:uid="{00000000-0005-0000-0000-00007E7F0000}"/>
    <cellStyle name="60% - Accent3 3 3 2" xfId="36151" xr:uid="{00000000-0005-0000-0000-00007F7F0000}"/>
    <cellStyle name="60% - Accent3 3 4" xfId="36152" xr:uid="{00000000-0005-0000-0000-0000807F0000}"/>
    <cellStyle name="60% - Accent3 3 4 2" xfId="36153" xr:uid="{00000000-0005-0000-0000-0000817F0000}"/>
    <cellStyle name="60% - Accent3 3 5" xfId="36154" xr:uid="{00000000-0005-0000-0000-0000827F0000}"/>
    <cellStyle name="60% - Accent3 3 5 2" xfId="36155" xr:uid="{00000000-0005-0000-0000-0000837F0000}"/>
    <cellStyle name="60% - Accent3 3 6" xfId="36156" xr:uid="{00000000-0005-0000-0000-0000847F0000}"/>
    <cellStyle name="60% - Accent3 3 6 2" xfId="36157" xr:uid="{00000000-0005-0000-0000-0000857F0000}"/>
    <cellStyle name="60% - Accent3 3 7" xfId="36158" xr:uid="{00000000-0005-0000-0000-0000867F0000}"/>
    <cellStyle name="60% - Accent3 3 7 2" xfId="36159" xr:uid="{00000000-0005-0000-0000-0000877F0000}"/>
    <cellStyle name="60% - Accent3 3 8" xfId="36160" xr:uid="{00000000-0005-0000-0000-0000887F0000}"/>
    <cellStyle name="60% - Accent3 3 8 2" xfId="36161" xr:uid="{00000000-0005-0000-0000-0000897F0000}"/>
    <cellStyle name="60% - Accent3 3 9" xfId="36162" xr:uid="{00000000-0005-0000-0000-00008A7F0000}"/>
    <cellStyle name="60% - Accent3 4" xfId="36163" xr:uid="{00000000-0005-0000-0000-00008B7F0000}"/>
    <cellStyle name="60% - Accent3 4 10" xfId="36164" xr:uid="{00000000-0005-0000-0000-00008C7F0000}"/>
    <cellStyle name="60% - Accent3 4 2" xfId="36165" xr:uid="{00000000-0005-0000-0000-00008D7F0000}"/>
    <cellStyle name="60% - Accent3 4 2 2" xfId="36166" xr:uid="{00000000-0005-0000-0000-00008E7F0000}"/>
    <cellStyle name="60% - Accent3 4 3" xfId="36167" xr:uid="{00000000-0005-0000-0000-00008F7F0000}"/>
    <cellStyle name="60% - Accent3 4 3 2" xfId="36168" xr:uid="{00000000-0005-0000-0000-0000907F0000}"/>
    <cellStyle name="60% - Accent3 4 4" xfId="36169" xr:uid="{00000000-0005-0000-0000-0000917F0000}"/>
    <cellStyle name="60% - Accent3 4 4 2" xfId="36170" xr:uid="{00000000-0005-0000-0000-0000927F0000}"/>
    <cellStyle name="60% - Accent3 4 5" xfId="36171" xr:uid="{00000000-0005-0000-0000-0000937F0000}"/>
    <cellStyle name="60% - Accent3 4 5 2" xfId="36172" xr:uid="{00000000-0005-0000-0000-0000947F0000}"/>
    <cellStyle name="60% - Accent3 4 6" xfId="36173" xr:uid="{00000000-0005-0000-0000-0000957F0000}"/>
    <cellStyle name="60% - Accent3 4 6 2" xfId="36174" xr:uid="{00000000-0005-0000-0000-0000967F0000}"/>
    <cellStyle name="60% - Accent3 4 7" xfId="36175" xr:uid="{00000000-0005-0000-0000-0000977F0000}"/>
    <cellStyle name="60% - Accent3 4 7 2" xfId="36176" xr:uid="{00000000-0005-0000-0000-0000987F0000}"/>
    <cellStyle name="60% - Accent3 4 8" xfId="36177" xr:uid="{00000000-0005-0000-0000-0000997F0000}"/>
    <cellStyle name="60% - Accent3 4 8 2" xfId="36178" xr:uid="{00000000-0005-0000-0000-00009A7F0000}"/>
    <cellStyle name="60% - Accent3 4 9" xfId="36179" xr:uid="{00000000-0005-0000-0000-00009B7F0000}"/>
    <cellStyle name="60% - Accent3 5" xfId="36180" xr:uid="{00000000-0005-0000-0000-00009C7F0000}"/>
    <cellStyle name="60% - Accent3 5 2" xfId="36181" xr:uid="{00000000-0005-0000-0000-00009D7F0000}"/>
    <cellStyle name="60% - Accent3 5 2 2" xfId="36182" xr:uid="{00000000-0005-0000-0000-00009E7F0000}"/>
    <cellStyle name="60% - Accent3 5 3" xfId="36183" xr:uid="{00000000-0005-0000-0000-00009F7F0000}"/>
    <cellStyle name="60% - Accent3 5 3 2" xfId="36184" xr:uid="{00000000-0005-0000-0000-0000A07F0000}"/>
    <cellStyle name="60% - Accent3 5 4" xfId="36185" xr:uid="{00000000-0005-0000-0000-0000A17F0000}"/>
    <cellStyle name="60% - Accent3 5 4 2" xfId="36186" xr:uid="{00000000-0005-0000-0000-0000A27F0000}"/>
    <cellStyle name="60% - Accent3 5 5" xfId="36187" xr:uid="{00000000-0005-0000-0000-0000A37F0000}"/>
    <cellStyle name="60% - Accent3 5 5 2" xfId="36188" xr:uid="{00000000-0005-0000-0000-0000A47F0000}"/>
    <cellStyle name="60% - Accent3 5 6" xfId="36189" xr:uid="{00000000-0005-0000-0000-0000A57F0000}"/>
    <cellStyle name="60% - Accent3 5 6 2" xfId="36190" xr:uid="{00000000-0005-0000-0000-0000A67F0000}"/>
    <cellStyle name="60% - Accent3 5 7" xfId="36191" xr:uid="{00000000-0005-0000-0000-0000A77F0000}"/>
    <cellStyle name="60% - Accent3 5 7 2" xfId="36192" xr:uid="{00000000-0005-0000-0000-0000A87F0000}"/>
    <cellStyle name="60% - Accent3 5 8" xfId="36193" xr:uid="{00000000-0005-0000-0000-0000A97F0000}"/>
    <cellStyle name="60% - Accent3 5 8 2" xfId="36194" xr:uid="{00000000-0005-0000-0000-0000AA7F0000}"/>
    <cellStyle name="60% - Accent3 5 9" xfId="36195" xr:uid="{00000000-0005-0000-0000-0000AB7F0000}"/>
    <cellStyle name="60% - Accent3 6" xfId="36196" xr:uid="{00000000-0005-0000-0000-0000AC7F0000}"/>
    <cellStyle name="60% - Accent3 6 2" xfId="36197" xr:uid="{00000000-0005-0000-0000-0000AD7F0000}"/>
    <cellStyle name="60% - Accent3 7" xfId="36198" xr:uid="{00000000-0005-0000-0000-0000AE7F0000}"/>
    <cellStyle name="60% - Accent4" xfId="133" builtinId="44" customBuiltin="1"/>
    <cellStyle name="60% - Accent4 2" xfId="224" xr:uid="{00000000-0005-0000-0000-0000AF7F0000}"/>
    <cellStyle name="60% - Accent4 2 2" xfId="36199" xr:uid="{00000000-0005-0000-0000-0000B07F0000}"/>
    <cellStyle name="60% - Accent4 2 2 2" xfId="36200" xr:uid="{00000000-0005-0000-0000-0000B17F0000}"/>
    <cellStyle name="60% - Accent4 2 3" xfId="36201" xr:uid="{00000000-0005-0000-0000-0000B27F0000}"/>
    <cellStyle name="60% - Accent4 2 3 2" xfId="36202" xr:uid="{00000000-0005-0000-0000-0000B37F0000}"/>
    <cellStyle name="60% - Accent4 2 4" xfId="36203" xr:uid="{00000000-0005-0000-0000-0000B47F0000}"/>
    <cellStyle name="60% - Accent4 2 4 2" xfId="36204" xr:uid="{00000000-0005-0000-0000-0000B57F0000}"/>
    <cellStyle name="60% - Accent4 2 5" xfId="36205" xr:uid="{00000000-0005-0000-0000-0000B67F0000}"/>
    <cellStyle name="60% - Accent4 2 5 2" xfId="36206" xr:uid="{00000000-0005-0000-0000-0000B77F0000}"/>
    <cellStyle name="60% - Accent4 2 6" xfId="36207" xr:uid="{00000000-0005-0000-0000-0000B87F0000}"/>
    <cellStyle name="60% - Accent4 2 7" xfId="36208" xr:uid="{00000000-0005-0000-0000-0000B97F0000}"/>
    <cellStyle name="60% - Accent4 3" xfId="36209" xr:uid="{00000000-0005-0000-0000-0000BA7F0000}"/>
    <cellStyle name="60% - Accent4 3 10" xfId="36210" xr:uid="{00000000-0005-0000-0000-0000BB7F0000}"/>
    <cellStyle name="60% - Accent4 3 11" xfId="36211" xr:uid="{00000000-0005-0000-0000-0000BC7F0000}"/>
    <cellStyle name="60% - Accent4 3 2" xfId="36212" xr:uid="{00000000-0005-0000-0000-0000BD7F0000}"/>
    <cellStyle name="60% - Accent4 3 2 2" xfId="36213" xr:uid="{00000000-0005-0000-0000-0000BE7F0000}"/>
    <cellStyle name="60% - Accent4 3 3" xfId="36214" xr:uid="{00000000-0005-0000-0000-0000BF7F0000}"/>
    <cellStyle name="60% - Accent4 3 3 2" xfId="36215" xr:uid="{00000000-0005-0000-0000-0000C07F0000}"/>
    <cellStyle name="60% - Accent4 3 4" xfId="36216" xr:uid="{00000000-0005-0000-0000-0000C17F0000}"/>
    <cellStyle name="60% - Accent4 3 4 2" xfId="36217" xr:uid="{00000000-0005-0000-0000-0000C27F0000}"/>
    <cellStyle name="60% - Accent4 3 5" xfId="36218" xr:uid="{00000000-0005-0000-0000-0000C37F0000}"/>
    <cellStyle name="60% - Accent4 3 5 2" xfId="36219" xr:uid="{00000000-0005-0000-0000-0000C47F0000}"/>
    <cellStyle name="60% - Accent4 3 6" xfId="36220" xr:uid="{00000000-0005-0000-0000-0000C57F0000}"/>
    <cellStyle name="60% - Accent4 3 6 2" xfId="36221" xr:uid="{00000000-0005-0000-0000-0000C67F0000}"/>
    <cellStyle name="60% - Accent4 3 7" xfId="36222" xr:uid="{00000000-0005-0000-0000-0000C77F0000}"/>
    <cellStyle name="60% - Accent4 3 7 2" xfId="36223" xr:uid="{00000000-0005-0000-0000-0000C87F0000}"/>
    <cellStyle name="60% - Accent4 3 8" xfId="36224" xr:uid="{00000000-0005-0000-0000-0000C97F0000}"/>
    <cellStyle name="60% - Accent4 3 8 2" xfId="36225" xr:uid="{00000000-0005-0000-0000-0000CA7F0000}"/>
    <cellStyle name="60% - Accent4 3 9" xfId="36226" xr:uid="{00000000-0005-0000-0000-0000CB7F0000}"/>
    <cellStyle name="60% - Accent4 4" xfId="36227" xr:uid="{00000000-0005-0000-0000-0000CC7F0000}"/>
    <cellStyle name="60% - Accent4 4 10" xfId="36228" xr:uid="{00000000-0005-0000-0000-0000CD7F0000}"/>
    <cellStyle name="60% - Accent4 4 2" xfId="36229" xr:uid="{00000000-0005-0000-0000-0000CE7F0000}"/>
    <cellStyle name="60% - Accent4 4 2 2" xfId="36230" xr:uid="{00000000-0005-0000-0000-0000CF7F0000}"/>
    <cellStyle name="60% - Accent4 4 3" xfId="36231" xr:uid="{00000000-0005-0000-0000-0000D07F0000}"/>
    <cellStyle name="60% - Accent4 4 3 2" xfId="36232" xr:uid="{00000000-0005-0000-0000-0000D17F0000}"/>
    <cellStyle name="60% - Accent4 4 4" xfId="36233" xr:uid="{00000000-0005-0000-0000-0000D27F0000}"/>
    <cellStyle name="60% - Accent4 4 4 2" xfId="36234" xr:uid="{00000000-0005-0000-0000-0000D37F0000}"/>
    <cellStyle name="60% - Accent4 4 5" xfId="36235" xr:uid="{00000000-0005-0000-0000-0000D47F0000}"/>
    <cellStyle name="60% - Accent4 4 5 2" xfId="36236" xr:uid="{00000000-0005-0000-0000-0000D57F0000}"/>
    <cellStyle name="60% - Accent4 4 6" xfId="36237" xr:uid="{00000000-0005-0000-0000-0000D67F0000}"/>
    <cellStyle name="60% - Accent4 4 6 2" xfId="36238" xr:uid="{00000000-0005-0000-0000-0000D77F0000}"/>
    <cellStyle name="60% - Accent4 4 7" xfId="36239" xr:uid="{00000000-0005-0000-0000-0000D87F0000}"/>
    <cellStyle name="60% - Accent4 4 7 2" xfId="36240" xr:uid="{00000000-0005-0000-0000-0000D97F0000}"/>
    <cellStyle name="60% - Accent4 4 8" xfId="36241" xr:uid="{00000000-0005-0000-0000-0000DA7F0000}"/>
    <cellStyle name="60% - Accent4 4 8 2" xfId="36242" xr:uid="{00000000-0005-0000-0000-0000DB7F0000}"/>
    <cellStyle name="60% - Accent4 4 9" xfId="36243" xr:uid="{00000000-0005-0000-0000-0000DC7F0000}"/>
    <cellStyle name="60% - Accent4 5" xfId="36244" xr:uid="{00000000-0005-0000-0000-0000DD7F0000}"/>
    <cellStyle name="60% - Accent4 5 2" xfId="36245" xr:uid="{00000000-0005-0000-0000-0000DE7F0000}"/>
    <cellStyle name="60% - Accent4 5 2 2" xfId="36246" xr:uid="{00000000-0005-0000-0000-0000DF7F0000}"/>
    <cellStyle name="60% - Accent4 5 3" xfId="36247" xr:uid="{00000000-0005-0000-0000-0000E07F0000}"/>
    <cellStyle name="60% - Accent4 5 3 2" xfId="36248" xr:uid="{00000000-0005-0000-0000-0000E17F0000}"/>
    <cellStyle name="60% - Accent4 5 4" xfId="36249" xr:uid="{00000000-0005-0000-0000-0000E27F0000}"/>
    <cellStyle name="60% - Accent4 5 4 2" xfId="36250" xr:uid="{00000000-0005-0000-0000-0000E37F0000}"/>
    <cellStyle name="60% - Accent4 5 5" xfId="36251" xr:uid="{00000000-0005-0000-0000-0000E47F0000}"/>
    <cellStyle name="60% - Accent4 5 5 2" xfId="36252" xr:uid="{00000000-0005-0000-0000-0000E57F0000}"/>
    <cellStyle name="60% - Accent4 5 6" xfId="36253" xr:uid="{00000000-0005-0000-0000-0000E67F0000}"/>
    <cellStyle name="60% - Accent4 5 6 2" xfId="36254" xr:uid="{00000000-0005-0000-0000-0000E77F0000}"/>
    <cellStyle name="60% - Accent4 5 7" xfId="36255" xr:uid="{00000000-0005-0000-0000-0000E87F0000}"/>
    <cellStyle name="60% - Accent4 5 7 2" xfId="36256" xr:uid="{00000000-0005-0000-0000-0000E97F0000}"/>
    <cellStyle name="60% - Accent4 5 8" xfId="36257" xr:uid="{00000000-0005-0000-0000-0000EA7F0000}"/>
    <cellStyle name="60% - Accent4 5 8 2" xfId="36258" xr:uid="{00000000-0005-0000-0000-0000EB7F0000}"/>
    <cellStyle name="60% - Accent4 5 9" xfId="36259" xr:uid="{00000000-0005-0000-0000-0000EC7F0000}"/>
    <cellStyle name="60% - Accent4 6" xfId="36260" xr:uid="{00000000-0005-0000-0000-0000ED7F0000}"/>
    <cellStyle name="60% - Accent4 6 2" xfId="36261" xr:uid="{00000000-0005-0000-0000-0000EE7F0000}"/>
    <cellStyle name="60% - Accent4 7" xfId="36262" xr:uid="{00000000-0005-0000-0000-0000EF7F0000}"/>
    <cellStyle name="60% - Accent5" xfId="137" builtinId="48" customBuiltin="1"/>
    <cellStyle name="60% - Accent5 2" xfId="225" xr:uid="{00000000-0005-0000-0000-0000F07F0000}"/>
    <cellStyle name="60% - Accent5 2 2" xfId="36263" xr:uid="{00000000-0005-0000-0000-0000F17F0000}"/>
    <cellStyle name="60% - Accent5 2 2 2" xfId="36264" xr:uid="{00000000-0005-0000-0000-0000F27F0000}"/>
    <cellStyle name="60% - Accent5 2 3" xfId="36265" xr:uid="{00000000-0005-0000-0000-0000F37F0000}"/>
    <cellStyle name="60% - Accent5 2 3 2" xfId="36266" xr:uid="{00000000-0005-0000-0000-0000F47F0000}"/>
    <cellStyle name="60% - Accent5 2 4" xfId="36267" xr:uid="{00000000-0005-0000-0000-0000F57F0000}"/>
    <cellStyle name="60% - Accent5 2 4 2" xfId="36268" xr:uid="{00000000-0005-0000-0000-0000F67F0000}"/>
    <cellStyle name="60% - Accent5 2 5" xfId="36269" xr:uid="{00000000-0005-0000-0000-0000F77F0000}"/>
    <cellStyle name="60% - Accent5 2 5 2" xfId="36270" xr:uid="{00000000-0005-0000-0000-0000F87F0000}"/>
    <cellStyle name="60% - Accent5 2 6" xfId="36271" xr:uid="{00000000-0005-0000-0000-0000F97F0000}"/>
    <cellStyle name="60% - Accent5 2 7" xfId="36272" xr:uid="{00000000-0005-0000-0000-0000FA7F0000}"/>
    <cellStyle name="60% - Accent5 3" xfId="36273" xr:uid="{00000000-0005-0000-0000-0000FB7F0000}"/>
    <cellStyle name="60% - Accent5 3 10" xfId="36274" xr:uid="{00000000-0005-0000-0000-0000FC7F0000}"/>
    <cellStyle name="60% - Accent5 3 11" xfId="36275" xr:uid="{00000000-0005-0000-0000-0000FD7F0000}"/>
    <cellStyle name="60% - Accent5 3 2" xfId="36276" xr:uid="{00000000-0005-0000-0000-0000FE7F0000}"/>
    <cellStyle name="60% - Accent5 3 2 2" xfId="36277" xr:uid="{00000000-0005-0000-0000-0000FF7F0000}"/>
    <cellStyle name="60% - Accent5 3 3" xfId="36278" xr:uid="{00000000-0005-0000-0000-000000800000}"/>
    <cellStyle name="60% - Accent5 3 3 2" xfId="36279" xr:uid="{00000000-0005-0000-0000-000001800000}"/>
    <cellStyle name="60% - Accent5 3 4" xfId="36280" xr:uid="{00000000-0005-0000-0000-000002800000}"/>
    <cellStyle name="60% - Accent5 3 4 2" xfId="36281" xr:uid="{00000000-0005-0000-0000-000003800000}"/>
    <cellStyle name="60% - Accent5 3 5" xfId="36282" xr:uid="{00000000-0005-0000-0000-000004800000}"/>
    <cellStyle name="60% - Accent5 3 5 2" xfId="36283" xr:uid="{00000000-0005-0000-0000-000005800000}"/>
    <cellStyle name="60% - Accent5 3 6" xfId="36284" xr:uid="{00000000-0005-0000-0000-000006800000}"/>
    <cellStyle name="60% - Accent5 3 6 2" xfId="36285" xr:uid="{00000000-0005-0000-0000-000007800000}"/>
    <cellStyle name="60% - Accent5 3 7" xfId="36286" xr:uid="{00000000-0005-0000-0000-000008800000}"/>
    <cellStyle name="60% - Accent5 3 7 2" xfId="36287" xr:uid="{00000000-0005-0000-0000-000009800000}"/>
    <cellStyle name="60% - Accent5 3 8" xfId="36288" xr:uid="{00000000-0005-0000-0000-00000A800000}"/>
    <cellStyle name="60% - Accent5 3 8 2" xfId="36289" xr:uid="{00000000-0005-0000-0000-00000B800000}"/>
    <cellStyle name="60% - Accent5 3 9" xfId="36290" xr:uid="{00000000-0005-0000-0000-00000C800000}"/>
    <cellStyle name="60% - Accent5 4" xfId="36291" xr:uid="{00000000-0005-0000-0000-00000D800000}"/>
    <cellStyle name="60% - Accent5 4 10" xfId="36292" xr:uid="{00000000-0005-0000-0000-00000E800000}"/>
    <cellStyle name="60% - Accent5 4 2" xfId="36293" xr:uid="{00000000-0005-0000-0000-00000F800000}"/>
    <cellStyle name="60% - Accent5 4 2 2" xfId="36294" xr:uid="{00000000-0005-0000-0000-000010800000}"/>
    <cellStyle name="60% - Accent5 4 3" xfId="36295" xr:uid="{00000000-0005-0000-0000-000011800000}"/>
    <cellStyle name="60% - Accent5 4 3 2" xfId="36296" xr:uid="{00000000-0005-0000-0000-000012800000}"/>
    <cellStyle name="60% - Accent5 4 4" xfId="36297" xr:uid="{00000000-0005-0000-0000-000013800000}"/>
    <cellStyle name="60% - Accent5 4 4 2" xfId="36298" xr:uid="{00000000-0005-0000-0000-000014800000}"/>
    <cellStyle name="60% - Accent5 4 5" xfId="36299" xr:uid="{00000000-0005-0000-0000-000015800000}"/>
    <cellStyle name="60% - Accent5 4 5 2" xfId="36300" xr:uid="{00000000-0005-0000-0000-000016800000}"/>
    <cellStyle name="60% - Accent5 4 6" xfId="36301" xr:uid="{00000000-0005-0000-0000-000017800000}"/>
    <cellStyle name="60% - Accent5 4 6 2" xfId="36302" xr:uid="{00000000-0005-0000-0000-000018800000}"/>
    <cellStyle name="60% - Accent5 4 7" xfId="36303" xr:uid="{00000000-0005-0000-0000-000019800000}"/>
    <cellStyle name="60% - Accent5 4 7 2" xfId="36304" xr:uid="{00000000-0005-0000-0000-00001A800000}"/>
    <cellStyle name="60% - Accent5 4 8" xfId="36305" xr:uid="{00000000-0005-0000-0000-00001B800000}"/>
    <cellStyle name="60% - Accent5 4 8 2" xfId="36306" xr:uid="{00000000-0005-0000-0000-00001C800000}"/>
    <cellStyle name="60% - Accent5 4 9" xfId="36307" xr:uid="{00000000-0005-0000-0000-00001D800000}"/>
    <cellStyle name="60% - Accent5 5" xfId="36308" xr:uid="{00000000-0005-0000-0000-00001E800000}"/>
    <cellStyle name="60% - Accent5 5 2" xfId="36309" xr:uid="{00000000-0005-0000-0000-00001F800000}"/>
    <cellStyle name="60% - Accent5 5 2 2" xfId="36310" xr:uid="{00000000-0005-0000-0000-000020800000}"/>
    <cellStyle name="60% - Accent5 5 3" xfId="36311" xr:uid="{00000000-0005-0000-0000-000021800000}"/>
    <cellStyle name="60% - Accent5 5 3 2" xfId="36312" xr:uid="{00000000-0005-0000-0000-000022800000}"/>
    <cellStyle name="60% - Accent5 5 4" xfId="36313" xr:uid="{00000000-0005-0000-0000-000023800000}"/>
    <cellStyle name="60% - Accent5 5 4 2" xfId="36314" xr:uid="{00000000-0005-0000-0000-000024800000}"/>
    <cellStyle name="60% - Accent5 5 5" xfId="36315" xr:uid="{00000000-0005-0000-0000-000025800000}"/>
    <cellStyle name="60% - Accent5 5 5 2" xfId="36316" xr:uid="{00000000-0005-0000-0000-000026800000}"/>
    <cellStyle name="60% - Accent5 5 6" xfId="36317" xr:uid="{00000000-0005-0000-0000-000027800000}"/>
    <cellStyle name="60% - Accent5 5 6 2" xfId="36318" xr:uid="{00000000-0005-0000-0000-000028800000}"/>
    <cellStyle name="60% - Accent5 5 7" xfId="36319" xr:uid="{00000000-0005-0000-0000-000029800000}"/>
    <cellStyle name="60% - Accent5 5 7 2" xfId="36320" xr:uid="{00000000-0005-0000-0000-00002A800000}"/>
    <cellStyle name="60% - Accent5 5 8" xfId="36321" xr:uid="{00000000-0005-0000-0000-00002B800000}"/>
    <cellStyle name="60% - Accent5 5 8 2" xfId="36322" xr:uid="{00000000-0005-0000-0000-00002C800000}"/>
    <cellStyle name="60% - Accent5 5 9" xfId="36323" xr:uid="{00000000-0005-0000-0000-00002D800000}"/>
    <cellStyle name="60% - Accent5 6" xfId="36324" xr:uid="{00000000-0005-0000-0000-00002E800000}"/>
    <cellStyle name="60% - Accent5 6 2" xfId="36325" xr:uid="{00000000-0005-0000-0000-00002F800000}"/>
    <cellStyle name="60% - Accent5 7" xfId="36326" xr:uid="{00000000-0005-0000-0000-000030800000}"/>
    <cellStyle name="60% - Accent6" xfId="141" builtinId="52" customBuiltin="1"/>
    <cellStyle name="60% - Accent6 2" xfId="226" xr:uid="{00000000-0005-0000-0000-000031800000}"/>
    <cellStyle name="60% - Accent6 2 2" xfId="36327" xr:uid="{00000000-0005-0000-0000-000032800000}"/>
    <cellStyle name="60% - Accent6 2 2 2" xfId="36328" xr:uid="{00000000-0005-0000-0000-000033800000}"/>
    <cellStyle name="60% - Accent6 2 3" xfId="36329" xr:uid="{00000000-0005-0000-0000-000034800000}"/>
    <cellStyle name="60% - Accent6 2 3 2" xfId="36330" xr:uid="{00000000-0005-0000-0000-000035800000}"/>
    <cellStyle name="60% - Accent6 2 4" xfId="36331" xr:uid="{00000000-0005-0000-0000-000036800000}"/>
    <cellStyle name="60% - Accent6 2 4 2" xfId="36332" xr:uid="{00000000-0005-0000-0000-000037800000}"/>
    <cellStyle name="60% - Accent6 2 5" xfId="36333" xr:uid="{00000000-0005-0000-0000-000038800000}"/>
    <cellStyle name="60% - Accent6 2 5 2" xfId="36334" xr:uid="{00000000-0005-0000-0000-000039800000}"/>
    <cellStyle name="60% - Accent6 2 6" xfId="36335" xr:uid="{00000000-0005-0000-0000-00003A800000}"/>
    <cellStyle name="60% - Accent6 2 7" xfId="36336" xr:uid="{00000000-0005-0000-0000-00003B800000}"/>
    <cellStyle name="60% - Accent6 3" xfId="36337" xr:uid="{00000000-0005-0000-0000-00003C800000}"/>
    <cellStyle name="60% - Accent6 3 10" xfId="36338" xr:uid="{00000000-0005-0000-0000-00003D800000}"/>
    <cellStyle name="60% - Accent6 3 11" xfId="36339" xr:uid="{00000000-0005-0000-0000-00003E800000}"/>
    <cellStyle name="60% - Accent6 3 2" xfId="36340" xr:uid="{00000000-0005-0000-0000-00003F800000}"/>
    <cellStyle name="60% - Accent6 3 2 2" xfId="36341" xr:uid="{00000000-0005-0000-0000-000040800000}"/>
    <cellStyle name="60% - Accent6 3 3" xfId="36342" xr:uid="{00000000-0005-0000-0000-000041800000}"/>
    <cellStyle name="60% - Accent6 3 3 2" xfId="36343" xr:uid="{00000000-0005-0000-0000-000042800000}"/>
    <cellStyle name="60% - Accent6 3 4" xfId="36344" xr:uid="{00000000-0005-0000-0000-000043800000}"/>
    <cellStyle name="60% - Accent6 3 4 2" xfId="36345" xr:uid="{00000000-0005-0000-0000-000044800000}"/>
    <cellStyle name="60% - Accent6 3 5" xfId="36346" xr:uid="{00000000-0005-0000-0000-000045800000}"/>
    <cellStyle name="60% - Accent6 3 5 2" xfId="36347" xr:uid="{00000000-0005-0000-0000-000046800000}"/>
    <cellStyle name="60% - Accent6 3 6" xfId="36348" xr:uid="{00000000-0005-0000-0000-000047800000}"/>
    <cellStyle name="60% - Accent6 3 6 2" xfId="36349" xr:uid="{00000000-0005-0000-0000-000048800000}"/>
    <cellStyle name="60% - Accent6 3 7" xfId="36350" xr:uid="{00000000-0005-0000-0000-000049800000}"/>
    <cellStyle name="60% - Accent6 3 7 2" xfId="36351" xr:uid="{00000000-0005-0000-0000-00004A800000}"/>
    <cellStyle name="60% - Accent6 3 8" xfId="36352" xr:uid="{00000000-0005-0000-0000-00004B800000}"/>
    <cellStyle name="60% - Accent6 3 8 2" xfId="36353" xr:uid="{00000000-0005-0000-0000-00004C800000}"/>
    <cellStyle name="60% - Accent6 3 9" xfId="36354" xr:uid="{00000000-0005-0000-0000-00004D800000}"/>
    <cellStyle name="60% - Accent6 4" xfId="36355" xr:uid="{00000000-0005-0000-0000-00004E800000}"/>
    <cellStyle name="60% - Accent6 4 10" xfId="36356" xr:uid="{00000000-0005-0000-0000-00004F800000}"/>
    <cellStyle name="60% - Accent6 4 2" xfId="36357" xr:uid="{00000000-0005-0000-0000-000050800000}"/>
    <cellStyle name="60% - Accent6 4 2 2" xfId="36358" xr:uid="{00000000-0005-0000-0000-000051800000}"/>
    <cellStyle name="60% - Accent6 4 3" xfId="36359" xr:uid="{00000000-0005-0000-0000-000052800000}"/>
    <cellStyle name="60% - Accent6 4 3 2" xfId="36360" xr:uid="{00000000-0005-0000-0000-000053800000}"/>
    <cellStyle name="60% - Accent6 4 4" xfId="36361" xr:uid="{00000000-0005-0000-0000-000054800000}"/>
    <cellStyle name="60% - Accent6 4 4 2" xfId="36362" xr:uid="{00000000-0005-0000-0000-000055800000}"/>
    <cellStyle name="60% - Accent6 4 5" xfId="36363" xr:uid="{00000000-0005-0000-0000-000056800000}"/>
    <cellStyle name="60% - Accent6 4 5 2" xfId="36364" xr:uid="{00000000-0005-0000-0000-000057800000}"/>
    <cellStyle name="60% - Accent6 4 6" xfId="36365" xr:uid="{00000000-0005-0000-0000-000058800000}"/>
    <cellStyle name="60% - Accent6 4 6 2" xfId="36366" xr:uid="{00000000-0005-0000-0000-000059800000}"/>
    <cellStyle name="60% - Accent6 4 7" xfId="36367" xr:uid="{00000000-0005-0000-0000-00005A800000}"/>
    <cellStyle name="60% - Accent6 4 7 2" xfId="36368" xr:uid="{00000000-0005-0000-0000-00005B800000}"/>
    <cellStyle name="60% - Accent6 4 8" xfId="36369" xr:uid="{00000000-0005-0000-0000-00005C800000}"/>
    <cellStyle name="60% - Accent6 4 8 2" xfId="36370" xr:uid="{00000000-0005-0000-0000-00005D800000}"/>
    <cellStyle name="60% - Accent6 4 9" xfId="36371" xr:uid="{00000000-0005-0000-0000-00005E800000}"/>
    <cellStyle name="60% - Accent6 5" xfId="36372" xr:uid="{00000000-0005-0000-0000-00005F800000}"/>
    <cellStyle name="60% - Accent6 5 2" xfId="36373" xr:uid="{00000000-0005-0000-0000-000060800000}"/>
    <cellStyle name="60% - Accent6 5 2 2" xfId="36374" xr:uid="{00000000-0005-0000-0000-000061800000}"/>
    <cellStyle name="60% - Accent6 5 3" xfId="36375" xr:uid="{00000000-0005-0000-0000-000062800000}"/>
    <cellStyle name="60% - Accent6 5 3 2" xfId="36376" xr:uid="{00000000-0005-0000-0000-000063800000}"/>
    <cellStyle name="60% - Accent6 5 4" xfId="36377" xr:uid="{00000000-0005-0000-0000-000064800000}"/>
    <cellStyle name="60% - Accent6 5 4 2" xfId="36378" xr:uid="{00000000-0005-0000-0000-000065800000}"/>
    <cellStyle name="60% - Accent6 5 5" xfId="36379" xr:uid="{00000000-0005-0000-0000-000066800000}"/>
    <cellStyle name="60% - Accent6 5 5 2" xfId="36380" xr:uid="{00000000-0005-0000-0000-000067800000}"/>
    <cellStyle name="60% - Accent6 5 6" xfId="36381" xr:uid="{00000000-0005-0000-0000-000068800000}"/>
    <cellStyle name="60% - Accent6 5 6 2" xfId="36382" xr:uid="{00000000-0005-0000-0000-000069800000}"/>
    <cellStyle name="60% - Accent6 5 7" xfId="36383" xr:uid="{00000000-0005-0000-0000-00006A800000}"/>
    <cellStyle name="60% - Accent6 5 7 2" xfId="36384" xr:uid="{00000000-0005-0000-0000-00006B800000}"/>
    <cellStyle name="60% - Accent6 5 8" xfId="36385" xr:uid="{00000000-0005-0000-0000-00006C800000}"/>
    <cellStyle name="60% - Accent6 5 8 2" xfId="36386" xr:uid="{00000000-0005-0000-0000-00006D800000}"/>
    <cellStyle name="60% - Accent6 5 9" xfId="36387" xr:uid="{00000000-0005-0000-0000-00006E800000}"/>
    <cellStyle name="60% - Accent6 6" xfId="36388" xr:uid="{00000000-0005-0000-0000-00006F800000}"/>
    <cellStyle name="60% - Accent6 6 2" xfId="36389" xr:uid="{00000000-0005-0000-0000-000070800000}"/>
    <cellStyle name="60% - Accent6 7" xfId="36390" xr:uid="{00000000-0005-0000-0000-000071800000}"/>
    <cellStyle name="Accent1" xfId="118" builtinId="29" customBuiltin="1"/>
    <cellStyle name="Accent1 - 20%" xfId="8" xr:uid="{00000000-0005-0000-0000-000013000000}"/>
    <cellStyle name="Accent1 - 20% 10" xfId="227" xr:uid="{00000000-0005-0000-0000-000073800000}"/>
    <cellStyle name="Accent1 - 20% 10 2" xfId="36391" xr:uid="{00000000-0005-0000-0000-000074800000}"/>
    <cellStyle name="Accent1 - 20% 11" xfId="228" xr:uid="{00000000-0005-0000-0000-000075800000}"/>
    <cellStyle name="Accent1 - 20% 11 2" xfId="36392" xr:uid="{00000000-0005-0000-0000-000076800000}"/>
    <cellStyle name="Accent1 - 20% 12" xfId="229" xr:uid="{00000000-0005-0000-0000-000077800000}"/>
    <cellStyle name="Accent1 - 20% 12 2" xfId="36393" xr:uid="{00000000-0005-0000-0000-000078800000}"/>
    <cellStyle name="Accent1 - 20% 13" xfId="230" xr:uid="{00000000-0005-0000-0000-000079800000}"/>
    <cellStyle name="Accent1 - 20% 13 2" xfId="36394" xr:uid="{00000000-0005-0000-0000-00007A800000}"/>
    <cellStyle name="Accent1 - 20% 14" xfId="231" xr:uid="{00000000-0005-0000-0000-00007B800000}"/>
    <cellStyle name="Accent1 - 20% 14 2" xfId="36395" xr:uid="{00000000-0005-0000-0000-00007C800000}"/>
    <cellStyle name="Accent1 - 20% 15" xfId="232" xr:uid="{00000000-0005-0000-0000-00007D800000}"/>
    <cellStyle name="Accent1 - 20% 15 2" xfId="36396" xr:uid="{00000000-0005-0000-0000-00007E800000}"/>
    <cellStyle name="Accent1 - 20% 16" xfId="233" xr:uid="{00000000-0005-0000-0000-00007F800000}"/>
    <cellStyle name="Accent1 - 20% 16 2" xfId="36397" xr:uid="{00000000-0005-0000-0000-000080800000}"/>
    <cellStyle name="Accent1 - 20% 17" xfId="234" xr:uid="{00000000-0005-0000-0000-000081800000}"/>
    <cellStyle name="Accent1 - 20% 17 2" xfId="36398" xr:uid="{00000000-0005-0000-0000-000082800000}"/>
    <cellStyle name="Accent1 - 20% 18" xfId="235" xr:uid="{00000000-0005-0000-0000-000083800000}"/>
    <cellStyle name="Accent1 - 20% 18 2" xfId="36399" xr:uid="{00000000-0005-0000-0000-000084800000}"/>
    <cellStyle name="Accent1 - 20% 19" xfId="236" xr:uid="{00000000-0005-0000-0000-000085800000}"/>
    <cellStyle name="Accent1 - 20% 19 2" xfId="36400" xr:uid="{00000000-0005-0000-0000-000086800000}"/>
    <cellStyle name="Accent1 - 20% 2" xfId="237" xr:uid="{00000000-0005-0000-0000-000087800000}"/>
    <cellStyle name="Accent1 - 20% 2 2" xfId="36401" xr:uid="{00000000-0005-0000-0000-000088800000}"/>
    <cellStyle name="Accent1 - 20% 2 2 2" xfId="36402" xr:uid="{00000000-0005-0000-0000-000089800000}"/>
    <cellStyle name="Accent1 - 20% 2 3" xfId="36403" xr:uid="{00000000-0005-0000-0000-00008A800000}"/>
    <cellStyle name="Accent1 - 20% 20" xfId="238" xr:uid="{00000000-0005-0000-0000-00008B800000}"/>
    <cellStyle name="Accent1 - 20% 20 2" xfId="36404" xr:uid="{00000000-0005-0000-0000-00008C800000}"/>
    <cellStyle name="Accent1 - 20% 21" xfId="239" xr:uid="{00000000-0005-0000-0000-00008D800000}"/>
    <cellStyle name="Accent1 - 20% 21 2" xfId="36405" xr:uid="{00000000-0005-0000-0000-00008E800000}"/>
    <cellStyle name="Accent1 - 20% 22" xfId="240" xr:uid="{00000000-0005-0000-0000-00008F800000}"/>
    <cellStyle name="Accent1 - 20% 22 2" xfId="36406" xr:uid="{00000000-0005-0000-0000-000090800000}"/>
    <cellStyle name="Accent1 - 20% 23" xfId="241" xr:uid="{00000000-0005-0000-0000-000091800000}"/>
    <cellStyle name="Accent1 - 20% 23 2" xfId="36407" xr:uid="{00000000-0005-0000-0000-000092800000}"/>
    <cellStyle name="Accent1 - 20% 24" xfId="242" xr:uid="{00000000-0005-0000-0000-000093800000}"/>
    <cellStyle name="Accent1 - 20% 24 2" xfId="36408" xr:uid="{00000000-0005-0000-0000-000094800000}"/>
    <cellStyle name="Accent1 - 20% 25" xfId="243" xr:uid="{00000000-0005-0000-0000-000095800000}"/>
    <cellStyle name="Accent1 - 20% 25 2" xfId="36409" xr:uid="{00000000-0005-0000-0000-000096800000}"/>
    <cellStyle name="Accent1 - 20% 26" xfId="244" xr:uid="{00000000-0005-0000-0000-000097800000}"/>
    <cellStyle name="Accent1 - 20% 26 2" xfId="36410" xr:uid="{00000000-0005-0000-0000-000098800000}"/>
    <cellStyle name="Accent1 - 20% 27" xfId="245" xr:uid="{00000000-0005-0000-0000-000099800000}"/>
    <cellStyle name="Accent1 - 20% 27 2" xfId="36411" xr:uid="{00000000-0005-0000-0000-00009A800000}"/>
    <cellStyle name="Accent1 - 20% 28" xfId="246" xr:uid="{00000000-0005-0000-0000-00009B800000}"/>
    <cellStyle name="Accent1 - 20% 28 2" xfId="36412" xr:uid="{00000000-0005-0000-0000-00009C800000}"/>
    <cellStyle name="Accent1 - 20% 29" xfId="247" xr:uid="{00000000-0005-0000-0000-00009D800000}"/>
    <cellStyle name="Accent1 - 20% 29 2" xfId="36413" xr:uid="{00000000-0005-0000-0000-00009E800000}"/>
    <cellStyle name="Accent1 - 20% 3" xfId="248" xr:uid="{00000000-0005-0000-0000-00009F800000}"/>
    <cellStyle name="Accent1 - 20% 3 2" xfId="36414" xr:uid="{00000000-0005-0000-0000-0000A0800000}"/>
    <cellStyle name="Accent1 - 20% 30" xfId="249" xr:uid="{00000000-0005-0000-0000-0000A1800000}"/>
    <cellStyle name="Accent1 - 20% 30 2" xfId="36415" xr:uid="{00000000-0005-0000-0000-0000A2800000}"/>
    <cellStyle name="Accent1 - 20% 31" xfId="250" xr:uid="{00000000-0005-0000-0000-0000A3800000}"/>
    <cellStyle name="Accent1 - 20% 31 2" xfId="36416" xr:uid="{00000000-0005-0000-0000-0000A4800000}"/>
    <cellStyle name="Accent1 - 20% 32" xfId="251" xr:uid="{00000000-0005-0000-0000-0000A5800000}"/>
    <cellStyle name="Accent1 - 20% 32 2" xfId="36417" xr:uid="{00000000-0005-0000-0000-0000A6800000}"/>
    <cellStyle name="Accent1 - 20% 33" xfId="252" xr:uid="{00000000-0005-0000-0000-0000A7800000}"/>
    <cellStyle name="Accent1 - 20% 33 2" xfId="36418" xr:uid="{00000000-0005-0000-0000-0000A8800000}"/>
    <cellStyle name="Accent1 - 20% 34" xfId="253" xr:uid="{00000000-0005-0000-0000-0000A9800000}"/>
    <cellStyle name="Accent1 - 20% 34 2" xfId="36419" xr:uid="{00000000-0005-0000-0000-0000AA800000}"/>
    <cellStyle name="Accent1 - 20% 35" xfId="254" xr:uid="{00000000-0005-0000-0000-0000AB800000}"/>
    <cellStyle name="Accent1 - 20% 35 2" xfId="36420" xr:uid="{00000000-0005-0000-0000-0000AC800000}"/>
    <cellStyle name="Accent1 - 20% 36" xfId="255" xr:uid="{00000000-0005-0000-0000-0000AD800000}"/>
    <cellStyle name="Accent1 - 20% 36 2" xfId="36421" xr:uid="{00000000-0005-0000-0000-0000AE800000}"/>
    <cellStyle name="Accent1 - 20% 37" xfId="256" xr:uid="{00000000-0005-0000-0000-0000AF800000}"/>
    <cellStyle name="Accent1 - 20% 37 2" xfId="36422" xr:uid="{00000000-0005-0000-0000-0000B0800000}"/>
    <cellStyle name="Accent1 - 20% 38" xfId="257" xr:uid="{00000000-0005-0000-0000-0000B1800000}"/>
    <cellStyle name="Accent1 - 20% 38 2" xfId="36423" xr:uid="{00000000-0005-0000-0000-0000B2800000}"/>
    <cellStyle name="Accent1 - 20% 39" xfId="258" xr:uid="{00000000-0005-0000-0000-0000B3800000}"/>
    <cellStyle name="Accent1 - 20% 39 2" xfId="36424" xr:uid="{00000000-0005-0000-0000-0000B4800000}"/>
    <cellStyle name="Accent1 - 20% 4" xfId="259" xr:uid="{00000000-0005-0000-0000-0000B5800000}"/>
    <cellStyle name="Accent1 - 20% 4 2" xfId="36425" xr:uid="{00000000-0005-0000-0000-0000B6800000}"/>
    <cellStyle name="Accent1 - 20% 40" xfId="260" xr:uid="{00000000-0005-0000-0000-0000B7800000}"/>
    <cellStyle name="Accent1 - 20% 40 2" xfId="36426" xr:uid="{00000000-0005-0000-0000-0000B8800000}"/>
    <cellStyle name="Accent1 - 20% 41" xfId="261" xr:uid="{00000000-0005-0000-0000-0000B9800000}"/>
    <cellStyle name="Accent1 - 20% 41 2" xfId="36427" xr:uid="{00000000-0005-0000-0000-0000BA800000}"/>
    <cellStyle name="Accent1 - 20% 42" xfId="262" xr:uid="{00000000-0005-0000-0000-0000BB800000}"/>
    <cellStyle name="Accent1 - 20% 42 2" xfId="36428" xr:uid="{00000000-0005-0000-0000-0000BC800000}"/>
    <cellStyle name="Accent1 - 20% 43" xfId="263" xr:uid="{00000000-0005-0000-0000-0000BD800000}"/>
    <cellStyle name="Accent1 - 20% 43 2" xfId="36429" xr:uid="{00000000-0005-0000-0000-0000BE800000}"/>
    <cellStyle name="Accent1 - 20% 44" xfId="264" xr:uid="{00000000-0005-0000-0000-0000BF800000}"/>
    <cellStyle name="Accent1 - 20% 44 2" xfId="36430" xr:uid="{00000000-0005-0000-0000-0000C0800000}"/>
    <cellStyle name="Accent1 - 20% 45" xfId="265" xr:uid="{00000000-0005-0000-0000-0000C1800000}"/>
    <cellStyle name="Accent1 - 20% 45 2" xfId="36431" xr:uid="{00000000-0005-0000-0000-0000C2800000}"/>
    <cellStyle name="Accent1 - 20% 46" xfId="266" xr:uid="{00000000-0005-0000-0000-0000C3800000}"/>
    <cellStyle name="Accent1 - 20% 46 2" xfId="36432" xr:uid="{00000000-0005-0000-0000-0000C4800000}"/>
    <cellStyle name="Accent1 - 20% 47" xfId="36433" xr:uid="{00000000-0005-0000-0000-0000C5800000}"/>
    <cellStyle name="Accent1 - 20% 47 2" xfId="36434" xr:uid="{00000000-0005-0000-0000-0000C6800000}"/>
    <cellStyle name="Accent1 - 20% 47 3" xfId="36435" xr:uid="{00000000-0005-0000-0000-0000C7800000}"/>
    <cellStyle name="Accent1 - 20% 48" xfId="36436" xr:uid="{00000000-0005-0000-0000-0000C8800000}"/>
    <cellStyle name="Accent1 - 20% 49" xfId="36437" xr:uid="{00000000-0005-0000-0000-0000C9800000}"/>
    <cellStyle name="Accent1 - 20% 5" xfId="267" xr:uid="{00000000-0005-0000-0000-0000CA800000}"/>
    <cellStyle name="Accent1 - 20% 5 2" xfId="36438" xr:uid="{00000000-0005-0000-0000-0000CB800000}"/>
    <cellStyle name="Accent1 - 20% 50" xfId="36439" xr:uid="{00000000-0005-0000-0000-0000CC800000}"/>
    <cellStyle name="Accent1 - 20% 6" xfId="268" xr:uid="{00000000-0005-0000-0000-0000CD800000}"/>
    <cellStyle name="Accent1 - 20% 6 2" xfId="36440" xr:uid="{00000000-0005-0000-0000-0000CE800000}"/>
    <cellStyle name="Accent1 - 20% 7" xfId="269" xr:uid="{00000000-0005-0000-0000-0000CF800000}"/>
    <cellStyle name="Accent1 - 20% 7 2" xfId="36441" xr:uid="{00000000-0005-0000-0000-0000D0800000}"/>
    <cellStyle name="Accent1 - 20% 8" xfId="270" xr:uid="{00000000-0005-0000-0000-0000D1800000}"/>
    <cellStyle name="Accent1 - 20% 8 2" xfId="36442" xr:uid="{00000000-0005-0000-0000-0000D2800000}"/>
    <cellStyle name="Accent1 - 20% 9" xfId="271" xr:uid="{00000000-0005-0000-0000-0000D3800000}"/>
    <cellStyle name="Accent1 - 20% 9 2" xfId="36443" xr:uid="{00000000-0005-0000-0000-0000D4800000}"/>
    <cellStyle name="Accent1 - 40%" xfId="9" xr:uid="{00000000-0005-0000-0000-000014000000}"/>
    <cellStyle name="Accent1 - 40% 10" xfId="272" xr:uid="{00000000-0005-0000-0000-0000D6800000}"/>
    <cellStyle name="Accent1 - 40% 10 2" xfId="36444" xr:uid="{00000000-0005-0000-0000-0000D7800000}"/>
    <cellStyle name="Accent1 - 40% 11" xfId="273" xr:uid="{00000000-0005-0000-0000-0000D8800000}"/>
    <cellStyle name="Accent1 - 40% 11 2" xfId="36445" xr:uid="{00000000-0005-0000-0000-0000D9800000}"/>
    <cellStyle name="Accent1 - 40% 12" xfId="274" xr:uid="{00000000-0005-0000-0000-0000DA800000}"/>
    <cellStyle name="Accent1 - 40% 12 2" xfId="36446" xr:uid="{00000000-0005-0000-0000-0000DB800000}"/>
    <cellStyle name="Accent1 - 40% 13" xfId="275" xr:uid="{00000000-0005-0000-0000-0000DC800000}"/>
    <cellStyle name="Accent1 - 40% 13 2" xfId="36447" xr:uid="{00000000-0005-0000-0000-0000DD800000}"/>
    <cellStyle name="Accent1 - 40% 14" xfId="276" xr:uid="{00000000-0005-0000-0000-0000DE800000}"/>
    <cellStyle name="Accent1 - 40% 14 2" xfId="36448" xr:uid="{00000000-0005-0000-0000-0000DF800000}"/>
    <cellStyle name="Accent1 - 40% 15" xfId="277" xr:uid="{00000000-0005-0000-0000-0000E0800000}"/>
    <cellStyle name="Accent1 - 40% 15 2" xfId="36449" xr:uid="{00000000-0005-0000-0000-0000E1800000}"/>
    <cellStyle name="Accent1 - 40% 16" xfId="278" xr:uid="{00000000-0005-0000-0000-0000E2800000}"/>
    <cellStyle name="Accent1 - 40% 16 2" xfId="36450" xr:uid="{00000000-0005-0000-0000-0000E3800000}"/>
    <cellStyle name="Accent1 - 40% 17" xfId="279" xr:uid="{00000000-0005-0000-0000-0000E4800000}"/>
    <cellStyle name="Accent1 - 40% 17 2" xfId="36451" xr:uid="{00000000-0005-0000-0000-0000E5800000}"/>
    <cellStyle name="Accent1 - 40% 18" xfId="280" xr:uid="{00000000-0005-0000-0000-0000E6800000}"/>
    <cellStyle name="Accent1 - 40% 18 2" xfId="36452" xr:uid="{00000000-0005-0000-0000-0000E7800000}"/>
    <cellStyle name="Accent1 - 40% 19" xfId="281" xr:uid="{00000000-0005-0000-0000-0000E8800000}"/>
    <cellStyle name="Accent1 - 40% 19 2" xfId="36453" xr:uid="{00000000-0005-0000-0000-0000E9800000}"/>
    <cellStyle name="Accent1 - 40% 2" xfId="282" xr:uid="{00000000-0005-0000-0000-0000EA800000}"/>
    <cellStyle name="Accent1 - 40% 2 2" xfId="36454" xr:uid="{00000000-0005-0000-0000-0000EB800000}"/>
    <cellStyle name="Accent1 - 40% 2 2 2" xfId="36455" xr:uid="{00000000-0005-0000-0000-0000EC800000}"/>
    <cellStyle name="Accent1 - 40% 2 3" xfId="36456" xr:uid="{00000000-0005-0000-0000-0000ED800000}"/>
    <cellStyle name="Accent1 - 40% 20" xfId="283" xr:uid="{00000000-0005-0000-0000-0000EE800000}"/>
    <cellStyle name="Accent1 - 40% 20 2" xfId="36457" xr:uid="{00000000-0005-0000-0000-0000EF800000}"/>
    <cellStyle name="Accent1 - 40% 21" xfId="284" xr:uid="{00000000-0005-0000-0000-0000F0800000}"/>
    <cellStyle name="Accent1 - 40% 21 2" xfId="36458" xr:uid="{00000000-0005-0000-0000-0000F1800000}"/>
    <cellStyle name="Accent1 - 40% 22" xfId="285" xr:uid="{00000000-0005-0000-0000-0000F2800000}"/>
    <cellStyle name="Accent1 - 40% 22 2" xfId="36459" xr:uid="{00000000-0005-0000-0000-0000F3800000}"/>
    <cellStyle name="Accent1 - 40% 23" xfId="286" xr:uid="{00000000-0005-0000-0000-0000F4800000}"/>
    <cellStyle name="Accent1 - 40% 23 2" xfId="36460" xr:uid="{00000000-0005-0000-0000-0000F5800000}"/>
    <cellStyle name="Accent1 - 40% 24" xfId="287" xr:uid="{00000000-0005-0000-0000-0000F6800000}"/>
    <cellStyle name="Accent1 - 40% 24 2" xfId="36461" xr:uid="{00000000-0005-0000-0000-0000F7800000}"/>
    <cellStyle name="Accent1 - 40% 25" xfId="288" xr:uid="{00000000-0005-0000-0000-0000F8800000}"/>
    <cellStyle name="Accent1 - 40% 25 2" xfId="36462" xr:uid="{00000000-0005-0000-0000-0000F9800000}"/>
    <cellStyle name="Accent1 - 40% 26" xfId="289" xr:uid="{00000000-0005-0000-0000-0000FA800000}"/>
    <cellStyle name="Accent1 - 40% 26 2" xfId="36463" xr:uid="{00000000-0005-0000-0000-0000FB800000}"/>
    <cellStyle name="Accent1 - 40% 27" xfId="290" xr:uid="{00000000-0005-0000-0000-0000FC800000}"/>
    <cellStyle name="Accent1 - 40% 27 2" xfId="36464" xr:uid="{00000000-0005-0000-0000-0000FD800000}"/>
    <cellStyle name="Accent1 - 40% 28" xfId="291" xr:uid="{00000000-0005-0000-0000-0000FE800000}"/>
    <cellStyle name="Accent1 - 40% 28 2" xfId="36465" xr:uid="{00000000-0005-0000-0000-0000FF800000}"/>
    <cellStyle name="Accent1 - 40% 29" xfId="292" xr:uid="{00000000-0005-0000-0000-000000810000}"/>
    <cellStyle name="Accent1 - 40% 29 2" xfId="36466" xr:uid="{00000000-0005-0000-0000-000001810000}"/>
    <cellStyle name="Accent1 - 40% 3" xfId="293" xr:uid="{00000000-0005-0000-0000-000002810000}"/>
    <cellStyle name="Accent1 - 40% 3 2" xfId="36467" xr:uid="{00000000-0005-0000-0000-000003810000}"/>
    <cellStyle name="Accent1 - 40% 30" xfId="294" xr:uid="{00000000-0005-0000-0000-000004810000}"/>
    <cellStyle name="Accent1 - 40% 30 2" xfId="36468" xr:uid="{00000000-0005-0000-0000-000005810000}"/>
    <cellStyle name="Accent1 - 40% 31" xfId="295" xr:uid="{00000000-0005-0000-0000-000006810000}"/>
    <cellStyle name="Accent1 - 40% 31 2" xfId="36469" xr:uid="{00000000-0005-0000-0000-000007810000}"/>
    <cellStyle name="Accent1 - 40% 32" xfId="296" xr:uid="{00000000-0005-0000-0000-000008810000}"/>
    <cellStyle name="Accent1 - 40% 32 2" xfId="36470" xr:uid="{00000000-0005-0000-0000-000009810000}"/>
    <cellStyle name="Accent1 - 40% 33" xfId="297" xr:uid="{00000000-0005-0000-0000-00000A810000}"/>
    <cellStyle name="Accent1 - 40% 33 2" xfId="36471" xr:uid="{00000000-0005-0000-0000-00000B810000}"/>
    <cellStyle name="Accent1 - 40% 34" xfId="298" xr:uid="{00000000-0005-0000-0000-00000C810000}"/>
    <cellStyle name="Accent1 - 40% 34 2" xfId="36472" xr:uid="{00000000-0005-0000-0000-00000D810000}"/>
    <cellStyle name="Accent1 - 40% 35" xfId="299" xr:uid="{00000000-0005-0000-0000-00000E810000}"/>
    <cellStyle name="Accent1 - 40% 35 2" xfId="36473" xr:uid="{00000000-0005-0000-0000-00000F810000}"/>
    <cellStyle name="Accent1 - 40% 36" xfId="300" xr:uid="{00000000-0005-0000-0000-000010810000}"/>
    <cellStyle name="Accent1 - 40% 36 2" xfId="36474" xr:uid="{00000000-0005-0000-0000-000011810000}"/>
    <cellStyle name="Accent1 - 40% 37" xfId="301" xr:uid="{00000000-0005-0000-0000-000012810000}"/>
    <cellStyle name="Accent1 - 40% 37 2" xfId="36475" xr:uid="{00000000-0005-0000-0000-000013810000}"/>
    <cellStyle name="Accent1 - 40% 38" xfId="302" xr:uid="{00000000-0005-0000-0000-000014810000}"/>
    <cellStyle name="Accent1 - 40% 38 2" xfId="36476" xr:uid="{00000000-0005-0000-0000-000015810000}"/>
    <cellStyle name="Accent1 - 40% 39" xfId="303" xr:uid="{00000000-0005-0000-0000-000016810000}"/>
    <cellStyle name="Accent1 - 40% 39 2" xfId="36477" xr:uid="{00000000-0005-0000-0000-000017810000}"/>
    <cellStyle name="Accent1 - 40% 4" xfId="304" xr:uid="{00000000-0005-0000-0000-000018810000}"/>
    <cellStyle name="Accent1 - 40% 4 2" xfId="36478" xr:uid="{00000000-0005-0000-0000-000019810000}"/>
    <cellStyle name="Accent1 - 40% 40" xfId="305" xr:uid="{00000000-0005-0000-0000-00001A810000}"/>
    <cellStyle name="Accent1 - 40% 40 2" xfId="36479" xr:uid="{00000000-0005-0000-0000-00001B810000}"/>
    <cellStyle name="Accent1 - 40% 41" xfId="306" xr:uid="{00000000-0005-0000-0000-00001C810000}"/>
    <cellStyle name="Accent1 - 40% 41 2" xfId="36480" xr:uid="{00000000-0005-0000-0000-00001D810000}"/>
    <cellStyle name="Accent1 - 40% 42" xfId="307" xr:uid="{00000000-0005-0000-0000-00001E810000}"/>
    <cellStyle name="Accent1 - 40% 42 2" xfId="36481" xr:uid="{00000000-0005-0000-0000-00001F810000}"/>
    <cellStyle name="Accent1 - 40% 43" xfId="308" xr:uid="{00000000-0005-0000-0000-000020810000}"/>
    <cellStyle name="Accent1 - 40% 43 2" xfId="36482" xr:uid="{00000000-0005-0000-0000-000021810000}"/>
    <cellStyle name="Accent1 - 40% 44" xfId="309" xr:uid="{00000000-0005-0000-0000-000022810000}"/>
    <cellStyle name="Accent1 - 40% 44 2" xfId="36483" xr:uid="{00000000-0005-0000-0000-000023810000}"/>
    <cellStyle name="Accent1 - 40% 45" xfId="310" xr:uid="{00000000-0005-0000-0000-000024810000}"/>
    <cellStyle name="Accent1 - 40% 45 2" xfId="36484" xr:uid="{00000000-0005-0000-0000-000025810000}"/>
    <cellStyle name="Accent1 - 40% 46" xfId="311" xr:uid="{00000000-0005-0000-0000-000026810000}"/>
    <cellStyle name="Accent1 - 40% 46 2" xfId="36485" xr:uid="{00000000-0005-0000-0000-000027810000}"/>
    <cellStyle name="Accent1 - 40% 47" xfId="36486" xr:uid="{00000000-0005-0000-0000-000028810000}"/>
    <cellStyle name="Accent1 - 40% 47 2" xfId="36487" xr:uid="{00000000-0005-0000-0000-000029810000}"/>
    <cellStyle name="Accent1 - 40% 47 3" xfId="36488" xr:uid="{00000000-0005-0000-0000-00002A810000}"/>
    <cellStyle name="Accent1 - 40% 48" xfId="36489" xr:uid="{00000000-0005-0000-0000-00002B810000}"/>
    <cellStyle name="Accent1 - 40% 49" xfId="36490" xr:uid="{00000000-0005-0000-0000-00002C810000}"/>
    <cellStyle name="Accent1 - 40% 5" xfId="312" xr:uid="{00000000-0005-0000-0000-00002D810000}"/>
    <cellStyle name="Accent1 - 40% 5 2" xfId="36491" xr:uid="{00000000-0005-0000-0000-00002E810000}"/>
    <cellStyle name="Accent1 - 40% 50" xfId="36492" xr:uid="{00000000-0005-0000-0000-00002F810000}"/>
    <cellStyle name="Accent1 - 40% 6" xfId="313" xr:uid="{00000000-0005-0000-0000-000030810000}"/>
    <cellStyle name="Accent1 - 40% 6 2" xfId="36493" xr:uid="{00000000-0005-0000-0000-000031810000}"/>
    <cellStyle name="Accent1 - 40% 7" xfId="314" xr:uid="{00000000-0005-0000-0000-000032810000}"/>
    <cellStyle name="Accent1 - 40% 7 2" xfId="36494" xr:uid="{00000000-0005-0000-0000-000033810000}"/>
    <cellStyle name="Accent1 - 40% 8" xfId="315" xr:uid="{00000000-0005-0000-0000-000034810000}"/>
    <cellStyle name="Accent1 - 40% 8 2" xfId="36495" xr:uid="{00000000-0005-0000-0000-000035810000}"/>
    <cellStyle name="Accent1 - 40% 9" xfId="316" xr:uid="{00000000-0005-0000-0000-000036810000}"/>
    <cellStyle name="Accent1 - 40% 9 2" xfId="36496" xr:uid="{00000000-0005-0000-0000-000037810000}"/>
    <cellStyle name="Accent1 - 60%" xfId="10" xr:uid="{00000000-0005-0000-0000-000015000000}"/>
    <cellStyle name="Accent1 - 60% 10" xfId="317" xr:uid="{00000000-0005-0000-0000-000039810000}"/>
    <cellStyle name="Accent1 - 60% 10 2" xfId="36497" xr:uid="{00000000-0005-0000-0000-00003A810000}"/>
    <cellStyle name="Accent1 - 60% 11" xfId="318" xr:uid="{00000000-0005-0000-0000-00003B810000}"/>
    <cellStyle name="Accent1 - 60% 11 2" xfId="36498" xr:uid="{00000000-0005-0000-0000-00003C810000}"/>
    <cellStyle name="Accent1 - 60% 12" xfId="319" xr:uid="{00000000-0005-0000-0000-00003D810000}"/>
    <cellStyle name="Accent1 - 60% 12 2" xfId="36499" xr:uid="{00000000-0005-0000-0000-00003E810000}"/>
    <cellStyle name="Accent1 - 60% 13" xfId="320" xr:uid="{00000000-0005-0000-0000-00003F810000}"/>
    <cellStyle name="Accent1 - 60% 13 2" xfId="36500" xr:uid="{00000000-0005-0000-0000-000040810000}"/>
    <cellStyle name="Accent1 - 60% 14" xfId="321" xr:uid="{00000000-0005-0000-0000-000041810000}"/>
    <cellStyle name="Accent1 - 60% 14 2" xfId="36501" xr:uid="{00000000-0005-0000-0000-000042810000}"/>
    <cellStyle name="Accent1 - 60% 15" xfId="322" xr:uid="{00000000-0005-0000-0000-000043810000}"/>
    <cellStyle name="Accent1 - 60% 15 2" xfId="36502" xr:uid="{00000000-0005-0000-0000-000044810000}"/>
    <cellStyle name="Accent1 - 60% 16" xfId="323" xr:uid="{00000000-0005-0000-0000-000045810000}"/>
    <cellStyle name="Accent1 - 60% 16 2" xfId="36503" xr:uid="{00000000-0005-0000-0000-000046810000}"/>
    <cellStyle name="Accent1 - 60% 17" xfId="324" xr:uid="{00000000-0005-0000-0000-000047810000}"/>
    <cellStyle name="Accent1 - 60% 17 2" xfId="36504" xr:uid="{00000000-0005-0000-0000-000048810000}"/>
    <cellStyle name="Accent1 - 60% 18" xfId="325" xr:uid="{00000000-0005-0000-0000-000049810000}"/>
    <cellStyle name="Accent1 - 60% 18 2" xfId="36505" xr:uid="{00000000-0005-0000-0000-00004A810000}"/>
    <cellStyle name="Accent1 - 60% 19" xfId="326" xr:uid="{00000000-0005-0000-0000-00004B810000}"/>
    <cellStyle name="Accent1 - 60% 19 2" xfId="36506" xr:uid="{00000000-0005-0000-0000-00004C810000}"/>
    <cellStyle name="Accent1 - 60% 2" xfId="327" xr:uid="{00000000-0005-0000-0000-00004D810000}"/>
    <cellStyle name="Accent1 - 60% 2 2" xfId="36507" xr:uid="{00000000-0005-0000-0000-00004E810000}"/>
    <cellStyle name="Accent1 - 60% 2 2 2" xfId="36508" xr:uid="{00000000-0005-0000-0000-00004F810000}"/>
    <cellStyle name="Accent1 - 60% 2 3" xfId="36509" xr:uid="{00000000-0005-0000-0000-000050810000}"/>
    <cellStyle name="Accent1 - 60% 20" xfId="328" xr:uid="{00000000-0005-0000-0000-000051810000}"/>
    <cellStyle name="Accent1 - 60% 20 2" xfId="36510" xr:uid="{00000000-0005-0000-0000-000052810000}"/>
    <cellStyle name="Accent1 - 60% 21" xfId="329" xr:uid="{00000000-0005-0000-0000-000053810000}"/>
    <cellStyle name="Accent1 - 60% 21 2" xfId="36511" xr:uid="{00000000-0005-0000-0000-000054810000}"/>
    <cellStyle name="Accent1 - 60% 22" xfId="330" xr:uid="{00000000-0005-0000-0000-000055810000}"/>
    <cellStyle name="Accent1 - 60% 22 2" xfId="36512" xr:uid="{00000000-0005-0000-0000-000056810000}"/>
    <cellStyle name="Accent1 - 60% 23" xfId="331" xr:uid="{00000000-0005-0000-0000-000057810000}"/>
    <cellStyle name="Accent1 - 60% 23 2" xfId="36513" xr:uid="{00000000-0005-0000-0000-000058810000}"/>
    <cellStyle name="Accent1 - 60% 24" xfId="332" xr:uid="{00000000-0005-0000-0000-000059810000}"/>
    <cellStyle name="Accent1 - 60% 24 2" xfId="36514" xr:uid="{00000000-0005-0000-0000-00005A810000}"/>
    <cellStyle name="Accent1 - 60% 25" xfId="333" xr:uid="{00000000-0005-0000-0000-00005B810000}"/>
    <cellStyle name="Accent1 - 60% 25 2" xfId="36515" xr:uid="{00000000-0005-0000-0000-00005C810000}"/>
    <cellStyle name="Accent1 - 60% 26" xfId="334" xr:uid="{00000000-0005-0000-0000-00005D810000}"/>
    <cellStyle name="Accent1 - 60% 26 2" xfId="36516" xr:uid="{00000000-0005-0000-0000-00005E810000}"/>
    <cellStyle name="Accent1 - 60% 27" xfId="335" xr:uid="{00000000-0005-0000-0000-00005F810000}"/>
    <cellStyle name="Accent1 - 60% 27 2" xfId="36517" xr:uid="{00000000-0005-0000-0000-000060810000}"/>
    <cellStyle name="Accent1 - 60% 28" xfId="336" xr:uid="{00000000-0005-0000-0000-000061810000}"/>
    <cellStyle name="Accent1 - 60% 28 2" xfId="36518" xr:uid="{00000000-0005-0000-0000-000062810000}"/>
    <cellStyle name="Accent1 - 60% 29" xfId="337" xr:uid="{00000000-0005-0000-0000-000063810000}"/>
    <cellStyle name="Accent1 - 60% 29 2" xfId="36519" xr:uid="{00000000-0005-0000-0000-000064810000}"/>
    <cellStyle name="Accent1 - 60% 3" xfId="338" xr:uid="{00000000-0005-0000-0000-000065810000}"/>
    <cellStyle name="Accent1 - 60% 3 2" xfId="36520" xr:uid="{00000000-0005-0000-0000-000066810000}"/>
    <cellStyle name="Accent1 - 60% 30" xfId="339" xr:uid="{00000000-0005-0000-0000-000067810000}"/>
    <cellStyle name="Accent1 - 60% 30 2" xfId="36521" xr:uid="{00000000-0005-0000-0000-000068810000}"/>
    <cellStyle name="Accent1 - 60% 31" xfId="340" xr:uid="{00000000-0005-0000-0000-000069810000}"/>
    <cellStyle name="Accent1 - 60% 31 2" xfId="36522" xr:uid="{00000000-0005-0000-0000-00006A810000}"/>
    <cellStyle name="Accent1 - 60% 32" xfId="341" xr:uid="{00000000-0005-0000-0000-00006B810000}"/>
    <cellStyle name="Accent1 - 60% 32 2" xfId="36523" xr:uid="{00000000-0005-0000-0000-00006C810000}"/>
    <cellStyle name="Accent1 - 60% 33" xfId="342" xr:uid="{00000000-0005-0000-0000-00006D810000}"/>
    <cellStyle name="Accent1 - 60% 33 2" xfId="36524" xr:uid="{00000000-0005-0000-0000-00006E810000}"/>
    <cellStyle name="Accent1 - 60% 34" xfId="343" xr:uid="{00000000-0005-0000-0000-00006F810000}"/>
    <cellStyle name="Accent1 - 60% 34 2" xfId="36525" xr:uid="{00000000-0005-0000-0000-000070810000}"/>
    <cellStyle name="Accent1 - 60% 35" xfId="344" xr:uid="{00000000-0005-0000-0000-000071810000}"/>
    <cellStyle name="Accent1 - 60% 35 2" xfId="36526" xr:uid="{00000000-0005-0000-0000-000072810000}"/>
    <cellStyle name="Accent1 - 60% 36" xfId="345" xr:uid="{00000000-0005-0000-0000-000073810000}"/>
    <cellStyle name="Accent1 - 60% 36 2" xfId="36527" xr:uid="{00000000-0005-0000-0000-000074810000}"/>
    <cellStyle name="Accent1 - 60% 37" xfId="346" xr:uid="{00000000-0005-0000-0000-000075810000}"/>
    <cellStyle name="Accent1 - 60% 37 2" xfId="36528" xr:uid="{00000000-0005-0000-0000-000076810000}"/>
    <cellStyle name="Accent1 - 60% 38" xfId="347" xr:uid="{00000000-0005-0000-0000-000077810000}"/>
    <cellStyle name="Accent1 - 60% 38 2" xfId="36529" xr:uid="{00000000-0005-0000-0000-000078810000}"/>
    <cellStyle name="Accent1 - 60% 39" xfId="348" xr:uid="{00000000-0005-0000-0000-000079810000}"/>
    <cellStyle name="Accent1 - 60% 39 2" xfId="36530" xr:uid="{00000000-0005-0000-0000-00007A810000}"/>
    <cellStyle name="Accent1 - 60% 4" xfId="349" xr:uid="{00000000-0005-0000-0000-00007B810000}"/>
    <cellStyle name="Accent1 - 60% 4 2" xfId="36531" xr:uid="{00000000-0005-0000-0000-00007C810000}"/>
    <cellStyle name="Accent1 - 60% 40" xfId="350" xr:uid="{00000000-0005-0000-0000-00007D810000}"/>
    <cellStyle name="Accent1 - 60% 40 2" xfId="36532" xr:uid="{00000000-0005-0000-0000-00007E810000}"/>
    <cellStyle name="Accent1 - 60% 41" xfId="351" xr:uid="{00000000-0005-0000-0000-00007F810000}"/>
    <cellStyle name="Accent1 - 60% 41 2" xfId="36533" xr:uid="{00000000-0005-0000-0000-000080810000}"/>
    <cellStyle name="Accent1 - 60% 42" xfId="352" xr:uid="{00000000-0005-0000-0000-000081810000}"/>
    <cellStyle name="Accent1 - 60% 42 2" xfId="36534" xr:uid="{00000000-0005-0000-0000-000082810000}"/>
    <cellStyle name="Accent1 - 60% 43" xfId="353" xr:uid="{00000000-0005-0000-0000-000083810000}"/>
    <cellStyle name="Accent1 - 60% 43 2" xfId="36535" xr:uid="{00000000-0005-0000-0000-000084810000}"/>
    <cellStyle name="Accent1 - 60% 44" xfId="354" xr:uid="{00000000-0005-0000-0000-000085810000}"/>
    <cellStyle name="Accent1 - 60% 44 2" xfId="36536" xr:uid="{00000000-0005-0000-0000-000086810000}"/>
    <cellStyle name="Accent1 - 60% 45" xfId="355" xr:uid="{00000000-0005-0000-0000-000087810000}"/>
    <cellStyle name="Accent1 - 60% 45 2" xfId="36537" xr:uid="{00000000-0005-0000-0000-000088810000}"/>
    <cellStyle name="Accent1 - 60% 46" xfId="36538" xr:uid="{00000000-0005-0000-0000-000089810000}"/>
    <cellStyle name="Accent1 - 60% 46 2" xfId="36539" xr:uid="{00000000-0005-0000-0000-00008A810000}"/>
    <cellStyle name="Accent1 - 60% 46 3" xfId="36540" xr:uid="{00000000-0005-0000-0000-00008B810000}"/>
    <cellStyle name="Accent1 - 60% 47" xfId="36541" xr:uid="{00000000-0005-0000-0000-00008C810000}"/>
    <cellStyle name="Accent1 - 60% 48" xfId="36542" xr:uid="{00000000-0005-0000-0000-00008D810000}"/>
    <cellStyle name="Accent1 - 60% 49" xfId="36543" xr:uid="{00000000-0005-0000-0000-00008E810000}"/>
    <cellStyle name="Accent1 - 60% 5" xfId="356" xr:uid="{00000000-0005-0000-0000-00008F810000}"/>
    <cellStyle name="Accent1 - 60% 5 2" xfId="36544" xr:uid="{00000000-0005-0000-0000-000090810000}"/>
    <cellStyle name="Accent1 - 60% 50" xfId="36545" xr:uid="{00000000-0005-0000-0000-000091810000}"/>
    <cellStyle name="Accent1 - 60% 6" xfId="357" xr:uid="{00000000-0005-0000-0000-000092810000}"/>
    <cellStyle name="Accent1 - 60% 6 2" xfId="36546" xr:uid="{00000000-0005-0000-0000-000093810000}"/>
    <cellStyle name="Accent1 - 60% 7" xfId="358" xr:uid="{00000000-0005-0000-0000-000094810000}"/>
    <cellStyle name="Accent1 - 60% 7 2" xfId="36547" xr:uid="{00000000-0005-0000-0000-000095810000}"/>
    <cellStyle name="Accent1 - 60% 8" xfId="359" xr:uid="{00000000-0005-0000-0000-000096810000}"/>
    <cellStyle name="Accent1 - 60% 8 2" xfId="36548" xr:uid="{00000000-0005-0000-0000-000097810000}"/>
    <cellStyle name="Accent1 - 60% 9" xfId="360" xr:uid="{00000000-0005-0000-0000-000098810000}"/>
    <cellStyle name="Accent1 - 60% 9 2" xfId="36549" xr:uid="{00000000-0005-0000-0000-000099810000}"/>
    <cellStyle name="Accent1 10" xfId="361" xr:uid="{00000000-0005-0000-0000-00009A810000}"/>
    <cellStyle name="Accent1 10 2" xfId="36550" xr:uid="{00000000-0005-0000-0000-00009B810000}"/>
    <cellStyle name="Accent1 10 2 2" xfId="36551" xr:uid="{00000000-0005-0000-0000-00009C810000}"/>
    <cellStyle name="Accent1 10 3" xfId="36552" xr:uid="{00000000-0005-0000-0000-00009D810000}"/>
    <cellStyle name="Accent1 10 3 2" xfId="36553" xr:uid="{00000000-0005-0000-0000-00009E810000}"/>
    <cellStyle name="Accent1 10 4" xfId="36554" xr:uid="{00000000-0005-0000-0000-00009F810000}"/>
    <cellStyle name="Accent1 10 5" xfId="36555" xr:uid="{00000000-0005-0000-0000-0000A0810000}"/>
    <cellStyle name="Accent1 11" xfId="362" xr:uid="{00000000-0005-0000-0000-0000A1810000}"/>
    <cellStyle name="Accent1 11 2" xfId="36556" xr:uid="{00000000-0005-0000-0000-0000A2810000}"/>
    <cellStyle name="Accent1 11 2 2" xfId="36557" xr:uid="{00000000-0005-0000-0000-0000A3810000}"/>
    <cellStyle name="Accent1 11 3" xfId="36558" xr:uid="{00000000-0005-0000-0000-0000A4810000}"/>
    <cellStyle name="Accent1 11 3 2" xfId="36559" xr:uid="{00000000-0005-0000-0000-0000A5810000}"/>
    <cellStyle name="Accent1 11 4" xfId="36560" xr:uid="{00000000-0005-0000-0000-0000A6810000}"/>
    <cellStyle name="Accent1 11 5" xfId="36561" xr:uid="{00000000-0005-0000-0000-0000A7810000}"/>
    <cellStyle name="Accent1 12" xfId="363" xr:uid="{00000000-0005-0000-0000-0000A8810000}"/>
    <cellStyle name="Accent1 12 2" xfId="36562" xr:uid="{00000000-0005-0000-0000-0000A9810000}"/>
    <cellStyle name="Accent1 12 2 2" xfId="36563" xr:uid="{00000000-0005-0000-0000-0000AA810000}"/>
    <cellStyle name="Accent1 12 3" xfId="36564" xr:uid="{00000000-0005-0000-0000-0000AB810000}"/>
    <cellStyle name="Accent1 12 4" xfId="36565" xr:uid="{00000000-0005-0000-0000-0000AC810000}"/>
    <cellStyle name="Accent1 13" xfId="364" xr:uid="{00000000-0005-0000-0000-0000AD810000}"/>
    <cellStyle name="Accent1 13 2" xfId="36566" xr:uid="{00000000-0005-0000-0000-0000AE810000}"/>
    <cellStyle name="Accent1 13 3" xfId="36567" xr:uid="{00000000-0005-0000-0000-0000AF810000}"/>
    <cellStyle name="Accent1 14" xfId="365" xr:uid="{00000000-0005-0000-0000-0000B0810000}"/>
    <cellStyle name="Accent1 14 2" xfId="36568" xr:uid="{00000000-0005-0000-0000-0000B1810000}"/>
    <cellStyle name="Accent1 15" xfId="366" xr:uid="{00000000-0005-0000-0000-0000B2810000}"/>
    <cellStyle name="Accent1 15 2" xfId="36569" xr:uid="{00000000-0005-0000-0000-0000B3810000}"/>
    <cellStyle name="Accent1 16" xfId="367" xr:uid="{00000000-0005-0000-0000-0000B4810000}"/>
    <cellStyle name="Accent1 16 2" xfId="36570" xr:uid="{00000000-0005-0000-0000-0000B5810000}"/>
    <cellStyle name="Accent1 17" xfId="368" xr:uid="{00000000-0005-0000-0000-0000B6810000}"/>
    <cellStyle name="Accent1 17 2" xfId="36571" xr:uid="{00000000-0005-0000-0000-0000B7810000}"/>
    <cellStyle name="Accent1 18" xfId="36572" xr:uid="{00000000-0005-0000-0000-0000B8810000}"/>
    <cellStyle name="Accent1 18 2" xfId="36573" xr:uid="{00000000-0005-0000-0000-0000B9810000}"/>
    <cellStyle name="Accent1 19" xfId="36574" xr:uid="{00000000-0005-0000-0000-0000BA810000}"/>
    <cellStyle name="Accent1 19 2" xfId="36575" xr:uid="{00000000-0005-0000-0000-0000BB810000}"/>
    <cellStyle name="Accent1 2" xfId="369" xr:uid="{00000000-0005-0000-0000-0000BC810000}"/>
    <cellStyle name="Accent1 2 2" xfId="370" xr:uid="{00000000-0005-0000-0000-0000BD810000}"/>
    <cellStyle name="Accent1 2 2 2" xfId="36576" xr:uid="{00000000-0005-0000-0000-0000BE810000}"/>
    <cellStyle name="Accent1 2 2 2 2" xfId="36577" xr:uid="{00000000-0005-0000-0000-0000BF810000}"/>
    <cellStyle name="Accent1 2 2 3" xfId="36578" xr:uid="{00000000-0005-0000-0000-0000C0810000}"/>
    <cellStyle name="Accent1 2 3" xfId="371" xr:uid="{00000000-0005-0000-0000-0000C1810000}"/>
    <cellStyle name="Accent1 2 3 2" xfId="36579" xr:uid="{00000000-0005-0000-0000-0000C2810000}"/>
    <cellStyle name="Accent1 2 3 2 2" xfId="36580" xr:uid="{00000000-0005-0000-0000-0000C3810000}"/>
    <cellStyle name="Accent1 2 3 3" xfId="36581" xr:uid="{00000000-0005-0000-0000-0000C4810000}"/>
    <cellStyle name="Accent1 2 4" xfId="372" xr:uid="{00000000-0005-0000-0000-0000C5810000}"/>
    <cellStyle name="Accent1 2 4 2" xfId="36582" xr:uid="{00000000-0005-0000-0000-0000C6810000}"/>
    <cellStyle name="Accent1 2 4 2 2" xfId="36583" xr:uid="{00000000-0005-0000-0000-0000C7810000}"/>
    <cellStyle name="Accent1 2 4 3" xfId="36584" xr:uid="{00000000-0005-0000-0000-0000C8810000}"/>
    <cellStyle name="Accent1 2 5" xfId="36585" xr:uid="{00000000-0005-0000-0000-0000C9810000}"/>
    <cellStyle name="Accent1 20" xfId="36586" xr:uid="{00000000-0005-0000-0000-0000CA810000}"/>
    <cellStyle name="Accent1 20 2" xfId="36587" xr:uid="{00000000-0005-0000-0000-0000CB810000}"/>
    <cellStyle name="Accent1 21" xfId="36588" xr:uid="{00000000-0005-0000-0000-0000CC810000}"/>
    <cellStyle name="Accent1 21 2" xfId="36589" xr:uid="{00000000-0005-0000-0000-0000CD810000}"/>
    <cellStyle name="Accent1 22" xfId="36590" xr:uid="{00000000-0005-0000-0000-0000CE810000}"/>
    <cellStyle name="Accent1 22 2" xfId="36591" xr:uid="{00000000-0005-0000-0000-0000CF810000}"/>
    <cellStyle name="Accent1 23" xfId="36592" xr:uid="{00000000-0005-0000-0000-0000D0810000}"/>
    <cellStyle name="Accent1 23 2" xfId="36593" xr:uid="{00000000-0005-0000-0000-0000D1810000}"/>
    <cellStyle name="Accent1 24" xfId="36594" xr:uid="{00000000-0005-0000-0000-0000D2810000}"/>
    <cellStyle name="Accent1 24 2" xfId="36595" xr:uid="{00000000-0005-0000-0000-0000D3810000}"/>
    <cellStyle name="Accent1 25" xfId="36596" xr:uid="{00000000-0005-0000-0000-0000D4810000}"/>
    <cellStyle name="Accent1 25 2" xfId="36597" xr:uid="{00000000-0005-0000-0000-0000D5810000}"/>
    <cellStyle name="Accent1 26" xfId="36598" xr:uid="{00000000-0005-0000-0000-0000D6810000}"/>
    <cellStyle name="Accent1 26 2" xfId="36599" xr:uid="{00000000-0005-0000-0000-0000D7810000}"/>
    <cellStyle name="Accent1 27" xfId="36600" xr:uid="{00000000-0005-0000-0000-0000D8810000}"/>
    <cellStyle name="Accent1 27 2" xfId="36601" xr:uid="{00000000-0005-0000-0000-0000D9810000}"/>
    <cellStyle name="Accent1 28" xfId="36602" xr:uid="{00000000-0005-0000-0000-0000DA810000}"/>
    <cellStyle name="Accent1 28 2" xfId="36603" xr:uid="{00000000-0005-0000-0000-0000DB810000}"/>
    <cellStyle name="Accent1 29" xfId="36604" xr:uid="{00000000-0005-0000-0000-0000DC810000}"/>
    <cellStyle name="Accent1 29 2" xfId="36605" xr:uid="{00000000-0005-0000-0000-0000DD810000}"/>
    <cellStyle name="Accent1 3" xfId="373" xr:uid="{00000000-0005-0000-0000-0000DE810000}"/>
    <cellStyle name="Accent1 3 2" xfId="374" xr:uid="{00000000-0005-0000-0000-0000DF810000}"/>
    <cellStyle name="Accent1 3 2 2" xfId="36606" xr:uid="{00000000-0005-0000-0000-0000E0810000}"/>
    <cellStyle name="Accent1 3 2 2 2" xfId="36607" xr:uid="{00000000-0005-0000-0000-0000E1810000}"/>
    <cellStyle name="Accent1 3 2 3" xfId="36608" xr:uid="{00000000-0005-0000-0000-0000E2810000}"/>
    <cellStyle name="Accent1 3 3" xfId="36609" xr:uid="{00000000-0005-0000-0000-0000E3810000}"/>
    <cellStyle name="Accent1 3 3 2" xfId="36610" xr:uid="{00000000-0005-0000-0000-0000E4810000}"/>
    <cellStyle name="Accent1 3 4" xfId="36611" xr:uid="{00000000-0005-0000-0000-0000E5810000}"/>
    <cellStyle name="Accent1 3 4 2" xfId="36612" xr:uid="{00000000-0005-0000-0000-0000E6810000}"/>
    <cellStyle name="Accent1 3 5" xfId="36613" xr:uid="{00000000-0005-0000-0000-0000E7810000}"/>
    <cellStyle name="Accent1 3 5 2" xfId="36614" xr:uid="{00000000-0005-0000-0000-0000E8810000}"/>
    <cellStyle name="Accent1 3 6" xfId="36615" xr:uid="{00000000-0005-0000-0000-0000E9810000}"/>
    <cellStyle name="Accent1 3 7" xfId="36616" xr:uid="{00000000-0005-0000-0000-0000EA810000}"/>
    <cellStyle name="Accent1 30" xfId="36617" xr:uid="{00000000-0005-0000-0000-0000EB810000}"/>
    <cellStyle name="Accent1 30 2" xfId="36618" xr:uid="{00000000-0005-0000-0000-0000EC810000}"/>
    <cellStyle name="Accent1 31" xfId="36619" xr:uid="{00000000-0005-0000-0000-0000ED810000}"/>
    <cellStyle name="Accent1 31 2" xfId="36620" xr:uid="{00000000-0005-0000-0000-0000EE810000}"/>
    <cellStyle name="Accent1 32" xfId="36621" xr:uid="{00000000-0005-0000-0000-0000EF810000}"/>
    <cellStyle name="Accent1 32 2" xfId="36622" xr:uid="{00000000-0005-0000-0000-0000F0810000}"/>
    <cellStyle name="Accent1 33" xfId="36623" xr:uid="{00000000-0005-0000-0000-0000F1810000}"/>
    <cellStyle name="Accent1 34" xfId="36624" xr:uid="{00000000-0005-0000-0000-0000F2810000}"/>
    <cellStyle name="Accent1 35" xfId="36625" xr:uid="{00000000-0005-0000-0000-0000F3810000}"/>
    <cellStyle name="Accent1 36" xfId="36626" xr:uid="{00000000-0005-0000-0000-0000F4810000}"/>
    <cellStyle name="Accent1 37" xfId="36627" xr:uid="{00000000-0005-0000-0000-0000F5810000}"/>
    <cellStyle name="Accent1 38" xfId="36628" xr:uid="{00000000-0005-0000-0000-0000F6810000}"/>
    <cellStyle name="Accent1 39" xfId="36629" xr:uid="{00000000-0005-0000-0000-0000F7810000}"/>
    <cellStyle name="Accent1 4" xfId="375" xr:uid="{00000000-0005-0000-0000-0000F8810000}"/>
    <cellStyle name="Accent1 4 2" xfId="36630" xr:uid="{00000000-0005-0000-0000-0000F9810000}"/>
    <cellStyle name="Accent1 4 2 2" xfId="36631" xr:uid="{00000000-0005-0000-0000-0000FA810000}"/>
    <cellStyle name="Accent1 4 3" xfId="36632" xr:uid="{00000000-0005-0000-0000-0000FB810000}"/>
    <cellStyle name="Accent1 4 3 2" xfId="36633" xr:uid="{00000000-0005-0000-0000-0000FC810000}"/>
    <cellStyle name="Accent1 4 4" xfId="36634" xr:uid="{00000000-0005-0000-0000-0000FD810000}"/>
    <cellStyle name="Accent1 4 4 2" xfId="36635" xr:uid="{00000000-0005-0000-0000-0000FE810000}"/>
    <cellStyle name="Accent1 4 5" xfId="36636" xr:uid="{00000000-0005-0000-0000-0000FF810000}"/>
    <cellStyle name="Accent1 4 5 2" xfId="36637" xr:uid="{00000000-0005-0000-0000-000000820000}"/>
    <cellStyle name="Accent1 4 6" xfId="36638" xr:uid="{00000000-0005-0000-0000-000001820000}"/>
    <cellStyle name="Accent1 40" xfId="36639" xr:uid="{00000000-0005-0000-0000-000002820000}"/>
    <cellStyle name="Accent1 41" xfId="36640" xr:uid="{00000000-0005-0000-0000-000003820000}"/>
    <cellStyle name="Accent1 42" xfId="36641" xr:uid="{00000000-0005-0000-0000-000004820000}"/>
    <cellStyle name="Accent1 43" xfId="36642" xr:uid="{00000000-0005-0000-0000-000005820000}"/>
    <cellStyle name="Accent1 44" xfId="36643" xr:uid="{00000000-0005-0000-0000-000006820000}"/>
    <cellStyle name="Accent1 45" xfId="36644" xr:uid="{00000000-0005-0000-0000-000007820000}"/>
    <cellStyle name="Accent1 46" xfId="36645" xr:uid="{00000000-0005-0000-0000-000008820000}"/>
    <cellStyle name="Accent1 47" xfId="36646" xr:uid="{00000000-0005-0000-0000-000009820000}"/>
    <cellStyle name="Accent1 48" xfId="36647" xr:uid="{00000000-0005-0000-0000-00000A820000}"/>
    <cellStyle name="Accent1 49" xfId="36648" xr:uid="{00000000-0005-0000-0000-00000B820000}"/>
    <cellStyle name="Accent1 5" xfId="376" xr:uid="{00000000-0005-0000-0000-00000C820000}"/>
    <cellStyle name="Accent1 5 2" xfId="36649" xr:uid="{00000000-0005-0000-0000-00000D820000}"/>
    <cellStyle name="Accent1 5 2 2" xfId="36650" xr:uid="{00000000-0005-0000-0000-00000E820000}"/>
    <cellStyle name="Accent1 5 3" xfId="36651" xr:uid="{00000000-0005-0000-0000-00000F820000}"/>
    <cellStyle name="Accent1 5 3 2" xfId="36652" xr:uid="{00000000-0005-0000-0000-000010820000}"/>
    <cellStyle name="Accent1 5 4" xfId="36653" xr:uid="{00000000-0005-0000-0000-000011820000}"/>
    <cellStyle name="Accent1 5 4 2" xfId="36654" xr:uid="{00000000-0005-0000-0000-000012820000}"/>
    <cellStyle name="Accent1 5 5" xfId="36655" xr:uid="{00000000-0005-0000-0000-000013820000}"/>
    <cellStyle name="Accent1 5 6" xfId="36656" xr:uid="{00000000-0005-0000-0000-000014820000}"/>
    <cellStyle name="Accent1 50" xfId="36657" xr:uid="{00000000-0005-0000-0000-000015820000}"/>
    <cellStyle name="Accent1 51" xfId="36658" xr:uid="{00000000-0005-0000-0000-000016820000}"/>
    <cellStyle name="Accent1 52" xfId="36659" xr:uid="{00000000-0005-0000-0000-000017820000}"/>
    <cellStyle name="Accent1 53" xfId="36660" xr:uid="{00000000-0005-0000-0000-000018820000}"/>
    <cellStyle name="Accent1 54" xfId="36661" xr:uid="{00000000-0005-0000-0000-000019820000}"/>
    <cellStyle name="Accent1 55" xfId="36662" xr:uid="{00000000-0005-0000-0000-00001A820000}"/>
    <cellStyle name="Accent1 6" xfId="377" xr:uid="{00000000-0005-0000-0000-00001B820000}"/>
    <cellStyle name="Accent1 6 2" xfId="36663" xr:uid="{00000000-0005-0000-0000-00001C820000}"/>
    <cellStyle name="Accent1 6 2 2" xfId="36664" xr:uid="{00000000-0005-0000-0000-00001D820000}"/>
    <cellStyle name="Accent1 6 3" xfId="36665" xr:uid="{00000000-0005-0000-0000-00001E820000}"/>
    <cellStyle name="Accent1 6 3 2" xfId="36666" xr:uid="{00000000-0005-0000-0000-00001F820000}"/>
    <cellStyle name="Accent1 6 4" xfId="36667" xr:uid="{00000000-0005-0000-0000-000020820000}"/>
    <cellStyle name="Accent1 6 4 2" xfId="36668" xr:uid="{00000000-0005-0000-0000-000021820000}"/>
    <cellStyle name="Accent1 6 5" xfId="36669" xr:uid="{00000000-0005-0000-0000-000022820000}"/>
    <cellStyle name="Accent1 6 6" xfId="36670" xr:uid="{00000000-0005-0000-0000-000023820000}"/>
    <cellStyle name="Accent1 7" xfId="378" xr:uid="{00000000-0005-0000-0000-000024820000}"/>
    <cellStyle name="Accent1 7 2" xfId="36671" xr:uid="{00000000-0005-0000-0000-000025820000}"/>
    <cellStyle name="Accent1 7 2 2" xfId="36672" xr:uid="{00000000-0005-0000-0000-000026820000}"/>
    <cellStyle name="Accent1 7 3" xfId="36673" xr:uid="{00000000-0005-0000-0000-000027820000}"/>
    <cellStyle name="Accent1 7 3 2" xfId="36674" xr:uid="{00000000-0005-0000-0000-000028820000}"/>
    <cellStyle name="Accent1 7 4" xfId="36675" xr:uid="{00000000-0005-0000-0000-000029820000}"/>
    <cellStyle name="Accent1 7 4 2" xfId="36676" xr:uid="{00000000-0005-0000-0000-00002A820000}"/>
    <cellStyle name="Accent1 7 5" xfId="36677" xr:uid="{00000000-0005-0000-0000-00002B820000}"/>
    <cellStyle name="Accent1 7 6" xfId="36678" xr:uid="{00000000-0005-0000-0000-00002C820000}"/>
    <cellStyle name="Accent1 8" xfId="379" xr:uid="{00000000-0005-0000-0000-00002D820000}"/>
    <cellStyle name="Accent1 8 2" xfId="36679" xr:uid="{00000000-0005-0000-0000-00002E820000}"/>
    <cellStyle name="Accent1 8 2 2" xfId="36680" xr:uid="{00000000-0005-0000-0000-00002F820000}"/>
    <cellStyle name="Accent1 8 3" xfId="36681" xr:uid="{00000000-0005-0000-0000-000030820000}"/>
    <cellStyle name="Accent1 8 3 2" xfId="36682" xr:uid="{00000000-0005-0000-0000-000031820000}"/>
    <cellStyle name="Accent1 8 4" xfId="36683" xr:uid="{00000000-0005-0000-0000-000032820000}"/>
    <cellStyle name="Accent1 8 5" xfId="36684" xr:uid="{00000000-0005-0000-0000-000033820000}"/>
    <cellStyle name="Accent1 9" xfId="380" xr:uid="{00000000-0005-0000-0000-000034820000}"/>
    <cellStyle name="Accent1 9 2" xfId="36685" xr:uid="{00000000-0005-0000-0000-000035820000}"/>
    <cellStyle name="Accent1 9 2 2" xfId="36686" xr:uid="{00000000-0005-0000-0000-000036820000}"/>
    <cellStyle name="Accent1 9 3" xfId="36687" xr:uid="{00000000-0005-0000-0000-000037820000}"/>
    <cellStyle name="Accent1 9 3 2" xfId="36688" xr:uid="{00000000-0005-0000-0000-000038820000}"/>
    <cellStyle name="Accent1 9 4" xfId="36689" xr:uid="{00000000-0005-0000-0000-000039820000}"/>
    <cellStyle name="Accent1 9 5" xfId="36690" xr:uid="{00000000-0005-0000-0000-00003A820000}"/>
    <cellStyle name="Accent2" xfId="122" builtinId="33" customBuiltin="1"/>
    <cellStyle name="Accent2 - 20%" xfId="11" xr:uid="{00000000-0005-0000-0000-000017000000}"/>
    <cellStyle name="Accent2 - 20% 10" xfId="381" xr:uid="{00000000-0005-0000-0000-00003C820000}"/>
    <cellStyle name="Accent2 - 20% 10 2" xfId="36691" xr:uid="{00000000-0005-0000-0000-00003D820000}"/>
    <cellStyle name="Accent2 - 20% 11" xfId="382" xr:uid="{00000000-0005-0000-0000-00003E820000}"/>
    <cellStyle name="Accent2 - 20% 11 2" xfId="36692" xr:uid="{00000000-0005-0000-0000-00003F820000}"/>
    <cellStyle name="Accent2 - 20% 12" xfId="383" xr:uid="{00000000-0005-0000-0000-000040820000}"/>
    <cellStyle name="Accent2 - 20% 12 2" xfId="36693" xr:uid="{00000000-0005-0000-0000-000041820000}"/>
    <cellStyle name="Accent2 - 20% 13" xfId="384" xr:uid="{00000000-0005-0000-0000-000042820000}"/>
    <cellStyle name="Accent2 - 20% 13 2" xfId="36694" xr:uid="{00000000-0005-0000-0000-000043820000}"/>
    <cellStyle name="Accent2 - 20% 14" xfId="385" xr:uid="{00000000-0005-0000-0000-000044820000}"/>
    <cellStyle name="Accent2 - 20% 14 2" xfId="36695" xr:uid="{00000000-0005-0000-0000-000045820000}"/>
    <cellStyle name="Accent2 - 20% 15" xfId="386" xr:uid="{00000000-0005-0000-0000-000046820000}"/>
    <cellStyle name="Accent2 - 20% 15 2" xfId="36696" xr:uid="{00000000-0005-0000-0000-000047820000}"/>
    <cellStyle name="Accent2 - 20% 16" xfId="387" xr:uid="{00000000-0005-0000-0000-000048820000}"/>
    <cellStyle name="Accent2 - 20% 16 2" xfId="36697" xr:uid="{00000000-0005-0000-0000-000049820000}"/>
    <cellStyle name="Accent2 - 20% 17" xfId="388" xr:uid="{00000000-0005-0000-0000-00004A820000}"/>
    <cellStyle name="Accent2 - 20% 17 2" xfId="36698" xr:uid="{00000000-0005-0000-0000-00004B820000}"/>
    <cellStyle name="Accent2 - 20% 18" xfId="389" xr:uid="{00000000-0005-0000-0000-00004C820000}"/>
    <cellStyle name="Accent2 - 20% 18 2" xfId="36699" xr:uid="{00000000-0005-0000-0000-00004D820000}"/>
    <cellStyle name="Accent2 - 20% 19" xfId="390" xr:uid="{00000000-0005-0000-0000-00004E820000}"/>
    <cellStyle name="Accent2 - 20% 19 2" xfId="36700" xr:uid="{00000000-0005-0000-0000-00004F820000}"/>
    <cellStyle name="Accent2 - 20% 2" xfId="391" xr:uid="{00000000-0005-0000-0000-000050820000}"/>
    <cellStyle name="Accent2 - 20% 2 2" xfId="36701" xr:uid="{00000000-0005-0000-0000-000051820000}"/>
    <cellStyle name="Accent2 - 20% 2 2 2" xfId="36702" xr:uid="{00000000-0005-0000-0000-000052820000}"/>
    <cellStyle name="Accent2 - 20% 2 3" xfId="36703" xr:uid="{00000000-0005-0000-0000-000053820000}"/>
    <cellStyle name="Accent2 - 20% 20" xfId="392" xr:uid="{00000000-0005-0000-0000-000054820000}"/>
    <cellStyle name="Accent2 - 20% 20 2" xfId="36704" xr:uid="{00000000-0005-0000-0000-000055820000}"/>
    <cellStyle name="Accent2 - 20% 21" xfId="393" xr:uid="{00000000-0005-0000-0000-000056820000}"/>
    <cellStyle name="Accent2 - 20% 21 2" xfId="36705" xr:uid="{00000000-0005-0000-0000-000057820000}"/>
    <cellStyle name="Accent2 - 20% 22" xfId="394" xr:uid="{00000000-0005-0000-0000-000058820000}"/>
    <cellStyle name="Accent2 - 20% 22 2" xfId="36706" xr:uid="{00000000-0005-0000-0000-000059820000}"/>
    <cellStyle name="Accent2 - 20% 23" xfId="395" xr:uid="{00000000-0005-0000-0000-00005A820000}"/>
    <cellStyle name="Accent2 - 20% 23 2" xfId="36707" xr:uid="{00000000-0005-0000-0000-00005B820000}"/>
    <cellStyle name="Accent2 - 20% 24" xfId="396" xr:uid="{00000000-0005-0000-0000-00005C820000}"/>
    <cellStyle name="Accent2 - 20% 24 2" xfId="36708" xr:uid="{00000000-0005-0000-0000-00005D820000}"/>
    <cellStyle name="Accent2 - 20% 25" xfId="397" xr:uid="{00000000-0005-0000-0000-00005E820000}"/>
    <cellStyle name="Accent2 - 20% 25 2" xfId="36709" xr:uid="{00000000-0005-0000-0000-00005F820000}"/>
    <cellStyle name="Accent2 - 20% 26" xfId="398" xr:uid="{00000000-0005-0000-0000-000060820000}"/>
    <cellStyle name="Accent2 - 20% 26 2" xfId="36710" xr:uid="{00000000-0005-0000-0000-000061820000}"/>
    <cellStyle name="Accent2 - 20% 27" xfId="399" xr:uid="{00000000-0005-0000-0000-000062820000}"/>
    <cellStyle name="Accent2 - 20% 27 2" xfId="36711" xr:uid="{00000000-0005-0000-0000-000063820000}"/>
    <cellStyle name="Accent2 - 20% 28" xfId="400" xr:uid="{00000000-0005-0000-0000-000064820000}"/>
    <cellStyle name="Accent2 - 20% 28 2" xfId="36712" xr:uid="{00000000-0005-0000-0000-000065820000}"/>
    <cellStyle name="Accent2 - 20% 29" xfId="401" xr:uid="{00000000-0005-0000-0000-000066820000}"/>
    <cellStyle name="Accent2 - 20% 29 2" xfId="36713" xr:uid="{00000000-0005-0000-0000-000067820000}"/>
    <cellStyle name="Accent2 - 20% 3" xfId="402" xr:uid="{00000000-0005-0000-0000-000068820000}"/>
    <cellStyle name="Accent2 - 20% 3 2" xfId="36714" xr:uid="{00000000-0005-0000-0000-000069820000}"/>
    <cellStyle name="Accent2 - 20% 30" xfId="403" xr:uid="{00000000-0005-0000-0000-00006A820000}"/>
    <cellStyle name="Accent2 - 20% 30 2" xfId="36715" xr:uid="{00000000-0005-0000-0000-00006B820000}"/>
    <cellStyle name="Accent2 - 20% 31" xfId="404" xr:uid="{00000000-0005-0000-0000-00006C820000}"/>
    <cellStyle name="Accent2 - 20% 31 2" xfId="36716" xr:uid="{00000000-0005-0000-0000-00006D820000}"/>
    <cellStyle name="Accent2 - 20% 32" xfId="405" xr:uid="{00000000-0005-0000-0000-00006E820000}"/>
    <cellStyle name="Accent2 - 20% 32 2" xfId="36717" xr:uid="{00000000-0005-0000-0000-00006F820000}"/>
    <cellStyle name="Accent2 - 20% 33" xfId="406" xr:uid="{00000000-0005-0000-0000-000070820000}"/>
    <cellStyle name="Accent2 - 20% 33 2" xfId="36718" xr:uid="{00000000-0005-0000-0000-000071820000}"/>
    <cellStyle name="Accent2 - 20% 34" xfId="407" xr:uid="{00000000-0005-0000-0000-000072820000}"/>
    <cellStyle name="Accent2 - 20% 34 2" xfId="36719" xr:uid="{00000000-0005-0000-0000-000073820000}"/>
    <cellStyle name="Accent2 - 20% 35" xfId="408" xr:uid="{00000000-0005-0000-0000-000074820000}"/>
    <cellStyle name="Accent2 - 20% 35 2" xfId="36720" xr:uid="{00000000-0005-0000-0000-000075820000}"/>
    <cellStyle name="Accent2 - 20% 36" xfId="409" xr:uid="{00000000-0005-0000-0000-000076820000}"/>
    <cellStyle name="Accent2 - 20% 36 2" xfId="36721" xr:uid="{00000000-0005-0000-0000-000077820000}"/>
    <cellStyle name="Accent2 - 20% 37" xfId="410" xr:uid="{00000000-0005-0000-0000-000078820000}"/>
    <cellStyle name="Accent2 - 20% 37 2" xfId="36722" xr:uid="{00000000-0005-0000-0000-000079820000}"/>
    <cellStyle name="Accent2 - 20% 38" xfId="411" xr:uid="{00000000-0005-0000-0000-00007A820000}"/>
    <cellStyle name="Accent2 - 20% 38 2" xfId="36723" xr:uid="{00000000-0005-0000-0000-00007B820000}"/>
    <cellStyle name="Accent2 - 20% 39" xfId="412" xr:uid="{00000000-0005-0000-0000-00007C820000}"/>
    <cellStyle name="Accent2 - 20% 39 2" xfId="36724" xr:uid="{00000000-0005-0000-0000-00007D820000}"/>
    <cellStyle name="Accent2 - 20% 4" xfId="413" xr:uid="{00000000-0005-0000-0000-00007E820000}"/>
    <cellStyle name="Accent2 - 20% 4 2" xfId="36725" xr:uid="{00000000-0005-0000-0000-00007F820000}"/>
    <cellStyle name="Accent2 - 20% 40" xfId="414" xr:uid="{00000000-0005-0000-0000-000080820000}"/>
    <cellStyle name="Accent2 - 20% 40 2" xfId="36726" xr:uid="{00000000-0005-0000-0000-000081820000}"/>
    <cellStyle name="Accent2 - 20% 41" xfId="415" xr:uid="{00000000-0005-0000-0000-000082820000}"/>
    <cellStyle name="Accent2 - 20% 41 2" xfId="36727" xr:uid="{00000000-0005-0000-0000-000083820000}"/>
    <cellStyle name="Accent2 - 20% 42" xfId="416" xr:uid="{00000000-0005-0000-0000-000084820000}"/>
    <cellStyle name="Accent2 - 20% 42 2" xfId="36728" xr:uid="{00000000-0005-0000-0000-000085820000}"/>
    <cellStyle name="Accent2 - 20% 43" xfId="417" xr:uid="{00000000-0005-0000-0000-000086820000}"/>
    <cellStyle name="Accent2 - 20% 43 2" xfId="36729" xr:uid="{00000000-0005-0000-0000-000087820000}"/>
    <cellStyle name="Accent2 - 20% 44" xfId="418" xr:uid="{00000000-0005-0000-0000-000088820000}"/>
    <cellStyle name="Accent2 - 20% 44 2" xfId="36730" xr:uid="{00000000-0005-0000-0000-000089820000}"/>
    <cellStyle name="Accent2 - 20% 45" xfId="419" xr:uid="{00000000-0005-0000-0000-00008A820000}"/>
    <cellStyle name="Accent2 - 20% 45 2" xfId="36731" xr:uid="{00000000-0005-0000-0000-00008B820000}"/>
    <cellStyle name="Accent2 - 20% 46" xfId="420" xr:uid="{00000000-0005-0000-0000-00008C820000}"/>
    <cellStyle name="Accent2 - 20% 46 2" xfId="36732" xr:uid="{00000000-0005-0000-0000-00008D820000}"/>
    <cellStyle name="Accent2 - 20% 47" xfId="36733" xr:uid="{00000000-0005-0000-0000-00008E820000}"/>
    <cellStyle name="Accent2 - 20% 47 2" xfId="36734" xr:uid="{00000000-0005-0000-0000-00008F820000}"/>
    <cellStyle name="Accent2 - 20% 47 3" xfId="36735" xr:uid="{00000000-0005-0000-0000-000090820000}"/>
    <cellStyle name="Accent2 - 20% 48" xfId="36736" xr:uid="{00000000-0005-0000-0000-000091820000}"/>
    <cellStyle name="Accent2 - 20% 49" xfId="36737" xr:uid="{00000000-0005-0000-0000-000092820000}"/>
    <cellStyle name="Accent2 - 20% 5" xfId="421" xr:uid="{00000000-0005-0000-0000-000093820000}"/>
    <cellStyle name="Accent2 - 20% 5 2" xfId="36738" xr:uid="{00000000-0005-0000-0000-000094820000}"/>
    <cellStyle name="Accent2 - 20% 50" xfId="36739" xr:uid="{00000000-0005-0000-0000-000095820000}"/>
    <cellStyle name="Accent2 - 20% 6" xfId="422" xr:uid="{00000000-0005-0000-0000-000096820000}"/>
    <cellStyle name="Accent2 - 20% 6 2" xfId="36740" xr:uid="{00000000-0005-0000-0000-000097820000}"/>
    <cellStyle name="Accent2 - 20% 7" xfId="423" xr:uid="{00000000-0005-0000-0000-000098820000}"/>
    <cellStyle name="Accent2 - 20% 7 2" xfId="36741" xr:uid="{00000000-0005-0000-0000-000099820000}"/>
    <cellStyle name="Accent2 - 20% 8" xfId="424" xr:uid="{00000000-0005-0000-0000-00009A820000}"/>
    <cellStyle name="Accent2 - 20% 8 2" xfId="36742" xr:uid="{00000000-0005-0000-0000-00009B820000}"/>
    <cellStyle name="Accent2 - 20% 9" xfId="425" xr:uid="{00000000-0005-0000-0000-00009C820000}"/>
    <cellStyle name="Accent2 - 20% 9 2" xfId="36743" xr:uid="{00000000-0005-0000-0000-00009D820000}"/>
    <cellStyle name="Accent2 - 40%" xfId="12" xr:uid="{00000000-0005-0000-0000-000018000000}"/>
    <cellStyle name="Accent2 - 40% 10" xfId="426" xr:uid="{00000000-0005-0000-0000-00009F820000}"/>
    <cellStyle name="Accent2 - 40% 10 2" xfId="36744" xr:uid="{00000000-0005-0000-0000-0000A0820000}"/>
    <cellStyle name="Accent2 - 40% 11" xfId="427" xr:uid="{00000000-0005-0000-0000-0000A1820000}"/>
    <cellStyle name="Accent2 - 40% 11 2" xfId="36745" xr:uid="{00000000-0005-0000-0000-0000A2820000}"/>
    <cellStyle name="Accent2 - 40% 12" xfId="428" xr:uid="{00000000-0005-0000-0000-0000A3820000}"/>
    <cellStyle name="Accent2 - 40% 12 2" xfId="36746" xr:uid="{00000000-0005-0000-0000-0000A4820000}"/>
    <cellStyle name="Accent2 - 40% 13" xfId="429" xr:uid="{00000000-0005-0000-0000-0000A5820000}"/>
    <cellStyle name="Accent2 - 40% 13 2" xfId="36747" xr:uid="{00000000-0005-0000-0000-0000A6820000}"/>
    <cellStyle name="Accent2 - 40% 14" xfId="430" xr:uid="{00000000-0005-0000-0000-0000A7820000}"/>
    <cellStyle name="Accent2 - 40% 14 2" xfId="36748" xr:uid="{00000000-0005-0000-0000-0000A8820000}"/>
    <cellStyle name="Accent2 - 40% 15" xfId="431" xr:uid="{00000000-0005-0000-0000-0000A9820000}"/>
    <cellStyle name="Accent2 - 40% 15 2" xfId="36749" xr:uid="{00000000-0005-0000-0000-0000AA820000}"/>
    <cellStyle name="Accent2 - 40% 16" xfId="432" xr:uid="{00000000-0005-0000-0000-0000AB820000}"/>
    <cellStyle name="Accent2 - 40% 16 2" xfId="36750" xr:uid="{00000000-0005-0000-0000-0000AC820000}"/>
    <cellStyle name="Accent2 - 40% 17" xfId="433" xr:uid="{00000000-0005-0000-0000-0000AD820000}"/>
    <cellStyle name="Accent2 - 40% 17 2" xfId="36751" xr:uid="{00000000-0005-0000-0000-0000AE820000}"/>
    <cellStyle name="Accent2 - 40% 18" xfId="434" xr:uid="{00000000-0005-0000-0000-0000AF820000}"/>
    <cellStyle name="Accent2 - 40% 18 2" xfId="36752" xr:uid="{00000000-0005-0000-0000-0000B0820000}"/>
    <cellStyle name="Accent2 - 40% 19" xfId="435" xr:uid="{00000000-0005-0000-0000-0000B1820000}"/>
    <cellStyle name="Accent2 - 40% 19 2" xfId="36753" xr:uid="{00000000-0005-0000-0000-0000B2820000}"/>
    <cellStyle name="Accent2 - 40% 2" xfId="436" xr:uid="{00000000-0005-0000-0000-0000B3820000}"/>
    <cellStyle name="Accent2 - 40% 2 2" xfId="36754" xr:uid="{00000000-0005-0000-0000-0000B4820000}"/>
    <cellStyle name="Accent2 - 40% 2 2 2" xfId="36755" xr:uid="{00000000-0005-0000-0000-0000B5820000}"/>
    <cellStyle name="Accent2 - 40% 2 3" xfId="36756" xr:uid="{00000000-0005-0000-0000-0000B6820000}"/>
    <cellStyle name="Accent2 - 40% 20" xfId="437" xr:uid="{00000000-0005-0000-0000-0000B7820000}"/>
    <cellStyle name="Accent2 - 40% 20 2" xfId="36757" xr:uid="{00000000-0005-0000-0000-0000B8820000}"/>
    <cellStyle name="Accent2 - 40% 21" xfId="438" xr:uid="{00000000-0005-0000-0000-0000B9820000}"/>
    <cellStyle name="Accent2 - 40% 21 2" xfId="36758" xr:uid="{00000000-0005-0000-0000-0000BA820000}"/>
    <cellStyle name="Accent2 - 40% 22" xfId="439" xr:uid="{00000000-0005-0000-0000-0000BB820000}"/>
    <cellStyle name="Accent2 - 40% 22 2" xfId="36759" xr:uid="{00000000-0005-0000-0000-0000BC820000}"/>
    <cellStyle name="Accent2 - 40% 23" xfId="440" xr:uid="{00000000-0005-0000-0000-0000BD820000}"/>
    <cellStyle name="Accent2 - 40% 23 2" xfId="36760" xr:uid="{00000000-0005-0000-0000-0000BE820000}"/>
    <cellStyle name="Accent2 - 40% 24" xfId="441" xr:uid="{00000000-0005-0000-0000-0000BF820000}"/>
    <cellStyle name="Accent2 - 40% 24 2" xfId="36761" xr:uid="{00000000-0005-0000-0000-0000C0820000}"/>
    <cellStyle name="Accent2 - 40% 25" xfId="442" xr:uid="{00000000-0005-0000-0000-0000C1820000}"/>
    <cellStyle name="Accent2 - 40% 25 2" xfId="36762" xr:uid="{00000000-0005-0000-0000-0000C2820000}"/>
    <cellStyle name="Accent2 - 40% 26" xfId="443" xr:uid="{00000000-0005-0000-0000-0000C3820000}"/>
    <cellStyle name="Accent2 - 40% 26 2" xfId="36763" xr:uid="{00000000-0005-0000-0000-0000C4820000}"/>
    <cellStyle name="Accent2 - 40% 27" xfId="444" xr:uid="{00000000-0005-0000-0000-0000C5820000}"/>
    <cellStyle name="Accent2 - 40% 27 2" xfId="36764" xr:uid="{00000000-0005-0000-0000-0000C6820000}"/>
    <cellStyle name="Accent2 - 40% 28" xfId="445" xr:uid="{00000000-0005-0000-0000-0000C7820000}"/>
    <cellStyle name="Accent2 - 40% 28 2" xfId="36765" xr:uid="{00000000-0005-0000-0000-0000C8820000}"/>
    <cellStyle name="Accent2 - 40% 29" xfId="446" xr:uid="{00000000-0005-0000-0000-0000C9820000}"/>
    <cellStyle name="Accent2 - 40% 29 2" xfId="36766" xr:uid="{00000000-0005-0000-0000-0000CA820000}"/>
    <cellStyle name="Accent2 - 40% 3" xfId="447" xr:uid="{00000000-0005-0000-0000-0000CB820000}"/>
    <cellStyle name="Accent2 - 40% 3 2" xfId="36767" xr:uid="{00000000-0005-0000-0000-0000CC820000}"/>
    <cellStyle name="Accent2 - 40% 30" xfId="448" xr:uid="{00000000-0005-0000-0000-0000CD820000}"/>
    <cellStyle name="Accent2 - 40% 30 2" xfId="36768" xr:uid="{00000000-0005-0000-0000-0000CE820000}"/>
    <cellStyle name="Accent2 - 40% 31" xfId="449" xr:uid="{00000000-0005-0000-0000-0000CF820000}"/>
    <cellStyle name="Accent2 - 40% 31 2" xfId="36769" xr:uid="{00000000-0005-0000-0000-0000D0820000}"/>
    <cellStyle name="Accent2 - 40% 32" xfId="450" xr:uid="{00000000-0005-0000-0000-0000D1820000}"/>
    <cellStyle name="Accent2 - 40% 32 2" xfId="36770" xr:uid="{00000000-0005-0000-0000-0000D2820000}"/>
    <cellStyle name="Accent2 - 40% 33" xfId="451" xr:uid="{00000000-0005-0000-0000-0000D3820000}"/>
    <cellStyle name="Accent2 - 40% 33 2" xfId="36771" xr:uid="{00000000-0005-0000-0000-0000D4820000}"/>
    <cellStyle name="Accent2 - 40% 34" xfId="452" xr:uid="{00000000-0005-0000-0000-0000D5820000}"/>
    <cellStyle name="Accent2 - 40% 34 2" xfId="36772" xr:uid="{00000000-0005-0000-0000-0000D6820000}"/>
    <cellStyle name="Accent2 - 40% 35" xfId="453" xr:uid="{00000000-0005-0000-0000-0000D7820000}"/>
    <cellStyle name="Accent2 - 40% 35 2" xfId="36773" xr:uid="{00000000-0005-0000-0000-0000D8820000}"/>
    <cellStyle name="Accent2 - 40% 36" xfId="454" xr:uid="{00000000-0005-0000-0000-0000D9820000}"/>
    <cellStyle name="Accent2 - 40% 36 2" xfId="36774" xr:uid="{00000000-0005-0000-0000-0000DA820000}"/>
    <cellStyle name="Accent2 - 40% 37" xfId="455" xr:uid="{00000000-0005-0000-0000-0000DB820000}"/>
    <cellStyle name="Accent2 - 40% 37 2" xfId="36775" xr:uid="{00000000-0005-0000-0000-0000DC820000}"/>
    <cellStyle name="Accent2 - 40% 38" xfId="456" xr:uid="{00000000-0005-0000-0000-0000DD820000}"/>
    <cellStyle name="Accent2 - 40% 38 2" xfId="36776" xr:uid="{00000000-0005-0000-0000-0000DE820000}"/>
    <cellStyle name="Accent2 - 40% 39" xfId="457" xr:uid="{00000000-0005-0000-0000-0000DF820000}"/>
    <cellStyle name="Accent2 - 40% 39 2" xfId="36777" xr:uid="{00000000-0005-0000-0000-0000E0820000}"/>
    <cellStyle name="Accent2 - 40% 4" xfId="458" xr:uid="{00000000-0005-0000-0000-0000E1820000}"/>
    <cellStyle name="Accent2 - 40% 4 2" xfId="36778" xr:uid="{00000000-0005-0000-0000-0000E2820000}"/>
    <cellStyle name="Accent2 - 40% 40" xfId="459" xr:uid="{00000000-0005-0000-0000-0000E3820000}"/>
    <cellStyle name="Accent2 - 40% 40 2" xfId="36779" xr:uid="{00000000-0005-0000-0000-0000E4820000}"/>
    <cellStyle name="Accent2 - 40% 41" xfId="460" xr:uid="{00000000-0005-0000-0000-0000E5820000}"/>
    <cellStyle name="Accent2 - 40% 41 2" xfId="36780" xr:uid="{00000000-0005-0000-0000-0000E6820000}"/>
    <cellStyle name="Accent2 - 40% 42" xfId="461" xr:uid="{00000000-0005-0000-0000-0000E7820000}"/>
    <cellStyle name="Accent2 - 40% 42 2" xfId="36781" xr:uid="{00000000-0005-0000-0000-0000E8820000}"/>
    <cellStyle name="Accent2 - 40% 43" xfId="462" xr:uid="{00000000-0005-0000-0000-0000E9820000}"/>
    <cellStyle name="Accent2 - 40% 43 2" xfId="36782" xr:uid="{00000000-0005-0000-0000-0000EA820000}"/>
    <cellStyle name="Accent2 - 40% 44" xfId="463" xr:uid="{00000000-0005-0000-0000-0000EB820000}"/>
    <cellStyle name="Accent2 - 40% 44 2" xfId="36783" xr:uid="{00000000-0005-0000-0000-0000EC820000}"/>
    <cellStyle name="Accent2 - 40% 45" xfId="464" xr:uid="{00000000-0005-0000-0000-0000ED820000}"/>
    <cellStyle name="Accent2 - 40% 45 2" xfId="36784" xr:uid="{00000000-0005-0000-0000-0000EE820000}"/>
    <cellStyle name="Accent2 - 40% 46" xfId="465" xr:uid="{00000000-0005-0000-0000-0000EF820000}"/>
    <cellStyle name="Accent2 - 40% 46 2" xfId="36785" xr:uid="{00000000-0005-0000-0000-0000F0820000}"/>
    <cellStyle name="Accent2 - 40% 47" xfId="36786" xr:uid="{00000000-0005-0000-0000-0000F1820000}"/>
    <cellStyle name="Accent2 - 40% 47 2" xfId="36787" xr:uid="{00000000-0005-0000-0000-0000F2820000}"/>
    <cellStyle name="Accent2 - 40% 47 3" xfId="36788" xr:uid="{00000000-0005-0000-0000-0000F3820000}"/>
    <cellStyle name="Accent2 - 40% 48" xfId="36789" xr:uid="{00000000-0005-0000-0000-0000F4820000}"/>
    <cellStyle name="Accent2 - 40% 49" xfId="36790" xr:uid="{00000000-0005-0000-0000-0000F5820000}"/>
    <cellStyle name="Accent2 - 40% 5" xfId="466" xr:uid="{00000000-0005-0000-0000-0000F6820000}"/>
    <cellStyle name="Accent2 - 40% 5 2" xfId="36791" xr:uid="{00000000-0005-0000-0000-0000F7820000}"/>
    <cellStyle name="Accent2 - 40% 50" xfId="36792" xr:uid="{00000000-0005-0000-0000-0000F8820000}"/>
    <cellStyle name="Accent2 - 40% 6" xfId="467" xr:uid="{00000000-0005-0000-0000-0000F9820000}"/>
    <cellStyle name="Accent2 - 40% 6 2" xfId="36793" xr:uid="{00000000-0005-0000-0000-0000FA820000}"/>
    <cellStyle name="Accent2 - 40% 7" xfId="468" xr:uid="{00000000-0005-0000-0000-0000FB820000}"/>
    <cellStyle name="Accent2 - 40% 7 2" xfId="36794" xr:uid="{00000000-0005-0000-0000-0000FC820000}"/>
    <cellStyle name="Accent2 - 40% 8" xfId="469" xr:uid="{00000000-0005-0000-0000-0000FD820000}"/>
    <cellStyle name="Accent2 - 40% 8 2" xfId="36795" xr:uid="{00000000-0005-0000-0000-0000FE820000}"/>
    <cellStyle name="Accent2 - 40% 9" xfId="470" xr:uid="{00000000-0005-0000-0000-0000FF820000}"/>
    <cellStyle name="Accent2 - 40% 9 2" xfId="36796" xr:uid="{00000000-0005-0000-0000-000000830000}"/>
    <cellStyle name="Accent2 - 60%" xfId="13" xr:uid="{00000000-0005-0000-0000-000019000000}"/>
    <cellStyle name="Accent2 - 60% 10" xfId="471" xr:uid="{00000000-0005-0000-0000-000002830000}"/>
    <cellStyle name="Accent2 - 60% 10 2" xfId="36797" xr:uid="{00000000-0005-0000-0000-000003830000}"/>
    <cellStyle name="Accent2 - 60% 11" xfId="472" xr:uid="{00000000-0005-0000-0000-000004830000}"/>
    <cellStyle name="Accent2 - 60% 11 2" xfId="36798" xr:uid="{00000000-0005-0000-0000-000005830000}"/>
    <cellStyle name="Accent2 - 60% 12" xfId="473" xr:uid="{00000000-0005-0000-0000-000006830000}"/>
    <cellStyle name="Accent2 - 60% 12 2" xfId="36799" xr:uid="{00000000-0005-0000-0000-000007830000}"/>
    <cellStyle name="Accent2 - 60% 13" xfId="474" xr:uid="{00000000-0005-0000-0000-000008830000}"/>
    <cellStyle name="Accent2 - 60% 13 2" xfId="36800" xr:uid="{00000000-0005-0000-0000-000009830000}"/>
    <cellStyle name="Accent2 - 60% 14" xfId="475" xr:uid="{00000000-0005-0000-0000-00000A830000}"/>
    <cellStyle name="Accent2 - 60% 14 2" xfId="36801" xr:uid="{00000000-0005-0000-0000-00000B830000}"/>
    <cellStyle name="Accent2 - 60% 15" xfId="476" xr:uid="{00000000-0005-0000-0000-00000C830000}"/>
    <cellStyle name="Accent2 - 60% 15 2" xfId="36802" xr:uid="{00000000-0005-0000-0000-00000D830000}"/>
    <cellStyle name="Accent2 - 60% 16" xfId="477" xr:uid="{00000000-0005-0000-0000-00000E830000}"/>
    <cellStyle name="Accent2 - 60% 16 2" xfId="36803" xr:uid="{00000000-0005-0000-0000-00000F830000}"/>
    <cellStyle name="Accent2 - 60% 17" xfId="478" xr:uid="{00000000-0005-0000-0000-000010830000}"/>
    <cellStyle name="Accent2 - 60% 17 2" xfId="36804" xr:uid="{00000000-0005-0000-0000-000011830000}"/>
    <cellStyle name="Accent2 - 60% 18" xfId="479" xr:uid="{00000000-0005-0000-0000-000012830000}"/>
    <cellStyle name="Accent2 - 60% 18 2" xfId="36805" xr:uid="{00000000-0005-0000-0000-000013830000}"/>
    <cellStyle name="Accent2 - 60% 19" xfId="480" xr:uid="{00000000-0005-0000-0000-000014830000}"/>
    <cellStyle name="Accent2 - 60% 19 2" xfId="36806" xr:uid="{00000000-0005-0000-0000-000015830000}"/>
    <cellStyle name="Accent2 - 60% 2" xfId="481" xr:uid="{00000000-0005-0000-0000-000016830000}"/>
    <cellStyle name="Accent2 - 60% 2 2" xfId="36807" xr:uid="{00000000-0005-0000-0000-000017830000}"/>
    <cellStyle name="Accent2 - 60% 2 2 2" xfId="36808" xr:uid="{00000000-0005-0000-0000-000018830000}"/>
    <cellStyle name="Accent2 - 60% 2 3" xfId="36809" xr:uid="{00000000-0005-0000-0000-000019830000}"/>
    <cellStyle name="Accent2 - 60% 20" xfId="482" xr:uid="{00000000-0005-0000-0000-00001A830000}"/>
    <cellStyle name="Accent2 - 60% 20 2" xfId="36810" xr:uid="{00000000-0005-0000-0000-00001B830000}"/>
    <cellStyle name="Accent2 - 60% 21" xfId="483" xr:uid="{00000000-0005-0000-0000-00001C830000}"/>
    <cellStyle name="Accent2 - 60% 21 2" xfId="36811" xr:uid="{00000000-0005-0000-0000-00001D830000}"/>
    <cellStyle name="Accent2 - 60% 22" xfId="484" xr:uid="{00000000-0005-0000-0000-00001E830000}"/>
    <cellStyle name="Accent2 - 60% 22 2" xfId="36812" xr:uid="{00000000-0005-0000-0000-00001F830000}"/>
    <cellStyle name="Accent2 - 60% 23" xfId="485" xr:uid="{00000000-0005-0000-0000-000020830000}"/>
    <cellStyle name="Accent2 - 60% 23 2" xfId="36813" xr:uid="{00000000-0005-0000-0000-000021830000}"/>
    <cellStyle name="Accent2 - 60% 24" xfId="486" xr:uid="{00000000-0005-0000-0000-000022830000}"/>
    <cellStyle name="Accent2 - 60% 24 2" xfId="36814" xr:uid="{00000000-0005-0000-0000-000023830000}"/>
    <cellStyle name="Accent2 - 60% 25" xfId="487" xr:uid="{00000000-0005-0000-0000-000024830000}"/>
    <cellStyle name="Accent2 - 60% 25 2" xfId="36815" xr:uid="{00000000-0005-0000-0000-000025830000}"/>
    <cellStyle name="Accent2 - 60% 26" xfId="488" xr:uid="{00000000-0005-0000-0000-000026830000}"/>
    <cellStyle name="Accent2 - 60% 26 2" xfId="36816" xr:uid="{00000000-0005-0000-0000-000027830000}"/>
    <cellStyle name="Accent2 - 60% 27" xfId="489" xr:uid="{00000000-0005-0000-0000-000028830000}"/>
    <cellStyle name="Accent2 - 60% 27 2" xfId="36817" xr:uid="{00000000-0005-0000-0000-000029830000}"/>
    <cellStyle name="Accent2 - 60% 28" xfId="490" xr:uid="{00000000-0005-0000-0000-00002A830000}"/>
    <cellStyle name="Accent2 - 60% 28 2" xfId="36818" xr:uid="{00000000-0005-0000-0000-00002B830000}"/>
    <cellStyle name="Accent2 - 60% 29" xfId="491" xr:uid="{00000000-0005-0000-0000-00002C830000}"/>
    <cellStyle name="Accent2 - 60% 29 2" xfId="36819" xr:uid="{00000000-0005-0000-0000-00002D830000}"/>
    <cellStyle name="Accent2 - 60% 3" xfId="492" xr:uid="{00000000-0005-0000-0000-00002E830000}"/>
    <cellStyle name="Accent2 - 60% 3 2" xfId="36820" xr:uid="{00000000-0005-0000-0000-00002F830000}"/>
    <cellStyle name="Accent2 - 60% 30" xfId="493" xr:uid="{00000000-0005-0000-0000-000030830000}"/>
    <cellStyle name="Accent2 - 60% 30 2" xfId="36821" xr:uid="{00000000-0005-0000-0000-000031830000}"/>
    <cellStyle name="Accent2 - 60% 31" xfId="494" xr:uid="{00000000-0005-0000-0000-000032830000}"/>
    <cellStyle name="Accent2 - 60% 31 2" xfId="36822" xr:uid="{00000000-0005-0000-0000-000033830000}"/>
    <cellStyle name="Accent2 - 60% 32" xfId="495" xr:uid="{00000000-0005-0000-0000-000034830000}"/>
    <cellStyle name="Accent2 - 60% 32 2" xfId="36823" xr:uid="{00000000-0005-0000-0000-000035830000}"/>
    <cellStyle name="Accent2 - 60% 33" xfId="496" xr:uid="{00000000-0005-0000-0000-000036830000}"/>
    <cellStyle name="Accent2 - 60% 33 2" xfId="36824" xr:uid="{00000000-0005-0000-0000-000037830000}"/>
    <cellStyle name="Accent2 - 60% 34" xfId="497" xr:uid="{00000000-0005-0000-0000-000038830000}"/>
    <cellStyle name="Accent2 - 60% 34 2" xfId="36825" xr:uid="{00000000-0005-0000-0000-000039830000}"/>
    <cellStyle name="Accent2 - 60% 35" xfId="498" xr:uid="{00000000-0005-0000-0000-00003A830000}"/>
    <cellStyle name="Accent2 - 60% 35 2" xfId="36826" xr:uid="{00000000-0005-0000-0000-00003B830000}"/>
    <cellStyle name="Accent2 - 60% 36" xfId="499" xr:uid="{00000000-0005-0000-0000-00003C830000}"/>
    <cellStyle name="Accent2 - 60% 36 2" xfId="36827" xr:uid="{00000000-0005-0000-0000-00003D830000}"/>
    <cellStyle name="Accent2 - 60% 37" xfId="500" xr:uid="{00000000-0005-0000-0000-00003E830000}"/>
    <cellStyle name="Accent2 - 60% 37 2" xfId="36828" xr:uid="{00000000-0005-0000-0000-00003F830000}"/>
    <cellStyle name="Accent2 - 60% 38" xfId="501" xr:uid="{00000000-0005-0000-0000-000040830000}"/>
    <cellStyle name="Accent2 - 60% 38 2" xfId="36829" xr:uid="{00000000-0005-0000-0000-000041830000}"/>
    <cellStyle name="Accent2 - 60% 39" xfId="502" xr:uid="{00000000-0005-0000-0000-000042830000}"/>
    <cellStyle name="Accent2 - 60% 39 2" xfId="36830" xr:uid="{00000000-0005-0000-0000-000043830000}"/>
    <cellStyle name="Accent2 - 60% 4" xfId="503" xr:uid="{00000000-0005-0000-0000-000044830000}"/>
    <cellStyle name="Accent2 - 60% 4 2" xfId="36831" xr:uid="{00000000-0005-0000-0000-000045830000}"/>
    <cellStyle name="Accent2 - 60% 40" xfId="504" xr:uid="{00000000-0005-0000-0000-000046830000}"/>
    <cellStyle name="Accent2 - 60% 40 2" xfId="36832" xr:uid="{00000000-0005-0000-0000-000047830000}"/>
    <cellStyle name="Accent2 - 60% 41" xfId="505" xr:uid="{00000000-0005-0000-0000-000048830000}"/>
    <cellStyle name="Accent2 - 60% 41 2" xfId="36833" xr:uid="{00000000-0005-0000-0000-000049830000}"/>
    <cellStyle name="Accent2 - 60% 42" xfId="506" xr:uid="{00000000-0005-0000-0000-00004A830000}"/>
    <cellStyle name="Accent2 - 60% 42 2" xfId="36834" xr:uid="{00000000-0005-0000-0000-00004B830000}"/>
    <cellStyle name="Accent2 - 60% 43" xfId="507" xr:uid="{00000000-0005-0000-0000-00004C830000}"/>
    <cellStyle name="Accent2 - 60% 43 2" xfId="36835" xr:uid="{00000000-0005-0000-0000-00004D830000}"/>
    <cellStyle name="Accent2 - 60% 44" xfId="508" xr:uid="{00000000-0005-0000-0000-00004E830000}"/>
    <cellStyle name="Accent2 - 60% 44 2" xfId="36836" xr:uid="{00000000-0005-0000-0000-00004F830000}"/>
    <cellStyle name="Accent2 - 60% 45" xfId="509" xr:uid="{00000000-0005-0000-0000-000050830000}"/>
    <cellStyle name="Accent2 - 60% 45 2" xfId="36837" xr:uid="{00000000-0005-0000-0000-000051830000}"/>
    <cellStyle name="Accent2 - 60% 46" xfId="36838" xr:uid="{00000000-0005-0000-0000-000052830000}"/>
    <cellStyle name="Accent2 - 60% 46 2" xfId="36839" xr:uid="{00000000-0005-0000-0000-000053830000}"/>
    <cellStyle name="Accent2 - 60% 46 3" xfId="36840" xr:uid="{00000000-0005-0000-0000-000054830000}"/>
    <cellStyle name="Accent2 - 60% 47" xfId="36841" xr:uid="{00000000-0005-0000-0000-000055830000}"/>
    <cellStyle name="Accent2 - 60% 48" xfId="36842" xr:uid="{00000000-0005-0000-0000-000056830000}"/>
    <cellStyle name="Accent2 - 60% 49" xfId="36843" xr:uid="{00000000-0005-0000-0000-000057830000}"/>
    <cellStyle name="Accent2 - 60% 5" xfId="510" xr:uid="{00000000-0005-0000-0000-000058830000}"/>
    <cellStyle name="Accent2 - 60% 5 2" xfId="36844" xr:uid="{00000000-0005-0000-0000-000059830000}"/>
    <cellStyle name="Accent2 - 60% 50" xfId="36845" xr:uid="{00000000-0005-0000-0000-00005A830000}"/>
    <cellStyle name="Accent2 - 60% 6" xfId="511" xr:uid="{00000000-0005-0000-0000-00005B830000}"/>
    <cellStyle name="Accent2 - 60% 6 2" xfId="36846" xr:uid="{00000000-0005-0000-0000-00005C830000}"/>
    <cellStyle name="Accent2 - 60% 7" xfId="512" xr:uid="{00000000-0005-0000-0000-00005D830000}"/>
    <cellStyle name="Accent2 - 60% 7 2" xfId="36847" xr:uid="{00000000-0005-0000-0000-00005E830000}"/>
    <cellStyle name="Accent2 - 60% 8" xfId="513" xr:uid="{00000000-0005-0000-0000-00005F830000}"/>
    <cellStyle name="Accent2 - 60% 8 2" xfId="36848" xr:uid="{00000000-0005-0000-0000-000060830000}"/>
    <cellStyle name="Accent2 - 60% 9" xfId="514" xr:uid="{00000000-0005-0000-0000-000061830000}"/>
    <cellStyle name="Accent2 - 60% 9 2" xfId="36849" xr:uid="{00000000-0005-0000-0000-000062830000}"/>
    <cellStyle name="Accent2 10" xfId="515" xr:uid="{00000000-0005-0000-0000-000063830000}"/>
    <cellStyle name="Accent2 10 10" xfId="36850" xr:uid="{00000000-0005-0000-0000-000064830000}"/>
    <cellStyle name="Accent2 10 2" xfId="36851" xr:uid="{00000000-0005-0000-0000-000065830000}"/>
    <cellStyle name="Accent2 10 2 2" xfId="36852" xr:uid="{00000000-0005-0000-0000-000066830000}"/>
    <cellStyle name="Accent2 10 3" xfId="36853" xr:uid="{00000000-0005-0000-0000-000067830000}"/>
    <cellStyle name="Accent2 10 3 2" xfId="36854" xr:uid="{00000000-0005-0000-0000-000068830000}"/>
    <cellStyle name="Accent2 10 4" xfId="36855" xr:uid="{00000000-0005-0000-0000-000069830000}"/>
    <cellStyle name="Accent2 10 4 2" xfId="36856" xr:uid="{00000000-0005-0000-0000-00006A830000}"/>
    <cellStyle name="Accent2 10 5" xfId="36857" xr:uid="{00000000-0005-0000-0000-00006B830000}"/>
    <cellStyle name="Accent2 10 5 2" xfId="36858" xr:uid="{00000000-0005-0000-0000-00006C830000}"/>
    <cellStyle name="Accent2 10 6" xfId="36859" xr:uid="{00000000-0005-0000-0000-00006D830000}"/>
    <cellStyle name="Accent2 10 6 2" xfId="36860" xr:uid="{00000000-0005-0000-0000-00006E830000}"/>
    <cellStyle name="Accent2 10 7" xfId="36861" xr:uid="{00000000-0005-0000-0000-00006F830000}"/>
    <cellStyle name="Accent2 10 7 2" xfId="36862" xr:uid="{00000000-0005-0000-0000-000070830000}"/>
    <cellStyle name="Accent2 10 8" xfId="36863" xr:uid="{00000000-0005-0000-0000-000071830000}"/>
    <cellStyle name="Accent2 10 8 2" xfId="36864" xr:uid="{00000000-0005-0000-0000-000072830000}"/>
    <cellStyle name="Accent2 10 9" xfId="36865" xr:uid="{00000000-0005-0000-0000-000073830000}"/>
    <cellStyle name="Accent2 11" xfId="516" xr:uid="{00000000-0005-0000-0000-000074830000}"/>
    <cellStyle name="Accent2 11 10" xfId="36866" xr:uid="{00000000-0005-0000-0000-000075830000}"/>
    <cellStyle name="Accent2 11 2" xfId="36867" xr:uid="{00000000-0005-0000-0000-000076830000}"/>
    <cellStyle name="Accent2 11 2 2" xfId="36868" xr:uid="{00000000-0005-0000-0000-000077830000}"/>
    <cellStyle name="Accent2 11 3" xfId="36869" xr:uid="{00000000-0005-0000-0000-000078830000}"/>
    <cellStyle name="Accent2 11 3 2" xfId="36870" xr:uid="{00000000-0005-0000-0000-000079830000}"/>
    <cellStyle name="Accent2 11 4" xfId="36871" xr:uid="{00000000-0005-0000-0000-00007A830000}"/>
    <cellStyle name="Accent2 11 4 2" xfId="36872" xr:uid="{00000000-0005-0000-0000-00007B830000}"/>
    <cellStyle name="Accent2 11 5" xfId="36873" xr:uid="{00000000-0005-0000-0000-00007C830000}"/>
    <cellStyle name="Accent2 11 5 2" xfId="36874" xr:uid="{00000000-0005-0000-0000-00007D830000}"/>
    <cellStyle name="Accent2 11 6" xfId="36875" xr:uid="{00000000-0005-0000-0000-00007E830000}"/>
    <cellStyle name="Accent2 11 6 2" xfId="36876" xr:uid="{00000000-0005-0000-0000-00007F830000}"/>
    <cellStyle name="Accent2 11 7" xfId="36877" xr:uid="{00000000-0005-0000-0000-000080830000}"/>
    <cellStyle name="Accent2 11 7 2" xfId="36878" xr:uid="{00000000-0005-0000-0000-000081830000}"/>
    <cellStyle name="Accent2 11 8" xfId="36879" xr:uid="{00000000-0005-0000-0000-000082830000}"/>
    <cellStyle name="Accent2 11 8 2" xfId="36880" xr:uid="{00000000-0005-0000-0000-000083830000}"/>
    <cellStyle name="Accent2 11 9" xfId="36881" xr:uid="{00000000-0005-0000-0000-000084830000}"/>
    <cellStyle name="Accent2 12" xfId="517" xr:uid="{00000000-0005-0000-0000-000085830000}"/>
    <cellStyle name="Accent2 12 2" xfId="36882" xr:uid="{00000000-0005-0000-0000-000086830000}"/>
    <cellStyle name="Accent2 12 2 2" xfId="36883" xr:uid="{00000000-0005-0000-0000-000087830000}"/>
    <cellStyle name="Accent2 12 3" xfId="36884" xr:uid="{00000000-0005-0000-0000-000088830000}"/>
    <cellStyle name="Accent2 12 4" xfId="36885" xr:uid="{00000000-0005-0000-0000-000089830000}"/>
    <cellStyle name="Accent2 13" xfId="518" xr:uid="{00000000-0005-0000-0000-00008A830000}"/>
    <cellStyle name="Accent2 13 2" xfId="36886" xr:uid="{00000000-0005-0000-0000-00008B830000}"/>
    <cellStyle name="Accent2 13 3" xfId="36887" xr:uid="{00000000-0005-0000-0000-00008C830000}"/>
    <cellStyle name="Accent2 14" xfId="519" xr:uid="{00000000-0005-0000-0000-00008D830000}"/>
    <cellStyle name="Accent2 14 2" xfId="36888" xr:uid="{00000000-0005-0000-0000-00008E830000}"/>
    <cellStyle name="Accent2 15" xfId="520" xr:uid="{00000000-0005-0000-0000-00008F830000}"/>
    <cellStyle name="Accent2 15 2" xfId="36889" xr:uid="{00000000-0005-0000-0000-000090830000}"/>
    <cellStyle name="Accent2 16" xfId="521" xr:uid="{00000000-0005-0000-0000-000091830000}"/>
    <cellStyle name="Accent2 16 2" xfId="36890" xr:uid="{00000000-0005-0000-0000-000092830000}"/>
    <cellStyle name="Accent2 17" xfId="522" xr:uid="{00000000-0005-0000-0000-000093830000}"/>
    <cellStyle name="Accent2 17 2" xfId="36891" xr:uid="{00000000-0005-0000-0000-000094830000}"/>
    <cellStyle name="Accent2 18" xfId="36892" xr:uid="{00000000-0005-0000-0000-000095830000}"/>
    <cellStyle name="Accent2 18 2" xfId="36893" xr:uid="{00000000-0005-0000-0000-000096830000}"/>
    <cellStyle name="Accent2 19" xfId="36894" xr:uid="{00000000-0005-0000-0000-000097830000}"/>
    <cellStyle name="Accent2 19 2" xfId="36895" xr:uid="{00000000-0005-0000-0000-000098830000}"/>
    <cellStyle name="Accent2 2" xfId="523" xr:uid="{00000000-0005-0000-0000-000099830000}"/>
    <cellStyle name="Accent2 2 2" xfId="524" xr:uid="{00000000-0005-0000-0000-00009A830000}"/>
    <cellStyle name="Accent2 2 2 2" xfId="36896" xr:uid="{00000000-0005-0000-0000-00009B830000}"/>
    <cellStyle name="Accent2 2 2 2 2" xfId="36897" xr:uid="{00000000-0005-0000-0000-00009C830000}"/>
    <cellStyle name="Accent2 2 2 3" xfId="36898" xr:uid="{00000000-0005-0000-0000-00009D830000}"/>
    <cellStyle name="Accent2 2 3" xfId="525" xr:uid="{00000000-0005-0000-0000-00009E830000}"/>
    <cellStyle name="Accent2 2 3 2" xfId="36899" xr:uid="{00000000-0005-0000-0000-00009F830000}"/>
    <cellStyle name="Accent2 2 3 2 2" xfId="36900" xr:uid="{00000000-0005-0000-0000-0000A0830000}"/>
    <cellStyle name="Accent2 2 3 3" xfId="36901" xr:uid="{00000000-0005-0000-0000-0000A1830000}"/>
    <cellStyle name="Accent2 2 4" xfId="526" xr:uid="{00000000-0005-0000-0000-0000A2830000}"/>
    <cellStyle name="Accent2 2 4 2" xfId="36902" xr:uid="{00000000-0005-0000-0000-0000A3830000}"/>
    <cellStyle name="Accent2 2 4 2 2" xfId="36903" xr:uid="{00000000-0005-0000-0000-0000A4830000}"/>
    <cellStyle name="Accent2 2 4 3" xfId="36904" xr:uid="{00000000-0005-0000-0000-0000A5830000}"/>
    <cellStyle name="Accent2 2 5" xfId="36905" xr:uid="{00000000-0005-0000-0000-0000A6830000}"/>
    <cellStyle name="Accent2 2 6" xfId="36906" xr:uid="{00000000-0005-0000-0000-0000A7830000}"/>
    <cellStyle name="Accent2 20" xfId="36907" xr:uid="{00000000-0005-0000-0000-0000A8830000}"/>
    <cellStyle name="Accent2 20 2" xfId="36908" xr:uid="{00000000-0005-0000-0000-0000A9830000}"/>
    <cellStyle name="Accent2 21" xfId="36909" xr:uid="{00000000-0005-0000-0000-0000AA830000}"/>
    <cellStyle name="Accent2 21 2" xfId="36910" xr:uid="{00000000-0005-0000-0000-0000AB830000}"/>
    <cellStyle name="Accent2 22" xfId="36911" xr:uid="{00000000-0005-0000-0000-0000AC830000}"/>
    <cellStyle name="Accent2 22 2" xfId="36912" xr:uid="{00000000-0005-0000-0000-0000AD830000}"/>
    <cellStyle name="Accent2 23" xfId="36913" xr:uid="{00000000-0005-0000-0000-0000AE830000}"/>
    <cellStyle name="Accent2 23 2" xfId="36914" xr:uid="{00000000-0005-0000-0000-0000AF830000}"/>
    <cellStyle name="Accent2 24" xfId="36915" xr:uid="{00000000-0005-0000-0000-0000B0830000}"/>
    <cellStyle name="Accent2 24 2" xfId="36916" xr:uid="{00000000-0005-0000-0000-0000B1830000}"/>
    <cellStyle name="Accent2 25" xfId="36917" xr:uid="{00000000-0005-0000-0000-0000B2830000}"/>
    <cellStyle name="Accent2 25 2" xfId="36918" xr:uid="{00000000-0005-0000-0000-0000B3830000}"/>
    <cellStyle name="Accent2 26" xfId="36919" xr:uid="{00000000-0005-0000-0000-0000B4830000}"/>
    <cellStyle name="Accent2 26 2" xfId="36920" xr:uid="{00000000-0005-0000-0000-0000B5830000}"/>
    <cellStyle name="Accent2 27" xfId="36921" xr:uid="{00000000-0005-0000-0000-0000B6830000}"/>
    <cellStyle name="Accent2 27 2" xfId="36922" xr:uid="{00000000-0005-0000-0000-0000B7830000}"/>
    <cellStyle name="Accent2 28" xfId="36923" xr:uid="{00000000-0005-0000-0000-0000B8830000}"/>
    <cellStyle name="Accent2 28 2" xfId="36924" xr:uid="{00000000-0005-0000-0000-0000B9830000}"/>
    <cellStyle name="Accent2 29" xfId="36925" xr:uid="{00000000-0005-0000-0000-0000BA830000}"/>
    <cellStyle name="Accent2 29 2" xfId="36926" xr:uid="{00000000-0005-0000-0000-0000BB830000}"/>
    <cellStyle name="Accent2 3" xfId="527" xr:uid="{00000000-0005-0000-0000-0000BC830000}"/>
    <cellStyle name="Accent2 3 2" xfId="528" xr:uid="{00000000-0005-0000-0000-0000BD830000}"/>
    <cellStyle name="Accent2 3 2 2" xfId="36927" xr:uid="{00000000-0005-0000-0000-0000BE830000}"/>
    <cellStyle name="Accent2 3 2 2 2" xfId="36928" xr:uid="{00000000-0005-0000-0000-0000BF830000}"/>
    <cellStyle name="Accent2 3 2 3" xfId="36929" xr:uid="{00000000-0005-0000-0000-0000C0830000}"/>
    <cellStyle name="Accent2 3 3" xfId="36930" xr:uid="{00000000-0005-0000-0000-0000C1830000}"/>
    <cellStyle name="Accent2 3 3 2" xfId="36931" xr:uid="{00000000-0005-0000-0000-0000C2830000}"/>
    <cellStyle name="Accent2 3 4" xfId="36932" xr:uid="{00000000-0005-0000-0000-0000C3830000}"/>
    <cellStyle name="Accent2 3 4 2" xfId="36933" xr:uid="{00000000-0005-0000-0000-0000C4830000}"/>
    <cellStyle name="Accent2 3 5" xfId="36934" xr:uid="{00000000-0005-0000-0000-0000C5830000}"/>
    <cellStyle name="Accent2 3 5 2" xfId="36935" xr:uid="{00000000-0005-0000-0000-0000C6830000}"/>
    <cellStyle name="Accent2 3 6" xfId="36936" xr:uid="{00000000-0005-0000-0000-0000C7830000}"/>
    <cellStyle name="Accent2 3 7" xfId="36937" xr:uid="{00000000-0005-0000-0000-0000C8830000}"/>
    <cellStyle name="Accent2 30" xfId="36938" xr:uid="{00000000-0005-0000-0000-0000C9830000}"/>
    <cellStyle name="Accent2 30 2" xfId="36939" xr:uid="{00000000-0005-0000-0000-0000CA830000}"/>
    <cellStyle name="Accent2 31" xfId="36940" xr:uid="{00000000-0005-0000-0000-0000CB830000}"/>
    <cellStyle name="Accent2 31 2" xfId="36941" xr:uid="{00000000-0005-0000-0000-0000CC830000}"/>
    <cellStyle name="Accent2 32" xfId="36942" xr:uid="{00000000-0005-0000-0000-0000CD830000}"/>
    <cellStyle name="Accent2 32 2" xfId="36943" xr:uid="{00000000-0005-0000-0000-0000CE830000}"/>
    <cellStyle name="Accent2 33" xfId="36944" xr:uid="{00000000-0005-0000-0000-0000CF830000}"/>
    <cellStyle name="Accent2 34" xfId="36945" xr:uid="{00000000-0005-0000-0000-0000D0830000}"/>
    <cellStyle name="Accent2 35" xfId="36946" xr:uid="{00000000-0005-0000-0000-0000D1830000}"/>
    <cellStyle name="Accent2 36" xfId="36947" xr:uid="{00000000-0005-0000-0000-0000D2830000}"/>
    <cellStyle name="Accent2 37" xfId="36948" xr:uid="{00000000-0005-0000-0000-0000D3830000}"/>
    <cellStyle name="Accent2 38" xfId="36949" xr:uid="{00000000-0005-0000-0000-0000D4830000}"/>
    <cellStyle name="Accent2 39" xfId="36950" xr:uid="{00000000-0005-0000-0000-0000D5830000}"/>
    <cellStyle name="Accent2 4" xfId="529" xr:uid="{00000000-0005-0000-0000-0000D6830000}"/>
    <cellStyle name="Accent2 4 2" xfId="36951" xr:uid="{00000000-0005-0000-0000-0000D7830000}"/>
    <cellStyle name="Accent2 4 2 2" xfId="36952" xr:uid="{00000000-0005-0000-0000-0000D8830000}"/>
    <cellStyle name="Accent2 4 3" xfId="36953" xr:uid="{00000000-0005-0000-0000-0000D9830000}"/>
    <cellStyle name="Accent2 4 3 2" xfId="36954" xr:uid="{00000000-0005-0000-0000-0000DA830000}"/>
    <cellStyle name="Accent2 4 4" xfId="36955" xr:uid="{00000000-0005-0000-0000-0000DB830000}"/>
    <cellStyle name="Accent2 4 4 2" xfId="36956" xr:uid="{00000000-0005-0000-0000-0000DC830000}"/>
    <cellStyle name="Accent2 4 5" xfId="36957" xr:uid="{00000000-0005-0000-0000-0000DD830000}"/>
    <cellStyle name="Accent2 4 5 2" xfId="36958" xr:uid="{00000000-0005-0000-0000-0000DE830000}"/>
    <cellStyle name="Accent2 4 6" xfId="36959" xr:uid="{00000000-0005-0000-0000-0000DF830000}"/>
    <cellStyle name="Accent2 40" xfId="36960" xr:uid="{00000000-0005-0000-0000-0000E0830000}"/>
    <cellStyle name="Accent2 41" xfId="36961" xr:uid="{00000000-0005-0000-0000-0000E1830000}"/>
    <cellStyle name="Accent2 42" xfId="36962" xr:uid="{00000000-0005-0000-0000-0000E2830000}"/>
    <cellStyle name="Accent2 43" xfId="36963" xr:uid="{00000000-0005-0000-0000-0000E3830000}"/>
    <cellStyle name="Accent2 44" xfId="36964" xr:uid="{00000000-0005-0000-0000-0000E4830000}"/>
    <cellStyle name="Accent2 45" xfId="36965" xr:uid="{00000000-0005-0000-0000-0000E5830000}"/>
    <cellStyle name="Accent2 46" xfId="36966" xr:uid="{00000000-0005-0000-0000-0000E6830000}"/>
    <cellStyle name="Accent2 47" xfId="36967" xr:uid="{00000000-0005-0000-0000-0000E7830000}"/>
    <cellStyle name="Accent2 48" xfId="36968" xr:uid="{00000000-0005-0000-0000-0000E8830000}"/>
    <cellStyle name="Accent2 49" xfId="36969" xr:uid="{00000000-0005-0000-0000-0000E9830000}"/>
    <cellStyle name="Accent2 5" xfId="530" xr:uid="{00000000-0005-0000-0000-0000EA830000}"/>
    <cellStyle name="Accent2 5 2" xfId="36970" xr:uid="{00000000-0005-0000-0000-0000EB830000}"/>
    <cellStyle name="Accent2 5 2 2" xfId="36971" xr:uid="{00000000-0005-0000-0000-0000EC830000}"/>
    <cellStyle name="Accent2 5 3" xfId="36972" xr:uid="{00000000-0005-0000-0000-0000ED830000}"/>
    <cellStyle name="Accent2 5 3 2" xfId="36973" xr:uid="{00000000-0005-0000-0000-0000EE830000}"/>
    <cellStyle name="Accent2 5 4" xfId="36974" xr:uid="{00000000-0005-0000-0000-0000EF830000}"/>
    <cellStyle name="Accent2 5 4 2" xfId="36975" xr:uid="{00000000-0005-0000-0000-0000F0830000}"/>
    <cellStyle name="Accent2 5 5" xfId="36976" xr:uid="{00000000-0005-0000-0000-0000F1830000}"/>
    <cellStyle name="Accent2 5 6" xfId="36977" xr:uid="{00000000-0005-0000-0000-0000F2830000}"/>
    <cellStyle name="Accent2 50" xfId="36978" xr:uid="{00000000-0005-0000-0000-0000F3830000}"/>
    <cellStyle name="Accent2 51" xfId="36979" xr:uid="{00000000-0005-0000-0000-0000F4830000}"/>
    <cellStyle name="Accent2 52" xfId="36980" xr:uid="{00000000-0005-0000-0000-0000F5830000}"/>
    <cellStyle name="Accent2 53" xfId="36981" xr:uid="{00000000-0005-0000-0000-0000F6830000}"/>
    <cellStyle name="Accent2 54" xfId="36982" xr:uid="{00000000-0005-0000-0000-0000F7830000}"/>
    <cellStyle name="Accent2 55" xfId="36983" xr:uid="{00000000-0005-0000-0000-0000F8830000}"/>
    <cellStyle name="Accent2 6" xfId="531" xr:uid="{00000000-0005-0000-0000-0000F9830000}"/>
    <cellStyle name="Accent2 6 2" xfId="36984" xr:uid="{00000000-0005-0000-0000-0000FA830000}"/>
    <cellStyle name="Accent2 6 2 2" xfId="36985" xr:uid="{00000000-0005-0000-0000-0000FB830000}"/>
    <cellStyle name="Accent2 6 3" xfId="36986" xr:uid="{00000000-0005-0000-0000-0000FC830000}"/>
    <cellStyle name="Accent2 6 3 2" xfId="36987" xr:uid="{00000000-0005-0000-0000-0000FD830000}"/>
    <cellStyle name="Accent2 6 4" xfId="36988" xr:uid="{00000000-0005-0000-0000-0000FE830000}"/>
    <cellStyle name="Accent2 6 4 2" xfId="36989" xr:uid="{00000000-0005-0000-0000-0000FF830000}"/>
    <cellStyle name="Accent2 6 5" xfId="36990" xr:uid="{00000000-0005-0000-0000-000000840000}"/>
    <cellStyle name="Accent2 6 6" xfId="36991" xr:uid="{00000000-0005-0000-0000-000001840000}"/>
    <cellStyle name="Accent2 7" xfId="532" xr:uid="{00000000-0005-0000-0000-000002840000}"/>
    <cellStyle name="Accent2 7 2" xfId="36992" xr:uid="{00000000-0005-0000-0000-000003840000}"/>
    <cellStyle name="Accent2 7 2 2" xfId="36993" xr:uid="{00000000-0005-0000-0000-000004840000}"/>
    <cellStyle name="Accent2 7 3" xfId="36994" xr:uid="{00000000-0005-0000-0000-000005840000}"/>
    <cellStyle name="Accent2 7 3 2" xfId="36995" xr:uid="{00000000-0005-0000-0000-000006840000}"/>
    <cellStyle name="Accent2 7 4" xfId="36996" xr:uid="{00000000-0005-0000-0000-000007840000}"/>
    <cellStyle name="Accent2 7 4 2" xfId="36997" xr:uid="{00000000-0005-0000-0000-000008840000}"/>
    <cellStyle name="Accent2 7 5" xfId="36998" xr:uid="{00000000-0005-0000-0000-000009840000}"/>
    <cellStyle name="Accent2 7 6" xfId="36999" xr:uid="{00000000-0005-0000-0000-00000A840000}"/>
    <cellStyle name="Accent2 8" xfId="533" xr:uid="{00000000-0005-0000-0000-00000B840000}"/>
    <cellStyle name="Accent2 8 2" xfId="37000" xr:uid="{00000000-0005-0000-0000-00000C840000}"/>
    <cellStyle name="Accent2 8 2 2" xfId="37001" xr:uid="{00000000-0005-0000-0000-00000D840000}"/>
    <cellStyle name="Accent2 8 3" xfId="37002" xr:uid="{00000000-0005-0000-0000-00000E840000}"/>
    <cellStyle name="Accent2 8 3 2" xfId="37003" xr:uid="{00000000-0005-0000-0000-00000F840000}"/>
    <cellStyle name="Accent2 8 4" xfId="37004" xr:uid="{00000000-0005-0000-0000-000010840000}"/>
    <cellStyle name="Accent2 8 5" xfId="37005" xr:uid="{00000000-0005-0000-0000-000011840000}"/>
    <cellStyle name="Accent2 9" xfId="534" xr:uid="{00000000-0005-0000-0000-000012840000}"/>
    <cellStyle name="Accent2 9 10" xfId="37006" xr:uid="{00000000-0005-0000-0000-000013840000}"/>
    <cellStyle name="Accent2 9 2" xfId="37007" xr:uid="{00000000-0005-0000-0000-000014840000}"/>
    <cellStyle name="Accent2 9 2 2" xfId="37008" xr:uid="{00000000-0005-0000-0000-000015840000}"/>
    <cellStyle name="Accent2 9 3" xfId="37009" xr:uid="{00000000-0005-0000-0000-000016840000}"/>
    <cellStyle name="Accent2 9 3 2" xfId="37010" xr:uid="{00000000-0005-0000-0000-000017840000}"/>
    <cellStyle name="Accent2 9 4" xfId="37011" xr:uid="{00000000-0005-0000-0000-000018840000}"/>
    <cellStyle name="Accent2 9 4 2" xfId="37012" xr:uid="{00000000-0005-0000-0000-000019840000}"/>
    <cellStyle name="Accent2 9 5" xfId="37013" xr:uid="{00000000-0005-0000-0000-00001A840000}"/>
    <cellStyle name="Accent2 9 5 2" xfId="37014" xr:uid="{00000000-0005-0000-0000-00001B840000}"/>
    <cellStyle name="Accent2 9 6" xfId="37015" xr:uid="{00000000-0005-0000-0000-00001C840000}"/>
    <cellStyle name="Accent2 9 6 2" xfId="37016" xr:uid="{00000000-0005-0000-0000-00001D840000}"/>
    <cellStyle name="Accent2 9 7" xfId="37017" xr:uid="{00000000-0005-0000-0000-00001E840000}"/>
    <cellStyle name="Accent2 9 7 2" xfId="37018" xr:uid="{00000000-0005-0000-0000-00001F840000}"/>
    <cellStyle name="Accent2 9 8" xfId="37019" xr:uid="{00000000-0005-0000-0000-000020840000}"/>
    <cellStyle name="Accent2 9 8 2" xfId="37020" xr:uid="{00000000-0005-0000-0000-000021840000}"/>
    <cellStyle name="Accent2 9 9" xfId="37021" xr:uid="{00000000-0005-0000-0000-000022840000}"/>
    <cellStyle name="Accent3" xfId="126" builtinId="37" customBuiltin="1"/>
    <cellStyle name="Accent3 - 20%" xfId="14" xr:uid="{00000000-0005-0000-0000-00001B000000}"/>
    <cellStyle name="Accent3 - 20% 10" xfId="535" xr:uid="{00000000-0005-0000-0000-000024840000}"/>
    <cellStyle name="Accent3 - 20% 10 2" xfId="37022" xr:uid="{00000000-0005-0000-0000-000025840000}"/>
    <cellStyle name="Accent3 - 20% 11" xfId="536" xr:uid="{00000000-0005-0000-0000-000026840000}"/>
    <cellStyle name="Accent3 - 20% 11 2" xfId="37023" xr:uid="{00000000-0005-0000-0000-000027840000}"/>
    <cellStyle name="Accent3 - 20% 12" xfId="537" xr:uid="{00000000-0005-0000-0000-000028840000}"/>
    <cellStyle name="Accent3 - 20% 12 2" xfId="37024" xr:uid="{00000000-0005-0000-0000-000029840000}"/>
    <cellStyle name="Accent3 - 20% 13" xfId="538" xr:uid="{00000000-0005-0000-0000-00002A840000}"/>
    <cellStyle name="Accent3 - 20% 13 2" xfId="37025" xr:uid="{00000000-0005-0000-0000-00002B840000}"/>
    <cellStyle name="Accent3 - 20% 14" xfId="539" xr:uid="{00000000-0005-0000-0000-00002C840000}"/>
    <cellStyle name="Accent3 - 20% 14 2" xfId="37026" xr:uid="{00000000-0005-0000-0000-00002D840000}"/>
    <cellStyle name="Accent3 - 20% 15" xfId="540" xr:uid="{00000000-0005-0000-0000-00002E840000}"/>
    <cellStyle name="Accent3 - 20% 15 2" xfId="37027" xr:uid="{00000000-0005-0000-0000-00002F840000}"/>
    <cellStyle name="Accent3 - 20% 16" xfId="541" xr:uid="{00000000-0005-0000-0000-000030840000}"/>
    <cellStyle name="Accent3 - 20% 16 2" xfId="37028" xr:uid="{00000000-0005-0000-0000-000031840000}"/>
    <cellStyle name="Accent3 - 20% 17" xfId="542" xr:uid="{00000000-0005-0000-0000-000032840000}"/>
    <cellStyle name="Accent3 - 20% 17 2" xfId="37029" xr:uid="{00000000-0005-0000-0000-000033840000}"/>
    <cellStyle name="Accent3 - 20% 18" xfId="543" xr:uid="{00000000-0005-0000-0000-000034840000}"/>
    <cellStyle name="Accent3 - 20% 18 2" xfId="37030" xr:uid="{00000000-0005-0000-0000-000035840000}"/>
    <cellStyle name="Accent3 - 20% 19" xfId="544" xr:uid="{00000000-0005-0000-0000-000036840000}"/>
    <cellStyle name="Accent3 - 20% 19 2" xfId="37031" xr:uid="{00000000-0005-0000-0000-000037840000}"/>
    <cellStyle name="Accent3 - 20% 2" xfId="545" xr:uid="{00000000-0005-0000-0000-000038840000}"/>
    <cellStyle name="Accent3 - 20% 2 2" xfId="37032" xr:uid="{00000000-0005-0000-0000-000039840000}"/>
    <cellStyle name="Accent3 - 20% 2 2 2" xfId="37033" xr:uid="{00000000-0005-0000-0000-00003A840000}"/>
    <cellStyle name="Accent3 - 20% 2 3" xfId="37034" xr:uid="{00000000-0005-0000-0000-00003B840000}"/>
    <cellStyle name="Accent3 - 20% 20" xfId="546" xr:uid="{00000000-0005-0000-0000-00003C840000}"/>
    <cellStyle name="Accent3 - 20% 20 2" xfId="37035" xr:uid="{00000000-0005-0000-0000-00003D840000}"/>
    <cellStyle name="Accent3 - 20% 21" xfId="547" xr:uid="{00000000-0005-0000-0000-00003E840000}"/>
    <cellStyle name="Accent3 - 20% 21 2" xfId="37036" xr:uid="{00000000-0005-0000-0000-00003F840000}"/>
    <cellStyle name="Accent3 - 20% 22" xfId="548" xr:uid="{00000000-0005-0000-0000-000040840000}"/>
    <cellStyle name="Accent3 - 20% 22 2" xfId="37037" xr:uid="{00000000-0005-0000-0000-000041840000}"/>
    <cellStyle name="Accent3 - 20% 23" xfId="549" xr:uid="{00000000-0005-0000-0000-000042840000}"/>
    <cellStyle name="Accent3 - 20% 23 2" xfId="37038" xr:uid="{00000000-0005-0000-0000-000043840000}"/>
    <cellStyle name="Accent3 - 20% 24" xfId="550" xr:uid="{00000000-0005-0000-0000-000044840000}"/>
    <cellStyle name="Accent3 - 20% 24 2" xfId="37039" xr:uid="{00000000-0005-0000-0000-000045840000}"/>
    <cellStyle name="Accent3 - 20% 25" xfId="551" xr:uid="{00000000-0005-0000-0000-000046840000}"/>
    <cellStyle name="Accent3 - 20% 25 2" xfId="37040" xr:uid="{00000000-0005-0000-0000-000047840000}"/>
    <cellStyle name="Accent3 - 20% 26" xfId="552" xr:uid="{00000000-0005-0000-0000-000048840000}"/>
    <cellStyle name="Accent3 - 20% 26 2" xfId="37041" xr:uid="{00000000-0005-0000-0000-000049840000}"/>
    <cellStyle name="Accent3 - 20% 27" xfId="553" xr:uid="{00000000-0005-0000-0000-00004A840000}"/>
    <cellStyle name="Accent3 - 20% 27 2" xfId="37042" xr:uid="{00000000-0005-0000-0000-00004B840000}"/>
    <cellStyle name="Accent3 - 20% 28" xfId="554" xr:uid="{00000000-0005-0000-0000-00004C840000}"/>
    <cellStyle name="Accent3 - 20% 28 2" xfId="37043" xr:uid="{00000000-0005-0000-0000-00004D840000}"/>
    <cellStyle name="Accent3 - 20% 29" xfId="555" xr:uid="{00000000-0005-0000-0000-00004E840000}"/>
    <cellStyle name="Accent3 - 20% 29 2" xfId="37044" xr:uid="{00000000-0005-0000-0000-00004F840000}"/>
    <cellStyle name="Accent3 - 20% 3" xfId="556" xr:uid="{00000000-0005-0000-0000-000050840000}"/>
    <cellStyle name="Accent3 - 20% 3 2" xfId="37045" xr:uid="{00000000-0005-0000-0000-000051840000}"/>
    <cellStyle name="Accent3 - 20% 30" xfId="557" xr:uid="{00000000-0005-0000-0000-000052840000}"/>
    <cellStyle name="Accent3 - 20% 30 2" xfId="37046" xr:uid="{00000000-0005-0000-0000-000053840000}"/>
    <cellStyle name="Accent3 - 20% 31" xfId="558" xr:uid="{00000000-0005-0000-0000-000054840000}"/>
    <cellStyle name="Accent3 - 20% 31 2" xfId="37047" xr:uid="{00000000-0005-0000-0000-000055840000}"/>
    <cellStyle name="Accent3 - 20% 32" xfId="559" xr:uid="{00000000-0005-0000-0000-000056840000}"/>
    <cellStyle name="Accent3 - 20% 32 2" xfId="37048" xr:uid="{00000000-0005-0000-0000-000057840000}"/>
    <cellStyle name="Accent3 - 20% 33" xfId="560" xr:uid="{00000000-0005-0000-0000-000058840000}"/>
    <cellStyle name="Accent3 - 20% 33 2" xfId="37049" xr:uid="{00000000-0005-0000-0000-000059840000}"/>
    <cellStyle name="Accent3 - 20% 34" xfId="561" xr:uid="{00000000-0005-0000-0000-00005A840000}"/>
    <cellStyle name="Accent3 - 20% 34 2" xfId="37050" xr:uid="{00000000-0005-0000-0000-00005B840000}"/>
    <cellStyle name="Accent3 - 20% 35" xfId="562" xr:uid="{00000000-0005-0000-0000-00005C840000}"/>
    <cellStyle name="Accent3 - 20% 35 2" xfId="37051" xr:uid="{00000000-0005-0000-0000-00005D840000}"/>
    <cellStyle name="Accent3 - 20% 36" xfId="563" xr:uid="{00000000-0005-0000-0000-00005E840000}"/>
    <cellStyle name="Accent3 - 20% 36 2" xfId="37052" xr:uid="{00000000-0005-0000-0000-00005F840000}"/>
    <cellStyle name="Accent3 - 20% 37" xfId="564" xr:uid="{00000000-0005-0000-0000-000060840000}"/>
    <cellStyle name="Accent3 - 20% 37 2" xfId="37053" xr:uid="{00000000-0005-0000-0000-000061840000}"/>
    <cellStyle name="Accent3 - 20% 38" xfId="565" xr:uid="{00000000-0005-0000-0000-000062840000}"/>
    <cellStyle name="Accent3 - 20% 38 2" xfId="37054" xr:uid="{00000000-0005-0000-0000-000063840000}"/>
    <cellStyle name="Accent3 - 20% 39" xfId="566" xr:uid="{00000000-0005-0000-0000-000064840000}"/>
    <cellStyle name="Accent3 - 20% 39 2" xfId="37055" xr:uid="{00000000-0005-0000-0000-000065840000}"/>
    <cellStyle name="Accent3 - 20% 4" xfId="567" xr:uid="{00000000-0005-0000-0000-000066840000}"/>
    <cellStyle name="Accent3 - 20% 4 2" xfId="37056" xr:uid="{00000000-0005-0000-0000-000067840000}"/>
    <cellStyle name="Accent3 - 20% 40" xfId="568" xr:uid="{00000000-0005-0000-0000-000068840000}"/>
    <cellStyle name="Accent3 - 20% 40 2" xfId="37057" xr:uid="{00000000-0005-0000-0000-000069840000}"/>
    <cellStyle name="Accent3 - 20% 41" xfId="569" xr:uid="{00000000-0005-0000-0000-00006A840000}"/>
    <cellStyle name="Accent3 - 20% 41 2" xfId="37058" xr:uid="{00000000-0005-0000-0000-00006B840000}"/>
    <cellStyle name="Accent3 - 20% 42" xfId="570" xr:uid="{00000000-0005-0000-0000-00006C840000}"/>
    <cellStyle name="Accent3 - 20% 42 2" xfId="37059" xr:uid="{00000000-0005-0000-0000-00006D840000}"/>
    <cellStyle name="Accent3 - 20% 43" xfId="571" xr:uid="{00000000-0005-0000-0000-00006E840000}"/>
    <cellStyle name="Accent3 - 20% 43 2" xfId="37060" xr:uid="{00000000-0005-0000-0000-00006F840000}"/>
    <cellStyle name="Accent3 - 20% 44" xfId="572" xr:uid="{00000000-0005-0000-0000-000070840000}"/>
    <cellStyle name="Accent3 - 20% 44 2" xfId="37061" xr:uid="{00000000-0005-0000-0000-000071840000}"/>
    <cellStyle name="Accent3 - 20% 45" xfId="573" xr:uid="{00000000-0005-0000-0000-000072840000}"/>
    <cellStyle name="Accent3 - 20% 45 2" xfId="37062" xr:uid="{00000000-0005-0000-0000-000073840000}"/>
    <cellStyle name="Accent3 - 20% 46" xfId="574" xr:uid="{00000000-0005-0000-0000-000074840000}"/>
    <cellStyle name="Accent3 - 20% 46 2" xfId="37063" xr:uid="{00000000-0005-0000-0000-000075840000}"/>
    <cellStyle name="Accent3 - 20% 47" xfId="37064" xr:uid="{00000000-0005-0000-0000-000076840000}"/>
    <cellStyle name="Accent3 - 20% 47 2" xfId="37065" xr:uid="{00000000-0005-0000-0000-000077840000}"/>
    <cellStyle name="Accent3 - 20% 47 3" xfId="37066" xr:uid="{00000000-0005-0000-0000-000078840000}"/>
    <cellStyle name="Accent3 - 20% 48" xfId="37067" xr:uid="{00000000-0005-0000-0000-000079840000}"/>
    <cellStyle name="Accent3 - 20% 49" xfId="37068" xr:uid="{00000000-0005-0000-0000-00007A840000}"/>
    <cellStyle name="Accent3 - 20% 5" xfId="575" xr:uid="{00000000-0005-0000-0000-00007B840000}"/>
    <cellStyle name="Accent3 - 20% 5 2" xfId="37069" xr:uid="{00000000-0005-0000-0000-00007C840000}"/>
    <cellStyle name="Accent3 - 20% 50" xfId="37070" xr:uid="{00000000-0005-0000-0000-00007D840000}"/>
    <cellStyle name="Accent3 - 20% 6" xfId="576" xr:uid="{00000000-0005-0000-0000-00007E840000}"/>
    <cellStyle name="Accent3 - 20% 6 2" xfId="37071" xr:uid="{00000000-0005-0000-0000-00007F840000}"/>
    <cellStyle name="Accent3 - 20% 7" xfId="577" xr:uid="{00000000-0005-0000-0000-000080840000}"/>
    <cellStyle name="Accent3 - 20% 7 2" xfId="37072" xr:uid="{00000000-0005-0000-0000-000081840000}"/>
    <cellStyle name="Accent3 - 20% 8" xfId="578" xr:uid="{00000000-0005-0000-0000-000082840000}"/>
    <cellStyle name="Accent3 - 20% 8 2" xfId="37073" xr:uid="{00000000-0005-0000-0000-000083840000}"/>
    <cellStyle name="Accent3 - 20% 9" xfId="579" xr:uid="{00000000-0005-0000-0000-000084840000}"/>
    <cellStyle name="Accent3 - 20% 9 2" xfId="37074" xr:uid="{00000000-0005-0000-0000-000085840000}"/>
    <cellStyle name="Accent3 - 40%" xfId="15" xr:uid="{00000000-0005-0000-0000-00001C000000}"/>
    <cellStyle name="Accent3 - 40% 10" xfId="580" xr:uid="{00000000-0005-0000-0000-000087840000}"/>
    <cellStyle name="Accent3 - 40% 10 2" xfId="37075" xr:uid="{00000000-0005-0000-0000-000088840000}"/>
    <cellStyle name="Accent3 - 40% 11" xfId="581" xr:uid="{00000000-0005-0000-0000-000089840000}"/>
    <cellStyle name="Accent3 - 40% 11 2" xfId="37076" xr:uid="{00000000-0005-0000-0000-00008A840000}"/>
    <cellStyle name="Accent3 - 40% 12" xfId="582" xr:uid="{00000000-0005-0000-0000-00008B840000}"/>
    <cellStyle name="Accent3 - 40% 12 2" xfId="37077" xr:uid="{00000000-0005-0000-0000-00008C840000}"/>
    <cellStyle name="Accent3 - 40% 13" xfId="583" xr:uid="{00000000-0005-0000-0000-00008D840000}"/>
    <cellStyle name="Accent3 - 40% 13 2" xfId="37078" xr:uid="{00000000-0005-0000-0000-00008E840000}"/>
    <cellStyle name="Accent3 - 40% 14" xfId="584" xr:uid="{00000000-0005-0000-0000-00008F840000}"/>
    <cellStyle name="Accent3 - 40% 14 2" xfId="37079" xr:uid="{00000000-0005-0000-0000-000090840000}"/>
    <cellStyle name="Accent3 - 40% 15" xfId="585" xr:uid="{00000000-0005-0000-0000-000091840000}"/>
    <cellStyle name="Accent3 - 40% 15 2" xfId="37080" xr:uid="{00000000-0005-0000-0000-000092840000}"/>
    <cellStyle name="Accent3 - 40% 16" xfId="586" xr:uid="{00000000-0005-0000-0000-000093840000}"/>
    <cellStyle name="Accent3 - 40% 16 2" xfId="37081" xr:uid="{00000000-0005-0000-0000-000094840000}"/>
    <cellStyle name="Accent3 - 40% 17" xfId="587" xr:uid="{00000000-0005-0000-0000-000095840000}"/>
    <cellStyle name="Accent3 - 40% 17 2" xfId="37082" xr:uid="{00000000-0005-0000-0000-000096840000}"/>
    <cellStyle name="Accent3 - 40% 18" xfId="588" xr:uid="{00000000-0005-0000-0000-000097840000}"/>
    <cellStyle name="Accent3 - 40% 18 2" xfId="37083" xr:uid="{00000000-0005-0000-0000-000098840000}"/>
    <cellStyle name="Accent3 - 40% 19" xfId="589" xr:uid="{00000000-0005-0000-0000-000099840000}"/>
    <cellStyle name="Accent3 - 40% 19 2" xfId="37084" xr:uid="{00000000-0005-0000-0000-00009A840000}"/>
    <cellStyle name="Accent3 - 40% 2" xfId="590" xr:uid="{00000000-0005-0000-0000-00009B840000}"/>
    <cellStyle name="Accent3 - 40% 2 2" xfId="37085" xr:uid="{00000000-0005-0000-0000-00009C840000}"/>
    <cellStyle name="Accent3 - 40% 2 2 2" xfId="37086" xr:uid="{00000000-0005-0000-0000-00009D840000}"/>
    <cellStyle name="Accent3 - 40% 2 3" xfId="37087" xr:uid="{00000000-0005-0000-0000-00009E840000}"/>
    <cellStyle name="Accent3 - 40% 20" xfId="591" xr:uid="{00000000-0005-0000-0000-00009F840000}"/>
    <cellStyle name="Accent3 - 40% 20 2" xfId="37088" xr:uid="{00000000-0005-0000-0000-0000A0840000}"/>
    <cellStyle name="Accent3 - 40% 21" xfId="592" xr:uid="{00000000-0005-0000-0000-0000A1840000}"/>
    <cellStyle name="Accent3 - 40% 21 2" xfId="37089" xr:uid="{00000000-0005-0000-0000-0000A2840000}"/>
    <cellStyle name="Accent3 - 40% 22" xfId="593" xr:uid="{00000000-0005-0000-0000-0000A3840000}"/>
    <cellStyle name="Accent3 - 40% 22 2" xfId="37090" xr:uid="{00000000-0005-0000-0000-0000A4840000}"/>
    <cellStyle name="Accent3 - 40% 23" xfId="594" xr:uid="{00000000-0005-0000-0000-0000A5840000}"/>
    <cellStyle name="Accent3 - 40% 23 2" xfId="37091" xr:uid="{00000000-0005-0000-0000-0000A6840000}"/>
    <cellStyle name="Accent3 - 40% 24" xfId="595" xr:uid="{00000000-0005-0000-0000-0000A7840000}"/>
    <cellStyle name="Accent3 - 40% 24 2" xfId="37092" xr:uid="{00000000-0005-0000-0000-0000A8840000}"/>
    <cellStyle name="Accent3 - 40% 25" xfId="596" xr:uid="{00000000-0005-0000-0000-0000A9840000}"/>
    <cellStyle name="Accent3 - 40% 25 2" xfId="37093" xr:uid="{00000000-0005-0000-0000-0000AA840000}"/>
    <cellStyle name="Accent3 - 40% 26" xfId="597" xr:uid="{00000000-0005-0000-0000-0000AB840000}"/>
    <cellStyle name="Accent3 - 40% 26 2" xfId="37094" xr:uid="{00000000-0005-0000-0000-0000AC840000}"/>
    <cellStyle name="Accent3 - 40% 27" xfId="598" xr:uid="{00000000-0005-0000-0000-0000AD840000}"/>
    <cellStyle name="Accent3 - 40% 27 2" xfId="37095" xr:uid="{00000000-0005-0000-0000-0000AE840000}"/>
    <cellStyle name="Accent3 - 40% 28" xfId="599" xr:uid="{00000000-0005-0000-0000-0000AF840000}"/>
    <cellStyle name="Accent3 - 40% 28 2" xfId="37096" xr:uid="{00000000-0005-0000-0000-0000B0840000}"/>
    <cellStyle name="Accent3 - 40% 29" xfId="600" xr:uid="{00000000-0005-0000-0000-0000B1840000}"/>
    <cellStyle name="Accent3 - 40% 29 2" xfId="37097" xr:uid="{00000000-0005-0000-0000-0000B2840000}"/>
    <cellStyle name="Accent3 - 40% 3" xfId="601" xr:uid="{00000000-0005-0000-0000-0000B3840000}"/>
    <cellStyle name="Accent3 - 40% 3 2" xfId="37098" xr:uid="{00000000-0005-0000-0000-0000B4840000}"/>
    <cellStyle name="Accent3 - 40% 30" xfId="602" xr:uid="{00000000-0005-0000-0000-0000B5840000}"/>
    <cellStyle name="Accent3 - 40% 30 2" xfId="37099" xr:uid="{00000000-0005-0000-0000-0000B6840000}"/>
    <cellStyle name="Accent3 - 40% 31" xfId="603" xr:uid="{00000000-0005-0000-0000-0000B7840000}"/>
    <cellStyle name="Accent3 - 40% 31 2" xfId="37100" xr:uid="{00000000-0005-0000-0000-0000B8840000}"/>
    <cellStyle name="Accent3 - 40% 32" xfId="604" xr:uid="{00000000-0005-0000-0000-0000B9840000}"/>
    <cellStyle name="Accent3 - 40% 32 2" xfId="37101" xr:uid="{00000000-0005-0000-0000-0000BA840000}"/>
    <cellStyle name="Accent3 - 40% 33" xfId="605" xr:uid="{00000000-0005-0000-0000-0000BB840000}"/>
    <cellStyle name="Accent3 - 40% 33 2" xfId="37102" xr:uid="{00000000-0005-0000-0000-0000BC840000}"/>
    <cellStyle name="Accent3 - 40% 34" xfId="606" xr:uid="{00000000-0005-0000-0000-0000BD840000}"/>
    <cellStyle name="Accent3 - 40% 34 2" xfId="37103" xr:uid="{00000000-0005-0000-0000-0000BE840000}"/>
    <cellStyle name="Accent3 - 40% 35" xfId="607" xr:uid="{00000000-0005-0000-0000-0000BF840000}"/>
    <cellStyle name="Accent3 - 40% 35 2" xfId="37104" xr:uid="{00000000-0005-0000-0000-0000C0840000}"/>
    <cellStyle name="Accent3 - 40% 36" xfId="608" xr:uid="{00000000-0005-0000-0000-0000C1840000}"/>
    <cellStyle name="Accent3 - 40% 36 2" xfId="37105" xr:uid="{00000000-0005-0000-0000-0000C2840000}"/>
    <cellStyle name="Accent3 - 40% 37" xfId="609" xr:uid="{00000000-0005-0000-0000-0000C3840000}"/>
    <cellStyle name="Accent3 - 40% 37 2" xfId="37106" xr:uid="{00000000-0005-0000-0000-0000C4840000}"/>
    <cellStyle name="Accent3 - 40% 38" xfId="610" xr:uid="{00000000-0005-0000-0000-0000C5840000}"/>
    <cellStyle name="Accent3 - 40% 38 2" xfId="37107" xr:uid="{00000000-0005-0000-0000-0000C6840000}"/>
    <cellStyle name="Accent3 - 40% 39" xfId="611" xr:uid="{00000000-0005-0000-0000-0000C7840000}"/>
    <cellStyle name="Accent3 - 40% 39 2" xfId="37108" xr:uid="{00000000-0005-0000-0000-0000C8840000}"/>
    <cellStyle name="Accent3 - 40% 4" xfId="612" xr:uid="{00000000-0005-0000-0000-0000C9840000}"/>
    <cellStyle name="Accent3 - 40% 4 2" xfId="37109" xr:uid="{00000000-0005-0000-0000-0000CA840000}"/>
    <cellStyle name="Accent3 - 40% 40" xfId="613" xr:uid="{00000000-0005-0000-0000-0000CB840000}"/>
    <cellStyle name="Accent3 - 40% 40 2" xfId="37110" xr:uid="{00000000-0005-0000-0000-0000CC840000}"/>
    <cellStyle name="Accent3 - 40% 41" xfId="614" xr:uid="{00000000-0005-0000-0000-0000CD840000}"/>
    <cellStyle name="Accent3 - 40% 41 2" xfId="37111" xr:uid="{00000000-0005-0000-0000-0000CE840000}"/>
    <cellStyle name="Accent3 - 40% 42" xfId="615" xr:uid="{00000000-0005-0000-0000-0000CF840000}"/>
    <cellStyle name="Accent3 - 40% 42 2" xfId="37112" xr:uid="{00000000-0005-0000-0000-0000D0840000}"/>
    <cellStyle name="Accent3 - 40% 43" xfId="616" xr:uid="{00000000-0005-0000-0000-0000D1840000}"/>
    <cellStyle name="Accent3 - 40% 43 2" xfId="37113" xr:uid="{00000000-0005-0000-0000-0000D2840000}"/>
    <cellStyle name="Accent3 - 40% 44" xfId="617" xr:uid="{00000000-0005-0000-0000-0000D3840000}"/>
    <cellStyle name="Accent3 - 40% 44 2" xfId="37114" xr:uid="{00000000-0005-0000-0000-0000D4840000}"/>
    <cellStyle name="Accent3 - 40% 45" xfId="618" xr:uid="{00000000-0005-0000-0000-0000D5840000}"/>
    <cellStyle name="Accent3 - 40% 45 2" xfId="37115" xr:uid="{00000000-0005-0000-0000-0000D6840000}"/>
    <cellStyle name="Accent3 - 40% 46" xfId="619" xr:uid="{00000000-0005-0000-0000-0000D7840000}"/>
    <cellStyle name="Accent3 - 40% 46 2" xfId="37116" xr:uid="{00000000-0005-0000-0000-0000D8840000}"/>
    <cellStyle name="Accent3 - 40% 47" xfId="37117" xr:uid="{00000000-0005-0000-0000-0000D9840000}"/>
    <cellStyle name="Accent3 - 40% 47 2" xfId="37118" xr:uid="{00000000-0005-0000-0000-0000DA840000}"/>
    <cellStyle name="Accent3 - 40% 47 3" xfId="37119" xr:uid="{00000000-0005-0000-0000-0000DB840000}"/>
    <cellStyle name="Accent3 - 40% 48" xfId="37120" xr:uid="{00000000-0005-0000-0000-0000DC840000}"/>
    <cellStyle name="Accent3 - 40% 49" xfId="37121" xr:uid="{00000000-0005-0000-0000-0000DD840000}"/>
    <cellStyle name="Accent3 - 40% 5" xfId="620" xr:uid="{00000000-0005-0000-0000-0000DE840000}"/>
    <cellStyle name="Accent3 - 40% 5 2" xfId="37122" xr:uid="{00000000-0005-0000-0000-0000DF840000}"/>
    <cellStyle name="Accent3 - 40% 50" xfId="37123" xr:uid="{00000000-0005-0000-0000-0000E0840000}"/>
    <cellStyle name="Accent3 - 40% 6" xfId="621" xr:uid="{00000000-0005-0000-0000-0000E1840000}"/>
    <cellStyle name="Accent3 - 40% 6 2" xfId="37124" xr:uid="{00000000-0005-0000-0000-0000E2840000}"/>
    <cellStyle name="Accent3 - 40% 7" xfId="622" xr:uid="{00000000-0005-0000-0000-0000E3840000}"/>
    <cellStyle name="Accent3 - 40% 7 2" xfId="37125" xr:uid="{00000000-0005-0000-0000-0000E4840000}"/>
    <cellStyle name="Accent3 - 40% 8" xfId="623" xr:uid="{00000000-0005-0000-0000-0000E5840000}"/>
    <cellStyle name="Accent3 - 40% 8 2" xfId="37126" xr:uid="{00000000-0005-0000-0000-0000E6840000}"/>
    <cellStyle name="Accent3 - 40% 9" xfId="624" xr:uid="{00000000-0005-0000-0000-0000E7840000}"/>
    <cellStyle name="Accent3 - 40% 9 2" xfId="37127" xr:uid="{00000000-0005-0000-0000-0000E8840000}"/>
    <cellStyle name="Accent3 - 60%" xfId="16" xr:uid="{00000000-0005-0000-0000-00001D000000}"/>
    <cellStyle name="Accent3 - 60% 10" xfId="625" xr:uid="{00000000-0005-0000-0000-0000EA840000}"/>
    <cellStyle name="Accent3 - 60% 10 2" xfId="37128" xr:uid="{00000000-0005-0000-0000-0000EB840000}"/>
    <cellStyle name="Accent3 - 60% 11" xfId="626" xr:uid="{00000000-0005-0000-0000-0000EC840000}"/>
    <cellStyle name="Accent3 - 60% 11 2" xfId="37129" xr:uid="{00000000-0005-0000-0000-0000ED840000}"/>
    <cellStyle name="Accent3 - 60% 12" xfId="627" xr:uid="{00000000-0005-0000-0000-0000EE840000}"/>
    <cellStyle name="Accent3 - 60% 12 2" xfId="37130" xr:uid="{00000000-0005-0000-0000-0000EF840000}"/>
    <cellStyle name="Accent3 - 60% 13" xfId="628" xr:uid="{00000000-0005-0000-0000-0000F0840000}"/>
    <cellStyle name="Accent3 - 60% 13 2" xfId="37131" xr:uid="{00000000-0005-0000-0000-0000F1840000}"/>
    <cellStyle name="Accent3 - 60% 14" xfId="629" xr:uid="{00000000-0005-0000-0000-0000F2840000}"/>
    <cellStyle name="Accent3 - 60% 14 2" xfId="37132" xr:uid="{00000000-0005-0000-0000-0000F3840000}"/>
    <cellStyle name="Accent3 - 60% 15" xfId="630" xr:uid="{00000000-0005-0000-0000-0000F4840000}"/>
    <cellStyle name="Accent3 - 60% 15 2" xfId="37133" xr:uid="{00000000-0005-0000-0000-0000F5840000}"/>
    <cellStyle name="Accent3 - 60% 16" xfId="631" xr:uid="{00000000-0005-0000-0000-0000F6840000}"/>
    <cellStyle name="Accent3 - 60% 16 2" xfId="37134" xr:uid="{00000000-0005-0000-0000-0000F7840000}"/>
    <cellStyle name="Accent3 - 60% 17" xfId="632" xr:uid="{00000000-0005-0000-0000-0000F8840000}"/>
    <cellStyle name="Accent3 - 60% 17 2" xfId="37135" xr:uid="{00000000-0005-0000-0000-0000F9840000}"/>
    <cellStyle name="Accent3 - 60% 18" xfId="633" xr:uid="{00000000-0005-0000-0000-0000FA840000}"/>
    <cellStyle name="Accent3 - 60% 18 2" xfId="37136" xr:uid="{00000000-0005-0000-0000-0000FB840000}"/>
    <cellStyle name="Accent3 - 60% 19" xfId="634" xr:uid="{00000000-0005-0000-0000-0000FC840000}"/>
    <cellStyle name="Accent3 - 60% 19 2" xfId="37137" xr:uid="{00000000-0005-0000-0000-0000FD840000}"/>
    <cellStyle name="Accent3 - 60% 2" xfId="635" xr:uid="{00000000-0005-0000-0000-0000FE840000}"/>
    <cellStyle name="Accent3 - 60% 2 2" xfId="37138" xr:uid="{00000000-0005-0000-0000-0000FF840000}"/>
    <cellStyle name="Accent3 - 60% 2 2 2" xfId="37139" xr:uid="{00000000-0005-0000-0000-000000850000}"/>
    <cellStyle name="Accent3 - 60% 2 3" xfId="37140" xr:uid="{00000000-0005-0000-0000-000001850000}"/>
    <cellStyle name="Accent3 - 60% 20" xfId="636" xr:uid="{00000000-0005-0000-0000-000002850000}"/>
    <cellStyle name="Accent3 - 60% 20 2" xfId="37141" xr:uid="{00000000-0005-0000-0000-000003850000}"/>
    <cellStyle name="Accent3 - 60% 21" xfId="637" xr:uid="{00000000-0005-0000-0000-000004850000}"/>
    <cellStyle name="Accent3 - 60% 21 2" xfId="37142" xr:uid="{00000000-0005-0000-0000-000005850000}"/>
    <cellStyle name="Accent3 - 60% 22" xfId="638" xr:uid="{00000000-0005-0000-0000-000006850000}"/>
    <cellStyle name="Accent3 - 60% 22 2" xfId="37143" xr:uid="{00000000-0005-0000-0000-000007850000}"/>
    <cellStyle name="Accent3 - 60% 23" xfId="639" xr:uid="{00000000-0005-0000-0000-000008850000}"/>
    <cellStyle name="Accent3 - 60% 23 2" xfId="37144" xr:uid="{00000000-0005-0000-0000-000009850000}"/>
    <cellStyle name="Accent3 - 60% 24" xfId="640" xr:uid="{00000000-0005-0000-0000-00000A850000}"/>
    <cellStyle name="Accent3 - 60% 24 2" xfId="37145" xr:uid="{00000000-0005-0000-0000-00000B850000}"/>
    <cellStyle name="Accent3 - 60% 25" xfId="641" xr:uid="{00000000-0005-0000-0000-00000C850000}"/>
    <cellStyle name="Accent3 - 60% 25 2" xfId="37146" xr:uid="{00000000-0005-0000-0000-00000D850000}"/>
    <cellStyle name="Accent3 - 60% 26" xfId="642" xr:uid="{00000000-0005-0000-0000-00000E850000}"/>
    <cellStyle name="Accent3 - 60% 26 2" xfId="37147" xr:uid="{00000000-0005-0000-0000-00000F850000}"/>
    <cellStyle name="Accent3 - 60% 27" xfId="643" xr:uid="{00000000-0005-0000-0000-000010850000}"/>
    <cellStyle name="Accent3 - 60% 27 2" xfId="37148" xr:uid="{00000000-0005-0000-0000-000011850000}"/>
    <cellStyle name="Accent3 - 60% 28" xfId="644" xr:uid="{00000000-0005-0000-0000-000012850000}"/>
    <cellStyle name="Accent3 - 60% 28 2" xfId="37149" xr:uid="{00000000-0005-0000-0000-000013850000}"/>
    <cellStyle name="Accent3 - 60% 29" xfId="645" xr:uid="{00000000-0005-0000-0000-000014850000}"/>
    <cellStyle name="Accent3 - 60% 29 2" xfId="37150" xr:uid="{00000000-0005-0000-0000-000015850000}"/>
    <cellStyle name="Accent3 - 60% 3" xfId="646" xr:uid="{00000000-0005-0000-0000-000016850000}"/>
    <cellStyle name="Accent3 - 60% 3 2" xfId="37151" xr:uid="{00000000-0005-0000-0000-000017850000}"/>
    <cellStyle name="Accent3 - 60% 30" xfId="647" xr:uid="{00000000-0005-0000-0000-000018850000}"/>
    <cellStyle name="Accent3 - 60% 30 2" xfId="37152" xr:uid="{00000000-0005-0000-0000-000019850000}"/>
    <cellStyle name="Accent3 - 60% 31" xfId="648" xr:uid="{00000000-0005-0000-0000-00001A850000}"/>
    <cellStyle name="Accent3 - 60% 31 2" xfId="37153" xr:uid="{00000000-0005-0000-0000-00001B850000}"/>
    <cellStyle name="Accent3 - 60% 32" xfId="649" xr:uid="{00000000-0005-0000-0000-00001C850000}"/>
    <cellStyle name="Accent3 - 60% 32 2" xfId="37154" xr:uid="{00000000-0005-0000-0000-00001D850000}"/>
    <cellStyle name="Accent3 - 60% 33" xfId="650" xr:uid="{00000000-0005-0000-0000-00001E850000}"/>
    <cellStyle name="Accent3 - 60% 33 2" xfId="37155" xr:uid="{00000000-0005-0000-0000-00001F850000}"/>
    <cellStyle name="Accent3 - 60% 34" xfId="651" xr:uid="{00000000-0005-0000-0000-000020850000}"/>
    <cellStyle name="Accent3 - 60% 34 2" xfId="37156" xr:uid="{00000000-0005-0000-0000-000021850000}"/>
    <cellStyle name="Accent3 - 60% 35" xfId="652" xr:uid="{00000000-0005-0000-0000-000022850000}"/>
    <cellStyle name="Accent3 - 60% 35 2" xfId="37157" xr:uid="{00000000-0005-0000-0000-000023850000}"/>
    <cellStyle name="Accent3 - 60% 36" xfId="653" xr:uid="{00000000-0005-0000-0000-000024850000}"/>
    <cellStyle name="Accent3 - 60% 36 2" xfId="37158" xr:uid="{00000000-0005-0000-0000-000025850000}"/>
    <cellStyle name="Accent3 - 60% 37" xfId="654" xr:uid="{00000000-0005-0000-0000-000026850000}"/>
    <cellStyle name="Accent3 - 60% 37 2" xfId="37159" xr:uid="{00000000-0005-0000-0000-000027850000}"/>
    <cellStyle name="Accent3 - 60% 38" xfId="655" xr:uid="{00000000-0005-0000-0000-000028850000}"/>
    <cellStyle name="Accent3 - 60% 38 2" xfId="37160" xr:uid="{00000000-0005-0000-0000-000029850000}"/>
    <cellStyle name="Accent3 - 60% 39" xfId="656" xr:uid="{00000000-0005-0000-0000-00002A850000}"/>
    <cellStyle name="Accent3 - 60% 39 2" xfId="37161" xr:uid="{00000000-0005-0000-0000-00002B850000}"/>
    <cellStyle name="Accent3 - 60% 4" xfId="657" xr:uid="{00000000-0005-0000-0000-00002C850000}"/>
    <cellStyle name="Accent3 - 60% 4 2" xfId="37162" xr:uid="{00000000-0005-0000-0000-00002D850000}"/>
    <cellStyle name="Accent3 - 60% 40" xfId="658" xr:uid="{00000000-0005-0000-0000-00002E850000}"/>
    <cellStyle name="Accent3 - 60% 40 2" xfId="37163" xr:uid="{00000000-0005-0000-0000-00002F850000}"/>
    <cellStyle name="Accent3 - 60% 41" xfId="659" xr:uid="{00000000-0005-0000-0000-000030850000}"/>
    <cellStyle name="Accent3 - 60% 41 2" xfId="37164" xr:uid="{00000000-0005-0000-0000-000031850000}"/>
    <cellStyle name="Accent3 - 60% 42" xfId="660" xr:uid="{00000000-0005-0000-0000-000032850000}"/>
    <cellStyle name="Accent3 - 60% 42 2" xfId="37165" xr:uid="{00000000-0005-0000-0000-000033850000}"/>
    <cellStyle name="Accent3 - 60% 43" xfId="661" xr:uid="{00000000-0005-0000-0000-000034850000}"/>
    <cellStyle name="Accent3 - 60% 43 2" xfId="37166" xr:uid="{00000000-0005-0000-0000-000035850000}"/>
    <cellStyle name="Accent3 - 60% 44" xfId="662" xr:uid="{00000000-0005-0000-0000-000036850000}"/>
    <cellStyle name="Accent3 - 60% 44 2" xfId="37167" xr:uid="{00000000-0005-0000-0000-000037850000}"/>
    <cellStyle name="Accent3 - 60% 45" xfId="663" xr:uid="{00000000-0005-0000-0000-000038850000}"/>
    <cellStyle name="Accent3 - 60% 45 2" xfId="37168" xr:uid="{00000000-0005-0000-0000-000039850000}"/>
    <cellStyle name="Accent3 - 60% 46" xfId="37169" xr:uid="{00000000-0005-0000-0000-00003A850000}"/>
    <cellStyle name="Accent3 - 60% 46 2" xfId="37170" xr:uid="{00000000-0005-0000-0000-00003B850000}"/>
    <cellStyle name="Accent3 - 60% 46 3" xfId="37171" xr:uid="{00000000-0005-0000-0000-00003C850000}"/>
    <cellStyle name="Accent3 - 60% 47" xfId="37172" xr:uid="{00000000-0005-0000-0000-00003D850000}"/>
    <cellStyle name="Accent3 - 60% 48" xfId="37173" xr:uid="{00000000-0005-0000-0000-00003E850000}"/>
    <cellStyle name="Accent3 - 60% 49" xfId="37174" xr:uid="{00000000-0005-0000-0000-00003F850000}"/>
    <cellStyle name="Accent3 - 60% 5" xfId="664" xr:uid="{00000000-0005-0000-0000-000040850000}"/>
    <cellStyle name="Accent3 - 60% 5 2" xfId="37175" xr:uid="{00000000-0005-0000-0000-000041850000}"/>
    <cellStyle name="Accent3 - 60% 50" xfId="37176" xr:uid="{00000000-0005-0000-0000-000042850000}"/>
    <cellStyle name="Accent3 - 60% 6" xfId="665" xr:uid="{00000000-0005-0000-0000-000043850000}"/>
    <cellStyle name="Accent3 - 60% 6 2" xfId="37177" xr:uid="{00000000-0005-0000-0000-000044850000}"/>
    <cellStyle name="Accent3 - 60% 7" xfId="666" xr:uid="{00000000-0005-0000-0000-000045850000}"/>
    <cellStyle name="Accent3 - 60% 7 2" xfId="37178" xr:uid="{00000000-0005-0000-0000-000046850000}"/>
    <cellStyle name="Accent3 - 60% 8" xfId="667" xr:uid="{00000000-0005-0000-0000-000047850000}"/>
    <cellStyle name="Accent3 - 60% 8 2" xfId="37179" xr:uid="{00000000-0005-0000-0000-000048850000}"/>
    <cellStyle name="Accent3 - 60% 9" xfId="668" xr:uid="{00000000-0005-0000-0000-000049850000}"/>
    <cellStyle name="Accent3 - 60% 9 2" xfId="37180" xr:uid="{00000000-0005-0000-0000-00004A850000}"/>
    <cellStyle name="Accent3 10" xfId="669" xr:uid="{00000000-0005-0000-0000-00004B850000}"/>
    <cellStyle name="Accent3 10 2" xfId="37181" xr:uid="{00000000-0005-0000-0000-00004C850000}"/>
    <cellStyle name="Accent3 10 2 2" xfId="37182" xr:uid="{00000000-0005-0000-0000-00004D850000}"/>
    <cellStyle name="Accent3 10 3" xfId="37183" xr:uid="{00000000-0005-0000-0000-00004E850000}"/>
    <cellStyle name="Accent3 10 3 2" xfId="37184" xr:uid="{00000000-0005-0000-0000-00004F850000}"/>
    <cellStyle name="Accent3 10 4" xfId="37185" xr:uid="{00000000-0005-0000-0000-000050850000}"/>
    <cellStyle name="Accent3 10 4 2" xfId="37186" xr:uid="{00000000-0005-0000-0000-000051850000}"/>
    <cellStyle name="Accent3 10 5" xfId="37187" xr:uid="{00000000-0005-0000-0000-000052850000}"/>
    <cellStyle name="Accent3 11" xfId="670" xr:uid="{00000000-0005-0000-0000-000053850000}"/>
    <cellStyle name="Accent3 11 2" xfId="37188" xr:uid="{00000000-0005-0000-0000-000054850000}"/>
    <cellStyle name="Accent3 11 2 2" xfId="37189" xr:uid="{00000000-0005-0000-0000-000055850000}"/>
    <cellStyle name="Accent3 11 3" xfId="37190" xr:uid="{00000000-0005-0000-0000-000056850000}"/>
    <cellStyle name="Accent3 11 3 2" xfId="37191" xr:uid="{00000000-0005-0000-0000-000057850000}"/>
    <cellStyle name="Accent3 11 4" xfId="37192" xr:uid="{00000000-0005-0000-0000-000058850000}"/>
    <cellStyle name="Accent3 11 4 2" xfId="37193" xr:uid="{00000000-0005-0000-0000-000059850000}"/>
    <cellStyle name="Accent3 11 5" xfId="37194" xr:uid="{00000000-0005-0000-0000-00005A850000}"/>
    <cellStyle name="Accent3 12" xfId="671" xr:uid="{00000000-0005-0000-0000-00005B850000}"/>
    <cellStyle name="Accent3 12 2" xfId="37195" xr:uid="{00000000-0005-0000-0000-00005C850000}"/>
    <cellStyle name="Accent3 12 2 2" xfId="37196" xr:uid="{00000000-0005-0000-0000-00005D850000}"/>
    <cellStyle name="Accent3 12 3" xfId="37197" xr:uid="{00000000-0005-0000-0000-00005E850000}"/>
    <cellStyle name="Accent3 13" xfId="672" xr:uid="{00000000-0005-0000-0000-00005F850000}"/>
    <cellStyle name="Accent3 13 2" xfId="37198" xr:uid="{00000000-0005-0000-0000-000060850000}"/>
    <cellStyle name="Accent3 14" xfId="673" xr:uid="{00000000-0005-0000-0000-000061850000}"/>
    <cellStyle name="Accent3 14 2" xfId="37199" xr:uid="{00000000-0005-0000-0000-000062850000}"/>
    <cellStyle name="Accent3 15" xfId="674" xr:uid="{00000000-0005-0000-0000-000063850000}"/>
    <cellStyle name="Accent3 15 2" xfId="37200" xr:uid="{00000000-0005-0000-0000-000064850000}"/>
    <cellStyle name="Accent3 16" xfId="675" xr:uid="{00000000-0005-0000-0000-000065850000}"/>
    <cellStyle name="Accent3 16 2" xfId="37201" xr:uid="{00000000-0005-0000-0000-000066850000}"/>
    <cellStyle name="Accent3 17" xfId="676" xr:uid="{00000000-0005-0000-0000-000067850000}"/>
    <cellStyle name="Accent3 17 2" xfId="37202" xr:uid="{00000000-0005-0000-0000-000068850000}"/>
    <cellStyle name="Accent3 18" xfId="677" xr:uid="{00000000-0005-0000-0000-000069850000}"/>
    <cellStyle name="Accent3 18 2" xfId="37203" xr:uid="{00000000-0005-0000-0000-00006A850000}"/>
    <cellStyle name="Accent3 19" xfId="678" xr:uid="{00000000-0005-0000-0000-00006B850000}"/>
    <cellStyle name="Accent3 19 2" xfId="37204" xr:uid="{00000000-0005-0000-0000-00006C850000}"/>
    <cellStyle name="Accent3 2" xfId="679" xr:uid="{00000000-0005-0000-0000-00006D850000}"/>
    <cellStyle name="Accent3 2 2" xfId="680" xr:uid="{00000000-0005-0000-0000-00006E850000}"/>
    <cellStyle name="Accent3 2 2 2" xfId="37205" xr:uid="{00000000-0005-0000-0000-00006F850000}"/>
    <cellStyle name="Accent3 2 2 2 2" xfId="37206" xr:uid="{00000000-0005-0000-0000-000070850000}"/>
    <cellStyle name="Accent3 2 2 3" xfId="37207" xr:uid="{00000000-0005-0000-0000-000071850000}"/>
    <cellStyle name="Accent3 2 3" xfId="681" xr:uid="{00000000-0005-0000-0000-000072850000}"/>
    <cellStyle name="Accent3 2 3 2" xfId="37208" xr:uid="{00000000-0005-0000-0000-000073850000}"/>
    <cellStyle name="Accent3 2 3 2 2" xfId="37209" xr:uid="{00000000-0005-0000-0000-000074850000}"/>
    <cellStyle name="Accent3 2 3 3" xfId="37210" xr:uid="{00000000-0005-0000-0000-000075850000}"/>
    <cellStyle name="Accent3 2 4" xfId="682" xr:uid="{00000000-0005-0000-0000-000076850000}"/>
    <cellStyle name="Accent3 2 4 2" xfId="37211" xr:uid="{00000000-0005-0000-0000-000077850000}"/>
    <cellStyle name="Accent3 2 4 2 2" xfId="37212" xr:uid="{00000000-0005-0000-0000-000078850000}"/>
    <cellStyle name="Accent3 2 4 3" xfId="37213" xr:uid="{00000000-0005-0000-0000-000079850000}"/>
    <cellStyle name="Accent3 2 5" xfId="37214" xr:uid="{00000000-0005-0000-0000-00007A850000}"/>
    <cellStyle name="Accent3 2 5 2" xfId="37215" xr:uid="{00000000-0005-0000-0000-00007B850000}"/>
    <cellStyle name="Accent3 2 6" xfId="37216" xr:uid="{00000000-0005-0000-0000-00007C850000}"/>
    <cellStyle name="Accent3 20" xfId="683" xr:uid="{00000000-0005-0000-0000-00007D850000}"/>
    <cellStyle name="Accent3 20 2" xfId="37217" xr:uid="{00000000-0005-0000-0000-00007E850000}"/>
    <cellStyle name="Accent3 21" xfId="684" xr:uid="{00000000-0005-0000-0000-00007F850000}"/>
    <cellStyle name="Accent3 21 2" xfId="37218" xr:uid="{00000000-0005-0000-0000-000080850000}"/>
    <cellStyle name="Accent3 22" xfId="685" xr:uid="{00000000-0005-0000-0000-000081850000}"/>
    <cellStyle name="Accent3 22 2" xfId="37219" xr:uid="{00000000-0005-0000-0000-000082850000}"/>
    <cellStyle name="Accent3 23" xfId="686" xr:uid="{00000000-0005-0000-0000-000083850000}"/>
    <cellStyle name="Accent3 23 2" xfId="37220" xr:uid="{00000000-0005-0000-0000-000084850000}"/>
    <cellStyle name="Accent3 24" xfId="687" xr:uid="{00000000-0005-0000-0000-000085850000}"/>
    <cellStyle name="Accent3 24 2" xfId="688" xr:uid="{00000000-0005-0000-0000-000086850000}"/>
    <cellStyle name="Accent3 24 2 2" xfId="37221" xr:uid="{00000000-0005-0000-0000-000087850000}"/>
    <cellStyle name="Accent3 24 3" xfId="37222" xr:uid="{00000000-0005-0000-0000-000088850000}"/>
    <cellStyle name="Accent3 25" xfId="689" xr:uid="{00000000-0005-0000-0000-000089850000}"/>
    <cellStyle name="Accent3 25 2" xfId="37223" xr:uid="{00000000-0005-0000-0000-00008A850000}"/>
    <cellStyle name="Accent3 26" xfId="37224" xr:uid="{00000000-0005-0000-0000-00008B850000}"/>
    <cellStyle name="Accent3 26 2" xfId="37225" xr:uid="{00000000-0005-0000-0000-00008C850000}"/>
    <cellStyle name="Accent3 27" xfId="37226" xr:uid="{00000000-0005-0000-0000-00008D850000}"/>
    <cellStyle name="Accent3 27 2" xfId="37227" xr:uid="{00000000-0005-0000-0000-00008E850000}"/>
    <cellStyle name="Accent3 28" xfId="37228" xr:uid="{00000000-0005-0000-0000-00008F850000}"/>
    <cellStyle name="Accent3 28 2" xfId="37229" xr:uid="{00000000-0005-0000-0000-000090850000}"/>
    <cellStyle name="Accent3 29" xfId="37230" xr:uid="{00000000-0005-0000-0000-000091850000}"/>
    <cellStyle name="Accent3 29 2" xfId="37231" xr:uid="{00000000-0005-0000-0000-000092850000}"/>
    <cellStyle name="Accent3 3" xfId="690" xr:uid="{00000000-0005-0000-0000-000093850000}"/>
    <cellStyle name="Accent3 3 2" xfId="37232" xr:uid="{00000000-0005-0000-0000-000094850000}"/>
    <cellStyle name="Accent3 3 2 2" xfId="37233" xr:uid="{00000000-0005-0000-0000-000095850000}"/>
    <cellStyle name="Accent3 3 3" xfId="37234" xr:uid="{00000000-0005-0000-0000-000096850000}"/>
    <cellStyle name="Accent3 3 3 2" xfId="37235" xr:uid="{00000000-0005-0000-0000-000097850000}"/>
    <cellStyle name="Accent3 3 4" xfId="37236" xr:uid="{00000000-0005-0000-0000-000098850000}"/>
    <cellStyle name="Accent3 3 4 2" xfId="37237" xr:uid="{00000000-0005-0000-0000-000099850000}"/>
    <cellStyle name="Accent3 3 5" xfId="37238" xr:uid="{00000000-0005-0000-0000-00009A850000}"/>
    <cellStyle name="Accent3 3 5 2" xfId="37239" xr:uid="{00000000-0005-0000-0000-00009B850000}"/>
    <cellStyle name="Accent3 3 6" xfId="37240" xr:uid="{00000000-0005-0000-0000-00009C850000}"/>
    <cellStyle name="Accent3 3 7" xfId="37241" xr:uid="{00000000-0005-0000-0000-00009D850000}"/>
    <cellStyle name="Accent3 30" xfId="37242" xr:uid="{00000000-0005-0000-0000-00009E850000}"/>
    <cellStyle name="Accent3 30 2" xfId="37243" xr:uid="{00000000-0005-0000-0000-00009F850000}"/>
    <cellStyle name="Accent3 31" xfId="37244" xr:uid="{00000000-0005-0000-0000-0000A0850000}"/>
    <cellStyle name="Accent3 31 2" xfId="37245" xr:uid="{00000000-0005-0000-0000-0000A1850000}"/>
    <cellStyle name="Accent3 32" xfId="37246" xr:uid="{00000000-0005-0000-0000-0000A2850000}"/>
    <cellStyle name="Accent3 32 2" xfId="37247" xr:uid="{00000000-0005-0000-0000-0000A3850000}"/>
    <cellStyle name="Accent3 33" xfId="37248" xr:uid="{00000000-0005-0000-0000-0000A4850000}"/>
    <cellStyle name="Accent3 33 2" xfId="37249" xr:uid="{00000000-0005-0000-0000-0000A5850000}"/>
    <cellStyle name="Accent3 34" xfId="37250" xr:uid="{00000000-0005-0000-0000-0000A6850000}"/>
    <cellStyle name="Accent3 34 2" xfId="37251" xr:uid="{00000000-0005-0000-0000-0000A7850000}"/>
    <cellStyle name="Accent3 35" xfId="37252" xr:uid="{00000000-0005-0000-0000-0000A8850000}"/>
    <cellStyle name="Accent3 35 2" xfId="37253" xr:uid="{00000000-0005-0000-0000-0000A9850000}"/>
    <cellStyle name="Accent3 36" xfId="37254" xr:uid="{00000000-0005-0000-0000-0000AA850000}"/>
    <cellStyle name="Accent3 36 2" xfId="37255" xr:uid="{00000000-0005-0000-0000-0000AB850000}"/>
    <cellStyle name="Accent3 37" xfId="37256" xr:uid="{00000000-0005-0000-0000-0000AC850000}"/>
    <cellStyle name="Accent3 37 2" xfId="37257" xr:uid="{00000000-0005-0000-0000-0000AD850000}"/>
    <cellStyle name="Accent3 38" xfId="37258" xr:uid="{00000000-0005-0000-0000-0000AE850000}"/>
    <cellStyle name="Accent3 38 2" xfId="37259" xr:uid="{00000000-0005-0000-0000-0000AF850000}"/>
    <cellStyle name="Accent3 39" xfId="37260" xr:uid="{00000000-0005-0000-0000-0000B0850000}"/>
    <cellStyle name="Accent3 39 2" xfId="37261" xr:uid="{00000000-0005-0000-0000-0000B1850000}"/>
    <cellStyle name="Accent3 4" xfId="691" xr:uid="{00000000-0005-0000-0000-0000B2850000}"/>
    <cellStyle name="Accent3 4 2" xfId="37262" xr:uid="{00000000-0005-0000-0000-0000B3850000}"/>
    <cellStyle name="Accent3 4 2 2" xfId="37263" xr:uid="{00000000-0005-0000-0000-0000B4850000}"/>
    <cellStyle name="Accent3 4 3" xfId="37264" xr:uid="{00000000-0005-0000-0000-0000B5850000}"/>
    <cellStyle name="Accent3 4 3 2" xfId="37265" xr:uid="{00000000-0005-0000-0000-0000B6850000}"/>
    <cellStyle name="Accent3 4 4" xfId="37266" xr:uid="{00000000-0005-0000-0000-0000B7850000}"/>
    <cellStyle name="Accent3 4 4 2" xfId="37267" xr:uid="{00000000-0005-0000-0000-0000B8850000}"/>
    <cellStyle name="Accent3 4 5" xfId="37268" xr:uid="{00000000-0005-0000-0000-0000B9850000}"/>
    <cellStyle name="Accent3 4 5 2" xfId="37269" xr:uid="{00000000-0005-0000-0000-0000BA850000}"/>
    <cellStyle name="Accent3 4 6" xfId="37270" xr:uid="{00000000-0005-0000-0000-0000BB850000}"/>
    <cellStyle name="Accent3 40" xfId="37271" xr:uid="{00000000-0005-0000-0000-0000BC850000}"/>
    <cellStyle name="Accent3 40 2" xfId="37272" xr:uid="{00000000-0005-0000-0000-0000BD850000}"/>
    <cellStyle name="Accent3 41" xfId="37273" xr:uid="{00000000-0005-0000-0000-0000BE850000}"/>
    <cellStyle name="Accent3 41 2" xfId="37274" xr:uid="{00000000-0005-0000-0000-0000BF850000}"/>
    <cellStyle name="Accent3 42" xfId="37275" xr:uid="{00000000-0005-0000-0000-0000C0850000}"/>
    <cellStyle name="Accent3 42 2" xfId="37276" xr:uid="{00000000-0005-0000-0000-0000C1850000}"/>
    <cellStyle name="Accent3 43" xfId="37277" xr:uid="{00000000-0005-0000-0000-0000C2850000}"/>
    <cellStyle name="Accent3 43 2" xfId="37278" xr:uid="{00000000-0005-0000-0000-0000C3850000}"/>
    <cellStyle name="Accent3 44" xfId="37279" xr:uid="{00000000-0005-0000-0000-0000C4850000}"/>
    <cellStyle name="Accent3 44 2" xfId="37280" xr:uid="{00000000-0005-0000-0000-0000C5850000}"/>
    <cellStyle name="Accent3 45" xfId="37281" xr:uid="{00000000-0005-0000-0000-0000C6850000}"/>
    <cellStyle name="Accent3 45 2" xfId="37282" xr:uid="{00000000-0005-0000-0000-0000C7850000}"/>
    <cellStyle name="Accent3 46" xfId="37283" xr:uid="{00000000-0005-0000-0000-0000C8850000}"/>
    <cellStyle name="Accent3 46 2" xfId="37284" xr:uid="{00000000-0005-0000-0000-0000C9850000}"/>
    <cellStyle name="Accent3 47" xfId="37285" xr:uid="{00000000-0005-0000-0000-0000CA850000}"/>
    <cellStyle name="Accent3 47 2" xfId="37286" xr:uid="{00000000-0005-0000-0000-0000CB850000}"/>
    <cellStyle name="Accent3 48" xfId="37287" xr:uid="{00000000-0005-0000-0000-0000CC850000}"/>
    <cellStyle name="Accent3 48 2" xfId="37288" xr:uid="{00000000-0005-0000-0000-0000CD850000}"/>
    <cellStyle name="Accent3 49" xfId="37289" xr:uid="{00000000-0005-0000-0000-0000CE850000}"/>
    <cellStyle name="Accent3 49 2" xfId="37290" xr:uid="{00000000-0005-0000-0000-0000CF850000}"/>
    <cellStyle name="Accent3 5" xfId="692" xr:uid="{00000000-0005-0000-0000-0000D0850000}"/>
    <cellStyle name="Accent3 5 2" xfId="37291" xr:uid="{00000000-0005-0000-0000-0000D1850000}"/>
    <cellStyle name="Accent3 5 2 2" xfId="37292" xr:uid="{00000000-0005-0000-0000-0000D2850000}"/>
    <cellStyle name="Accent3 5 3" xfId="37293" xr:uid="{00000000-0005-0000-0000-0000D3850000}"/>
    <cellStyle name="Accent3 5 3 2" xfId="37294" xr:uid="{00000000-0005-0000-0000-0000D4850000}"/>
    <cellStyle name="Accent3 5 4" xfId="37295" xr:uid="{00000000-0005-0000-0000-0000D5850000}"/>
    <cellStyle name="Accent3 5 4 2" xfId="37296" xr:uid="{00000000-0005-0000-0000-0000D6850000}"/>
    <cellStyle name="Accent3 5 5" xfId="37297" xr:uid="{00000000-0005-0000-0000-0000D7850000}"/>
    <cellStyle name="Accent3 5 5 2" xfId="37298" xr:uid="{00000000-0005-0000-0000-0000D8850000}"/>
    <cellStyle name="Accent3 5 6" xfId="37299" xr:uid="{00000000-0005-0000-0000-0000D9850000}"/>
    <cellStyle name="Accent3 50" xfId="37300" xr:uid="{00000000-0005-0000-0000-0000DA850000}"/>
    <cellStyle name="Accent3 50 2" xfId="37301" xr:uid="{00000000-0005-0000-0000-0000DB850000}"/>
    <cellStyle name="Accent3 51" xfId="37302" xr:uid="{00000000-0005-0000-0000-0000DC850000}"/>
    <cellStyle name="Accent3 51 2" xfId="37303" xr:uid="{00000000-0005-0000-0000-0000DD850000}"/>
    <cellStyle name="Accent3 52" xfId="37304" xr:uid="{00000000-0005-0000-0000-0000DE850000}"/>
    <cellStyle name="Accent3 52 2" xfId="37305" xr:uid="{00000000-0005-0000-0000-0000DF850000}"/>
    <cellStyle name="Accent3 53" xfId="37306" xr:uid="{00000000-0005-0000-0000-0000E0850000}"/>
    <cellStyle name="Accent3 53 2" xfId="37307" xr:uid="{00000000-0005-0000-0000-0000E1850000}"/>
    <cellStyle name="Accent3 54" xfId="37308" xr:uid="{00000000-0005-0000-0000-0000E2850000}"/>
    <cellStyle name="Accent3 55" xfId="37309" xr:uid="{00000000-0005-0000-0000-0000E3850000}"/>
    <cellStyle name="Accent3 56" xfId="37310" xr:uid="{00000000-0005-0000-0000-0000E4850000}"/>
    <cellStyle name="Accent3 57" xfId="37311" xr:uid="{00000000-0005-0000-0000-0000E5850000}"/>
    <cellStyle name="Accent3 58" xfId="37312" xr:uid="{00000000-0005-0000-0000-0000E6850000}"/>
    <cellStyle name="Accent3 59" xfId="37313" xr:uid="{00000000-0005-0000-0000-0000E7850000}"/>
    <cellStyle name="Accent3 6" xfId="693" xr:uid="{00000000-0005-0000-0000-0000E8850000}"/>
    <cellStyle name="Accent3 6 2" xfId="37314" xr:uid="{00000000-0005-0000-0000-0000E9850000}"/>
    <cellStyle name="Accent3 6 2 2" xfId="37315" xr:uid="{00000000-0005-0000-0000-0000EA850000}"/>
    <cellStyle name="Accent3 6 3" xfId="37316" xr:uid="{00000000-0005-0000-0000-0000EB850000}"/>
    <cellStyle name="Accent3 6 3 2" xfId="37317" xr:uid="{00000000-0005-0000-0000-0000EC850000}"/>
    <cellStyle name="Accent3 6 4" xfId="37318" xr:uid="{00000000-0005-0000-0000-0000ED850000}"/>
    <cellStyle name="Accent3 6 4 2" xfId="37319" xr:uid="{00000000-0005-0000-0000-0000EE850000}"/>
    <cellStyle name="Accent3 6 5" xfId="37320" xr:uid="{00000000-0005-0000-0000-0000EF850000}"/>
    <cellStyle name="Accent3 6 5 2" xfId="37321" xr:uid="{00000000-0005-0000-0000-0000F0850000}"/>
    <cellStyle name="Accent3 6 6" xfId="37322" xr:uid="{00000000-0005-0000-0000-0000F1850000}"/>
    <cellStyle name="Accent3 60" xfId="37323" xr:uid="{00000000-0005-0000-0000-0000F2850000}"/>
    <cellStyle name="Accent3 61" xfId="37324" xr:uid="{00000000-0005-0000-0000-0000F3850000}"/>
    <cellStyle name="Accent3 62" xfId="37325" xr:uid="{00000000-0005-0000-0000-0000F4850000}"/>
    <cellStyle name="Accent3 63" xfId="37326" xr:uid="{00000000-0005-0000-0000-0000F5850000}"/>
    <cellStyle name="Accent3 64" xfId="37327" xr:uid="{00000000-0005-0000-0000-0000F6850000}"/>
    <cellStyle name="Accent3 65" xfId="37328" xr:uid="{00000000-0005-0000-0000-0000F7850000}"/>
    <cellStyle name="Accent3 66" xfId="37329" xr:uid="{00000000-0005-0000-0000-0000F8850000}"/>
    <cellStyle name="Accent3 67" xfId="37330" xr:uid="{00000000-0005-0000-0000-0000F9850000}"/>
    <cellStyle name="Accent3 68" xfId="37331" xr:uid="{00000000-0005-0000-0000-0000FA850000}"/>
    <cellStyle name="Accent3 69" xfId="37332" xr:uid="{00000000-0005-0000-0000-0000FB850000}"/>
    <cellStyle name="Accent3 7" xfId="694" xr:uid="{00000000-0005-0000-0000-0000FC850000}"/>
    <cellStyle name="Accent3 7 2" xfId="37333" xr:uid="{00000000-0005-0000-0000-0000FD850000}"/>
    <cellStyle name="Accent3 7 2 2" xfId="37334" xr:uid="{00000000-0005-0000-0000-0000FE850000}"/>
    <cellStyle name="Accent3 7 3" xfId="37335" xr:uid="{00000000-0005-0000-0000-0000FF850000}"/>
    <cellStyle name="Accent3 7 3 2" xfId="37336" xr:uid="{00000000-0005-0000-0000-000000860000}"/>
    <cellStyle name="Accent3 7 4" xfId="37337" xr:uid="{00000000-0005-0000-0000-000001860000}"/>
    <cellStyle name="Accent3 7 4 2" xfId="37338" xr:uid="{00000000-0005-0000-0000-000002860000}"/>
    <cellStyle name="Accent3 7 5" xfId="37339" xr:uid="{00000000-0005-0000-0000-000003860000}"/>
    <cellStyle name="Accent3 7 5 2" xfId="37340" xr:uid="{00000000-0005-0000-0000-000004860000}"/>
    <cellStyle name="Accent3 7 6" xfId="37341" xr:uid="{00000000-0005-0000-0000-000005860000}"/>
    <cellStyle name="Accent3 70" xfId="37342" xr:uid="{00000000-0005-0000-0000-000006860000}"/>
    <cellStyle name="Accent3 71" xfId="37343" xr:uid="{00000000-0005-0000-0000-000007860000}"/>
    <cellStyle name="Accent3 72" xfId="37344" xr:uid="{00000000-0005-0000-0000-000008860000}"/>
    <cellStyle name="Accent3 73" xfId="37345" xr:uid="{00000000-0005-0000-0000-000009860000}"/>
    <cellStyle name="Accent3 74" xfId="37346" xr:uid="{00000000-0005-0000-0000-00000A860000}"/>
    <cellStyle name="Accent3 75" xfId="37347" xr:uid="{00000000-0005-0000-0000-00000B860000}"/>
    <cellStyle name="Accent3 76" xfId="37348" xr:uid="{00000000-0005-0000-0000-00000C860000}"/>
    <cellStyle name="Accent3 8" xfId="695" xr:uid="{00000000-0005-0000-0000-00000D860000}"/>
    <cellStyle name="Accent3 8 2" xfId="37349" xr:uid="{00000000-0005-0000-0000-00000E860000}"/>
    <cellStyle name="Accent3 8 2 2" xfId="37350" xr:uid="{00000000-0005-0000-0000-00000F860000}"/>
    <cellStyle name="Accent3 8 3" xfId="37351" xr:uid="{00000000-0005-0000-0000-000010860000}"/>
    <cellStyle name="Accent3 8 3 2" xfId="37352" xr:uid="{00000000-0005-0000-0000-000011860000}"/>
    <cellStyle name="Accent3 8 4" xfId="37353" xr:uid="{00000000-0005-0000-0000-000012860000}"/>
    <cellStyle name="Accent3 8 4 2" xfId="37354" xr:uid="{00000000-0005-0000-0000-000013860000}"/>
    <cellStyle name="Accent3 8 5" xfId="37355" xr:uid="{00000000-0005-0000-0000-000014860000}"/>
    <cellStyle name="Accent3 9" xfId="696" xr:uid="{00000000-0005-0000-0000-000015860000}"/>
    <cellStyle name="Accent3 9 2" xfId="37356" xr:uid="{00000000-0005-0000-0000-000016860000}"/>
    <cellStyle name="Accent3 9 2 2" xfId="37357" xr:uid="{00000000-0005-0000-0000-000017860000}"/>
    <cellStyle name="Accent3 9 3" xfId="37358" xr:uid="{00000000-0005-0000-0000-000018860000}"/>
    <cellStyle name="Accent3 9 3 2" xfId="37359" xr:uid="{00000000-0005-0000-0000-000019860000}"/>
    <cellStyle name="Accent3 9 4" xfId="37360" xr:uid="{00000000-0005-0000-0000-00001A860000}"/>
    <cellStyle name="Accent3 9 4 2" xfId="37361" xr:uid="{00000000-0005-0000-0000-00001B860000}"/>
    <cellStyle name="Accent3 9 5" xfId="37362" xr:uid="{00000000-0005-0000-0000-00001C860000}"/>
    <cellStyle name="Accent4" xfId="130" builtinId="41" customBuiltin="1"/>
    <cellStyle name="Accent4 - 20%" xfId="17" xr:uid="{00000000-0005-0000-0000-00001F000000}"/>
    <cellStyle name="Accent4 - 20% 10" xfId="697" xr:uid="{00000000-0005-0000-0000-00001E860000}"/>
    <cellStyle name="Accent4 - 20% 10 2" xfId="37363" xr:uid="{00000000-0005-0000-0000-00001F860000}"/>
    <cellStyle name="Accent4 - 20% 11" xfId="698" xr:uid="{00000000-0005-0000-0000-000020860000}"/>
    <cellStyle name="Accent4 - 20% 11 2" xfId="37364" xr:uid="{00000000-0005-0000-0000-000021860000}"/>
    <cellStyle name="Accent4 - 20% 12" xfId="699" xr:uid="{00000000-0005-0000-0000-000022860000}"/>
    <cellStyle name="Accent4 - 20% 12 2" xfId="37365" xr:uid="{00000000-0005-0000-0000-000023860000}"/>
    <cellStyle name="Accent4 - 20% 13" xfId="700" xr:uid="{00000000-0005-0000-0000-000024860000}"/>
    <cellStyle name="Accent4 - 20% 13 2" xfId="37366" xr:uid="{00000000-0005-0000-0000-000025860000}"/>
    <cellStyle name="Accent4 - 20% 14" xfId="701" xr:uid="{00000000-0005-0000-0000-000026860000}"/>
    <cellStyle name="Accent4 - 20% 14 2" xfId="37367" xr:uid="{00000000-0005-0000-0000-000027860000}"/>
    <cellStyle name="Accent4 - 20% 15" xfId="702" xr:uid="{00000000-0005-0000-0000-000028860000}"/>
    <cellStyle name="Accent4 - 20% 15 2" xfId="37368" xr:uid="{00000000-0005-0000-0000-000029860000}"/>
    <cellStyle name="Accent4 - 20% 16" xfId="703" xr:uid="{00000000-0005-0000-0000-00002A860000}"/>
    <cellStyle name="Accent4 - 20% 16 2" xfId="37369" xr:uid="{00000000-0005-0000-0000-00002B860000}"/>
    <cellStyle name="Accent4 - 20% 17" xfId="704" xr:uid="{00000000-0005-0000-0000-00002C860000}"/>
    <cellStyle name="Accent4 - 20% 17 2" xfId="37370" xr:uid="{00000000-0005-0000-0000-00002D860000}"/>
    <cellStyle name="Accent4 - 20% 18" xfId="705" xr:uid="{00000000-0005-0000-0000-00002E860000}"/>
    <cellStyle name="Accent4 - 20% 18 2" xfId="37371" xr:uid="{00000000-0005-0000-0000-00002F860000}"/>
    <cellStyle name="Accent4 - 20% 19" xfId="706" xr:uid="{00000000-0005-0000-0000-000030860000}"/>
    <cellStyle name="Accent4 - 20% 19 2" xfId="37372" xr:uid="{00000000-0005-0000-0000-000031860000}"/>
    <cellStyle name="Accent4 - 20% 2" xfId="707" xr:uid="{00000000-0005-0000-0000-000032860000}"/>
    <cellStyle name="Accent4 - 20% 2 2" xfId="37373" xr:uid="{00000000-0005-0000-0000-000033860000}"/>
    <cellStyle name="Accent4 - 20% 2 2 2" xfId="37374" xr:uid="{00000000-0005-0000-0000-000034860000}"/>
    <cellStyle name="Accent4 - 20% 2 3" xfId="37375" xr:uid="{00000000-0005-0000-0000-000035860000}"/>
    <cellStyle name="Accent4 - 20% 20" xfId="708" xr:uid="{00000000-0005-0000-0000-000036860000}"/>
    <cellStyle name="Accent4 - 20% 20 2" xfId="37376" xr:uid="{00000000-0005-0000-0000-000037860000}"/>
    <cellStyle name="Accent4 - 20% 21" xfId="709" xr:uid="{00000000-0005-0000-0000-000038860000}"/>
    <cellStyle name="Accent4 - 20% 21 2" xfId="37377" xr:uid="{00000000-0005-0000-0000-000039860000}"/>
    <cellStyle name="Accent4 - 20% 22" xfId="710" xr:uid="{00000000-0005-0000-0000-00003A860000}"/>
    <cellStyle name="Accent4 - 20% 22 2" xfId="37378" xr:uid="{00000000-0005-0000-0000-00003B860000}"/>
    <cellStyle name="Accent4 - 20% 23" xfId="711" xr:uid="{00000000-0005-0000-0000-00003C860000}"/>
    <cellStyle name="Accent4 - 20% 23 2" xfId="37379" xr:uid="{00000000-0005-0000-0000-00003D860000}"/>
    <cellStyle name="Accent4 - 20% 24" xfId="712" xr:uid="{00000000-0005-0000-0000-00003E860000}"/>
    <cellStyle name="Accent4 - 20% 24 2" xfId="37380" xr:uid="{00000000-0005-0000-0000-00003F860000}"/>
    <cellStyle name="Accent4 - 20% 25" xfId="713" xr:uid="{00000000-0005-0000-0000-000040860000}"/>
    <cellStyle name="Accent4 - 20% 25 2" xfId="37381" xr:uid="{00000000-0005-0000-0000-000041860000}"/>
    <cellStyle name="Accent4 - 20% 26" xfId="714" xr:uid="{00000000-0005-0000-0000-000042860000}"/>
    <cellStyle name="Accent4 - 20% 26 2" xfId="37382" xr:uid="{00000000-0005-0000-0000-000043860000}"/>
    <cellStyle name="Accent4 - 20% 27" xfId="715" xr:uid="{00000000-0005-0000-0000-000044860000}"/>
    <cellStyle name="Accent4 - 20% 27 2" xfId="37383" xr:uid="{00000000-0005-0000-0000-000045860000}"/>
    <cellStyle name="Accent4 - 20% 28" xfId="716" xr:uid="{00000000-0005-0000-0000-000046860000}"/>
    <cellStyle name="Accent4 - 20% 28 2" xfId="37384" xr:uid="{00000000-0005-0000-0000-000047860000}"/>
    <cellStyle name="Accent4 - 20% 29" xfId="717" xr:uid="{00000000-0005-0000-0000-000048860000}"/>
    <cellStyle name="Accent4 - 20% 29 2" xfId="37385" xr:uid="{00000000-0005-0000-0000-000049860000}"/>
    <cellStyle name="Accent4 - 20% 3" xfId="718" xr:uid="{00000000-0005-0000-0000-00004A860000}"/>
    <cellStyle name="Accent4 - 20% 3 2" xfId="37386" xr:uid="{00000000-0005-0000-0000-00004B860000}"/>
    <cellStyle name="Accent4 - 20% 30" xfId="719" xr:uid="{00000000-0005-0000-0000-00004C860000}"/>
    <cellStyle name="Accent4 - 20% 30 2" xfId="37387" xr:uid="{00000000-0005-0000-0000-00004D860000}"/>
    <cellStyle name="Accent4 - 20% 31" xfId="720" xr:uid="{00000000-0005-0000-0000-00004E860000}"/>
    <cellStyle name="Accent4 - 20% 31 2" xfId="37388" xr:uid="{00000000-0005-0000-0000-00004F860000}"/>
    <cellStyle name="Accent4 - 20% 32" xfId="721" xr:uid="{00000000-0005-0000-0000-000050860000}"/>
    <cellStyle name="Accent4 - 20% 32 2" xfId="37389" xr:uid="{00000000-0005-0000-0000-000051860000}"/>
    <cellStyle name="Accent4 - 20% 33" xfId="722" xr:uid="{00000000-0005-0000-0000-000052860000}"/>
    <cellStyle name="Accent4 - 20% 33 2" xfId="37390" xr:uid="{00000000-0005-0000-0000-000053860000}"/>
    <cellStyle name="Accent4 - 20% 34" xfId="723" xr:uid="{00000000-0005-0000-0000-000054860000}"/>
    <cellStyle name="Accent4 - 20% 34 2" xfId="37391" xr:uid="{00000000-0005-0000-0000-000055860000}"/>
    <cellStyle name="Accent4 - 20% 35" xfId="724" xr:uid="{00000000-0005-0000-0000-000056860000}"/>
    <cellStyle name="Accent4 - 20% 35 2" xfId="37392" xr:uid="{00000000-0005-0000-0000-000057860000}"/>
    <cellStyle name="Accent4 - 20% 36" xfId="725" xr:uid="{00000000-0005-0000-0000-000058860000}"/>
    <cellStyle name="Accent4 - 20% 36 2" xfId="37393" xr:uid="{00000000-0005-0000-0000-000059860000}"/>
    <cellStyle name="Accent4 - 20% 37" xfId="726" xr:uid="{00000000-0005-0000-0000-00005A860000}"/>
    <cellStyle name="Accent4 - 20% 37 2" xfId="37394" xr:uid="{00000000-0005-0000-0000-00005B860000}"/>
    <cellStyle name="Accent4 - 20% 38" xfId="727" xr:uid="{00000000-0005-0000-0000-00005C860000}"/>
    <cellStyle name="Accent4 - 20% 38 2" xfId="37395" xr:uid="{00000000-0005-0000-0000-00005D860000}"/>
    <cellStyle name="Accent4 - 20% 39" xfId="728" xr:uid="{00000000-0005-0000-0000-00005E860000}"/>
    <cellStyle name="Accent4 - 20% 39 2" xfId="37396" xr:uid="{00000000-0005-0000-0000-00005F860000}"/>
    <cellStyle name="Accent4 - 20% 4" xfId="729" xr:uid="{00000000-0005-0000-0000-000060860000}"/>
    <cellStyle name="Accent4 - 20% 4 2" xfId="37397" xr:uid="{00000000-0005-0000-0000-000061860000}"/>
    <cellStyle name="Accent4 - 20% 40" xfId="730" xr:uid="{00000000-0005-0000-0000-000062860000}"/>
    <cellStyle name="Accent4 - 20% 40 2" xfId="37398" xr:uid="{00000000-0005-0000-0000-000063860000}"/>
    <cellStyle name="Accent4 - 20% 41" xfId="731" xr:uid="{00000000-0005-0000-0000-000064860000}"/>
    <cellStyle name="Accent4 - 20% 41 2" xfId="37399" xr:uid="{00000000-0005-0000-0000-000065860000}"/>
    <cellStyle name="Accent4 - 20% 42" xfId="732" xr:uid="{00000000-0005-0000-0000-000066860000}"/>
    <cellStyle name="Accent4 - 20% 42 2" xfId="37400" xr:uid="{00000000-0005-0000-0000-000067860000}"/>
    <cellStyle name="Accent4 - 20% 43" xfId="733" xr:uid="{00000000-0005-0000-0000-000068860000}"/>
    <cellStyle name="Accent4 - 20% 43 2" xfId="37401" xr:uid="{00000000-0005-0000-0000-000069860000}"/>
    <cellStyle name="Accent4 - 20% 44" xfId="734" xr:uid="{00000000-0005-0000-0000-00006A860000}"/>
    <cellStyle name="Accent4 - 20% 44 2" xfId="37402" xr:uid="{00000000-0005-0000-0000-00006B860000}"/>
    <cellStyle name="Accent4 - 20% 45" xfId="735" xr:uid="{00000000-0005-0000-0000-00006C860000}"/>
    <cellStyle name="Accent4 - 20% 45 2" xfId="37403" xr:uid="{00000000-0005-0000-0000-00006D860000}"/>
    <cellStyle name="Accent4 - 20% 46" xfId="736" xr:uid="{00000000-0005-0000-0000-00006E860000}"/>
    <cellStyle name="Accent4 - 20% 46 2" xfId="37404" xr:uid="{00000000-0005-0000-0000-00006F860000}"/>
    <cellStyle name="Accent4 - 20% 47" xfId="37405" xr:uid="{00000000-0005-0000-0000-000070860000}"/>
    <cellStyle name="Accent4 - 20% 47 2" xfId="37406" xr:uid="{00000000-0005-0000-0000-000071860000}"/>
    <cellStyle name="Accent4 - 20% 47 3" xfId="37407" xr:uid="{00000000-0005-0000-0000-000072860000}"/>
    <cellStyle name="Accent4 - 20% 48" xfId="37408" xr:uid="{00000000-0005-0000-0000-000073860000}"/>
    <cellStyle name="Accent4 - 20% 49" xfId="37409" xr:uid="{00000000-0005-0000-0000-000074860000}"/>
    <cellStyle name="Accent4 - 20% 5" xfId="737" xr:uid="{00000000-0005-0000-0000-000075860000}"/>
    <cellStyle name="Accent4 - 20% 5 2" xfId="37410" xr:uid="{00000000-0005-0000-0000-000076860000}"/>
    <cellStyle name="Accent4 - 20% 50" xfId="37411" xr:uid="{00000000-0005-0000-0000-000077860000}"/>
    <cellStyle name="Accent4 - 20% 6" xfId="738" xr:uid="{00000000-0005-0000-0000-000078860000}"/>
    <cellStyle name="Accent4 - 20% 6 2" xfId="37412" xr:uid="{00000000-0005-0000-0000-000079860000}"/>
    <cellStyle name="Accent4 - 20% 7" xfId="739" xr:uid="{00000000-0005-0000-0000-00007A860000}"/>
    <cellStyle name="Accent4 - 20% 7 2" xfId="37413" xr:uid="{00000000-0005-0000-0000-00007B860000}"/>
    <cellStyle name="Accent4 - 20% 8" xfId="740" xr:uid="{00000000-0005-0000-0000-00007C860000}"/>
    <cellStyle name="Accent4 - 20% 8 2" xfId="37414" xr:uid="{00000000-0005-0000-0000-00007D860000}"/>
    <cellStyle name="Accent4 - 20% 9" xfId="741" xr:uid="{00000000-0005-0000-0000-00007E860000}"/>
    <cellStyle name="Accent4 - 20% 9 2" xfId="37415" xr:uid="{00000000-0005-0000-0000-00007F860000}"/>
    <cellStyle name="Accent4 - 40%" xfId="18" xr:uid="{00000000-0005-0000-0000-000020000000}"/>
    <cellStyle name="Accent4 - 40% 10" xfId="742" xr:uid="{00000000-0005-0000-0000-000081860000}"/>
    <cellStyle name="Accent4 - 40% 10 2" xfId="37416" xr:uid="{00000000-0005-0000-0000-000082860000}"/>
    <cellStyle name="Accent4 - 40% 11" xfId="743" xr:uid="{00000000-0005-0000-0000-000083860000}"/>
    <cellStyle name="Accent4 - 40% 11 2" xfId="37417" xr:uid="{00000000-0005-0000-0000-000084860000}"/>
    <cellStyle name="Accent4 - 40% 12" xfId="744" xr:uid="{00000000-0005-0000-0000-000085860000}"/>
    <cellStyle name="Accent4 - 40% 12 2" xfId="37418" xr:uid="{00000000-0005-0000-0000-000086860000}"/>
    <cellStyle name="Accent4 - 40% 13" xfId="745" xr:uid="{00000000-0005-0000-0000-000087860000}"/>
    <cellStyle name="Accent4 - 40% 13 2" xfId="37419" xr:uid="{00000000-0005-0000-0000-000088860000}"/>
    <cellStyle name="Accent4 - 40% 14" xfId="746" xr:uid="{00000000-0005-0000-0000-000089860000}"/>
    <cellStyle name="Accent4 - 40% 14 2" xfId="37420" xr:uid="{00000000-0005-0000-0000-00008A860000}"/>
    <cellStyle name="Accent4 - 40% 15" xfId="747" xr:uid="{00000000-0005-0000-0000-00008B860000}"/>
    <cellStyle name="Accent4 - 40% 15 2" xfId="37421" xr:uid="{00000000-0005-0000-0000-00008C860000}"/>
    <cellStyle name="Accent4 - 40% 16" xfId="748" xr:uid="{00000000-0005-0000-0000-00008D860000}"/>
    <cellStyle name="Accent4 - 40% 16 2" xfId="37422" xr:uid="{00000000-0005-0000-0000-00008E860000}"/>
    <cellStyle name="Accent4 - 40% 17" xfId="749" xr:uid="{00000000-0005-0000-0000-00008F860000}"/>
    <cellStyle name="Accent4 - 40% 17 2" xfId="37423" xr:uid="{00000000-0005-0000-0000-000090860000}"/>
    <cellStyle name="Accent4 - 40% 18" xfId="750" xr:uid="{00000000-0005-0000-0000-000091860000}"/>
    <cellStyle name="Accent4 - 40% 18 2" xfId="37424" xr:uid="{00000000-0005-0000-0000-000092860000}"/>
    <cellStyle name="Accent4 - 40% 19" xfId="751" xr:uid="{00000000-0005-0000-0000-000093860000}"/>
    <cellStyle name="Accent4 - 40% 19 2" xfId="37425" xr:uid="{00000000-0005-0000-0000-000094860000}"/>
    <cellStyle name="Accent4 - 40% 2" xfId="752" xr:uid="{00000000-0005-0000-0000-000095860000}"/>
    <cellStyle name="Accent4 - 40% 2 2" xfId="37426" xr:uid="{00000000-0005-0000-0000-000096860000}"/>
    <cellStyle name="Accent4 - 40% 2 2 2" xfId="37427" xr:uid="{00000000-0005-0000-0000-000097860000}"/>
    <cellStyle name="Accent4 - 40% 2 3" xfId="37428" xr:uid="{00000000-0005-0000-0000-000098860000}"/>
    <cellStyle name="Accent4 - 40% 20" xfId="753" xr:uid="{00000000-0005-0000-0000-000099860000}"/>
    <cellStyle name="Accent4 - 40% 20 2" xfId="37429" xr:uid="{00000000-0005-0000-0000-00009A860000}"/>
    <cellStyle name="Accent4 - 40% 21" xfId="754" xr:uid="{00000000-0005-0000-0000-00009B860000}"/>
    <cellStyle name="Accent4 - 40% 21 2" xfId="37430" xr:uid="{00000000-0005-0000-0000-00009C860000}"/>
    <cellStyle name="Accent4 - 40% 22" xfId="755" xr:uid="{00000000-0005-0000-0000-00009D860000}"/>
    <cellStyle name="Accent4 - 40% 22 2" xfId="37431" xr:uid="{00000000-0005-0000-0000-00009E860000}"/>
    <cellStyle name="Accent4 - 40% 23" xfId="756" xr:uid="{00000000-0005-0000-0000-00009F860000}"/>
    <cellStyle name="Accent4 - 40% 23 2" xfId="37432" xr:uid="{00000000-0005-0000-0000-0000A0860000}"/>
    <cellStyle name="Accent4 - 40% 24" xfId="757" xr:uid="{00000000-0005-0000-0000-0000A1860000}"/>
    <cellStyle name="Accent4 - 40% 24 2" xfId="37433" xr:uid="{00000000-0005-0000-0000-0000A2860000}"/>
    <cellStyle name="Accent4 - 40% 25" xfId="758" xr:uid="{00000000-0005-0000-0000-0000A3860000}"/>
    <cellStyle name="Accent4 - 40% 25 2" xfId="37434" xr:uid="{00000000-0005-0000-0000-0000A4860000}"/>
    <cellStyle name="Accent4 - 40% 26" xfId="759" xr:uid="{00000000-0005-0000-0000-0000A5860000}"/>
    <cellStyle name="Accent4 - 40% 26 2" xfId="37435" xr:uid="{00000000-0005-0000-0000-0000A6860000}"/>
    <cellStyle name="Accent4 - 40% 27" xfId="760" xr:uid="{00000000-0005-0000-0000-0000A7860000}"/>
    <cellStyle name="Accent4 - 40% 27 2" xfId="37436" xr:uid="{00000000-0005-0000-0000-0000A8860000}"/>
    <cellStyle name="Accent4 - 40% 28" xfId="761" xr:uid="{00000000-0005-0000-0000-0000A9860000}"/>
    <cellStyle name="Accent4 - 40% 28 2" xfId="37437" xr:uid="{00000000-0005-0000-0000-0000AA860000}"/>
    <cellStyle name="Accent4 - 40% 29" xfId="762" xr:uid="{00000000-0005-0000-0000-0000AB860000}"/>
    <cellStyle name="Accent4 - 40% 29 2" xfId="37438" xr:uid="{00000000-0005-0000-0000-0000AC860000}"/>
    <cellStyle name="Accent4 - 40% 3" xfId="763" xr:uid="{00000000-0005-0000-0000-0000AD860000}"/>
    <cellStyle name="Accent4 - 40% 3 2" xfId="37439" xr:uid="{00000000-0005-0000-0000-0000AE860000}"/>
    <cellStyle name="Accent4 - 40% 30" xfId="764" xr:uid="{00000000-0005-0000-0000-0000AF860000}"/>
    <cellStyle name="Accent4 - 40% 30 2" xfId="37440" xr:uid="{00000000-0005-0000-0000-0000B0860000}"/>
    <cellStyle name="Accent4 - 40% 31" xfId="765" xr:uid="{00000000-0005-0000-0000-0000B1860000}"/>
    <cellStyle name="Accent4 - 40% 31 2" xfId="37441" xr:uid="{00000000-0005-0000-0000-0000B2860000}"/>
    <cellStyle name="Accent4 - 40% 32" xfId="766" xr:uid="{00000000-0005-0000-0000-0000B3860000}"/>
    <cellStyle name="Accent4 - 40% 32 2" xfId="37442" xr:uid="{00000000-0005-0000-0000-0000B4860000}"/>
    <cellStyle name="Accent4 - 40% 33" xfId="767" xr:uid="{00000000-0005-0000-0000-0000B5860000}"/>
    <cellStyle name="Accent4 - 40% 33 2" xfId="37443" xr:uid="{00000000-0005-0000-0000-0000B6860000}"/>
    <cellStyle name="Accent4 - 40% 34" xfId="768" xr:uid="{00000000-0005-0000-0000-0000B7860000}"/>
    <cellStyle name="Accent4 - 40% 34 2" xfId="37444" xr:uid="{00000000-0005-0000-0000-0000B8860000}"/>
    <cellStyle name="Accent4 - 40% 35" xfId="769" xr:uid="{00000000-0005-0000-0000-0000B9860000}"/>
    <cellStyle name="Accent4 - 40% 35 2" xfId="37445" xr:uid="{00000000-0005-0000-0000-0000BA860000}"/>
    <cellStyle name="Accent4 - 40% 36" xfId="770" xr:uid="{00000000-0005-0000-0000-0000BB860000}"/>
    <cellStyle name="Accent4 - 40% 36 2" xfId="37446" xr:uid="{00000000-0005-0000-0000-0000BC860000}"/>
    <cellStyle name="Accent4 - 40% 37" xfId="771" xr:uid="{00000000-0005-0000-0000-0000BD860000}"/>
    <cellStyle name="Accent4 - 40% 37 2" xfId="37447" xr:uid="{00000000-0005-0000-0000-0000BE860000}"/>
    <cellStyle name="Accent4 - 40% 38" xfId="772" xr:uid="{00000000-0005-0000-0000-0000BF860000}"/>
    <cellStyle name="Accent4 - 40% 38 2" xfId="37448" xr:uid="{00000000-0005-0000-0000-0000C0860000}"/>
    <cellStyle name="Accent4 - 40% 39" xfId="773" xr:uid="{00000000-0005-0000-0000-0000C1860000}"/>
    <cellStyle name="Accent4 - 40% 39 2" xfId="37449" xr:uid="{00000000-0005-0000-0000-0000C2860000}"/>
    <cellStyle name="Accent4 - 40% 4" xfId="774" xr:uid="{00000000-0005-0000-0000-0000C3860000}"/>
    <cellStyle name="Accent4 - 40% 4 2" xfId="37450" xr:uid="{00000000-0005-0000-0000-0000C4860000}"/>
    <cellStyle name="Accent4 - 40% 40" xfId="775" xr:uid="{00000000-0005-0000-0000-0000C5860000}"/>
    <cellStyle name="Accent4 - 40% 40 2" xfId="37451" xr:uid="{00000000-0005-0000-0000-0000C6860000}"/>
    <cellStyle name="Accent4 - 40% 41" xfId="776" xr:uid="{00000000-0005-0000-0000-0000C7860000}"/>
    <cellStyle name="Accent4 - 40% 41 2" xfId="37452" xr:uid="{00000000-0005-0000-0000-0000C8860000}"/>
    <cellStyle name="Accent4 - 40% 42" xfId="777" xr:uid="{00000000-0005-0000-0000-0000C9860000}"/>
    <cellStyle name="Accent4 - 40% 42 2" xfId="37453" xr:uid="{00000000-0005-0000-0000-0000CA860000}"/>
    <cellStyle name="Accent4 - 40% 43" xfId="778" xr:uid="{00000000-0005-0000-0000-0000CB860000}"/>
    <cellStyle name="Accent4 - 40% 43 2" xfId="37454" xr:uid="{00000000-0005-0000-0000-0000CC860000}"/>
    <cellStyle name="Accent4 - 40% 44" xfId="779" xr:uid="{00000000-0005-0000-0000-0000CD860000}"/>
    <cellStyle name="Accent4 - 40% 44 2" xfId="37455" xr:uid="{00000000-0005-0000-0000-0000CE860000}"/>
    <cellStyle name="Accent4 - 40% 45" xfId="780" xr:uid="{00000000-0005-0000-0000-0000CF860000}"/>
    <cellStyle name="Accent4 - 40% 45 2" xfId="37456" xr:uid="{00000000-0005-0000-0000-0000D0860000}"/>
    <cellStyle name="Accent4 - 40% 46" xfId="781" xr:uid="{00000000-0005-0000-0000-0000D1860000}"/>
    <cellStyle name="Accent4 - 40% 46 2" xfId="37457" xr:uid="{00000000-0005-0000-0000-0000D2860000}"/>
    <cellStyle name="Accent4 - 40% 47" xfId="37458" xr:uid="{00000000-0005-0000-0000-0000D3860000}"/>
    <cellStyle name="Accent4 - 40% 47 2" xfId="37459" xr:uid="{00000000-0005-0000-0000-0000D4860000}"/>
    <cellStyle name="Accent4 - 40% 47 3" xfId="37460" xr:uid="{00000000-0005-0000-0000-0000D5860000}"/>
    <cellStyle name="Accent4 - 40% 48" xfId="37461" xr:uid="{00000000-0005-0000-0000-0000D6860000}"/>
    <cellStyle name="Accent4 - 40% 49" xfId="37462" xr:uid="{00000000-0005-0000-0000-0000D7860000}"/>
    <cellStyle name="Accent4 - 40% 5" xfId="782" xr:uid="{00000000-0005-0000-0000-0000D8860000}"/>
    <cellStyle name="Accent4 - 40% 5 2" xfId="37463" xr:uid="{00000000-0005-0000-0000-0000D9860000}"/>
    <cellStyle name="Accent4 - 40% 50" xfId="37464" xr:uid="{00000000-0005-0000-0000-0000DA860000}"/>
    <cellStyle name="Accent4 - 40% 6" xfId="783" xr:uid="{00000000-0005-0000-0000-0000DB860000}"/>
    <cellStyle name="Accent4 - 40% 6 2" xfId="37465" xr:uid="{00000000-0005-0000-0000-0000DC860000}"/>
    <cellStyle name="Accent4 - 40% 7" xfId="784" xr:uid="{00000000-0005-0000-0000-0000DD860000}"/>
    <cellStyle name="Accent4 - 40% 7 2" xfId="37466" xr:uid="{00000000-0005-0000-0000-0000DE860000}"/>
    <cellStyle name="Accent4 - 40% 8" xfId="785" xr:uid="{00000000-0005-0000-0000-0000DF860000}"/>
    <cellStyle name="Accent4 - 40% 8 2" xfId="37467" xr:uid="{00000000-0005-0000-0000-0000E0860000}"/>
    <cellStyle name="Accent4 - 40% 9" xfId="786" xr:uid="{00000000-0005-0000-0000-0000E1860000}"/>
    <cellStyle name="Accent4 - 40% 9 2" xfId="37468" xr:uid="{00000000-0005-0000-0000-0000E2860000}"/>
    <cellStyle name="Accent4 - 60%" xfId="19" xr:uid="{00000000-0005-0000-0000-000021000000}"/>
    <cellStyle name="Accent4 - 60% 10" xfId="787" xr:uid="{00000000-0005-0000-0000-0000E4860000}"/>
    <cellStyle name="Accent4 - 60% 10 2" xfId="37469" xr:uid="{00000000-0005-0000-0000-0000E5860000}"/>
    <cellStyle name="Accent4 - 60% 11" xfId="788" xr:uid="{00000000-0005-0000-0000-0000E6860000}"/>
    <cellStyle name="Accent4 - 60% 11 2" xfId="37470" xr:uid="{00000000-0005-0000-0000-0000E7860000}"/>
    <cellStyle name="Accent4 - 60% 12" xfId="789" xr:uid="{00000000-0005-0000-0000-0000E8860000}"/>
    <cellStyle name="Accent4 - 60% 12 2" xfId="37471" xr:uid="{00000000-0005-0000-0000-0000E9860000}"/>
    <cellStyle name="Accent4 - 60% 13" xfId="790" xr:uid="{00000000-0005-0000-0000-0000EA860000}"/>
    <cellStyle name="Accent4 - 60% 13 2" xfId="37472" xr:uid="{00000000-0005-0000-0000-0000EB860000}"/>
    <cellStyle name="Accent4 - 60% 14" xfId="791" xr:uid="{00000000-0005-0000-0000-0000EC860000}"/>
    <cellStyle name="Accent4 - 60% 14 2" xfId="37473" xr:uid="{00000000-0005-0000-0000-0000ED860000}"/>
    <cellStyle name="Accent4 - 60% 15" xfId="792" xr:uid="{00000000-0005-0000-0000-0000EE860000}"/>
    <cellStyle name="Accent4 - 60% 15 2" xfId="37474" xr:uid="{00000000-0005-0000-0000-0000EF860000}"/>
    <cellStyle name="Accent4 - 60% 16" xfId="793" xr:uid="{00000000-0005-0000-0000-0000F0860000}"/>
    <cellStyle name="Accent4 - 60% 16 2" xfId="37475" xr:uid="{00000000-0005-0000-0000-0000F1860000}"/>
    <cellStyle name="Accent4 - 60% 17" xfId="794" xr:uid="{00000000-0005-0000-0000-0000F2860000}"/>
    <cellStyle name="Accent4 - 60% 17 2" xfId="37476" xr:uid="{00000000-0005-0000-0000-0000F3860000}"/>
    <cellStyle name="Accent4 - 60% 18" xfId="795" xr:uid="{00000000-0005-0000-0000-0000F4860000}"/>
    <cellStyle name="Accent4 - 60% 18 2" xfId="37477" xr:uid="{00000000-0005-0000-0000-0000F5860000}"/>
    <cellStyle name="Accent4 - 60% 19" xfId="796" xr:uid="{00000000-0005-0000-0000-0000F6860000}"/>
    <cellStyle name="Accent4 - 60% 19 2" xfId="37478" xr:uid="{00000000-0005-0000-0000-0000F7860000}"/>
    <cellStyle name="Accent4 - 60% 2" xfId="797" xr:uid="{00000000-0005-0000-0000-0000F8860000}"/>
    <cellStyle name="Accent4 - 60% 2 2" xfId="37479" xr:uid="{00000000-0005-0000-0000-0000F9860000}"/>
    <cellStyle name="Accent4 - 60% 2 2 2" xfId="37480" xr:uid="{00000000-0005-0000-0000-0000FA860000}"/>
    <cellStyle name="Accent4 - 60% 2 3" xfId="37481" xr:uid="{00000000-0005-0000-0000-0000FB860000}"/>
    <cellStyle name="Accent4 - 60% 20" xfId="798" xr:uid="{00000000-0005-0000-0000-0000FC860000}"/>
    <cellStyle name="Accent4 - 60% 20 2" xfId="37482" xr:uid="{00000000-0005-0000-0000-0000FD860000}"/>
    <cellStyle name="Accent4 - 60% 21" xfId="799" xr:uid="{00000000-0005-0000-0000-0000FE860000}"/>
    <cellStyle name="Accent4 - 60% 21 2" xfId="37483" xr:uid="{00000000-0005-0000-0000-0000FF860000}"/>
    <cellStyle name="Accent4 - 60% 22" xfId="800" xr:uid="{00000000-0005-0000-0000-000000870000}"/>
    <cellStyle name="Accent4 - 60% 22 2" xfId="37484" xr:uid="{00000000-0005-0000-0000-000001870000}"/>
    <cellStyle name="Accent4 - 60% 23" xfId="801" xr:uid="{00000000-0005-0000-0000-000002870000}"/>
    <cellStyle name="Accent4 - 60% 23 2" xfId="37485" xr:uid="{00000000-0005-0000-0000-000003870000}"/>
    <cellStyle name="Accent4 - 60% 24" xfId="802" xr:uid="{00000000-0005-0000-0000-000004870000}"/>
    <cellStyle name="Accent4 - 60% 24 2" xfId="37486" xr:uid="{00000000-0005-0000-0000-000005870000}"/>
    <cellStyle name="Accent4 - 60% 25" xfId="803" xr:uid="{00000000-0005-0000-0000-000006870000}"/>
    <cellStyle name="Accent4 - 60% 25 2" xfId="37487" xr:uid="{00000000-0005-0000-0000-000007870000}"/>
    <cellStyle name="Accent4 - 60% 26" xfId="804" xr:uid="{00000000-0005-0000-0000-000008870000}"/>
    <cellStyle name="Accent4 - 60% 26 2" xfId="37488" xr:uid="{00000000-0005-0000-0000-000009870000}"/>
    <cellStyle name="Accent4 - 60% 27" xfId="805" xr:uid="{00000000-0005-0000-0000-00000A870000}"/>
    <cellStyle name="Accent4 - 60% 27 2" xfId="37489" xr:uid="{00000000-0005-0000-0000-00000B870000}"/>
    <cellStyle name="Accent4 - 60% 28" xfId="806" xr:uid="{00000000-0005-0000-0000-00000C870000}"/>
    <cellStyle name="Accent4 - 60% 28 2" xfId="37490" xr:uid="{00000000-0005-0000-0000-00000D870000}"/>
    <cellStyle name="Accent4 - 60% 29" xfId="807" xr:uid="{00000000-0005-0000-0000-00000E870000}"/>
    <cellStyle name="Accent4 - 60% 29 2" xfId="37491" xr:uid="{00000000-0005-0000-0000-00000F870000}"/>
    <cellStyle name="Accent4 - 60% 3" xfId="808" xr:uid="{00000000-0005-0000-0000-000010870000}"/>
    <cellStyle name="Accent4 - 60% 3 2" xfId="37492" xr:uid="{00000000-0005-0000-0000-000011870000}"/>
    <cellStyle name="Accent4 - 60% 30" xfId="809" xr:uid="{00000000-0005-0000-0000-000012870000}"/>
    <cellStyle name="Accent4 - 60% 30 2" xfId="37493" xr:uid="{00000000-0005-0000-0000-000013870000}"/>
    <cellStyle name="Accent4 - 60% 31" xfId="810" xr:uid="{00000000-0005-0000-0000-000014870000}"/>
    <cellStyle name="Accent4 - 60% 31 2" xfId="37494" xr:uid="{00000000-0005-0000-0000-000015870000}"/>
    <cellStyle name="Accent4 - 60% 32" xfId="811" xr:uid="{00000000-0005-0000-0000-000016870000}"/>
    <cellStyle name="Accent4 - 60% 32 2" xfId="37495" xr:uid="{00000000-0005-0000-0000-000017870000}"/>
    <cellStyle name="Accent4 - 60% 33" xfId="812" xr:uid="{00000000-0005-0000-0000-000018870000}"/>
    <cellStyle name="Accent4 - 60% 33 2" xfId="37496" xr:uid="{00000000-0005-0000-0000-000019870000}"/>
    <cellStyle name="Accent4 - 60% 34" xfId="813" xr:uid="{00000000-0005-0000-0000-00001A870000}"/>
    <cellStyle name="Accent4 - 60% 34 2" xfId="37497" xr:uid="{00000000-0005-0000-0000-00001B870000}"/>
    <cellStyle name="Accent4 - 60% 35" xfId="814" xr:uid="{00000000-0005-0000-0000-00001C870000}"/>
    <cellStyle name="Accent4 - 60% 35 2" xfId="37498" xr:uid="{00000000-0005-0000-0000-00001D870000}"/>
    <cellStyle name="Accent4 - 60% 36" xfId="815" xr:uid="{00000000-0005-0000-0000-00001E870000}"/>
    <cellStyle name="Accent4 - 60% 36 2" xfId="37499" xr:uid="{00000000-0005-0000-0000-00001F870000}"/>
    <cellStyle name="Accent4 - 60% 37" xfId="816" xr:uid="{00000000-0005-0000-0000-000020870000}"/>
    <cellStyle name="Accent4 - 60% 37 2" xfId="37500" xr:uid="{00000000-0005-0000-0000-000021870000}"/>
    <cellStyle name="Accent4 - 60% 38" xfId="817" xr:uid="{00000000-0005-0000-0000-000022870000}"/>
    <cellStyle name="Accent4 - 60% 38 2" xfId="37501" xr:uid="{00000000-0005-0000-0000-000023870000}"/>
    <cellStyle name="Accent4 - 60% 39" xfId="818" xr:uid="{00000000-0005-0000-0000-000024870000}"/>
    <cellStyle name="Accent4 - 60% 39 2" xfId="37502" xr:uid="{00000000-0005-0000-0000-000025870000}"/>
    <cellStyle name="Accent4 - 60% 4" xfId="819" xr:uid="{00000000-0005-0000-0000-000026870000}"/>
    <cellStyle name="Accent4 - 60% 4 2" xfId="37503" xr:uid="{00000000-0005-0000-0000-000027870000}"/>
    <cellStyle name="Accent4 - 60% 40" xfId="820" xr:uid="{00000000-0005-0000-0000-000028870000}"/>
    <cellStyle name="Accent4 - 60% 40 2" xfId="37504" xr:uid="{00000000-0005-0000-0000-000029870000}"/>
    <cellStyle name="Accent4 - 60% 41" xfId="821" xr:uid="{00000000-0005-0000-0000-00002A870000}"/>
    <cellStyle name="Accent4 - 60% 41 2" xfId="37505" xr:uid="{00000000-0005-0000-0000-00002B870000}"/>
    <cellStyle name="Accent4 - 60% 42" xfId="822" xr:uid="{00000000-0005-0000-0000-00002C870000}"/>
    <cellStyle name="Accent4 - 60% 42 2" xfId="37506" xr:uid="{00000000-0005-0000-0000-00002D870000}"/>
    <cellStyle name="Accent4 - 60% 43" xfId="823" xr:uid="{00000000-0005-0000-0000-00002E870000}"/>
    <cellStyle name="Accent4 - 60% 43 2" xfId="37507" xr:uid="{00000000-0005-0000-0000-00002F870000}"/>
    <cellStyle name="Accent4 - 60% 44" xfId="824" xr:uid="{00000000-0005-0000-0000-000030870000}"/>
    <cellStyle name="Accent4 - 60% 44 2" xfId="37508" xr:uid="{00000000-0005-0000-0000-000031870000}"/>
    <cellStyle name="Accent4 - 60% 45" xfId="825" xr:uid="{00000000-0005-0000-0000-000032870000}"/>
    <cellStyle name="Accent4 - 60% 45 2" xfId="37509" xr:uid="{00000000-0005-0000-0000-000033870000}"/>
    <cellStyle name="Accent4 - 60% 46" xfId="37510" xr:uid="{00000000-0005-0000-0000-000034870000}"/>
    <cellStyle name="Accent4 - 60% 46 2" xfId="37511" xr:uid="{00000000-0005-0000-0000-000035870000}"/>
    <cellStyle name="Accent4 - 60% 46 3" xfId="37512" xr:uid="{00000000-0005-0000-0000-000036870000}"/>
    <cellStyle name="Accent4 - 60% 47" xfId="37513" xr:uid="{00000000-0005-0000-0000-000037870000}"/>
    <cellStyle name="Accent4 - 60% 48" xfId="37514" xr:uid="{00000000-0005-0000-0000-000038870000}"/>
    <cellStyle name="Accent4 - 60% 49" xfId="37515" xr:uid="{00000000-0005-0000-0000-000039870000}"/>
    <cellStyle name="Accent4 - 60% 5" xfId="826" xr:uid="{00000000-0005-0000-0000-00003A870000}"/>
    <cellStyle name="Accent4 - 60% 5 2" xfId="37516" xr:uid="{00000000-0005-0000-0000-00003B870000}"/>
    <cellStyle name="Accent4 - 60% 50" xfId="37517" xr:uid="{00000000-0005-0000-0000-00003C870000}"/>
    <cellStyle name="Accent4 - 60% 6" xfId="827" xr:uid="{00000000-0005-0000-0000-00003D870000}"/>
    <cellStyle name="Accent4 - 60% 6 2" xfId="37518" xr:uid="{00000000-0005-0000-0000-00003E870000}"/>
    <cellStyle name="Accent4 - 60% 7" xfId="828" xr:uid="{00000000-0005-0000-0000-00003F870000}"/>
    <cellStyle name="Accent4 - 60% 7 2" xfId="37519" xr:uid="{00000000-0005-0000-0000-000040870000}"/>
    <cellStyle name="Accent4 - 60% 8" xfId="829" xr:uid="{00000000-0005-0000-0000-000041870000}"/>
    <cellStyle name="Accent4 - 60% 8 2" xfId="37520" xr:uid="{00000000-0005-0000-0000-000042870000}"/>
    <cellStyle name="Accent4 - 60% 9" xfId="830" xr:uid="{00000000-0005-0000-0000-000043870000}"/>
    <cellStyle name="Accent4 - 60% 9 2" xfId="37521" xr:uid="{00000000-0005-0000-0000-000044870000}"/>
    <cellStyle name="Accent4 10" xfId="831" xr:uid="{00000000-0005-0000-0000-000045870000}"/>
    <cellStyle name="Accent4 10 10" xfId="37522" xr:uid="{00000000-0005-0000-0000-000046870000}"/>
    <cellStyle name="Accent4 10 2" xfId="37523" xr:uid="{00000000-0005-0000-0000-000047870000}"/>
    <cellStyle name="Accent4 10 2 2" xfId="37524" xr:uid="{00000000-0005-0000-0000-000048870000}"/>
    <cellStyle name="Accent4 10 3" xfId="37525" xr:uid="{00000000-0005-0000-0000-000049870000}"/>
    <cellStyle name="Accent4 10 3 2" xfId="37526" xr:uid="{00000000-0005-0000-0000-00004A870000}"/>
    <cellStyle name="Accent4 10 4" xfId="37527" xr:uid="{00000000-0005-0000-0000-00004B870000}"/>
    <cellStyle name="Accent4 10 4 2" xfId="37528" xr:uid="{00000000-0005-0000-0000-00004C870000}"/>
    <cellStyle name="Accent4 10 5" xfId="37529" xr:uid="{00000000-0005-0000-0000-00004D870000}"/>
    <cellStyle name="Accent4 10 5 2" xfId="37530" xr:uid="{00000000-0005-0000-0000-00004E870000}"/>
    <cellStyle name="Accent4 10 6" xfId="37531" xr:uid="{00000000-0005-0000-0000-00004F870000}"/>
    <cellStyle name="Accent4 10 6 2" xfId="37532" xr:uid="{00000000-0005-0000-0000-000050870000}"/>
    <cellStyle name="Accent4 10 7" xfId="37533" xr:uid="{00000000-0005-0000-0000-000051870000}"/>
    <cellStyle name="Accent4 10 7 2" xfId="37534" xr:uid="{00000000-0005-0000-0000-000052870000}"/>
    <cellStyle name="Accent4 10 8" xfId="37535" xr:uid="{00000000-0005-0000-0000-000053870000}"/>
    <cellStyle name="Accent4 10 8 2" xfId="37536" xr:uid="{00000000-0005-0000-0000-000054870000}"/>
    <cellStyle name="Accent4 10 9" xfId="37537" xr:uid="{00000000-0005-0000-0000-000055870000}"/>
    <cellStyle name="Accent4 10 9 2" xfId="37538" xr:uid="{00000000-0005-0000-0000-000056870000}"/>
    <cellStyle name="Accent4 11" xfId="832" xr:uid="{00000000-0005-0000-0000-000057870000}"/>
    <cellStyle name="Accent4 11 10" xfId="37539" xr:uid="{00000000-0005-0000-0000-000058870000}"/>
    <cellStyle name="Accent4 11 2" xfId="37540" xr:uid="{00000000-0005-0000-0000-000059870000}"/>
    <cellStyle name="Accent4 11 2 2" xfId="37541" xr:uid="{00000000-0005-0000-0000-00005A870000}"/>
    <cellStyle name="Accent4 11 3" xfId="37542" xr:uid="{00000000-0005-0000-0000-00005B870000}"/>
    <cellStyle name="Accent4 11 3 2" xfId="37543" xr:uid="{00000000-0005-0000-0000-00005C870000}"/>
    <cellStyle name="Accent4 11 4" xfId="37544" xr:uid="{00000000-0005-0000-0000-00005D870000}"/>
    <cellStyle name="Accent4 11 4 2" xfId="37545" xr:uid="{00000000-0005-0000-0000-00005E870000}"/>
    <cellStyle name="Accent4 11 5" xfId="37546" xr:uid="{00000000-0005-0000-0000-00005F870000}"/>
    <cellStyle name="Accent4 11 5 2" xfId="37547" xr:uid="{00000000-0005-0000-0000-000060870000}"/>
    <cellStyle name="Accent4 11 6" xfId="37548" xr:uid="{00000000-0005-0000-0000-000061870000}"/>
    <cellStyle name="Accent4 11 6 2" xfId="37549" xr:uid="{00000000-0005-0000-0000-000062870000}"/>
    <cellStyle name="Accent4 11 7" xfId="37550" xr:uid="{00000000-0005-0000-0000-000063870000}"/>
    <cellStyle name="Accent4 11 7 2" xfId="37551" xr:uid="{00000000-0005-0000-0000-000064870000}"/>
    <cellStyle name="Accent4 11 8" xfId="37552" xr:uid="{00000000-0005-0000-0000-000065870000}"/>
    <cellStyle name="Accent4 11 8 2" xfId="37553" xr:uid="{00000000-0005-0000-0000-000066870000}"/>
    <cellStyle name="Accent4 11 9" xfId="37554" xr:uid="{00000000-0005-0000-0000-000067870000}"/>
    <cellStyle name="Accent4 11 9 2" xfId="37555" xr:uid="{00000000-0005-0000-0000-000068870000}"/>
    <cellStyle name="Accent4 12" xfId="833" xr:uid="{00000000-0005-0000-0000-000069870000}"/>
    <cellStyle name="Accent4 12 2" xfId="37556" xr:uid="{00000000-0005-0000-0000-00006A870000}"/>
    <cellStyle name="Accent4 12 2 2" xfId="37557" xr:uid="{00000000-0005-0000-0000-00006B870000}"/>
    <cellStyle name="Accent4 12 3" xfId="37558" xr:uid="{00000000-0005-0000-0000-00006C870000}"/>
    <cellStyle name="Accent4 13" xfId="834" xr:uid="{00000000-0005-0000-0000-00006D870000}"/>
    <cellStyle name="Accent4 13 2" xfId="37559" xr:uid="{00000000-0005-0000-0000-00006E870000}"/>
    <cellStyle name="Accent4 14" xfId="835" xr:uid="{00000000-0005-0000-0000-00006F870000}"/>
    <cellStyle name="Accent4 14 2" xfId="37560" xr:uid="{00000000-0005-0000-0000-000070870000}"/>
    <cellStyle name="Accent4 15" xfId="836" xr:uid="{00000000-0005-0000-0000-000071870000}"/>
    <cellStyle name="Accent4 15 2" xfId="37561" xr:uid="{00000000-0005-0000-0000-000072870000}"/>
    <cellStyle name="Accent4 16" xfId="837" xr:uid="{00000000-0005-0000-0000-000073870000}"/>
    <cellStyle name="Accent4 16 2" xfId="37562" xr:uid="{00000000-0005-0000-0000-000074870000}"/>
    <cellStyle name="Accent4 17" xfId="838" xr:uid="{00000000-0005-0000-0000-000075870000}"/>
    <cellStyle name="Accent4 17 2" xfId="37563" xr:uid="{00000000-0005-0000-0000-000076870000}"/>
    <cellStyle name="Accent4 18" xfId="839" xr:uid="{00000000-0005-0000-0000-000077870000}"/>
    <cellStyle name="Accent4 18 2" xfId="37564" xr:uid="{00000000-0005-0000-0000-000078870000}"/>
    <cellStyle name="Accent4 19" xfId="840" xr:uid="{00000000-0005-0000-0000-000079870000}"/>
    <cellStyle name="Accent4 19 2" xfId="37565" xr:uid="{00000000-0005-0000-0000-00007A870000}"/>
    <cellStyle name="Accent4 2" xfId="841" xr:uid="{00000000-0005-0000-0000-00007B870000}"/>
    <cellStyle name="Accent4 2 2" xfId="842" xr:uid="{00000000-0005-0000-0000-00007C870000}"/>
    <cellStyle name="Accent4 2 2 2" xfId="37566" xr:uid="{00000000-0005-0000-0000-00007D870000}"/>
    <cellStyle name="Accent4 2 2 2 2" xfId="37567" xr:uid="{00000000-0005-0000-0000-00007E870000}"/>
    <cellStyle name="Accent4 2 2 3" xfId="37568" xr:uid="{00000000-0005-0000-0000-00007F870000}"/>
    <cellStyle name="Accent4 2 3" xfId="843" xr:uid="{00000000-0005-0000-0000-000080870000}"/>
    <cellStyle name="Accent4 2 3 2" xfId="37569" xr:uid="{00000000-0005-0000-0000-000081870000}"/>
    <cellStyle name="Accent4 2 3 2 2" xfId="37570" xr:uid="{00000000-0005-0000-0000-000082870000}"/>
    <cellStyle name="Accent4 2 3 3" xfId="37571" xr:uid="{00000000-0005-0000-0000-000083870000}"/>
    <cellStyle name="Accent4 2 4" xfId="844" xr:uid="{00000000-0005-0000-0000-000084870000}"/>
    <cellStyle name="Accent4 2 4 2" xfId="37572" xr:uid="{00000000-0005-0000-0000-000085870000}"/>
    <cellStyle name="Accent4 2 4 2 2" xfId="37573" xr:uid="{00000000-0005-0000-0000-000086870000}"/>
    <cellStyle name="Accent4 2 4 3" xfId="37574" xr:uid="{00000000-0005-0000-0000-000087870000}"/>
    <cellStyle name="Accent4 2 5" xfId="37575" xr:uid="{00000000-0005-0000-0000-000088870000}"/>
    <cellStyle name="Accent4 2 5 2" xfId="37576" xr:uid="{00000000-0005-0000-0000-000089870000}"/>
    <cellStyle name="Accent4 2 6" xfId="37577" xr:uid="{00000000-0005-0000-0000-00008A870000}"/>
    <cellStyle name="Accent4 2 7" xfId="37578" xr:uid="{00000000-0005-0000-0000-00008B870000}"/>
    <cellStyle name="Accent4 20" xfId="845" xr:uid="{00000000-0005-0000-0000-00008C870000}"/>
    <cellStyle name="Accent4 20 2" xfId="37579" xr:uid="{00000000-0005-0000-0000-00008D870000}"/>
    <cellStyle name="Accent4 21" xfId="846" xr:uid="{00000000-0005-0000-0000-00008E870000}"/>
    <cellStyle name="Accent4 21 2" xfId="37580" xr:uid="{00000000-0005-0000-0000-00008F870000}"/>
    <cellStyle name="Accent4 22" xfId="847" xr:uid="{00000000-0005-0000-0000-000090870000}"/>
    <cellStyle name="Accent4 22 2" xfId="37581" xr:uid="{00000000-0005-0000-0000-000091870000}"/>
    <cellStyle name="Accent4 23" xfId="848" xr:uid="{00000000-0005-0000-0000-000092870000}"/>
    <cellStyle name="Accent4 23 2" xfId="37582" xr:uid="{00000000-0005-0000-0000-000093870000}"/>
    <cellStyle name="Accent4 24" xfId="849" xr:uid="{00000000-0005-0000-0000-000094870000}"/>
    <cellStyle name="Accent4 24 2" xfId="850" xr:uid="{00000000-0005-0000-0000-000095870000}"/>
    <cellStyle name="Accent4 24 2 2" xfId="37583" xr:uid="{00000000-0005-0000-0000-000096870000}"/>
    <cellStyle name="Accent4 24 3" xfId="37584" xr:uid="{00000000-0005-0000-0000-000097870000}"/>
    <cellStyle name="Accent4 25" xfId="851" xr:uid="{00000000-0005-0000-0000-000098870000}"/>
    <cellStyle name="Accent4 25 2" xfId="37585" xr:uid="{00000000-0005-0000-0000-000099870000}"/>
    <cellStyle name="Accent4 26" xfId="37586" xr:uid="{00000000-0005-0000-0000-00009A870000}"/>
    <cellStyle name="Accent4 26 2" xfId="37587" xr:uid="{00000000-0005-0000-0000-00009B870000}"/>
    <cellStyle name="Accent4 27" xfId="37588" xr:uid="{00000000-0005-0000-0000-00009C870000}"/>
    <cellStyle name="Accent4 27 2" xfId="37589" xr:uid="{00000000-0005-0000-0000-00009D870000}"/>
    <cellStyle name="Accent4 28" xfId="37590" xr:uid="{00000000-0005-0000-0000-00009E870000}"/>
    <cellStyle name="Accent4 28 2" xfId="37591" xr:uid="{00000000-0005-0000-0000-00009F870000}"/>
    <cellStyle name="Accent4 29" xfId="37592" xr:uid="{00000000-0005-0000-0000-0000A0870000}"/>
    <cellStyle name="Accent4 29 2" xfId="37593" xr:uid="{00000000-0005-0000-0000-0000A1870000}"/>
    <cellStyle name="Accent4 3" xfId="852" xr:uid="{00000000-0005-0000-0000-0000A2870000}"/>
    <cellStyle name="Accent4 3 2" xfId="37594" xr:uid="{00000000-0005-0000-0000-0000A3870000}"/>
    <cellStyle name="Accent4 3 2 2" xfId="37595" xr:uid="{00000000-0005-0000-0000-0000A4870000}"/>
    <cellStyle name="Accent4 3 3" xfId="37596" xr:uid="{00000000-0005-0000-0000-0000A5870000}"/>
    <cellStyle name="Accent4 3 3 2" xfId="37597" xr:uid="{00000000-0005-0000-0000-0000A6870000}"/>
    <cellStyle name="Accent4 3 4" xfId="37598" xr:uid="{00000000-0005-0000-0000-0000A7870000}"/>
    <cellStyle name="Accent4 3 4 2" xfId="37599" xr:uid="{00000000-0005-0000-0000-0000A8870000}"/>
    <cellStyle name="Accent4 3 5" xfId="37600" xr:uid="{00000000-0005-0000-0000-0000A9870000}"/>
    <cellStyle name="Accent4 3 5 2" xfId="37601" xr:uid="{00000000-0005-0000-0000-0000AA870000}"/>
    <cellStyle name="Accent4 3 6" xfId="37602" xr:uid="{00000000-0005-0000-0000-0000AB870000}"/>
    <cellStyle name="Accent4 3 7" xfId="37603" xr:uid="{00000000-0005-0000-0000-0000AC870000}"/>
    <cellStyle name="Accent4 30" xfId="37604" xr:uid="{00000000-0005-0000-0000-0000AD870000}"/>
    <cellStyle name="Accent4 30 2" xfId="37605" xr:uid="{00000000-0005-0000-0000-0000AE870000}"/>
    <cellStyle name="Accent4 31" xfId="37606" xr:uid="{00000000-0005-0000-0000-0000AF870000}"/>
    <cellStyle name="Accent4 31 2" xfId="37607" xr:uid="{00000000-0005-0000-0000-0000B0870000}"/>
    <cellStyle name="Accent4 32" xfId="37608" xr:uid="{00000000-0005-0000-0000-0000B1870000}"/>
    <cellStyle name="Accent4 32 2" xfId="37609" xr:uid="{00000000-0005-0000-0000-0000B2870000}"/>
    <cellStyle name="Accent4 33" xfId="37610" xr:uid="{00000000-0005-0000-0000-0000B3870000}"/>
    <cellStyle name="Accent4 33 2" xfId="37611" xr:uid="{00000000-0005-0000-0000-0000B4870000}"/>
    <cellStyle name="Accent4 34" xfId="37612" xr:uid="{00000000-0005-0000-0000-0000B5870000}"/>
    <cellStyle name="Accent4 34 2" xfId="37613" xr:uid="{00000000-0005-0000-0000-0000B6870000}"/>
    <cellStyle name="Accent4 35" xfId="37614" xr:uid="{00000000-0005-0000-0000-0000B7870000}"/>
    <cellStyle name="Accent4 35 2" xfId="37615" xr:uid="{00000000-0005-0000-0000-0000B8870000}"/>
    <cellStyle name="Accent4 36" xfId="37616" xr:uid="{00000000-0005-0000-0000-0000B9870000}"/>
    <cellStyle name="Accent4 36 2" xfId="37617" xr:uid="{00000000-0005-0000-0000-0000BA870000}"/>
    <cellStyle name="Accent4 37" xfId="37618" xr:uid="{00000000-0005-0000-0000-0000BB870000}"/>
    <cellStyle name="Accent4 37 2" xfId="37619" xr:uid="{00000000-0005-0000-0000-0000BC870000}"/>
    <cellStyle name="Accent4 38" xfId="37620" xr:uid="{00000000-0005-0000-0000-0000BD870000}"/>
    <cellStyle name="Accent4 38 2" xfId="37621" xr:uid="{00000000-0005-0000-0000-0000BE870000}"/>
    <cellStyle name="Accent4 39" xfId="37622" xr:uid="{00000000-0005-0000-0000-0000BF870000}"/>
    <cellStyle name="Accent4 39 2" xfId="37623" xr:uid="{00000000-0005-0000-0000-0000C0870000}"/>
    <cellStyle name="Accent4 4" xfId="853" xr:uid="{00000000-0005-0000-0000-0000C1870000}"/>
    <cellStyle name="Accent4 4 2" xfId="37624" xr:uid="{00000000-0005-0000-0000-0000C2870000}"/>
    <cellStyle name="Accent4 4 2 2" xfId="37625" xr:uid="{00000000-0005-0000-0000-0000C3870000}"/>
    <cellStyle name="Accent4 4 3" xfId="37626" xr:uid="{00000000-0005-0000-0000-0000C4870000}"/>
    <cellStyle name="Accent4 4 3 2" xfId="37627" xr:uid="{00000000-0005-0000-0000-0000C5870000}"/>
    <cellStyle name="Accent4 4 4" xfId="37628" xr:uid="{00000000-0005-0000-0000-0000C6870000}"/>
    <cellStyle name="Accent4 4 4 2" xfId="37629" xr:uid="{00000000-0005-0000-0000-0000C7870000}"/>
    <cellStyle name="Accent4 4 5" xfId="37630" xr:uid="{00000000-0005-0000-0000-0000C8870000}"/>
    <cellStyle name="Accent4 4 5 2" xfId="37631" xr:uid="{00000000-0005-0000-0000-0000C9870000}"/>
    <cellStyle name="Accent4 4 6" xfId="37632" xr:uid="{00000000-0005-0000-0000-0000CA870000}"/>
    <cellStyle name="Accent4 40" xfId="37633" xr:uid="{00000000-0005-0000-0000-0000CB870000}"/>
    <cellStyle name="Accent4 40 2" xfId="37634" xr:uid="{00000000-0005-0000-0000-0000CC870000}"/>
    <cellStyle name="Accent4 41" xfId="37635" xr:uid="{00000000-0005-0000-0000-0000CD870000}"/>
    <cellStyle name="Accent4 41 2" xfId="37636" xr:uid="{00000000-0005-0000-0000-0000CE870000}"/>
    <cellStyle name="Accent4 42" xfId="37637" xr:uid="{00000000-0005-0000-0000-0000CF870000}"/>
    <cellStyle name="Accent4 42 2" xfId="37638" xr:uid="{00000000-0005-0000-0000-0000D0870000}"/>
    <cellStyle name="Accent4 43" xfId="37639" xr:uid="{00000000-0005-0000-0000-0000D1870000}"/>
    <cellStyle name="Accent4 43 2" xfId="37640" xr:uid="{00000000-0005-0000-0000-0000D2870000}"/>
    <cellStyle name="Accent4 44" xfId="37641" xr:uid="{00000000-0005-0000-0000-0000D3870000}"/>
    <cellStyle name="Accent4 44 2" xfId="37642" xr:uid="{00000000-0005-0000-0000-0000D4870000}"/>
    <cellStyle name="Accent4 45" xfId="37643" xr:uid="{00000000-0005-0000-0000-0000D5870000}"/>
    <cellStyle name="Accent4 45 2" xfId="37644" xr:uid="{00000000-0005-0000-0000-0000D6870000}"/>
    <cellStyle name="Accent4 46" xfId="37645" xr:uid="{00000000-0005-0000-0000-0000D7870000}"/>
    <cellStyle name="Accent4 46 2" xfId="37646" xr:uid="{00000000-0005-0000-0000-0000D8870000}"/>
    <cellStyle name="Accent4 47" xfId="37647" xr:uid="{00000000-0005-0000-0000-0000D9870000}"/>
    <cellStyle name="Accent4 47 2" xfId="37648" xr:uid="{00000000-0005-0000-0000-0000DA870000}"/>
    <cellStyle name="Accent4 48" xfId="37649" xr:uid="{00000000-0005-0000-0000-0000DB870000}"/>
    <cellStyle name="Accent4 48 2" xfId="37650" xr:uid="{00000000-0005-0000-0000-0000DC870000}"/>
    <cellStyle name="Accent4 49" xfId="37651" xr:uid="{00000000-0005-0000-0000-0000DD870000}"/>
    <cellStyle name="Accent4 49 2" xfId="37652" xr:uid="{00000000-0005-0000-0000-0000DE870000}"/>
    <cellStyle name="Accent4 5" xfId="854" xr:uid="{00000000-0005-0000-0000-0000DF870000}"/>
    <cellStyle name="Accent4 5 2" xfId="37653" xr:uid="{00000000-0005-0000-0000-0000E0870000}"/>
    <cellStyle name="Accent4 5 2 2" xfId="37654" xr:uid="{00000000-0005-0000-0000-0000E1870000}"/>
    <cellStyle name="Accent4 5 3" xfId="37655" xr:uid="{00000000-0005-0000-0000-0000E2870000}"/>
    <cellStyle name="Accent4 5 3 2" xfId="37656" xr:uid="{00000000-0005-0000-0000-0000E3870000}"/>
    <cellStyle name="Accent4 5 4" xfId="37657" xr:uid="{00000000-0005-0000-0000-0000E4870000}"/>
    <cellStyle name="Accent4 5 4 2" xfId="37658" xr:uid="{00000000-0005-0000-0000-0000E5870000}"/>
    <cellStyle name="Accent4 5 5" xfId="37659" xr:uid="{00000000-0005-0000-0000-0000E6870000}"/>
    <cellStyle name="Accent4 5 5 2" xfId="37660" xr:uid="{00000000-0005-0000-0000-0000E7870000}"/>
    <cellStyle name="Accent4 5 6" xfId="37661" xr:uid="{00000000-0005-0000-0000-0000E8870000}"/>
    <cellStyle name="Accent4 50" xfId="37662" xr:uid="{00000000-0005-0000-0000-0000E9870000}"/>
    <cellStyle name="Accent4 50 2" xfId="37663" xr:uid="{00000000-0005-0000-0000-0000EA870000}"/>
    <cellStyle name="Accent4 51" xfId="37664" xr:uid="{00000000-0005-0000-0000-0000EB870000}"/>
    <cellStyle name="Accent4 51 2" xfId="37665" xr:uid="{00000000-0005-0000-0000-0000EC870000}"/>
    <cellStyle name="Accent4 52" xfId="37666" xr:uid="{00000000-0005-0000-0000-0000ED870000}"/>
    <cellStyle name="Accent4 52 2" xfId="37667" xr:uid="{00000000-0005-0000-0000-0000EE870000}"/>
    <cellStyle name="Accent4 53" xfId="37668" xr:uid="{00000000-0005-0000-0000-0000EF870000}"/>
    <cellStyle name="Accent4 53 2" xfId="37669" xr:uid="{00000000-0005-0000-0000-0000F0870000}"/>
    <cellStyle name="Accent4 54" xfId="37670" xr:uid="{00000000-0005-0000-0000-0000F1870000}"/>
    <cellStyle name="Accent4 55" xfId="37671" xr:uid="{00000000-0005-0000-0000-0000F2870000}"/>
    <cellStyle name="Accent4 56" xfId="37672" xr:uid="{00000000-0005-0000-0000-0000F3870000}"/>
    <cellStyle name="Accent4 57" xfId="37673" xr:uid="{00000000-0005-0000-0000-0000F4870000}"/>
    <cellStyle name="Accent4 58" xfId="37674" xr:uid="{00000000-0005-0000-0000-0000F5870000}"/>
    <cellStyle name="Accent4 59" xfId="37675" xr:uid="{00000000-0005-0000-0000-0000F6870000}"/>
    <cellStyle name="Accent4 6" xfId="855" xr:uid="{00000000-0005-0000-0000-0000F7870000}"/>
    <cellStyle name="Accent4 6 2" xfId="37676" xr:uid="{00000000-0005-0000-0000-0000F8870000}"/>
    <cellStyle name="Accent4 6 2 2" xfId="37677" xr:uid="{00000000-0005-0000-0000-0000F9870000}"/>
    <cellStyle name="Accent4 6 3" xfId="37678" xr:uid="{00000000-0005-0000-0000-0000FA870000}"/>
    <cellStyle name="Accent4 6 3 2" xfId="37679" xr:uid="{00000000-0005-0000-0000-0000FB870000}"/>
    <cellStyle name="Accent4 6 4" xfId="37680" xr:uid="{00000000-0005-0000-0000-0000FC870000}"/>
    <cellStyle name="Accent4 6 4 2" xfId="37681" xr:uid="{00000000-0005-0000-0000-0000FD870000}"/>
    <cellStyle name="Accent4 6 5" xfId="37682" xr:uid="{00000000-0005-0000-0000-0000FE870000}"/>
    <cellStyle name="Accent4 6 5 2" xfId="37683" xr:uid="{00000000-0005-0000-0000-0000FF870000}"/>
    <cellStyle name="Accent4 6 6" xfId="37684" xr:uid="{00000000-0005-0000-0000-000000880000}"/>
    <cellStyle name="Accent4 60" xfId="37685" xr:uid="{00000000-0005-0000-0000-000001880000}"/>
    <cellStyle name="Accent4 61" xfId="37686" xr:uid="{00000000-0005-0000-0000-000002880000}"/>
    <cellStyle name="Accent4 62" xfId="37687" xr:uid="{00000000-0005-0000-0000-000003880000}"/>
    <cellStyle name="Accent4 63" xfId="37688" xr:uid="{00000000-0005-0000-0000-000004880000}"/>
    <cellStyle name="Accent4 64" xfId="37689" xr:uid="{00000000-0005-0000-0000-000005880000}"/>
    <cellStyle name="Accent4 65" xfId="37690" xr:uid="{00000000-0005-0000-0000-000006880000}"/>
    <cellStyle name="Accent4 66" xfId="37691" xr:uid="{00000000-0005-0000-0000-000007880000}"/>
    <cellStyle name="Accent4 67" xfId="37692" xr:uid="{00000000-0005-0000-0000-000008880000}"/>
    <cellStyle name="Accent4 68" xfId="37693" xr:uid="{00000000-0005-0000-0000-000009880000}"/>
    <cellStyle name="Accent4 69" xfId="37694" xr:uid="{00000000-0005-0000-0000-00000A880000}"/>
    <cellStyle name="Accent4 7" xfId="856" xr:uid="{00000000-0005-0000-0000-00000B880000}"/>
    <cellStyle name="Accent4 7 2" xfId="37695" xr:uid="{00000000-0005-0000-0000-00000C880000}"/>
    <cellStyle name="Accent4 7 2 2" xfId="37696" xr:uid="{00000000-0005-0000-0000-00000D880000}"/>
    <cellStyle name="Accent4 7 3" xfId="37697" xr:uid="{00000000-0005-0000-0000-00000E880000}"/>
    <cellStyle name="Accent4 7 3 2" xfId="37698" xr:uid="{00000000-0005-0000-0000-00000F880000}"/>
    <cellStyle name="Accent4 7 4" xfId="37699" xr:uid="{00000000-0005-0000-0000-000010880000}"/>
    <cellStyle name="Accent4 7 4 2" xfId="37700" xr:uid="{00000000-0005-0000-0000-000011880000}"/>
    <cellStyle name="Accent4 7 5" xfId="37701" xr:uid="{00000000-0005-0000-0000-000012880000}"/>
    <cellStyle name="Accent4 7 5 2" xfId="37702" xr:uid="{00000000-0005-0000-0000-000013880000}"/>
    <cellStyle name="Accent4 7 6" xfId="37703" xr:uid="{00000000-0005-0000-0000-000014880000}"/>
    <cellStyle name="Accent4 70" xfId="37704" xr:uid="{00000000-0005-0000-0000-000015880000}"/>
    <cellStyle name="Accent4 71" xfId="37705" xr:uid="{00000000-0005-0000-0000-000016880000}"/>
    <cellStyle name="Accent4 72" xfId="37706" xr:uid="{00000000-0005-0000-0000-000017880000}"/>
    <cellStyle name="Accent4 73" xfId="37707" xr:uid="{00000000-0005-0000-0000-000018880000}"/>
    <cellStyle name="Accent4 74" xfId="37708" xr:uid="{00000000-0005-0000-0000-000019880000}"/>
    <cellStyle name="Accent4 75" xfId="37709" xr:uid="{00000000-0005-0000-0000-00001A880000}"/>
    <cellStyle name="Accent4 76" xfId="37710" xr:uid="{00000000-0005-0000-0000-00001B880000}"/>
    <cellStyle name="Accent4 8" xfId="857" xr:uid="{00000000-0005-0000-0000-00001C880000}"/>
    <cellStyle name="Accent4 8 2" xfId="37711" xr:uid="{00000000-0005-0000-0000-00001D880000}"/>
    <cellStyle name="Accent4 8 2 2" xfId="37712" xr:uid="{00000000-0005-0000-0000-00001E880000}"/>
    <cellStyle name="Accent4 8 3" xfId="37713" xr:uid="{00000000-0005-0000-0000-00001F880000}"/>
    <cellStyle name="Accent4 8 3 2" xfId="37714" xr:uid="{00000000-0005-0000-0000-000020880000}"/>
    <cellStyle name="Accent4 8 4" xfId="37715" xr:uid="{00000000-0005-0000-0000-000021880000}"/>
    <cellStyle name="Accent4 8 4 2" xfId="37716" xr:uid="{00000000-0005-0000-0000-000022880000}"/>
    <cellStyle name="Accent4 8 5" xfId="37717" xr:uid="{00000000-0005-0000-0000-000023880000}"/>
    <cellStyle name="Accent4 9" xfId="858" xr:uid="{00000000-0005-0000-0000-000024880000}"/>
    <cellStyle name="Accent4 9 10" xfId="37718" xr:uid="{00000000-0005-0000-0000-000025880000}"/>
    <cellStyle name="Accent4 9 2" xfId="37719" xr:uid="{00000000-0005-0000-0000-000026880000}"/>
    <cellStyle name="Accent4 9 2 2" xfId="37720" xr:uid="{00000000-0005-0000-0000-000027880000}"/>
    <cellStyle name="Accent4 9 3" xfId="37721" xr:uid="{00000000-0005-0000-0000-000028880000}"/>
    <cellStyle name="Accent4 9 3 2" xfId="37722" xr:uid="{00000000-0005-0000-0000-000029880000}"/>
    <cellStyle name="Accent4 9 4" xfId="37723" xr:uid="{00000000-0005-0000-0000-00002A880000}"/>
    <cellStyle name="Accent4 9 4 2" xfId="37724" xr:uid="{00000000-0005-0000-0000-00002B880000}"/>
    <cellStyle name="Accent4 9 5" xfId="37725" xr:uid="{00000000-0005-0000-0000-00002C880000}"/>
    <cellStyle name="Accent4 9 5 2" xfId="37726" xr:uid="{00000000-0005-0000-0000-00002D880000}"/>
    <cellStyle name="Accent4 9 6" xfId="37727" xr:uid="{00000000-0005-0000-0000-00002E880000}"/>
    <cellStyle name="Accent4 9 6 2" xfId="37728" xr:uid="{00000000-0005-0000-0000-00002F880000}"/>
    <cellStyle name="Accent4 9 7" xfId="37729" xr:uid="{00000000-0005-0000-0000-000030880000}"/>
    <cellStyle name="Accent4 9 7 2" xfId="37730" xr:uid="{00000000-0005-0000-0000-000031880000}"/>
    <cellStyle name="Accent4 9 8" xfId="37731" xr:uid="{00000000-0005-0000-0000-000032880000}"/>
    <cellStyle name="Accent4 9 8 2" xfId="37732" xr:uid="{00000000-0005-0000-0000-000033880000}"/>
    <cellStyle name="Accent4 9 9" xfId="37733" xr:uid="{00000000-0005-0000-0000-000034880000}"/>
    <cellStyle name="Accent4 9 9 2" xfId="37734" xr:uid="{00000000-0005-0000-0000-000035880000}"/>
    <cellStyle name="Accent5" xfId="134" builtinId="45" customBuiltin="1"/>
    <cellStyle name="Accent5 - 20%" xfId="20" xr:uid="{00000000-0005-0000-0000-000023000000}"/>
    <cellStyle name="Accent5 - 20% 10" xfId="859" xr:uid="{00000000-0005-0000-0000-000037880000}"/>
    <cellStyle name="Accent5 - 20% 10 2" xfId="37735" xr:uid="{00000000-0005-0000-0000-000038880000}"/>
    <cellStyle name="Accent5 - 20% 11" xfId="860" xr:uid="{00000000-0005-0000-0000-000039880000}"/>
    <cellStyle name="Accent5 - 20% 11 2" xfId="37736" xr:uid="{00000000-0005-0000-0000-00003A880000}"/>
    <cellStyle name="Accent5 - 20% 12" xfId="861" xr:uid="{00000000-0005-0000-0000-00003B880000}"/>
    <cellStyle name="Accent5 - 20% 12 2" xfId="37737" xr:uid="{00000000-0005-0000-0000-00003C880000}"/>
    <cellStyle name="Accent5 - 20% 13" xfId="862" xr:uid="{00000000-0005-0000-0000-00003D880000}"/>
    <cellStyle name="Accent5 - 20% 13 2" xfId="37738" xr:uid="{00000000-0005-0000-0000-00003E880000}"/>
    <cellStyle name="Accent5 - 20% 14" xfId="863" xr:uid="{00000000-0005-0000-0000-00003F880000}"/>
    <cellStyle name="Accent5 - 20% 14 2" xfId="37739" xr:uid="{00000000-0005-0000-0000-000040880000}"/>
    <cellStyle name="Accent5 - 20% 15" xfId="864" xr:uid="{00000000-0005-0000-0000-000041880000}"/>
    <cellStyle name="Accent5 - 20% 15 2" xfId="37740" xr:uid="{00000000-0005-0000-0000-000042880000}"/>
    <cellStyle name="Accent5 - 20% 16" xfId="865" xr:uid="{00000000-0005-0000-0000-000043880000}"/>
    <cellStyle name="Accent5 - 20% 16 2" xfId="37741" xr:uid="{00000000-0005-0000-0000-000044880000}"/>
    <cellStyle name="Accent5 - 20% 17" xfId="866" xr:uid="{00000000-0005-0000-0000-000045880000}"/>
    <cellStyle name="Accent5 - 20% 17 2" xfId="37742" xr:uid="{00000000-0005-0000-0000-000046880000}"/>
    <cellStyle name="Accent5 - 20% 18" xfId="867" xr:uid="{00000000-0005-0000-0000-000047880000}"/>
    <cellStyle name="Accent5 - 20% 18 2" xfId="37743" xr:uid="{00000000-0005-0000-0000-000048880000}"/>
    <cellStyle name="Accent5 - 20% 19" xfId="868" xr:uid="{00000000-0005-0000-0000-000049880000}"/>
    <cellStyle name="Accent5 - 20% 19 2" xfId="37744" xr:uid="{00000000-0005-0000-0000-00004A880000}"/>
    <cellStyle name="Accent5 - 20% 2" xfId="869" xr:uid="{00000000-0005-0000-0000-00004B880000}"/>
    <cellStyle name="Accent5 - 20% 2 2" xfId="37745" xr:uid="{00000000-0005-0000-0000-00004C880000}"/>
    <cellStyle name="Accent5 - 20% 2 2 2" xfId="37746" xr:uid="{00000000-0005-0000-0000-00004D880000}"/>
    <cellStyle name="Accent5 - 20% 2 3" xfId="37747" xr:uid="{00000000-0005-0000-0000-00004E880000}"/>
    <cellStyle name="Accent5 - 20% 20" xfId="870" xr:uid="{00000000-0005-0000-0000-00004F880000}"/>
    <cellStyle name="Accent5 - 20% 20 2" xfId="37748" xr:uid="{00000000-0005-0000-0000-000050880000}"/>
    <cellStyle name="Accent5 - 20% 21" xfId="871" xr:uid="{00000000-0005-0000-0000-000051880000}"/>
    <cellStyle name="Accent5 - 20% 21 2" xfId="37749" xr:uid="{00000000-0005-0000-0000-000052880000}"/>
    <cellStyle name="Accent5 - 20% 22" xfId="872" xr:uid="{00000000-0005-0000-0000-000053880000}"/>
    <cellStyle name="Accent5 - 20% 22 2" xfId="37750" xr:uid="{00000000-0005-0000-0000-000054880000}"/>
    <cellStyle name="Accent5 - 20% 23" xfId="873" xr:uid="{00000000-0005-0000-0000-000055880000}"/>
    <cellStyle name="Accent5 - 20% 23 2" xfId="37751" xr:uid="{00000000-0005-0000-0000-000056880000}"/>
    <cellStyle name="Accent5 - 20% 24" xfId="874" xr:uid="{00000000-0005-0000-0000-000057880000}"/>
    <cellStyle name="Accent5 - 20% 24 2" xfId="37752" xr:uid="{00000000-0005-0000-0000-000058880000}"/>
    <cellStyle name="Accent5 - 20% 25" xfId="875" xr:uid="{00000000-0005-0000-0000-000059880000}"/>
    <cellStyle name="Accent5 - 20% 25 2" xfId="37753" xr:uid="{00000000-0005-0000-0000-00005A880000}"/>
    <cellStyle name="Accent5 - 20% 26" xfId="876" xr:uid="{00000000-0005-0000-0000-00005B880000}"/>
    <cellStyle name="Accent5 - 20% 26 2" xfId="37754" xr:uid="{00000000-0005-0000-0000-00005C880000}"/>
    <cellStyle name="Accent5 - 20% 27" xfId="877" xr:uid="{00000000-0005-0000-0000-00005D880000}"/>
    <cellStyle name="Accent5 - 20% 27 2" xfId="37755" xr:uid="{00000000-0005-0000-0000-00005E880000}"/>
    <cellStyle name="Accent5 - 20% 28" xfId="878" xr:uid="{00000000-0005-0000-0000-00005F880000}"/>
    <cellStyle name="Accent5 - 20% 28 2" xfId="37756" xr:uid="{00000000-0005-0000-0000-000060880000}"/>
    <cellStyle name="Accent5 - 20% 29" xfId="879" xr:uid="{00000000-0005-0000-0000-000061880000}"/>
    <cellStyle name="Accent5 - 20% 29 2" xfId="37757" xr:uid="{00000000-0005-0000-0000-000062880000}"/>
    <cellStyle name="Accent5 - 20% 3" xfId="880" xr:uid="{00000000-0005-0000-0000-000063880000}"/>
    <cellStyle name="Accent5 - 20% 3 2" xfId="37758" xr:uid="{00000000-0005-0000-0000-000064880000}"/>
    <cellStyle name="Accent5 - 20% 30" xfId="881" xr:uid="{00000000-0005-0000-0000-000065880000}"/>
    <cellStyle name="Accent5 - 20% 30 2" xfId="37759" xr:uid="{00000000-0005-0000-0000-000066880000}"/>
    <cellStyle name="Accent5 - 20% 31" xfId="882" xr:uid="{00000000-0005-0000-0000-000067880000}"/>
    <cellStyle name="Accent5 - 20% 31 2" xfId="37760" xr:uid="{00000000-0005-0000-0000-000068880000}"/>
    <cellStyle name="Accent5 - 20% 32" xfId="883" xr:uid="{00000000-0005-0000-0000-000069880000}"/>
    <cellStyle name="Accent5 - 20% 32 2" xfId="37761" xr:uid="{00000000-0005-0000-0000-00006A880000}"/>
    <cellStyle name="Accent5 - 20% 33" xfId="884" xr:uid="{00000000-0005-0000-0000-00006B880000}"/>
    <cellStyle name="Accent5 - 20% 33 2" xfId="37762" xr:uid="{00000000-0005-0000-0000-00006C880000}"/>
    <cellStyle name="Accent5 - 20% 34" xfId="885" xr:uid="{00000000-0005-0000-0000-00006D880000}"/>
    <cellStyle name="Accent5 - 20% 34 2" xfId="37763" xr:uid="{00000000-0005-0000-0000-00006E880000}"/>
    <cellStyle name="Accent5 - 20% 35" xfId="886" xr:uid="{00000000-0005-0000-0000-00006F880000}"/>
    <cellStyle name="Accent5 - 20% 35 2" xfId="37764" xr:uid="{00000000-0005-0000-0000-000070880000}"/>
    <cellStyle name="Accent5 - 20% 36" xfId="887" xr:uid="{00000000-0005-0000-0000-000071880000}"/>
    <cellStyle name="Accent5 - 20% 36 2" xfId="37765" xr:uid="{00000000-0005-0000-0000-000072880000}"/>
    <cellStyle name="Accent5 - 20% 37" xfId="888" xr:uid="{00000000-0005-0000-0000-000073880000}"/>
    <cellStyle name="Accent5 - 20% 37 2" xfId="37766" xr:uid="{00000000-0005-0000-0000-000074880000}"/>
    <cellStyle name="Accent5 - 20% 38" xfId="889" xr:uid="{00000000-0005-0000-0000-000075880000}"/>
    <cellStyle name="Accent5 - 20% 38 2" xfId="37767" xr:uid="{00000000-0005-0000-0000-000076880000}"/>
    <cellStyle name="Accent5 - 20% 39" xfId="890" xr:uid="{00000000-0005-0000-0000-000077880000}"/>
    <cellStyle name="Accent5 - 20% 39 2" xfId="37768" xr:uid="{00000000-0005-0000-0000-000078880000}"/>
    <cellStyle name="Accent5 - 20% 4" xfId="891" xr:uid="{00000000-0005-0000-0000-000079880000}"/>
    <cellStyle name="Accent5 - 20% 4 2" xfId="37769" xr:uid="{00000000-0005-0000-0000-00007A880000}"/>
    <cellStyle name="Accent5 - 20% 40" xfId="892" xr:uid="{00000000-0005-0000-0000-00007B880000}"/>
    <cellStyle name="Accent5 - 20% 40 2" xfId="37770" xr:uid="{00000000-0005-0000-0000-00007C880000}"/>
    <cellStyle name="Accent5 - 20% 41" xfId="893" xr:uid="{00000000-0005-0000-0000-00007D880000}"/>
    <cellStyle name="Accent5 - 20% 41 2" xfId="37771" xr:uid="{00000000-0005-0000-0000-00007E880000}"/>
    <cellStyle name="Accent5 - 20% 42" xfId="894" xr:uid="{00000000-0005-0000-0000-00007F880000}"/>
    <cellStyle name="Accent5 - 20% 42 2" xfId="37772" xr:uid="{00000000-0005-0000-0000-000080880000}"/>
    <cellStyle name="Accent5 - 20% 43" xfId="895" xr:uid="{00000000-0005-0000-0000-000081880000}"/>
    <cellStyle name="Accent5 - 20% 43 2" xfId="37773" xr:uid="{00000000-0005-0000-0000-000082880000}"/>
    <cellStyle name="Accent5 - 20% 44" xfId="896" xr:uid="{00000000-0005-0000-0000-000083880000}"/>
    <cellStyle name="Accent5 - 20% 44 2" xfId="37774" xr:uid="{00000000-0005-0000-0000-000084880000}"/>
    <cellStyle name="Accent5 - 20% 45" xfId="897" xr:uid="{00000000-0005-0000-0000-000085880000}"/>
    <cellStyle name="Accent5 - 20% 45 2" xfId="37775" xr:uid="{00000000-0005-0000-0000-000086880000}"/>
    <cellStyle name="Accent5 - 20% 46" xfId="898" xr:uid="{00000000-0005-0000-0000-000087880000}"/>
    <cellStyle name="Accent5 - 20% 46 2" xfId="37776" xr:uid="{00000000-0005-0000-0000-000088880000}"/>
    <cellStyle name="Accent5 - 20% 47" xfId="37777" xr:uid="{00000000-0005-0000-0000-000089880000}"/>
    <cellStyle name="Accent5 - 20% 47 2" xfId="37778" xr:uid="{00000000-0005-0000-0000-00008A880000}"/>
    <cellStyle name="Accent5 - 20% 47 3" xfId="37779" xr:uid="{00000000-0005-0000-0000-00008B880000}"/>
    <cellStyle name="Accent5 - 20% 48" xfId="37780" xr:uid="{00000000-0005-0000-0000-00008C880000}"/>
    <cellStyle name="Accent5 - 20% 49" xfId="37781" xr:uid="{00000000-0005-0000-0000-00008D880000}"/>
    <cellStyle name="Accent5 - 20% 5" xfId="899" xr:uid="{00000000-0005-0000-0000-00008E880000}"/>
    <cellStyle name="Accent5 - 20% 5 2" xfId="37782" xr:uid="{00000000-0005-0000-0000-00008F880000}"/>
    <cellStyle name="Accent5 - 20% 50" xfId="37783" xr:uid="{00000000-0005-0000-0000-000090880000}"/>
    <cellStyle name="Accent5 - 20% 6" xfId="900" xr:uid="{00000000-0005-0000-0000-000091880000}"/>
    <cellStyle name="Accent5 - 20% 6 2" xfId="37784" xr:uid="{00000000-0005-0000-0000-000092880000}"/>
    <cellStyle name="Accent5 - 20% 7" xfId="901" xr:uid="{00000000-0005-0000-0000-000093880000}"/>
    <cellStyle name="Accent5 - 20% 7 2" xfId="37785" xr:uid="{00000000-0005-0000-0000-000094880000}"/>
    <cellStyle name="Accent5 - 20% 8" xfId="902" xr:uid="{00000000-0005-0000-0000-000095880000}"/>
    <cellStyle name="Accent5 - 20% 8 2" xfId="37786" xr:uid="{00000000-0005-0000-0000-000096880000}"/>
    <cellStyle name="Accent5 - 20% 9" xfId="903" xr:uid="{00000000-0005-0000-0000-000097880000}"/>
    <cellStyle name="Accent5 - 20% 9 2" xfId="37787" xr:uid="{00000000-0005-0000-0000-000098880000}"/>
    <cellStyle name="Accent5 - 40%" xfId="21" xr:uid="{00000000-0005-0000-0000-000024000000}"/>
    <cellStyle name="Accent5 - 40% 10" xfId="904" xr:uid="{00000000-0005-0000-0000-00009A880000}"/>
    <cellStyle name="Accent5 - 40% 10 2" xfId="37788" xr:uid="{00000000-0005-0000-0000-00009B880000}"/>
    <cellStyle name="Accent5 - 40% 11" xfId="905" xr:uid="{00000000-0005-0000-0000-00009C880000}"/>
    <cellStyle name="Accent5 - 40% 11 2" xfId="37789" xr:uid="{00000000-0005-0000-0000-00009D880000}"/>
    <cellStyle name="Accent5 - 40% 12" xfId="906" xr:uid="{00000000-0005-0000-0000-00009E880000}"/>
    <cellStyle name="Accent5 - 40% 12 2" xfId="37790" xr:uid="{00000000-0005-0000-0000-00009F880000}"/>
    <cellStyle name="Accent5 - 40% 13" xfId="907" xr:uid="{00000000-0005-0000-0000-0000A0880000}"/>
    <cellStyle name="Accent5 - 40% 13 2" xfId="37791" xr:uid="{00000000-0005-0000-0000-0000A1880000}"/>
    <cellStyle name="Accent5 - 40% 14" xfId="908" xr:uid="{00000000-0005-0000-0000-0000A2880000}"/>
    <cellStyle name="Accent5 - 40% 14 2" xfId="37792" xr:uid="{00000000-0005-0000-0000-0000A3880000}"/>
    <cellStyle name="Accent5 - 40% 15" xfId="909" xr:uid="{00000000-0005-0000-0000-0000A4880000}"/>
    <cellStyle name="Accent5 - 40% 15 2" xfId="37793" xr:uid="{00000000-0005-0000-0000-0000A5880000}"/>
    <cellStyle name="Accent5 - 40% 16" xfId="910" xr:uid="{00000000-0005-0000-0000-0000A6880000}"/>
    <cellStyle name="Accent5 - 40% 16 2" xfId="37794" xr:uid="{00000000-0005-0000-0000-0000A7880000}"/>
    <cellStyle name="Accent5 - 40% 17" xfId="911" xr:uid="{00000000-0005-0000-0000-0000A8880000}"/>
    <cellStyle name="Accent5 - 40% 17 2" xfId="37795" xr:uid="{00000000-0005-0000-0000-0000A9880000}"/>
    <cellStyle name="Accent5 - 40% 18" xfId="912" xr:uid="{00000000-0005-0000-0000-0000AA880000}"/>
    <cellStyle name="Accent5 - 40% 18 2" xfId="37796" xr:uid="{00000000-0005-0000-0000-0000AB880000}"/>
    <cellStyle name="Accent5 - 40% 19" xfId="913" xr:uid="{00000000-0005-0000-0000-0000AC880000}"/>
    <cellStyle name="Accent5 - 40% 19 2" xfId="37797" xr:uid="{00000000-0005-0000-0000-0000AD880000}"/>
    <cellStyle name="Accent5 - 40% 2" xfId="914" xr:uid="{00000000-0005-0000-0000-0000AE880000}"/>
    <cellStyle name="Accent5 - 40% 2 2" xfId="37798" xr:uid="{00000000-0005-0000-0000-0000AF880000}"/>
    <cellStyle name="Accent5 - 40% 2 2 2" xfId="37799" xr:uid="{00000000-0005-0000-0000-0000B0880000}"/>
    <cellStyle name="Accent5 - 40% 2 3" xfId="37800" xr:uid="{00000000-0005-0000-0000-0000B1880000}"/>
    <cellStyle name="Accent5 - 40% 20" xfId="915" xr:uid="{00000000-0005-0000-0000-0000B2880000}"/>
    <cellStyle name="Accent5 - 40% 20 2" xfId="37801" xr:uid="{00000000-0005-0000-0000-0000B3880000}"/>
    <cellStyle name="Accent5 - 40% 21" xfId="916" xr:uid="{00000000-0005-0000-0000-0000B4880000}"/>
    <cellStyle name="Accent5 - 40% 21 2" xfId="37802" xr:uid="{00000000-0005-0000-0000-0000B5880000}"/>
    <cellStyle name="Accent5 - 40% 22" xfId="917" xr:uid="{00000000-0005-0000-0000-0000B6880000}"/>
    <cellStyle name="Accent5 - 40% 22 2" xfId="37803" xr:uid="{00000000-0005-0000-0000-0000B7880000}"/>
    <cellStyle name="Accent5 - 40% 23" xfId="918" xr:uid="{00000000-0005-0000-0000-0000B8880000}"/>
    <cellStyle name="Accent5 - 40% 23 2" xfId="37804" xr:uid="{00000000-0005-0000-0000-0000B9880000}"/>
    <cellStyle name="Accent5 - 40% 24" xfId="919" xr:uid="{00000000-0005-0000-0000-0000BA880000}"/>
    <cellStyle name="Accent5 - 40% 24 2" xfId="37805" xr:uid="{00000000-0005-0000-0000-0000BB880000}"/>
    <cellStyle name="Accent5 - 40% 25" xfId="37806" xr:uid="{00000000-0005-0000-0000-0000BC880000}"/>
    <cellStyle name="Accent5 - 40% 26" xfId="37807" xr:uid="{00000000-0005-0000-0000-0000BD880000}"/>
    <cellStyle name="Accent5 - 40% 27" xfId="37808" xr:uid="{00000000-0005-0000-0000-0000BE880000}"/>
    <cellStyle name="Accent5 - 40% 3" xfId="920" xr:uid="{00000000-0005-0000-0000-0000BF880000}"/>
    <cellStyle name="Accent5 - 40% 3 2" xfId="37809" xr:uid="{00000000-0005-0000-0000-0000C0880000}"/>
    <cellStyle name="Accent5 - 40% 4" xfId="921" xr:uid="{00000000-0005-0000-0000-0000C1880000}"/>
    <cellStyle name="Accent5 - 40% 4 2" xfId="37810" xr:uid="{00000000-0005-0000-0000-0000C2880000}"/>
    <cellStyle name="Accent5 - 40% 5" xfId="922" xr:uid="{00000000-0005-0000-0000-0000C3880000}"/>
    <cellStyle name="Accent5 - 40% 5 2" xfId="37811" xr:uid="{00000000-0005-0000-0000-0000C4880000}"/>
    <cellStyle name="Accent5 - 40% 6" xfId="923" xr:uid="{00000000-0005-0000-0000-0000C5880000}"/>
    <cellStyle name="Accent5 - 40% 6 2" xfId="37812" xr:uid="{00000000-0005-0000-0000-0000C6880000}"/>
    <cellStyle name="Accent5 - 40% 7" xfId="924" xr:uid="{00000000-0005-0000-0000-0000C7880000}"/>
    <cellStyle name="Accent5 - 40% 7 2" xfId="37813" xr:uid="{00000000-0005-0000-0000-0000C8880000}"/>
    <cellStyle name="Accent5 - 40% 8" xfId="925" xr:uid="{00000000-0005-0000-0000-0000C9880000}"/>
    <cellStyle name="Accent5 - 40% 8 2" xfId="37814" xr:uid="{00000000-0005-0000-0000-0000CA880000}"/>
    <cellStyle name="Accent5 - 40% 9" xfId="926" xr:uid="{00000000-0005-0000-0000-0000CB880000}"/>
    <cellStyle name="Accent5 - 40% 9 2" xfId="37815" xr:uid="{00000000-0005-0000-0000-0000CC880000}"/>
    <cellStyle name="Accent5 - 60%" xfId="22" xr:uid="{00000000-0005-0000-0000-000025000000}"/>
    <cellStyle name="Accent5 - 60% 10" xfId="927" xr:uid="{00000000-0005-0000-0000-0000CE880000}"/>
    <cellStyle name="Accent5 - 60% 10 2" xfId="37816" xr:uid="{00000000-0005-0000-0000-0000CF880000}"/>
    <cellStyle name="Accent5 - 60% 11" xfId="928" xr:uid="{00000000-0005-0000-0000-0000D0880000}"/>
    <cellStyle name="Accent5 - 60% 11 2" xfId="37817" xr:uid="{00000000-0005-0000-0000-0000D1880000}"/>
    <cellStyle name="Accent5 - 60% 12" xfId="929" xr:uid="{00000000-0005-0000-0000-0000D2880000}"/>
    <cellStyle name="Accent5 - 60% 12 2" xfId="37818" xr:uid="{00000000-0005-0000-0000-0000D3880000}"/>
    <cellStyle name="Accent5 - 60% 13" xfId="930" xr:uid="{00000000-0005-0000-0000-0000D4880000}"/>
    <cellStyle name="Accent5 - 60% 13 2" xfId="37819" xr:uid="{00000000-0005-0000-0000-0000D5880000}"/>
    <cellStyle name="Accent5 - 60% 14" xfId="931" xr:uid="{00000000-0005-0000-0000-0000D6880000}"/>
    <cellStyle name="Accent5 - 60% 14 2" xfId="37820" xr:uid="{00000000-0005-0000-0000-0000D7880000}"/>
    <cellStyle name="Accent5 - 60% 15" xfId="932" xr:uid="{00000000-0005-0000-0000-0000D8880000}"/>
    <cellStyle name="Accent5 - 60% 15 2" xfId="37821" xr:uid="{00000000-0005-0000-0000-0000D9880000}"/>
    <cellStyle name="Accent5 - 60% 16" xfId="933" xr:uid="{00000000-0005-0000-0000-0000DA880000}"/>
    <cellStyle name="Accent5 - 60% 16 2" xfId="37822" xr:uid="{00000000-0005-0000-0000-0000DB880000}"/>
    <cellStyle name="Accent5 - 60% 17" xfId="934" xr:uid="{00000000-0005-0000-0000-0000DC880000}"/>
    <cellStyle name="Accent5 - 60% 17 2" xfId="37823" xr:uid="{00000000-0005-0000-0000-0000DD880000}"/>
    <cellStyle name="Accent5 - 60% 18" xfId="935" xr:uid="{00000000-0005-0000-0000-0000DE880000}"/>
    <cellStyle name="Accent5 - 60% 18 2" xfId="37824" xr:uid="{00000000-0005-0000-0000-0000DF880000}"/>
    <cellStyle name="Accent5 - 60% 19" xfId="936" xr:uid="{00000000-0005-0000-0000-0000E0880000}"/>
    <cellStyle name="Accent5 - 60% 19 2" xfId="37825" xr:uid="{00000000-0005-0000-0000-0000E1880000}"/>
    <cellStyle name="Accent5 - 60% 2" xfId="937" xr:uid="{00000000-0005-0000-0000-0000E2880000}"/>
    <cellStyle name="Accent5 - 60% 2 2" xfId="37826" xr:uid="{00000000-0005-0000-0000-0000E3880000}"/>
    <cellStyle name="Accent5 - 60% 2 2 2" xfId="37827" xr:uid="{00000000-0005-0000-0000-0000E4880000}"/>
    <cellStyle name="Accent5 - 60% 2 3" xfId="37828" xr:uid="{00000000-0005-0000-0000-0000E5880000}"/>
    <cellStyle name="Accent5 - 60% 20" xfId="938" xr:uid="{00000000-0005-0000-0000-0000E6880000}"/>
    <cellStyle name="Accent5 - 60% 20 2" xfId="37829" xr:uid="{00000000-0005-0000-0000-0000E7880000}"/>
    <cellStyle name="Accent5 - 60% 21" xfId="939" xr:uid="{00000000-0005-0000-0000-0000E8880000}"/>
    <cellStyle name="Accent5 - 60% 21 2" xfId="37830" xr:uid="{00000000-0005-0000-0000-0000E9880000}"/>
    <cellStyle name="Accent5 - 60% 22" xfId="940" xr:uid="{00000000-0005-0000-0000-0000EA880000}"/>
    <cellStyle name="Accent5 - 60% 22 2" xfId="37831" xr:uid="{00000000-0005-0000-0000-0000EB880000}"/>
    <cellStyle name="Accent5 - 60% 23" xfId="941" xr:uid="{00000000-0005-0000-0000-0000EC880000}"/>
    <cellStyle name="Accent5 - 60% 23 2" xfId="37832" xr:uid="{00000000-0005-0000-0000-0000ED880000}"/>
    <cellStyle name="Accent5 - 60% 24" xfId="942" xr:uid="{00000000-0005-0000-0000-0000EE880000}"/>
    <cellStyle name="Accent5 - 60% 24 2" xfId="37833" xr:uid="{00000000-0005-0000-0000-0000EF880000}"/>
    <cellStyle name="Accent5 - 60% 25" xfId="943" xr:uid="{00000000-0005-0000-0000-0000F0880000}"/>
    <cellStyle name="Accent5 - 60% 25 2" xfId="37834" xr:uid="{00000000-0005-0000-0000-0000F1880000}"/>
    <cellStyle name="Accent5 - 60% 26" xfId="944" xr:uid="{00000000-0005-0000-0000-0000F2880000}"/>
    <cellStyle name="Accent5 - 60% 26 2" xfId="37835" xr:uid="{00000000-0005-0000-0000-0000F3880000}"/>
    <cellStyle name="Accent5 - 60% 27" xfId="945" xr:uid="{00000000-0005-0000-0000-0000F4880000}"/>
    <cellStyle name="Accent5 - 60% 27 2" xfId="37836" xr:uid="{00000000-0005-0000-0000-0000F5880000}"/>
    <cellStyle name="Accent5 - 60% 28" xfId="946" xr:uid="{00000000-0005-0000-0000-0000F6880000}"/>
    <cellStyle name="Accent5 - 60% 28 2" xfId="37837" xr:uid="{00000000-0005-0000-0000-0000F7880000}"/>
    <cellStyle name="Accent5 - 60% 29" xfId="947" xr:uid="{00000000-0005-0000-0000-0000F8880000}"/>
    <cellStyle name="Accent5 - 60% 29 2" xfId="37838" xr:uid="{00000000-0005-0000-0000-0000F9880000}"/>
    <cellStyle name="Accent5 - 60% 3" xfId="948" xr:uid="{00000000-0005-0000-0000-0000FA880000}"/>
    <cellStyle name="Accent5 - 60% 3 2" xfId="37839" xr:uid="{00000000-0005-0000-0000-0000FB880000}"/>
    <cellStyle name="Accent5 - 60% 30" xfId="949" xr:uid="{00000000-0005-0000-0000-0000FC880000}"/>
    <cellStyle name="Accent5 - 60% 30 2" xfId="37840" xr:uid="{00000000-0005-0000-0000-0000FD880000}"/>
    <cellStyle name="Accent5 - 60% 31" xfId="950" xr:uid="{00000000-0005-0000-0000-0000FE880000}"/>
    <cellStyle name="Accent5 - 60% 31 2" xfId="37841" xr:uid="{00000000-0005-0000-0000-0000FF880000}"/>
    <cellStyle name="Accent5 - 60% 32" xfId="951" xr:uid="{00000000-0005-0000-0000-000000890000}"/>
    <cellStyle name="Accent5 - 60% 32 2" xfId="37842" xr:uid="{00000000-0005-0000-0000-000001890000}"/>
    <cellStyle name="Accent5 - 60% 33" xfId="952" xr:uid="{00000000-0005-0000-0000-000002890000}"/>
    <cellStyle name="Accent5 - 60% 33 2" xfId="37843" xr:uid="{00000000-0005-0000-0000-000003890000}"/>
    <cellStyle name="Accent5 - 60% 34" xfId="953" xr:uid="{00000000-0005-0000-0000-000004890000}"/>
    <cellStyle name="Accent5 - 60% 34 2" xfId="37844" xr:uid="{00000000-0005-0000-0000-000005890000}"/>
    <cellStyle name="Accent5 - 60% 35" xfId="954" xr:uid="{00000000-0005-0000-0000-000006890000}"/>
    <cellStyle name="Accent5 - 60% 35 2" xfId="37845" xr:uid="{00000000-0005-0000-0000-000007890000}"/>
    <cellStyle name="Accent5 - 60% 36" xfId="955" xr:uid="{00000000-0005-0000-0000-000008890000}"/>
    <cellStyle name="Accent5 - 60% 36 2" xfId="37846" xr:uid="{00000000-0005-0000-0000-000009890000}"/>
    <cellStyle name="Accent5 - 60% 37" xfId="956" xr:uid="{00000000-0005-0000-0000-00000A890000}"/>
    <cellStyle name="Accent5 - 60% 37 2" xfId="37847" xr:uid="{00000000-0005-0000-0000-00000B890000}"/>
    <cellStyle name="Accent5 - 60% 38" xfId="957" xr:uid="{00000000-0005-0000-0000-00000C890000}"/>
    <cellStyle name="Accent5 - 60% 38 2" xfId="37848" xr:uid="{00000000-0005-0000-0000-00000D890000}"/>
    <cellStyle name="Accent5 - 60% 39" xfId="958" xr:uid="{00000000-0005-0000-0000-00000E890000}"/>
    <cellStyle name="Accent5 - 60% 39 2" xfId="37849" xr:uid="{00000000-0005-0000-0000-00000F890000}"/>
    <cellStyle name="Accent5 - 60% 4" xfId="959" xr:uid="{00000000-0005-0000-0000-000010890000}"/>
    <cellStyle name="Accent5 - 60% 4 2" xfId="37850" xr:uid="{00000000-0005-0000-0000-000011890000}"/>
    <cellStyle name="Accent5 - 60% 40" xfId="960" xr:uid="{00000000-0005-0000-0000-000012890000}"/>
    <cellStyle name="Accent5 - 60% 40 2" xfId="37851" xr:uid="{00000000-0005-0000-0000-000013890000}"/>
    <cellStyle name="Accent5 - 60% 41" xfId="961" xr:uid="{00000000-0005-0000-0000-000014890000}"/>
    <cellStyle name="Accent5 - 60% 41 2" xfId="37852" xr:uid="{00000000-0005-0000-0000-000015890000}"/>
    <cellStyle name="Accent5 - 60% 42" xfId="962" xr:uid="{00000000-0005-0000-0000-000016890000}"/>
    <cellStyle name="Accent5 - 60% 42 2" xfId="37853" xr:uid="{00000000-0005-0000-0000-000017890000}"/>
    <cellStyle name="Accent5 - 60% 43" xfId="963" xr:uid="{00000000-0005-0000-0000-000018890000}"/>
    <cellStyle name="Accent5 - 60% 43 2" xfId="37854" xr:uid="{00000000-0005-0000-0000-000019890000}"/>
    <cellStyle name="Accent5 - 60% 44" xfId="964" xr:uid="{00000000-0005-0000-0000-00001A890000}"/>
    <cellStyle name="Accent5 - 60% 44 2" xfId="37855" xr:uid="{00000000-0005-0000-0000-00001B890000}"/>
    <cellStyle name="Accent5 - 60% 45" xfId="965" xr:uid="{00000000-0005-0000-0000-00001C890000}"/>
    <cellStyle name="Accent5 - 60% 45 2" xfId="37856" xr:uid="{00000000-0005-0000-0000-00001D890000}"/>
    <cellStyle name="Accent5 - 60% 46" xfId="37857" xr:uid="{00000000-0005-0000-0000-00001E890000}"/>
    <cellStyle name="Accent5 - 60% 46 2" xfId="37858" xr:uid="{00000000-0005-0000-0000-00001F890000}"/>
    <cellStyle name="Accent5 - 60% 46 3" xfId="37859" xr:uid="{00000000-0005-0000-0000-000020890000}"/>
    <cellStyle name="Accent5 - 60% 47" xfId="37860" xr:uid="{00000000-0005-0000-0000-000021890000}"/>
    <cellStyle name="Accent5 - 60% 48" xfId="37861" xr:uid="{00000000-0005-0000-0000-000022890000}"/>
    <cellStyle name="Accent5 - 60% 49" xfId="37862" xr:uid="{00000000-0005-0000-0000-000023890000}"/>
    <cellStyle name="Accent5 - 60% 5" xfId="966" xr:uid="{00000000-0005-0000-0000-000024890000}"/>
    <cellStyle name="Accent5 - 60% 5 2" xfId="37863" xr:uid="{00000000-0005-0000-0000-000025890000}"/>
    <cellStyle name="Accent5 - 60% 50" xfId="37864" xr:uid="{00000000-0005-0000-0000-000026890000}"/>
    <cellStyle name="Accent5 - 60% 6" xfId="967" xr:uid="{00000000-0005-0000-0000-000027890000}"/>
    <cellStyle name="Accent5 - 60% 6 2" xfId="37865" xr:uid="{00000000-0005-0000-0000-000028890000}"/>
    <cellStyle name="Accent5 - 60% 7" xfId="968" xr:uid="{00000000-0005-0000-0000-000029890000}"/>
    <cellStyle name="Accent5 - 60% 7 2" xfId="37866" xr:uid="{00000000-0005-0000-0000-00002A890000}"/>
    <cellStyle name="Accent5 - 60% 8" xfId="969" xr:uid="{00000000-0005-0000-0000-00002B890000}"/>
    <cellStyle name="Accent5 - 60% 8 2" xfId="37867" xr:uid="{00000000-0005-0000-0000-00002C890000}"/>
    <cellStyle name="Accent5 - 60% 9" xfId="970" xr:uid="{00000000-0005-0000-0000-00002D890000}"/>
    <cellStyle name="Accent5 - 60% 9 2" xfId="37868" xr:uid="{00000000-0005-0000-0000-00002E890000}"/>
    <cellStyle name="Accent5 10" xfId="971" xr:uid="{00000000-0005-0000-0000-00002F890000}"/>
    <cellStyle name="Accent5 10 10" xfId="37869" xr:uid="{00000000-0005-0000-0000-000030890000}"/>
    <cellStyle name="Accent5 10 2" xfId="37870" xr:uid="{00000000-0005-0000-0000-000031890000}"/>
    <cellStyle name="Accent5 10 2 2" xfId="37871" xr:uid="{00000000-0005-0000-0000-000032890000}"/>
    <cellStyle name="Accent5 10 3" xfId="37872" xr:uid="{00000000-0005-0000-0000-000033890000}"/>
    <cellStyle name="Accent5 10 3 2" xfId="37873" xr:uid="{00000000-0005-0000-0000-000034890000}"/>
    <cellStyle name="Accent5 10 4" xfId="37874" xr:uid="{00000000-0005-0000-0000-000035890000}"/>
    <cellStyle name="Accent5 10 4 2" xfId="37875" xr:uid="{00000000-0005-0000-0000-000036890000}"/>
    <cellStyle name="Accent5 10 5" xfId="37876" xr:uid="{00000000-0005-0000-0000-000037890000}"/>
    <cellStyle name="Accent5 10 5 2" xfId="37877" xr:uid="{00000000-0005-0000-0000-000038890000}"/>
    <cellStyle name="Accent5 10 6" xfId="37878" xr:uid="{00000000-0005-0000-0000-000039890000}"/>
    <cellStyle name="Accent5 10 6 2" xfId="37879" xr:uid="{00000000-0005-0000-0000-00003A890000}"/>
    <cellStyle name="Accent5 10 7" xfId="37880" xr:uid="{00000000-0005-0000-0000-00003B890000}"/>
    <cellStyle name="Accent5 10 7 2" xfId="37881" xr:uid="{00000000-0005-0000-0000-00003C890000}"/>
    <cellStyle name="Accent5 10 8" xfId="37882" xr:uid="{00000000-0005-0000-0000-00003D890000}"/>
    <cellStyle name="Accent5 10 8 2" xfId="37883" xr:uid="{00000000-0005-0000-0000-00003E890000}"/>
    <cellStyle name="Accent5 10 9" xfId="37884" xr:uid="{00000000-0005-0000-0000-00003F890000}"/>
    <cellStyle name="Accent5 10 9 2" xfId="37885" xr:uid="{00000000-0005-0000-0000-000040890000}"/>
    <cellStyle name="Accent5 11" xfId="972" xr:uid="{00000000-0005-0000-0000-000041890000}"/>
    <cellStyle name="Accent5 11 10" xfId="37886" xr:uid="{00000000-0005-0000-0000-000042890000}"/>
    <cellStyle name="Accent5 11 2" xfId="37887" xr:uid="{00000000-0005-0000-0000-000043890000}"/>
    <cellStyle name="Accent5 11 2 2" xfId="37888" xr:uid="{00000000-0005-0000-0000-000044890000}"/>
    <cellStyle name="Accent5 11 3" xfId="37889" xr:uid="{00000000-0005-0000-0000-000045890000}"/>
    <cellStyle name="Accent5 11 3 2" xfId="37890" xr:uid="{00000000-0005-0000-0000-000046890000}"/>
    <cellStyle name="Accent5 11 4" xfId="37891" xr:uid="{00000000-0005-0000-0000-000047890000}"/>
    <cellStyle name="Accent5 11 4 2" xfId="37892" xr:uid="{00000000-0005-0000-0000-000048890000}"/>
    <cellStyle name="Accent5 11 5" xfId="37893" xr:uid="{00000000-0005-0000-0000-000049890000}"/>
    <cellStyle name="Accent5 11 5 2" xfId="37894" xr:uid="{00000000-0005-0000-0000-00004A890000}"/>
    <cellStyle name="Accent5 11 6" xfId="37895" xr:uid="{00000000-0005-0000-0000-00004B890000}"/>
    <cellStyle name="Accent5 11 6 2" xfId="37896" xr:uid="{00000000-0005-0000-0000-00004C890000}"/>
    <cellStyle name="Accent5 11 7" xfId="37897" xr:uid="{00000000-0005-0000-0000-00004D890000}"/>
    <cellStyle name="Accent5 11 7 2" xfId="37898" xr:uid="{00000000-0005-0000-0000-00004E890000}"/>
    <cellStyle name="Accent5 11 8" xfId="37899" xr:uid="{00000000-0005-0000-0000-00004F890000}"/>
    <cellStyle name="Accent5 11 8 2" xfId="37900" xr:uid="{00000000-0005-0000-0000-000050890000}"/>
    <cellStyle name="Accent5 11 9" xfId="37901" xr:uid="{00000000-0005-0000-0000-000051890000}"/>
    <cellStyle name="Accent5 11 9 2" xfId="37902" xr:uid="{00000000-0005-0000-0000-000052890000}"/>
    <cellStyle name="Accent5 12" xfId="973" xr:uid="{00000000-0005-0000-0000-000053890000}"/>
    <cellStyle name="Accent5 12 2" xfId="37903" xr:uid="{00000000-0005-0000-0000-000054890000}"/>
    <cellStyle name="Accent5 12 2 2" xfId="37904" xr:uid="{00000000-0005-0000-0000-000055890000}"/>
    <cellStyle name="Accent5 12 3" xfId="37905" xr:uid="{00000000-0005-0000-0000-000056890000}"/>
    <cellStyle name="Accent5 13" xfId="974" xr:uid="{00000000-0005-0000-0000-000057890000}"/>
    <cellStyle name="Accent5 13 2" xfId="37906" xr:uid="{00000000-0005-0000-0000-000058890000}"/>
    <cellStyle name="Accent5 14" xfId="975" xr:uid="{00000000-0005-0000-0000-000059890000}"/>
    <cellStyle name="Accent5 14 2" xfId="37907" xr:uid="{00000000-0005-0000-0000-00005A890000}"/>
    <cellStyle name="Accent5 15" xfId="976" xr:uid="{00000000-0005-0000-0000-00005B890000}"/>
    <cellStyle name="Accent5 15 2" xfId="37908" xr:uid="{00000000-0005-0000-0000-00005C890000}"/>
    <cellStyle name="Accent5 16" xfId="977" xr:uid="{00000000-0005-0000-0000-00005D890000}"/>
    <cellStyle name="Accent5 16 2" xfId="37909" xr:uid="{00000000-0005-0000-0000-00005E890000}"/>
    <cellStyle name="Accent5 17" xfId="978" xr:uid="{00000000-0005-0000-0000-00005F890000}"/>
    <cellStyle name="Accent5 17 2" xfId="37910" xr:uid="{00000000-0005-0000-0000-000060890000}"/>
    <cellStyle name="Accent5 18" xfId="979" xr:uid="{00000000-0005-0000-0000-000061890000}"/>
    <cellStyle name="Accent5 18 2" xfId="37911" xr:uid="{00000000-0005-0000-0000-000062890000}"/>
    <cellStyle name="Accent5 19" xfId="980" xr:uid="{00000000-0005-0000-0000-000063890000}"/>
    <cellStyle name="Accent5 19 2" xfId="37912" xr:uid="{00000000-0005-0000-0000-000064890000}"/>
    <cellStyle name="Accent5 2" xfId="981" xr:uid="{00000000-0005-0000-0000-000065890000}"/>
    <cellStyle name="Accent5 2 2" xfId="982" xr:uid="{00000000-0005-0000-0000-000066890000}"/>
    <cellStyle name="Accent5 2 2 2" xfId="37913" xr:uid="{00000000-0005-0000-0000-000067890000}"/>
    <cellStyle name="Accent5 2 2 2 2" xfId="37914" xr:uid="{00000000-0005-0000-0000-000068890000}"/>
    <cellStyle name="Accent5 2 2 3" xfId="37915" xr:uid="{00000000-0005-0000-0000-000069890000}"/>
    <cellStyle name="Accent5 2 3" xfId="983" xr:uid="{00000000-0005-0000-0000-00006A890000}"/>
    <cellStyle name="Accent5 2 3 2" xfId="37916" xr:uid="{00000000-0005-0000-0000-00006B890000}"/>
    <cellStyle name="Accent5 2 3 2 2" xfId="37917" xr:uid="{00000000-0005-0000-0000-00006C890000}"/>
    <cellStyle name="Accent5 2 3 3" xfId="37918" xr:uid="{00000000-0005-0000-0000-00006D890000}"/>
    <cellStyle name="Accent5 2 4" xfId="984" xr:uid="{00000000-0005-0000-0000-00006E890000}"/>
    <cellStyle name="Accent5 2 4 2" xfId="37919" xr:uid="{00000000-0005-0000-0000-00006F890000}"/>
    <cellStyle name="Accent5 2 4 2 2" xfId="37920" xr:uid="{00000000-0005-0000-0000-000070890000}"/>
    <cellStyle name="Accent5 2 4 3" xfId="37921" xr:uid="{00000000-0005-0000-0000-000071890000}"/>
    <cellStyle name="Accent5 2 5" xfId="37922" xr:uid="{00000000-0005-0000-0000-000072890000}"/>
    <cellStyle name="Accent5 2 5 2" xfId="37923" xr:uid="{00000000-0005-0000-0000-000073890000}"/>
    <cellStyle name="Accent5 2 6" xfId="37924" xr:uid="{00000000-0005-0000-0000-000074890000}"/>
    <cellStyle name="Accent5 2 7" xfId="37925" xr:uid="{00000000-0005-0000-0000-000075890000}"/>
    <cellStyle name="Accent5 20" xfId="985" xr:uid="{00000000-0005-0000-0000-000076890000}"/>
    <cellStyle name="Accent5 20 2" xfId="37926" xr:uid="{00000000-0005-0000-0000-000077890000}"/>
    <cellStyle name="Accent5 21" xfId="986" xr:uid="{00000000-0005-0000-0000-000078890000}"/>
    <cellStyle name="Accent5 21 2" xfId="37927" xr:uid="{00000000-0005-0000-0000-000079890000}"/>
    <cellStyle name="Accent5 22" xfId="987" xr:uid="{00000000-0005-0000-0000-00007A890000}"/>
    <cellStyle name="Accent5 22 2" xfId="37928" xr:uid="{00000000-0005-0000-0000-00007B890000}"/>
    <cellStyle name="Accent5 23" xfId="988" xr:uid="{00000000-0005-0000-0000-00007C890000}"/>
    <cellStyle name="Accent5 23 2" xfId="37929" xr:uid="{00000000-0005-0000-0000-00007D890000}"/>
    <cellStyle name="Accent5 24" xfId="989" xr:uid="{00000000-0005-0000-0000-00007E890000}"/>
    <cellStyle name="Accent5 24 2" xfId="990" xr:uid="{00000000-0005-0000-0000-00007F890000}"/>
    <cellStyle name="Accent5 24 2 2" xfId="37930" xr:uid="{00000000-0005-0000-0000-000080890000}"/>
    <cellStyle name="Accent5 24 3" xfId="37931" xr:uid="{00000000-0005-0000-0000-000081890000}"/>
    <cellStyle name="Accent5 25" xfId="991" xr:uid="{00000000-0005-0000-0000-000082890000}"/>
    <cellStyle name="Accent5 25 2" xfId="37932" xr:uid="{00000000-0005-0000-0000-000083890000}"/>
    <cellStyle name="Accent5 26" xfId="37933" xr:uid="{00000000-0005-0000-0000-000084890000}"/>
    <cellStyle name="Accent5 26 2" xfId="37934" xr:uid="{00000000-0005-0000-0000-000085890000}"/>
    <cellStyle name="Accent5 27" xfId="37935" xr:uid="{00000000-0005-0000-0000-000086890000}"/>
    <cellStyle name="Accent5 27 2" xfId="37936" xr:uid="{00000000-0005-0000-0000-000087890000}"/>
    <cellStyle name="Accent5 28" xfId="37937" xr:uid="{00000000-0005-0000-0000-000088890000}"/>
    <cellStyle name="Accent5 28 2" xfId="37938" xr:uid="{00000000-0005-0000-0000-000089890000}"/>
    <cellStyle name="Accent5 29" xfId="37939" xr:uid="{00000000-0005-0000-0000-00008A890000}"/>
    <cellStyle name="Accent5 29 2" xfId="37940" xr:uid="{00000000-0005-0000-0000-00008B890000}"/>
    <cellStyle name="Accent5 3" xfId="992" xr:uid="{00000000-0005-0000-0000-00008C890000}"/>
    <cellStyle name="Accent5 3 2" xfId="37941" xr:uid="{00000000-0005-0000-0000-00008D890000}"/>
    <cellStyle name="Accent5 3 2 2" xfId="37942" xr:uid="{00000000-0005-0000-0000-00008E890000}"/>
    <cellStyle name="Accent5 3 3" xfId="37943" xr:uid="{00000000-0005-0000-0000-00008F890000}"/>
    <cellStyle name="Accent5 3 3 2" xfId="37944" xr:uid="{00000000-0005-0000-0000-000090890000}"/>
    <cellStyle name="Accent5 3 4" xfId="37945" xr:uid="{00000000-0005-0000-0000-000091890000}"/>
    <cellStyle name="Accent5 3 4 2" xfId="37946" xr:uid="{00000000-0005-0000-0000-000092890000}"/>
    <cellStyle name="Accent5 3 5" xfId="37947" xr:uid="{00000000-0005-0000-0000-000093890000}"/>
    <cellStyle name="Accent5 3 5 2" xfId="37948" xr:uid="{00000000-0005-0000-0000-000094890000}"/>
    <cellStyle name="Accent5 3 6" xfId="37949" xr:uid="{00000000-0005-0000-0000-000095890000}"/>
    <cellStyle name="Accent5 3 7" xfId="37950" xr:uid="{00000000-0005-0000-0000-000096890000}"/>
    <cellStyle name="Accent5 30" xfId="37951" xr:uid="{00000000-0005-0000-0000-000097890000}"/>
    <cellStyle name="Accent5 30 2" xfId="37952" xr:uid="{00000000-0005-0000-0000-000098890000}"/>
    <cellStyle name="Accent5 31" xfId="37953" xr:uid="{00000000-0005-0000-0000-000099890000}"/>
    <cellStyle name="Accent5 31 2" xfId="37954" xr:uid="{00000000-0005-0000-0000-00009A890000}"/>
    <cellStyle name="Accent5 32" xfId="37955" xr:uid="{00000000-0005-0000-0000-00009B890000}"/>
    <cellStyle name="Accent5 32 2" xfId="37956" xr:uid="{00000000-0005-0000-0000-00009C890000}"/>
    <cellStyle name="Accent5 33" xfId="37957" xr:uid="{00000000-0005-0000-0000-00009D890000}"/>
    <cellStyle name="Accent5 33 2" xfId="37958" xr:uid="{00000000-0005-0000-0000-00009E890000}"/>
    <cellStyle name="Accent5 34" xfId="37959" xr:uid="{00000000-0005-0000-0000-00009F890000}"/>
    <cellStyle name="Accent5 34 2" xfId="37960" xr:uid="{00000000-0005-0000-0000-0000A0890000}"/>
    <cellStyle name="Accent5 35" xfId="37961" xr:uid="{00000000-0005-0000-0000-0000A1890000}"/>
    <cellStyle name="Accent5 35 2" xfId="37962" xr:uid="{00000000-0005-0000-0000-0000A2890000}"/>
    <cellStyle name="Accent5 36" xfId="37963" xr:uid="{00000000-0005-0000-0000-0000A3890000}"/>
    <cellStyle name="Accent5 36 2" xfId="37964" xr:uid="{00000000-0005-0000-0000-0000A4890000}"/>
    <cellStyle name="Accent5 37" xfId="37965" xr:uid="{00000000-0005-0000-0000-0000A5890000}"/>
    <cellStyle name="Accent5 37 2" xfId="37966" xr:uid="{00000000-0005-0000-0000-0000A6890000}"/>
    <cellStyle name="Accent5 38" xfId="37967" xr:uid="{00000000-0005-0000-0000-0000A7890000}"/>
    <cellStyle name="Accent5 38 2" xfId="37968" xr:uid="{00000000-0005-0000-0000-0000A8890000}"/>
    <cellStyle name="Accent5 39" xfId="37969" xr:uid="{00000000-0005-0000-0000-0000A9890000}"/>
    <cellStyle name="Accent5 39 2" xfId="37970" xr:uid="{00000000-0005-0000-0000-0000AA890000}"/>
    <cellStyle name="Accent5 4" xfId="993" xr:uid="{00000000-0005-0000-0000-0000AB890000}"/>
    <cellStyle name="Accent5 4 2" xfId="37971" xr:uid="{00000000-0005-0000-0000-0000AC890000}"/>
    <cellStyle name="Accent5 4 2 2" xfId="37972" xr:uid="{00000000-0005-0000-0000-0000AD890000}"/>
    <cellStyle name="Accent5 4 3" xfId="37973" xr:uid="{00000000-0005-0000-0000-0000AE890000}"/>
    <cellStyle name="Accent5 4 3 2" xfId="37974" xr:uid="{00000000-0005-0000-0000-0000AF890000}"/>
    <cellStyle name="Accent5 4 4" xfId="37975" xr:uid="{00000000-0005-0000-0000-0000B0890000}"/>
    <cellStyle name="Accent5 4 4 2" xfId="37976" xr:uid="{00000000-0005-0000-0000-0000B1890000}"/>
    <cellStyle name="Accent5 4 5" xfId="37977" xr:uid="{00000000-0005-0000-0000-0000B2890000}"/>
    <cellStyle name="Accent5 4 5 2" xfId="37978" xr:uid="{00000000-0005-0000-0000-0000B3890000}"/>
    <cellStyle name="Accent5 4 6" xfId="37979" xr:uid="{00000000-0005-0000-0000-0000B4890000}"/>
    <cellStyle name="Accent5 40" xfId="37980" xr:uid="{00000000-0005-0000-0000-0000B5890000}"/>
    <cellStyle name="Accent5 40 2" xfId="37981" xr:uid="{00000000-0005-0000-0000-0000B6890000}"/>
    <cellStyle name="Accent5 41" xfId="37982" xr:uid="{00000000-0005-0000-0000-0000B7890000}"/>
    <cellStyle name="Accent5 41 2" xfId="37983" xr:uid="{00000000-0005-0000-0000-0000B8890000}"/>
    <cellStyle name="Accent5 42" xfId="37984" xr:uid="{00000000-0005-0000-0000-0000B9890000}"/>
    <cellStyle name="Accent5 42 2" xfId="37985" xr:uid="{00000000-0005-0000-0000-0000BA890000}"/>
    <cellStyle name="Accent5 43" xfId="37986" xr:uid="{00000000-0005-0000-0000-0000BB890000}"/>
    <cellStyle name="Accent5 43 2" xfId="37987" xr:uid="{00000000-0005-0000-0000-0000BC890000}"/>
    <cellStyle name="Accent5 44" xfId="37988" xr:uid="{00000000-0005-0000-0000-0000BD890000}"/>
    <cellStyle name="Accent5 44 2" xfId="37989" xr:uid="{00000000-0005-0000-0000-0000BE890000}"/>
    <cellStyle name="Accent5 45" xfId="37990" xr:uid="{00000000-0005-0000-0000-0000BF890000}"/>
    <cellStyle name="Accent5 45 2" xfId="37991" xr:uid="{00000000-0005-0000-0000-0000C0890000}"/>
    <cellStyle name="Accent5 46" xfId="37992" xr:uid="{00000000-0005-0000-0000-0000C1890000}"/>
    <cellStyle name="Accent5 46 2" xfId="37993" xr:uid="{00000000-0005-0000-0000-0000C2890000}"/>
    <cellStyle name="Accent5 47" xfId="37994" xr:uid="{00000000-0005-0000-0000-0000C3890000}"/>
    <cellStyle name="Accent5 47 2" xfId="37995" xr:uid="{00000000-0005-0000-0000-0000C4890000}"/>
    <cellStyle name="Accent5 48" xfId="37996" xr:uid="{00000000-0005-0000-0000-0000C5890000}"/>
    <cellStyle name="Accent5 48 2" xfId="37997" xr:uid="{00000000-0005-0000-0000-0000C6890000}"/>
    <cellStyle name="Accent5 49" xfId="37998" xr:uid="{00000000-0005-0000-0000-0000C7890000}"/>
    <cellStyle name="Accent5 49 2" xfId="37999" xr:uid="{00000000-0005-0000-0000-0000C8890000}"/>
    <cellStyle name="Accent5 5" xfId="994" xr:uid="{00000000-0005-0000-0000-0000C9890000}"/>
    <cellStyle name="Accent5 5 2" xfId="38000" xr:uid="{00000000-0005-0000-0000-0000CA890000}"/>
    <cellStyle name="Accent5 5 2 2" xfId="38001" xr:uid="{00000000-0005-0000-0000-0000CB890000}"/>
    <cellStyle name="Accent5 5 3" xfId="38002" xr:uid="{00000000-0005-0000-0000-0000CC890000}"/>
    <cellStyle name="Accent5 5 3 2" xfId="38003" xr:uid="{00000000-0005-0000-0000-0000CD890000}"/>
    <cellStyle name="Accent5 5 4" xfId="38004" xr:uid="{00000000-0005-0000-0000-0000CE890000}"/>
    <cellStyle name="Accent5 5 4 2" xfId="38005" xr:uid="{00000000-0005-0000-0000-0000CF890000}"/>
    <cellStyle name="Accent5 5 5" xfId="38006" xr:uid="{00000000-0005-0000-0000-0000D0890000}"/>
    <cellStyle name="Accent5 5 5 2" xfId="38007" xr:uid="{00000000-0005-0000-0000-0000D1890000}"/>
    <cellStyle name="Accent5 5 6" xfId="38008" xr:uid="{00000000-0005-0000-0000-0000D2890000}"/>
    <cellStyle name="Accent5 50" xfId="38009" xr:uid="{00000000-0005-0000-0000-0000D3890000}"/>
    <cellStyle name="Accent5 50 2" xfId="38010" xr:uid="{00000000-0005-0000-0000-0000D4890000}"/>
    <cellStyle name="Accent5 51" xfId="38011" xr:uid="{00000000-0005-0000-0000-0000D5890000}"/>
    <cellStyle name="Accent5 51 2" xfId="38012" xr:uid="{00000000-0005-0000-0000-0000D6890000}"/>
    <cellStyle name="Accent5 52" xfId="38013" xr:uid="{00000000-0005-0000-0000-0000D7890000}"/>
    <cellStyle name="Accent5 52 2" xfId="38014" xr:uid="{00000000-0005-0000-0000-0000D8890000}"/>
    <cellStyle name="Accent5 53" xfId="38015" xr:uid="{00000000-0005-0000-0000-0000D9890000}"/>
    <cellStyle name="Accent5 53 2" xfId="38016" xr:uid="{00000000-0005-0000-0000-0000DA890000}"/>
    <cellStyle name="Accent5 54" xfId="38017" xr:uid="{00000000-0005-0000-0000-0000DB890000}"/>
    <cellStyle name="Accent5 55" xfId="38018" xr:uid="{00000000-0005-0000-0000-0000DC890000}"/>
    <cellStyle name="Accent5 56" xfId="38019" xr:uid="{00000000-0005-0000-0000-0000DD890000}"/>
    <cellStyle name="Accent5 57" xfId="38020" xr:uid="{00000000-0005-0000-0000-0000DE890000}"/>
    <cellStyle name="Accent5 58" xfId="38021" xr:uid="{00000000-0005-0000-0000-0000DF890000}"/>
    <cellStyle name="Accent5 59" xfId="38022" xr:uid="{00000000-0005-0000-0000-0000E0890000}"/>
    <cellStyle name="Accent5 6" xfId="995" xr:uid="{00000000-0005-0000-0000-0000E1890000}"/>
    <cellStyle name="Accent5 6 2" xfId="38023" xr:uid="{00000000-0005-0000-0000-0000E2890000}"/>
    <cellStyle name="Accent5 6 2 2" xfId="38024" xr:uid="{00000000-0005-0000-0000-0000E3890000}"/>
    <cellStyle name="Accent5 6 3" xfId="38025" xr:uid="{00000000-0005-0000-0000-0000E4890000}"/>
    <cellStyle name="Accent5 6 3 2" xfId="38026" xr:uid="{00000000-0005-0000-0000-0000E5890000}"/>
    <cellStyle name="Accent5 6 4" xfId="38027" xr:uid="{00000000-0005-0000-0000-0000E6890000}"/>
    <cellStyle name="Accent5 6 4 2" xfId="38028" xr:uid="{00000000-0005-0000-0000-0000E7890000}"/>
    <cellStyle name="Accent5 6 5" xfId="38029" xr:uid="{00000000-0005-0000-0000-0000E8890000}"/>
    <cellStyle name="Accent5 6 5 2" xfId="38030" xr:uid="{00000000-0005-0000-0000-0000E9890000}"/>
    <cellStyle name="Accent5 6 6" xfId="38031" xr:uid="{00000000-0005-0000-0000-0000EA890000}"/>
    <cellStyle name="Accent5 60" xfId="38032" xr:uid="{00000000-0005-0000-0000-0000EB890000}"/>
    <cellStyle name="Accent5 61" xfId="38033" xr:uid="{00000000-0005-0000-0000-0000EC890000}"/>
    <cellStyle name="Accent5 62" xfId="38034" xr:uid="{00000000-0005-0000-0000-0000ED890000}"/>
    <cellStyle name="Accent5 63" xfId="38035" xr:uid="{00000000-0005-0000-0000-0000EE890000}"/>
    <cellStyle name="Accent5 64" xfId="38036" xr:uid="{00000000-0005-0000-0000-0000EF890000}"/>
    <cellStyle name="Accent5 65" xfId="38037" xr:uid="{00000000-0005-0000-0000-0000F0890000}"/>
    <cellStyle name="Accent5 66" xfId="38038" xr:uid="{00000000-0005-0000-0000-0000F1890000}"/>
    <cellStyle name="Accent5 67" xfId="38039" xr:uid="{00000000-0005-0000-0000-0000F2890000}"/>
    <cellStyle name="Accent5 68" xfId="38040" xr:uid="{00000000-0005-0000-0000-0000F3890000}"/>
    <cellStyle name="Accent5 69" xfId="38041" xr:uid="{00000000-0005-0000-0000-0000F4890000}"/>
    <cellStyle name="Accent5 7" xfId="996" xr:uid="{00000000-0005-0000-0000-0000F5890000}"/>
    <cellStyle name="Accent5 7 2" xfId="38042" xr:uid="{00000000-0005-0000-0000-0000F6890000}"/>
    <cellStyle name="Accent5 7 2 2" xfId="38043" xr:uid="{00000000-0005-0000-0000-0000F7890000}"/>
    <cellStyle name="Accent5 7 3" xfId="38044" xr:uid="{00000000-0005-0000-0000-0000F8890000}"/>
    <cellStyle name="Accent5 7 3 2" xfId="38045" xr:uid="{00000000-0005-0000-0000-0000F9890000}"/>
    <cellStyle name="Accent5 7 4" xfId="38046" xr:uid="{00000000-0005-0000-0000-0000FA890000}"/>
    <cellStyle name="Accent5 7 4 2" xfId="38047" xr:uid="{00000000-0005-0000-0000-0000FB890000}"/>
    <cellStyle name="Accent5 7 5" xfId="38048" xr:uid="{00000000-0005-0000-0000-0000FC890000}"/>
    <cellStyle name="Accent5 7 5 2" xfId="38049" xr:uid="{00000000-0005-0000-0000-0000FD890000}"/>
    <cellStyle name="Accent5 7 6" xfId="38050" xr:uid="{00000000-0005-0000-0000-0000FE890000}"/>
    <cellStyle name="Accent5 70" xfId="38051" xr:uid="{00000000-0005-0000-0000-0000FF890000}"/>
    <cellStyle name="Accent5 71" xfId="38052" xr:uid="{00000000-0005-0000-0000-0000008A0000}"/>
    <cellStyle name="Accent5 72" xfId="38053" xr:uid="{00000000-0005-0000-0000-0000018A0000}"/>
    <cellStyle name="Accent5 73" xfId="38054" xr:uid="{00000000-0005-0000-0000-0000028A0000}"/>
    <cellStyle name="Accent5 74" xfId="38055" xr:uid="{00000000-0005-0000-0000-0000038A0000}"/>
    <cellStyle name="Accent5 75" xfId="38056" xr:uid="{00000000-0005-0000-0000-0000048A0000}"/>
    <cellStyle name="Accent5 76" xfId="38057" xr:uid="{00000000-0005-0000-0000-0000058A0000}"/>
    <cellStyle name="Accent5 8" xfId="997" xr:uid="{00000000-0005-0000-0000-0000068A0000}"/>
    <cellStyle name="Accent5 8 2" xfId="38058" xr:uid="{00000000-0005-0000-0000-0000078A0000}"/>
    <cellStyle name="Accent5 8 2 2" xfId="38059" xr:uid="{00000000-0005-0000-0000-0000088A0000}"/>
    <cellStyle name="Accent5 8 3" xfId="38060" xr:uid="{00000000-0005-0000-0000-0000098A0000}"/>
    <cellStyle name="Accent5 8 3 2" xfId="38061" xr:uid="{00000000-0005-0000-0000-00000A8A0000}"/>
    <cellStyle name="Accent5 8 4" xfId="38062" xr:uid="{00000000-0005-0000-0000-00000B8A0000}"/>
    <cellStyle name="Accent5 8 4 2" xfId="38063" xr:uid="{00000000-0005-0000-0000-00000C8A0000}"/>
    <cellStyle name="Accent5 8 5" xfId="38064" xr:uid="{00000000-0005-0000-0000-00000D8A0000}"/>
    <cellStyle name="Accent5 9" xfId="998" xr:uid="{00000000-0005-0000-0000-00000E8A0000}"/>
    <cellStyle name="Accent5 9 10" xfId="38065" xr:uid="{00000000-0005-0000-0000-00000F8A0000}"/>
    <cellStyle name="Accent5 9 2" xfId="38066" xr:uid="{00000000-0005-0000-0000-0000108A0000}"/>
    <cellStyle name="Accent5 9 2 2" xfId="38067" xr:uid="{00000000-0005-0000-0000-0000118A0000}"/>
    <cellStyle name="Accent5 9 3" xfId="38068" xr:uid="{00000000-0005-0000-0000-0000128A0000}"/>
    <cellStyle name="Accent5 9 3 2" xfId="38069" xr:uid="{00000000-0005-0000-0000-0000138A0000}"/>
    <cellStyle name="Accent5 9 4" xfId="38070" xr:uid="{00000000-0005-0000-0000-0000148A0000}"/>
    <cellStyle name="Accent5 9 4 2" xfId="38071" xr:uid="{00000000-0005-0000-0000-0000158A0000}"/>
    <cellStyle name="Accent5 9 5" xfId="38072" xr:uid="{00000000-0005-0000-0000-0000168A0000}"/>
    <cellStyle name="Accent5 9 5 2" xfId="38073" xr:uid="{00000000-0005-0000-0000-0000178A0000}"/>
    <cellStyle name="Accent5 9 6" xfId="38074" xr:uid="{00000000-0005-0000-0000-0000188A0000}"/>
    <cellStyle name="Accent5 9 6 2" xfId="38075" xr:uid="{00000000-0005-0000-0000-0000198A0000}"/>
    <cellStyle name="Accent5 9 7" xfId="38076" xr:uid="{00000000-0005-0000-0000-00001A8A0000}"/>
    <cellStyle name="Accent5 9 7 2" xfId="38077" xr:uid="{00000000-0005-0000-0000-00001B8A0000}"/>
    <cellStyle name="Accent5 9 8" xfId="38078" xr:uid="{00000000-0005-0000-0000-00001C8A0000}"/>
    <cellStyle name="Accent5 9 8 2" xfId="38079" xr:uid="{00000000-0005-0000-0000-00001D8A0000}"/>
    <cellStyle name="Accent5 9 9" xfId="38080" xr:uid="{00000000-0005-0000-0000-00001E8A0000}"/>
    <cellStyle name="Accent5 9 9 2" xfId="38081" xr:uid="{00000000-0005-0000-0000-00001F8A0000}"/>
    <cellStyle name="Accent6" xfId="138" builtinId="49" customBuiltin="1"/>
    <cellStyle name="Accent6 - 20%" xfId="23" xr:uid="{00000000-0005-0000-0000-000027000000}"/>
    <cellStyle name="Accent6 - 20% 10" xfId="999" xr:uid="{00000000-0005-0000-0000-0000218A0000}"/>
    <cellStyle name="Accent6 - 20% 10 2" xfId="38082" xr:uid="{00000000-0005-0000-0000-0000228A0000}"/>
    <cellStyle name="Accent6 - 20% 11" xfId="1000" xr:uid="{00000000-0005-0000-0000-0000238A0000}"/>
    <cellStyle name="Accent6 - 20% 11 2" xfId="38083" xr:uid="{00000000-0005-0000-0000-0000248A0000}"/>
    <cellStyle name="Accent6 - 20% 12" xfId="1001" xr:uid="{00000000-0005-0000-0000-0000258A0000}"/>
    <cellStyle name="Accent6 - 20% 12 2" xfId="38084" xr:uid="{00000000-0005-0000-0000-0000268A0000}"/>
    <cellStyle name="Accent6 - 20% 13" xfId="1002" xr:uid="{00000000-0005-0000-0000-0000278A0000}"/>
    <cellStyle name="Accent6 - 20% 13 2" xfId="38085" xr:uid="{00000000-0005-0000-0000-0000288A0000}"/>
    <cellStyle name="Accent6 - 20% 14" xfId="1003" xr:uid="{00000000-0005-0000-0000-0000298A0000}"/>
    <cellStyle name="Accent6 - 20% 14 2" xfId="38086" xr:uid="{00000000-0005-0000-0000-00002A8A0000}"/>
    <cellStyle name="Accent6 - 20% 15" xfId="1004" xr:uid="{00000000-0005-0000-0000-00002B8A0000}"/>
    <cellStyle name="Accent6 - 20% 15 2" xfId="38087" xr:uid="{00000000-0005-0000-0000-00002C8A0000}"/>
    <cellStyle name="Accent6 - 20% 16" xfId="1005" xr:uid="{00000000-0005-0000-0000-00002D8A0000}"/>
    <cellStyle name="Accent6 - 20% 16 2" xfId="38088" xr:uid="{00000000-0005-0000-0000-00002E8A0000}"/>
    <cellStyle name="Accent6 - 20% 17" xfId="1006" xr:uid="{00000000-0005-0000-0000-00002F8A0000}"/>
    <cellStyle name="Accent6 - 20% 17 2" xfId="38089" xr:uid="{00000000-0005-0000-0000-0000308A0000}"/>
    <cellStyle name="Accent6 - 20% 18" xfId="1007" xr:uid="{00000000-0005-0000-0000-0000318A0000}"/>
    <cellStyle name="Accent6 - 20% 18 2" xfId="38090" xr:uid="{00000000-0005-0000-0000-0000328A0000}"/>
    <cellStyle name="Accent6 - 20% 19" xfId="1008" xr:uid="{00000000-0005-0000-0000-0000338A0000}"/>
    <cellStyle name="Accent6 - 20% 19 2" xfId="38091" xr:uid="{00000000-0005-0000-0000-0000348A0000}"/>
    <cellStyle name="Accent6 - 20% 2" xfId="1009" xr:uid="{00000000-0005-0000-0000-0000358A0000}"/>
    <cellStyle name="Accent6 - 20% 2 2" xfId="38092" xr:uid="{00000000-0005-0000-0000-0000368A0000}"/>
    <cellStyle name="Accent6 - 20% 2 2 2" xfId="38093" xr:uid="{00000000-0005-0000-0000-0000378A0000}"/>
    <cellStyle name="Accent6 - 20% 2 3" xfId="38094" xr:uid="{00000000-0005-0000-0000-0000388A0000}"/>
    <cellStyle name="Accent6 - 20% 20" xfId="1010" xr:uid="{00000000-0005-0000-0000-0000398A0000}"/>
    <cellStyle name="Accent6 - 20% 20 2" xfId="38095" xr:uid="{00000000-0005-0000-0000-00003A8A0000}"/>
    <cellStyle name="Accent6 - 20% 21" xfId="1011" xr:uid="{00000000-0005-0000-0000-00003B8A0000}"/>
    <cellStyle name="Accent6 - 20% 21 2" xfId="38096" xr:uid="{00000000-0005-0000-0000-00003C8A0000}"/>
    <cellStyle name="Accent6 - 20% 22" xfId="1012" xr:uid="{00000000-0005-0000-0000-00003D8A0000}"/>
    <cellStyle name="Accent6 - 20% 22 2" xfId="38097" xr:uid="{00000000-0005-0000-0000-00003E8A0000}"/>
    <cellStyle name="Accent6 - 20% 23" xfId="1013" xr:uid="{00000000-0005-0000-0000-00003F8A0000}"/>
    <cellStyle name="Accent6 - 20% 23 2" xfId="38098" xr:uid="{00000000-0005-0000-0000-0000408A0000}"/>
    <cellStyle name="Accent6 - 20% 24" xfId="1014" xr:uid="{00000000-0005-0000-0000-0000418A0000}"/>
    <cellStyle name="Accent6 - 20% 24 2" xfId="38099" xr:uid="{00000000-0005-0000-0000-0000428A0000}"/>
    <cellStyle name="Accent6 - 20% 25" xfId="38100" xr:uid="{00000000-0005-0000-0000-0000438A0000}"/>
    <cellStyle name="Accent6 - 20% 26" xfId="38101" xr:uid="{00000000-0005-0000-0000-0000448A0000}"/>
    <cellStyle name="Accent6 - 20% 27" xfId="38102" xr:uid="{00000000-0005-0000-0000-0000458A0000}"/>
    <cellStyle name="Accent6 - 20% 3" xfId="1015" xr:uid="{00000000-0005-0000-0000-0000468A0000}"/>
    <cellStyle name="Accent6 - 20% 3 2" xfId="38103" xr:uid="{00000000-0005-0000-0000-0000478A0000}"/>
    <cellStyle name="Accent6 - 20% 4" xfId="1016" xr:uid="{00000000-0005-0000-0000-0000488A0000}"/>
    <cellStyle name="Accent6 - 20% 4 2" xfId="38104" xr:uid="{00000000-0005-0000-0000-0000498A0000}"/>
    <cellStyle name="Accent6 - 20% 5" xfId="1017" xr:uid="{00000000-0005-0000-0000-00004A8A0000}"/>
    <cellStyle name="Accent6 - 20% 5 2" xfId="38105" xr:uid="{00000000-0005-0000-0000-00004B8A0000}"/>
    <cellStyle name="Accent6 - 20% 6" xfId="1018" xr:uid="{00000000-0005-0000-0000-00004C8A0000}"/>
    <cellStyle name="Accent6 - 20% 6 2" xfId="38106" xr:uid="{00000000-0005-0000-0000-00004D8A0000}"/>
    <cellStyle name="Accent6 - 20% 7" xfId="1019" xr:uid="{00000000-0005-0000-0000-00004E8A0000}"/>
    <cellStyle name="Accent6 - 20% 7 2" xfId="38107" xr:uid="{00000000-0005-0000-0000-00004F8A0000}"/>
    <cellStyle name="Accent6 - 20% 8" xfId="1020" xr:uid="{00000000-0005-0000-0000-0000508A0000}"/>
    <cellStyle name="Accent6 - 20% 8 2" xfId="38108" xr:uid="{00000000-0005-0000-0000-0000518A0000}"/>
    <cellStyle name="Accent6 - 20% 9" xfId="1021" xr:uid="{00000000-0005-0000-0000-0000528A0000}"/>
    <cellStyle name="Accent6 - 20% 9 2" xfId="38109" xr:uid="{00000000-0005-0000-0000-0000538A0000}"/>
    <cellStyle name="Accent6 - 40%" xfId="24" xr:uid="{00000000-0005-0000-0000-000028000000}"/>
    <cellStyle name="Accent6 - 40% 10" xfId="1022" xr:uid="{00000000-0005-0000-0000-0000558A0000}"/>
    <cellStyle name="Accent6 - 40% 10 2" xfId="38110" xr:uid="{00000000-0005-0000-0000-0000568A0000}"/>
    <cellStyle name="Accent6 - 40% 11" xfId="1023" xr:uid="{00000000-0005-0000-0000-0000578A0000}"/>
    <cellStyle name="Accent6 - 40% 11 2" xfId="38111" xr:uid="{00000000-0005-0000-0000-0000588A0000}"/>
    <cellStyle name="Accent6 - 40% 12" xfId="1024" xr:uid="{00000000-0005-0000-0000-0000598A0000}"/>
    <cellStyle name="Accent6 - 40% 12 2" xfId="38112" xr:uid="{00000000-0005-0000-0000-00005A8A0000}"/>
    <cellStyle name="Accent6 - 40% 13" xfId="1025" xr:uid="{00000000-0005-0000-0000-00005B8A0000}"/>
    <cellStyle name="Accent6 - 40% 13 2" xfId="38113" xr:uid="{00000000-0005-0000-0000-00005C8A0000}"/>
    <cellStyle name="Accent6 - 40% 14" xfId="1026" xr:uid="{00000000-0005-0000-0000-00005D8A0000}"/>
    <cellStyle name="Accent6 - 40% 14 2" xfId="38114" xr:uid="{00000000-0005-0000-0000-00005E8A0000}"/>
    <cellStyle name="Accent6 - 40% 15" xfId="1027" xr:uid="{00000000-0005-0000-0000-00005F8A0000}"/>
    <cellStyle name="Accent6 - 40% 15 2" xfId="38115" xr:uid="{00000000-0005-0000-0000-0000608A0000}"/>
    <cellStyle name="Accent6 - 40% 16" xfId="1028" xr:uid="{00000000-0005-0000-0000-0000618A0000}"/>
    <cellStyle name="Accent6 - 40% 16 2" xfId="38116" xr:uid="{00000000-0005-0000-0000-0000628A0000}"/>
    <cellStyle name="Accent6 - 40% 17" xfId="1029" xr:uid="{00000000-0005-0000-0000-0000638A0000}"/>
    <cellStyle name="Accent6 - 40% 17 2" xfId="38117" xr:uid="{00000000-0005-0000-0000-0000648A0000}"/>
    <cellStyle name="Accent6 - 40% 18" xfId="1030" xr:uid="{00000000-0005-0000-0000-0000658A0000}"/>
    <cellStyle name="Accent6 - 40% 18 2" xfId="38118" xr:uid="{00000000-0005-0000-0000-0000668A0000}"/>
    <cellStyle name="Accent6 - 40% 19" xfId="1031" xr:uid="{00000000-0005-0000-0000-0000678A0000}"/>
    <cellStyle name="Accent6 - 40% 19 2" xfId="38119" xr:uid="{00000000-0005-0000-0000-0000688A0000}"/>
    <cellStyle name="Accent6 - 40% 2" xfId="1032" xr:uid="{00000000-0005-0000-0000-0000698A0000}"/>
    <cellStyle name="Accent6 - 40% 2 2" xfId="38120" xr:uid="{00000000-0005-0000-0000-00006A8A0000}"/>
    <cellStyle name="Accent6 - 40% 2 2 2" xfId="38121" xr:uid="{00000000-0005-0000-0000-00006B8A0000}"/>
    <cellStyle name="Accent6 - 40% 2 3" xfId="38122" xr:uid="{00000000-0005-0000-0000-00006C8A0000}"/>
    <cellStyle name="Accent6 - 40% 20" xfId="1033" xr:uid="{00000000-0005-0000-0000-00006D8A0000}"/>
    <cellStyle name="Accent6 - 40% 20 2" xfId="38123" xr:uid="{00000000-0005-0000-0000-00006E8A0000}"/>
    <cellStyle name="Accent6 - 40% 21" xfId="1034" xr:uid="{00000000-0005-0000-0000-00006F8A0000}"/>
    <cellStyle name="Accent6 - 40% 21 2" xfId="38124" xr:uid="{00000000-0005-0000-0000-0000708A0000}"/>
    <cellStyle name="Accent6 - 40% 22" xfId="1035" xr:uid="{00000000-0005-0000-0000-0000718A0000}"/>
    <cellStyle name="Accent6 - 40% 22 2" xfId="38125" xr:uid="{00000000-0005-0000-0000-0000728A0000}"/>
    <cellStyle name="Accent6 - 40% 23" xfId="1036" xr:uid="{00000000-0005-0000-0000-0000738A0000}"/>
    <cellStyle name="Accent6 - 40% 23 2" xfId="38126" xr:uid="{00000000-0005-0000-0000-0000748A0000}"/>
    <cellStyle name="Accent6 - 40% 24" xfId="1037" xr:uid="{00000000-0005-0000-0000-0000758A0000}"/>
    <cellStyle name="Accent6 - 40% 24 2" xfId="38127" xr:uid="{00000000-0005-0000-0000-0000768A0000}"/>
    <cellStyle name="Accent6 - 40% 25" xfId="1038" xr:uid="{00000000-0005-0000-0000-0000778A0000}"/>
    <cellStyle name="Accent6 - 40% 25 2" xfId="38128" xr:uid="{00000000-0005-0000-0000-0000788A0000}"/>
    <cellStyle name="Accent6 - 40% 26" xfId="1039" xr:uid="{00000000-0005-0000-0000-0000798A0000}"/>
    <cellStyle name="Accent6 - 40% 26 2" xfId="38129" xr:uid="{00000000-0005-0000-0000-00007A8A0000}"/>
    <cellStyle name="Accent6 - 40% 27" xfId="1040" xr:uid="{00000000-0005-0000-0000-00007B8A0000}"/>
    <cellStyle name="Accent6 - 40% 27 2" xfId="38130" xr:uid="{00000000-0005-0000-0000-00007C8A0000}"/>
    <cellStyle name="Accent6 - 40% 28" xfId="1041" xr:uid="{00000000-0005-0000-0000-00007D8A0000}"/>
    <cellStyle name="Accent6 - 40% 28 2" xfId="38131" xr:uid="{00000000-0005-0000-0000-00007E8A0000}"/>
    <cellStyle name="Accent6 - 40% 29" xfId="1042" xr:uid="{00000000-0005-0000-0000-00007F8A0000}"/>
    <cellStyle name="Accent6 - 40% 29 2" xfId="38132" xr:uid="{00000000-0005-0000-0000-0000808A0000}"/>
    <cellStyle name="Accent6 - 40% 3" xfId="1043" xr:uid="{00000000-0005-0000-0000-0000818A0000}"/>
    <cellStyle name="Accent6 - 40% 3 2" xfId="38133" xr:uid="{00000000-0005-0000-0000-0000828A0000}"/>
    <cellStyle name="Accent6 - 40% 30" xfId="1044" xr:uid="{00000000-0005-0000-0000-0000838A0000}"/>
    <cellStyle name="Accent6 - 40% 30 2" xfId="38134" xr:uid="{00000000-0005-0000-0000-0000848A0000}"/>
    <cellStyle name="Accent6 - 40% 31" xfId="1045" xr:uid="{00000000-0005-0000-0000-0000858A0000}"/>
    <cellStyle name="Accent6 - 40% 31 2" xfId="38135" xr:uid="{00000000-0005-0000-0000-0000868A0000}"/>
    <cellStyle name="Accent6 - 40% 32" xfId="1046" xr:uid="{00000000-0005-0000-0000-0000878A0000}"/>
    <cellStyle name="Accent6 - 40% 32 2" xfId="38136" xr:uid="{00000000-0005-0000-0000-0000888A0000}"/>
    <cellStyle name="Accent6 - 40% 33" xfId="1047" xr:uid="{00000000-0005-0000-0000-0000898A0000}"/>
    <cellStyle name="Accent6 - 40% 33 2" xfId="38137" xr:uid="{00000000-0005-0000-0000-00008A8A0000}"/>
    <cellStyle name="Accent6 - 40% 34" xfId="1048" xr:uid="{00000000-0005-0000-0000-00008B8A0000}"/>
    <cellStyle name="Accent6 - 40% 34 2" xfId="38138" xr:uid="{00000000-0005-0000-0000-00008C8A0000}"/>
    <cellStyle name="Accent6 - 40% 35" xfId="1049" xr:uid="{00000000-0005-0000-0000-00008D8A0000}"/>
    <cellStyle name="Accent6 - 40% 35 2" xfId="38139" xr:uid="{00000000-0005-0000-0000-00008E8A0000}"/>
    <cellStyle name="Accent6 - 40% 36" xfId="1050" xr:uid="{00000000-0005-0000-0000-00008F8A0000}"/>
    <cellStyle name="Accent6 - 40% 36 2" xfId="38140" xr:uid="{00000000-0005-0000-0000-0000908A0000}"/>
    <cellStyle name="Accent6 - 40% 37" xfId="1051" xr:uid="{00000000-0005-0000-0000-0000918A0000}"/>
    <cellStyle name="Accent6 - 40% 37 2" xfId="38141" xr:uid="{00000000-0005-0000-0000-0000928A0000}"/>
    <cellStyle name="Accent6 - 40% 38" xfId="1052" xr:uid="{00000000-0005-0000-0000-0000938A0000}"/>
    <cellStyle name="Accent6 - 40% 38 2" xfId="38142" xr:uid="{00000000-0005-0000-0000-0000948A0000}"/>
    <cellStyle name="Accent6 - 40% 39" xfId="1053" xr:uid="{00000000-0005-0000-0000-0000958A0000}"/>
    <cellStyle name="Accent6 - 40% 39 2" xfId="38143" xr:uid="{00000000-0005-0000-0000-0000968A0000}"/>
    <cellStyle name="Accent6 - 40% 4" xfId="1054" xr:uid="{00000000-0005-0000-0000-0000978A0000}"/>
    <cellStyle name="Accent6 - 40% 4 2" xfId="38144" xr:uid="{00000000-0005-0000-0000-0000988A0000}"/>
    <cellStyle name="Accent6 - 40% 40" xfId="1055" xr:uid="{00000000-0005-0000-0000-0000998A0000}"/>
    <cellStyle name="Accent6 - 40% 40 2" xfId="38145" xr:uid="{00000000-0005-0000-0000-00009A8A0000}"/>
    <cellStyle name="Accent6 - 40% 41" xfId="1056" xr:uid="{00000000-0005-0000-0000-00009B8A0000}"/>
    <cellStyle name="Accent6 - 40% 41 2" xfId="38146" xr:uid="{00000000-0005-0000-0000-00009C8A0000}"/>
    <cellStyle name="Accent6 - 40% 42" xfId="1057" xr:uid="{00000000-0005-0000-0000-00009D8A0000}"/>
    <cellStyle name="Accent6 - 40% 42 2" xfId="38147" xr:uid="{00000000-0005-0000-0000-00009E8A0000}"/>
    <cellStyle name="Accent6 - 40% 43" xfId="1058" xr:uid="{00000000-0005-0000-0000-00009F8A0000}"/>
    <cellStyle name="Accent6 - 40% 43 2" xfId="38148" xr:uid="{00000000-0005-0000-0000-0000A08A0000}"/>
    <cellStyle name="Accent6 - 40% 44" xfId="1059" xr:uid="{00000000-0005-0000-0000-0000A18A0000}"/>
    <cellStyle name="Accent6 - 40% 44 2" xfId="38149" xr:uid="{00000000-0005-0000-0000-0000A28A0000}"/>
    <cellStyle name="Accent6 - 40% 45" xfId="1060" xr:uid="{00000000-0005-0000-0000-0000A38A0000}"/>
    <cellStyle name="Accent6 - 40% 45 2" xfId="38150" xr:uid="{00000000-0005-0000-0000-0000A48A0000}"/>
    <cellStyle name="Accent6 - 40% 46" xfId="1061" xr:uid="{00000000-0005-0000-0000-0000A58A0000}"/>
    <cellStyle name="Accent6 - 40% 46 2" xfId="38151" xr:uid="{00000000-0005-0000-0000-0000A68A0000}"/>
    <cellStyle name="Accent6 - 40% 47" xfId="38152" xr:uid="{00000000-0005-0000-0000-0000A78A0000}"/>
    <cellStyle name="Accent6 - 40% 47 2" xfId="38153" xr:uid="{00000000-0005-0000-0000-0000A88A0000}"/>
    <cellStyle name="Accent6 - 40% 47 3" xfId="38154" xr:uid="{00000000-0005-0000-0000-0000A98A0000}"/>
    <cellStyle name="Accent6 - 40% 48" xfId="38155" xr:uid="{00000000-0005-0000-0000-0000AA8A0000}"/>
    <cellStyle name="Accent6 - 40% 49" xfId="38156" xr:uid="{00000000-0005-0000-0000-0000AB8A0000}"/>
    <cellStyle name="Accent6 - 40% 5" xfId="1062" xr:uid="{00000000-0005-0000-0000-0000AC8A0000}"/>
    <cellStyle name="Accent6 - 40% 5 2" xfId="38157" xr:uid="{00000000-0005-0000-0000-0000AD8A0000}"/>
    <cellStyle name="Accent6 - 40% 50" xfId="38158" xr:uid="{00000000-0005-0000-0000-0000AE8A0000}"/>
    <cellStyle name="Accent6 - 40% 6" xfId="1063" xr:uid="{00000000-0005-0000-0000-0000AF8A0000}"/>
    <cellStyle name="Accent6 - 40% 6 2" xfId="38159" xr:uid="{00000000-0005-0000-0000-0000B08A0000}"/>
    <cellStyle name="Accent6 - 40% 7" xfId="1064" xr:uid="{00000000-0005-0000-0000-0000B18A0000}"/>
    <cellStyle name="Accent6 - 40% 7 2" xfId="38160" xr:uid="{00000000-0005-0000-0000-0000B28A0000}"/>
    <cellStyle name="Accent6 - 40% 8" xfId="1065" xr:uid="{00000000-0005-0000-0000-0000B38A0000}"/>
    <cellStyle name="Accent6 - 40% 8 2" xfId="38161" xr:uid="{00000000-0005-0000-0000-0000B48A0000}"/>
    <cellStyle name="Accent6 - 40% 9" xfId="1066" xr:uid="{00000000-0005-0000-0000-0000B58A0000}"/>
    <cellStyle name="Accent6 - 40% 9 2" xfId="38162" xr:uid="{00000000-0005-0000-0000-0000B68A0000}"/>
    <cellStyle name="Accent6 - 60%" xfId="25" xr:uid="{00000000-0005-0000-0000-000029000000}"/>
    <cellStyle name="Accent6 - 60% 10" xfId="1067" xr:uid="{00000000-0005-0000-0000-0000B88A0000}"/>
    <cellStyle name="Accent6 - 60% 10 2" xfId="38163" xr:uid="{00000000-0005-0000-0000-0000B98A0000}"/>
    <cellStyle name="Accent6 - 60% 11" xfId="1068" xr:uid="{00000000-0005-0000-0000-0000BA8A0000}"/>
    <cellStyle name="Accent6 - 60% 11 2" xfId="38164" xr:uid="{00000000-0005-0000-0000-0000BB8A0000}"/>
    <cellStyle name="Accent6 - 60% 12" xfId="1069" xr:uid="{00000000-0005-0000-0000-0000BC8A0000}"/>
    <cellStyle name="Accent6 - 60% 12 2" xfId="38165" xr:uid="{00000000-0005-0000-0000-0000BD8A0000}"/>
    <cellStyle name="Accent6 - 60% 13" xfId="1070" xr:uid="{00000000-0005-0000-0000-0000BE8A0000}"/>
    <cellStyle name="Accent6 - 60% 13 2" xfId="38166" xr:uid="{00000000-0005-0000-0000-0000BF8A0000}"/>
    <cellStyle name="Accent6 - 60% 14" xfId="1071" xr:uid="{00000000-0005-0000-0000-0000C08A0000}"/>
    <cellStyle name="Accent6 - 60% 14 2" xfId="38167" xr:uid="{00000000-0005-0000-0000-0000C18A0000}"/>
    <cellStyle name="Accent6 - 60% 15" xfId="1072" xr:uid="{00000000-0005-0000-0000-0000C28A0000}"/>
    <cellStyle name="Accent6 - 60% 15 2" xfId="38168" xr:uid="{00000000-0005-0000-0000-0000C38A0000}"/>
    <cellStyle name="Accent6 - 60% 16" xfId="1073" xr:uid="{00000000-0005-0000-0000-0000C48A0000}"/>
    <cellStyle name="Accent6 - 60% 16 2" xfId="38169" xr:uid="{00000000-0005-0000-0000-0000C58A0000}"/>
    <cellStyle name="Accent6 - 60% 17" xfId="1074" xr:uid="{00000000-0005-0000-0000-0000C68A0000}"/>
    <cellStyle name="Accent6 - 60% 17 2" xfId="38170" xr:uid="{00000000-0005-0000-0000-0000C78A0000}"/>
    <cellStyle name="Accent6 - 60% 18" xfId="1075" xr:uid="{00000000-0005-0000-0000-0000C88A0000}"/>
    <cellStyle name="Accent6 - 60% 18 2" xfId="38171" xr:uid="{00000000-0005-0000-0000-0000C98A0000}"/>
    <cellStyle name="Accent6 - 60% 19" xfId="1076" xr:uid="{00000000-0005-0000-0000-0000CA8A0000}"/>
    <cellStyle name="Accent6 - 60% 19 2" xfId="38172" xr:uid="{00000000-0005-0000-0000-0000CB8A0000}"/>
    <cellStyle name="Accent6 - 60% 2" xfId="1077" xr:uid="{00000000-0005-0000-0000-0000CC8A0000}"/>
    <cellStyle name="Accent6 - 60% 2 2" xfId="38173" xr:uid="{00000000-0005-0000-0000-0000CD8A0000}"/>
    <cellStyle name="Accent6 - 60% 2 2 2" xfId="38174" xr:uid="{00000000-0005-0000-0000-0000CE8A0000}"/>
    <cellStyle name="Accent6 - 60% 2 3" xfId="38175" xr:uid="{00000000-0005-0000-0000-0000CF8A0000}"/>
    <cellStyle name="Accent6 - 60% 20" xfId="1078" xr:uid="{00000000-0005-0000-0000-0000D08A0000}"/>
    <cellStyle name="Accent6 - 60% 20 2" xfId="38176" xr:uid="{00000000-0005-0000-0000-0000D18A0000}"/>
    <cellStyle name="Accent6 - 60% 21" xfId="1079" xr:uid="{00000000-0005-0000-0000-0000D28A0000}"/>
    <cellStyle name="Accent6 - 60% 21 2" xfId="38177" xr:uid="{00000000-0005-0000-0000-0000D38A0000}"/>
    <cellStyle name="Accent6 - 60% 22" xfId="1080" xr:uid="{00000000-0005-0000-0000-0000D48A0000}"/>
    <cellStyle name="Accent6 - 60% 22 2" xfId="38178" xr:uid="{00000000-0005-0000-0000-0000D58A0000}"/>
    <cellStyle name="Accent6 - 60% 23" xfId="1081" xr:uid="{00000000-0005-0000-0000-0000D68A0000}"/>
    <cellStyle name="Accent6 - 60% 23 2" xfId="38179" xr:uid="{00000000-0005-0000-0000-0000D78A0000}"/>
    <cellStyle name="Accent6 - 60% 24" xfId="1082" xr:uid="{00000000-0005-0000-0000-0000D88A0000}"/>
    <cellStyle name="Accent6 - 60% 24 2" xfId="38180" xr:uid="{00000000-0005-0000-0000-0000D98A0000}"/>
    <cellStyle name="Accent6 - 60% 25" xfId="1083" xr:uid="{00000000-0005-0000-0000-0000DA8A0000}"/>
    <cellStyle name="Accent6 - 60% 25 2" xfId="38181" xr:uid="{00000000-0005-0000-0000-0000DB8A0000}"/>
    <cellStyle name="Accent6 - 60% 26" xfId="1084" xr:uid="{00000000-0005-0000-0000-0000DC8A0000}"/>
    <cellStyle name="Accent6 - 60% 26 2" xfId="38182" xr:uid="{00000000-0005-0000-0000-0000DD8A0000}"/>
    <cellStyle name="Accent6 - 60% 27" xfId="1085" xr:uid="{00000000-0005-0000-0000-0000DE8A0000}"/>
    <cellStyle name="Accent6 - 60% 27 2" xfId="38183" xr:uid="{00000000-0005-0000-0000-0000DF8A0000}"/>
    <cellStyle name="Accent6 - 60% 28" xfId="1086" xr:uid="{00000000-0005-0000-0000-0000E08A0000}"/>
    <cellStyle name="Accent6 - 60% 28 2" xfId="38184" xr:uid="{00000000-0005-0000-0000-0000E18A0000}"/>
    <cellStyle name="Accent6 - 60% 29" xfId="1087" xr:uid="{00000000-0005-0000-0000-0000E28A0000}"/>
    <cellStyle name="Accent6 - 60% 29 2" xfId="38185" xr:uid="{00000000-0005-0000-0000-0000E38A0000}"/>
    <cellStyle name="Accent6 - 60% 3" xfId="1088" xr:uid="{00000000-0005-0000-0000-0000E48A0000}"/>
    <cellStyle name="Accent6 - 60% 3 2" xfId="38186" xr:uid="{00000000-0005-0000-0000-0000E58A0000}"/>
    <cellStyle name="Accent6 - 60% 30" xfId="1089" xr:uid="{00000000-0005-0000-0000-0000E68A0000}"/>
    <cellStyle name="Accent6 - 60% 30 2" xfId="38187" xr:uid="{00000000-0005-0000-0000-0000E78A0000}"/>
    <cellStyle name="Accent6 - 60% 31" xfId="1090" xr:uid="{00000000-0005-0000-0000-0000E88A0000}"/>
    <cellStyle name="Accent6 - 60% 31 2" xfId="38188" xr:uid="{00000000-0005-0000-0000-0000E98A0000}"/>
    <cellStyle name="Accent6 - 60% 32" xfId="1091" xr:uid="{00000000-0005-0000-0000-0000EA8A0000}"/>
    <cellStyle name="Accent6 - 60% 32 2" xfId="38189" xr:uid="{00000000-0005-0000-0000-0000EB8A0000}"/>
    <cellStyle name="Accent6 - 60% 33" xfId="1092" xr:uid="{00000000-0005-0000-0000-0000EC8A0000}"/>
    <cellStyle name="Accent6 - 60% 33 2" xfId="38190" xr:uid="{00000000-0005-0000-0000-0000ED8A0000}"/>
    <cellStyle name="Accent6 - 60% 34" xfId="1093" xr:uid="{00000000-0005-0000-0000-0000EE8A0000}"/>
    <cellStyle name="Accent6 - 60% 34 2" xfId="38191" xr:uid="{00000000-0005-0000-0000-0000EF8A0000}"/>
    <cellStyle name="Accent6 - 60% 35" xfId="1094" xr:uid="{00000000-0005-0000-0000-0000F08A0000}"/>
    <cellStyle name="Accent6 - 60% 35 2" xfId="38192" xr:uid="{00000000-0005-0000-0000-0000F18A0000}"/>
    <cellStyle name="Accent6 - 60% 36" xfId="1095" xr:uid="{00000000-0005-0000-0000-0000F28A0000}"/>
    <cellStyle name="Accent6 - 60% 36 2" xfId="38193" xr:uid="{00000000-0005-0000-0000-0000F38A0000}"/>
    <cellStyle name="Accent6 - 60% 37" xfId="1096" xr:uid="{00000000-0005-0000-0000-0000F48A0000}"/>
    <cellStyle name="Accent6 - 60% 37 2" xfId="38194" xr:uid="{00000000-0005-0000-0000-0000F58A0000}"/>
    <cellStyle name="Accent6 - 60% 38" xfId="1097" xr:uid="{00000000-0005-0000-0000-0000F68A0000}"/>
    <cellStyle name="Accent6 - 60% 38 2" xfId="38195" xr:uid="{00000000-0005-0000-0000-0000F78A0000}"/>
    <cellStyle name="Accent6 - 60% 39" xfId="1098" xr:uid="{00000000-0005-0000-0000-0000F88A0000}"/>
    <cellStyle name="Accent6 - 60% 39 2" xfId="38196" xr:uid="{00000000-0005-0000-0000-0000F98A0000}"/>
    <cellStyle name="Accent6 - 60% 4" xfId="1099" xr:uid="{00000000-0005-0000-0000-0000FA8A0000}"/>
    <cellStyle name="Accent6 - 60% 4 2" xfId="38197" xr:uid="{00000000-0005-0000-0000-0000FB8A0000}"/>
    <cellStyle name="Accent6 - 60% 40" xfId="1100" xr:uid="{00000000-0005-0000-0000-0000FC8A0000}"/>
    <cellStyle name="Accent6 - 60% 40 2" xfId="38198" xr:uid="{00000000-0005-0000-0000-0000FD8A0000}"/>
    <cellStyle name="Accent6 - 60% 41" xfId="1101" xr:uid="{00000000-0005-0000-0000-0000FE8A0000}"/>
    <cellStyle name="Accent6 - 60% 41 2" xfId="38199" xr:uid="{00000000-0005-0000-0000-0000FF8A0000}"/>
    <cellStyle name="Accent6 - 60% 42" xfId="1102" xr:uid="{00000000-0005-0000-0000-0000008B0000}"/>
    <cellStyle name="Accent6 - 60% 42 2" xfId="38200" xr:uid="{00000000-0005-0000-0000-0000018B0000}"/>
    <cellStyle name="Accent6 - 60% 43" xfId="1103" xr:uid="{00000000-0005-0000-0000-0000028B0000}"/>
    <cellStyle name="Accent6 - 60% 43 2" xfId="38201" xr:uid="{00000000-0005-0000-0000-0000038B0000}"/>
    <cellStyle name="Accent6 - 60% 44" xfId="1104" xr:uid="{00000000-0005-0000-0000-0000048B0000}"/>
    <cellStyle name="Accent6 - 60% 44 2" xfId="38202" xr:uid="{00000000-0005-0000-0000-0000058B0000}"/>
    <cellStyle name="Accent6 - 60% 45" xfId="1105" xr:uid="{00000000-0005-0000-0000-0000068B0000}"/>
    <cellStyle name="Accent6 - 60% 45 2" xfId="38203" xr:uid="{00000000-0005-0000-0000-0000078B0000}"/>
    <cellStyle name="Accent6 - 60% 46" xfId="38204" xr:uid="{00000000-0005-0000-0000-0000088B0000}"/>
    <cellStyle name="Accent6 - 60% 46 2" xfId="38205" xr:uid="{00000000-0005-0000-0000-0000098B0000}"/>
    <cellStyle name="Accent6 - 60% 46 3" xfId="38206" xr:uid="{00000000-0005-0000-0000-00000A8B0000}"/>
    <cellStyle name="Accent6 - 60% 47" xfId="38207" xr:uid="{00000000-0005-0000-0000-00000B8B0000}"/>
    <cellStyle name="Accent6 - 60% 48" xfId="38208" xr:uid="{00000000-0005-0000-0000-00000C8B0000}"/>
    <cellStyle name="Accent6 - 60% 49" xfId="38209" xr:uid="{00000000-0005-0000-0000-00000D8B0000}"/>
    <cellStyle name="Accent6 - 60% 5" xfId="1106" xr:uid="{00000000-0005-0000-0000-00000E8B0000}"/>
    <cellStyle name="Accent6 - 60% 5 2" xfId="38210" xr:uid="{00000000-0005-0000-0000-00000F8B0000}"/>
    <cellStyle name="Accent6 - 60% 50" xfId="38211" xr:uid="{00000000-0005-0000-0000-0000108B0000}"/>
    <cellStyle name="Accent6 - 60% 6" xfId="1107" xr:uid="{00000000-0005-0000-0000-0000118B0000}"/>
    <cellStyle name="Accent6 - 60% 6 2" xfId="38212" xr:uid="{00000000-0005-0000-0000-0000128B0000}"/>
    <cellStyle name="Accent6 - 60% 7" xfId="1108" xr:uid="{00000000-0005-0000-0000-0000138B0000}"/>
    <cellStyle name="Accent6 - 60% 7 2" xfId="38213" xr:uid="{00000000-0005-0000-0000-0000148B0000}"/>
    <cellStyle name="Accent6 - 60% 8" xfId="1109" xr:uid="{00000000-0005-0000-0000-0000158B0000}"/>
    <cellStyle name="Accent6 - 60% 8 2" xfId="38214" xr:uid="{00000000-0005-0000-0000-0000168B0000}"/>
    <cellStyle name="Accent6 - 60% 9" xfId="1110" xr:uid="{00000000-0005-0000-0000-0000178B0000}"/>
    <cellStyle name="Accent6 - 60% 9 2" xfId="38215" xr:uid="{00000000-0005-0000-0000-0000188B0000}"/>
    <cellStyle name="Accent6 10" xfId="1111" xr:uid="{00000000-0005-0000-0000-0000198B0000}"/>
    <cellStyle name="Accent6 10 2" xfId="38216" xr:uid="{00000000-0005-0000-0000-00001A8B0000}"/>
    <cellStyle name="Accent6 10 2 2" xfId="38217" xr:uid="{00000000-0005-0000-0000-00001B8B0000}"/>
    <cellStyle name="Accent6 10 3" xfId="38218" xr:uid="{00000000-0005-0000-0000-00001C8B0000}"/>
    <cellStyle name="Accent6 10 3 2" xfId="38219" xr:uid="{00000000-0005-0000-0000-00001D8B0000}"/>
    <cellStyle name="Accent6 10 4" xfId="38220" xr:uid="{00000000-0005-0000-0000-00001E8B0000}"/>
    <cellStyle name="Accent6 10 4 2" xfId="38221" xr:uid="{00000000-0005-0000-0000-00001F8B0000}"/>
    <cellStyle name="Accent6 10 5" xfId="38222" xr:uid="{00000000-0005-0000-0000-0000208B0000}"/>
    <cellStyle name="Accent6 11" xfId="1112" xr:uid="{00000000-0005-0000-0000-0000218B0000}"/>
    <cellStyle name="Accent6 11 2" xfId="38223" xr:uid="{00000000-0005-0000-0000-0000228B0000}"/>
    <cellStyle name="Accent6 11 2 2" xfId="38224" xr:uid="{00000000-0005-0000-0000-0000238B0000}"/>
    <cellStyle name="Accent6 11 3" xfId="38225" xr:uid="{00000000-0005-0000-0000-0000248B0000}"/>
    <cellStyle name="Accent6 11 3 2" xfId="38226" xr:uid="{00000000-0005-0000-0000-0000258B0000}"/>
    <cellStyle name="Accent6 11 4" xfId="38227" xr:uid="{00000000-0005-0000-0000-0000268B0000}"/>
    <cellStyle name="Accent6 11 4 2" xfId="38228" xr:uid="{00000000-0005-0000-0000-0000278B0000}"/>
    <cellStyle name="Accent6 11 5" xfId="38229" xr:uid="{00000000-0005-0000-0000-0000288B0000}"/>
    <cellStyle name="Accent6 12" xfId="1113" xr:uid="{00000000-0005-0000-0000-0000298B0000}"/>
    <cellStyle name="Accent6 12 2" xfId="38230" xr:uid="{00000000-0005-0000-0000-00002A8B0000}"/>
    <cellStyle name="Accent6 12 2 2" xfId="38231" xr:uid="{00000000-0005-0000-0000-00002B8B0000}"/>
    <cellStyle name="Accent6 12 3" xfId="38232" xr:uid="{00000000-0005-0000-0000-00002C8B0000}"/>
    <cellStyle name="Accent6 13" xfId="1114" xr:uid="{00000000-0005-0000-0000-00002D8B0000}"/>
    <cellStyle name="Accent6 13 2" xfId="38233" xr:uid="{00000000-0005-0000-0000-00002E8B0000}"/>
    <cellStyle name="Accent6 14" xfId="1115" xr:uid="{00000000-0005-0000-0000-00002F8B0000}"/>
    <cellStyle name="Accent6 14 2" xfId="38234" xr:uid="{00000000-0005-0000-0000-0000308B0000}"/>
    <cellStyle name="Accent6 15" xfId="1116" xr:uid="{00000000-0005-0000-0000-0000318B0000}"/>
    <cellStyle name="Accent6 15 2" xfId="38235" xr:uid="{00000000-0005-0000-0000-0000328B0000}"/>
    <cellStyle name="Accent6 16" xfId="1117" xr:uid="{00000000-0005-0000-0000-0000338B0000}"/>
    <cellStyle name="Accent6 16 2" xfId="38236" xr:uid="{00000000-0005-0000-0000-0000348B0000}"/>
    <cellStyle name="Accent6 17" xfId="1118" xr:uid="{00000000-0005-0000-0000-0000358B0000}"/>
    <cellStyle name="Accent6 17 2" xfId="38237" xr:uid="{00000000-0005-0000-0000-0000368B0000}"/>
    <cellStyle name="Accent6 18" xfId="1119" xr:uid="{00000000-0005-0000-0000-0000378B0000}"/>
    <cellStyle name="Accent6 18 2" xfId="38238" xr:uid="{00000000-0005-0000-0000-0000388B0000}"/>
    <cellStyle name="Accent6 19" xfId="1120" xr:uid="{00000000-0005-0000-0000-0000398B0000}"/>
    <cellStyle name="Accent6 19 2" xfId="38239" xr:uid="{00000000-0005-0000-0000-00003A8B0000}"/>
    <cellStyle name="Accent6 2" xfId="1121" xr:uid="{00000000-0005-0000-0000-00003B8B0000}"/>
    <cellStyle name="Accent6 2 2" xfId="1122" xr:uid="{00000000-0005-0000-0000-00003C8B0000}"/>
    <cellStyle name="Accent6 2 2 2" xfId="38240" xr:uid="{00000000-0005-0000-0000-00003D8B0000}"/>
    <cellStyle name="Accent6 2 2 2 2" xfId="38241" xr:uid="{00000000-0005-0000-0000-00003E8B0000}"/>
    <cellStyle name="Accent6 2 2 3" xfId="38242" xr:uid="{00000000-0005-0000-0000-00003F8B0000}"/>
    <cellStyle name="Accent6 2 3" xfId="1123" xr:uid="{00000000-0005-0000-0000-0000408B0000}"/>
    <cellStyle name="Accent6 2 3 2" xfId="38243" xr:uid="{00000000-0005-0000-0000-0000418B0000}"/>
    <cellStyle name="Accent6 2 3 2 2" xfId="38244" xr:uid="{00000000-0005-0000-0000-0000428B0000}"/>
    <cellStyle name="Accent6 2 3 3" xfId="38245" xr:uid="{00000000-0005-0000-0000-0000438B0000}"/>
    <cellStyle name="Accent6 2 4" xfId="1124" xr:uid="{00000000-0005-0000-0000-0000448B0000}"/>
    <cellStyle name="Accent6 2 4 2" xfId="38246" xr:uid="{00000000-0005-0000-0000-0000458B0000}"/>
    <cellStyle name="Accent6 2 4 2 2" xfId="38247" xr:uid="{00000000-0005-0000-0000-0000468B0000}"/>
    <cellStyle name="Accent6 2 4 3" xfId="38248" xr:uid="{00000000-0005-0000-0000-0000478B0000}"/>
    <cellStyle name="Accent6 2 5" xfId="38249" xr:uid="{00000000-0005-0000-0000-0000488B0000}"/>
    <cellStyle name="Accent6 2 5 2" xfId="38250" xr:uid="{00000000-0005-0000-0000-0000498B0000}"/>
    <cellStyle name="Accent6 2 6" xfId="38251" xr:uid="{00000000-0005-0000-0000-00004A8B0000}"/>
    <cellStyle name="Accent6 20" xfId="1125" xr:uid="{00000000-0005-0000-0000-00004B8B0000}"/>
    <cellStyle name="Accent6 20 2" xfId="38252" xr:uid="{00000000-0005-0000-0000-00004C8B0000}"/>
    <cellStyle name="Accent6 21" xfId="1126" xr:uid="{00000000-0005-0000-0000-00004D8B0000}"/>
    <cellStyle name="Accent6 21 2" xfId="38253" xr:uid="{00000000-0005-0000-0000-00004E8B0000}"/>
    <cellStyle name="Accent6 22" xfId="1127" xr:uid="{00000000-0005-0000-0000-00004F8B0000}"/>
    <cellStyle name="Accent6 22 2" xfId="38254" xr:uid="{00000000-0005-0000-0000-0000508B0000}"/>
    <cellStyle name="Accent6 23" xfId="1128" xr:uid="{00000000-0005-0000-0000-0000518B0000}"/>
    <cellStyle name="Accent6 23 2" xfId="38255" xr:uid="{00000000-0005-0000-0000-0000528B0000}"/>
    <cellStyle name="Accent6 24" xfId="1129" xr:uid="{00000000-0005-0000-0000-0000538B0000}"/>
    <cellStyle name="Accent6 24 2" xfId="1130" xr:uid="{00000000-0005-0000-0000-0000548B0000}"/>
    <cellStyle name="Accent6 24 2 2" xfId="38256" xr:uid="{00000000-0005-0000-0000-0000558B0000}"/>
    <cellStyle name="Accent6 24 3" xfId="38257" xr:uid="{00000000-0005-0000-0000-0000568B0000}"/>
    <cellStyle name="Accent6 25" xfId="1131" xr:uid="{00000000-0005-0000-0000-0000578B0000}"/>
    <cellStyle name="Accent6 25 2" xfId="38258" xr:uid="{00000000-0005-0000-0000-0000588B0000}"/>
    <cellStyle name="Accent6 26" xfId="38259" xr:uid="{00000000-0005-0000-0000-0000598B0000}"/>
    <cellStyle name="Accent6 26 2" xfId="38260" xr:uid="{00000000-0005-0000-0000-00005A8B0000}"/>
    <cellStyle name="Accent6 27" xfId="38261" xr:uid="{00000000-0005-0000-0000-00005B8B0000}"/>
    <cellStyle name="Accent6 27 2" xfId="38262" xr:uid="{00000000-0005-0000-0000-00005C8B0000}"/>
    <cellStyle name="Accent6 28" xfId="38263" xr:uid="{00000000-0005-0000-0000-00005D8B0000}"/>
    <cellStyle name="Accent6 28 2" xfId="38264" xr:uid="{00000000-0005-0000-0000-00005E8B0000}"/>
    <cellStyle name="Accent6 29" xfId="38265" xr:uid="{00000000-0005-0000-0000-00005F8B0000}"/>
    <cellStyle name="Accent6 29 2" xfId="38266" xr:uid="{00000000-0005-0000-0000-0000608B0000}"/>
    <cellStyle name="Accent6 3" xfId="1132" xr:uid="{00000000-0005-0000-0000-0000618B0000}"/>
    <cellStyle name="Accent6 3 2" xfId="38267" xr:uid="{00000000-0005-0000-0000-0000628B0000}"/>
    <cellStyle name="Accent6 3 2 2" xfId="38268" xr:uid="{00000000-0005-0000-0000-0000638B0000}"/>
    <cellStyle name="Accent6 3 3" xfId="38269" xr:uid="{00000000-0005-0000-0000-0000648B0000}"/>
    <cellStyle name="Accent6 3 3 2" xfId="38270" xr:uid="{00000000-0005-0000-0000-0000658B0000}"/>
    <cellStyle name="Accent6 3 4" xfId="38271" xr:uid="{00000000-0005-0000-0000-0000668B0000}"/>
    <cellStyle name="Accent6 3 4 2" xfId="38272" xr:uid="{00000000-0005-0000-0000-0000678B0000}"/>
    <cellStyle name="Accent6 3 5" xfId="38273" xr:uid="{00000000-0005-0000-0000-0000688B0000}"/>
    <cellStyle name="Accent6 3 5 2" xfId="38274" xr:uid="{00000000-0005-0000-0000-0000698B0000}"/>
    <cellStyle name="Accent6 3 6" xfId="38275" xr:uid="{00000000-0005-0000-0000-00006A8B0000}"/>
    <cellStyle name="Accent6 3 7" xfId="38276" xr:uid="{00000000-0005-0000-0000-00006B8B0000}"/>
    <cellStyle name="Accent6 30" xfId="38277" xr:uid="{00000000-0005-0000-0000-00006C8B0000}"/>
    <cellStyle name="Accent6 30 2" xfId="38278" xr:uid="{00000000-0005-0000-0000-00006D8B0000}"/>
    <cellStyle name="Accent6 31" xfId="38279" xr:uid="{00000000-0005-0000-0000-00006E8B0000}"/>
    <cellStyle name="Accent6 31 2" xfId="38280" xr:uid="{00000000-0005-0000-0000-00006F8B0000}"/>
    <cellStyle name="Accent6 32" xfId="38281" xr:uid="{00000000-0005-0000-0000-0000708B0000}"/>
    <cellStyle name="Accent6 32 2" xfId="38282" xr:uid="{00000000-0005-0000-0000-0000718B0000}"/>
    <cellStyle name="Accent6 33" xfId="38283" xr:uid="{00000000-0005-0000-0000-0000728B0000}"/>
    <cellStyle name="Accent6 33 2" xfId="38284" xr:uid="{00000000-0005-0000-0000-0000738B0000}"/>
    <cellStyle name="Accent6 34" xfId="38285" xr:uid="{00000000-0005-0000-0000-0000748B0000}"/>
    <cellStyle name="Accent6 34 2" xfId="38286" xr:uid="{00000000-0005-0000-0000-0000758B0000}"/>
    <cellStyle name="Accent6 35" xfId="38287" xr:uid="{00000000-0005-0000-0000-0000768B0000}"/>
    <cellStyle name="Accent6 35 2" xfId="38288" xr:uid="{00000000-0005-0000-0000-0000778B0000}"/>
    <cellStyle name="Accent6 36" xfId="38289" xr:uid="{00000000-0005-0000-0000-0000788B0000}"/>
    <cellStyle name="Accent6 36 2" xfId="38290" xr:uid="{00000000-0005-0000-0000-0000798B0000}"/>
    <cellStyle name="Accent6 37" xfId="38291" xr:uid="{00000000-0005-0000-0000-00007A8B0000}"/>
    <cellStyle name="Accent6 37 2" xfId="38292" xr:uid="{00000000-0005-0000-0000-00007B8B0000}"/>
    <cellStyle name="Accent6 38" xfId="38293" xr:uid="{00000000-0005-0000-0000-00007C8B0000}"/>
    <cellStyle name="Accent6 38 2" xfId="38294" xr:uid="{00000000-0005-0000-0000-00007D8B0000}"/>
    <cellStyle name="Accent6 39" xfId="38295" xr:uid="{00000000-0005-0000-0000-00007E8B0000}"/>
    <cellStyle name="Accent6 39 2" xfId="38296" xr:uid="{00000000-0005-0000-0000-00007F8B0000}"/>
    <cellStyle name="Accent6 4" xfId="1133" xr:uid="{00000000-0005-0000-0000-0000808B0000}"/>
    <cellStyle name="Accent6 4 2" xfId="38297" xr:uid="{00000000-0005-0000-0000-0000818B0000}"/>
    <cellStyle name="Accent6 4 2 2" xfId="38298" xr:uid="{00000000-0005-0000-0000-0000828B0000}"/>
    <cellStyle name="Accent6 4 3" xfId="38299" xr:uid="{00000000-0005-0000-0000-0000838B0000}"/>
    <cellStyle name="Accent6 4 3 2" xfId="38300" xr:uid="{00000000-0005-0000-0000-0000848B0000}"/>
    <cellStyle name="Accent6 4 4" xfId="38301" xr:uid="{00000000-0005-0000-0000-0000858B0000}"/>
    <cellStyle name="Accent6 4 4 2" xfId="38302" xr:uid="{00000000-0005-0000-0000-0000868B0000}"/>
    <cellStyle name="Accent6 4 5" xfId="38303" xr:uid="{00000000-0005-0000-0000-0000878B0000}"/>
    <cellStyle name="Accent6 4 5 2" xfId="38304" xr:uid="{00000000-0005-0000-0000-0000888B0000}"/>
    <cellStyle name="Accent6 4 6" xfId="38305" xr:uid="{00000000-0005-0000-0000-0000898B0000}"/>
    <cellStyle name="Accent6 40" xfId="38306" xr:uid="{00000000-0005-0000-0000-00008A8B0000}"/>
    <cellStyle name="Accent6 40 2" xfId="38307" xr:uid="{00000000-0005-0000-0000-00008B8B0000}"/>
    <cellStyle name="Accent6 41" xfId="38308" xr:uid="{00000000-0005-0000-0000-00008C8B0000}"/>
    <cellStyle name="Accent6 41 2" xfId="38309" xr:uid="{00000000-0005-0000-0000-00008D8B0000}"/>
    <cellStyle name="Accent6 42" xfId="38310" xr:uid="{00000000-0005-0000-0000-00008E8B0000}"/>
    <cellStyle name="Accent6 42 2" xfId="38311" xr:uid="{00000000-0005-0000-0000-00008F8B0000}"/>
    <cellStyle name="Accent6 43" xfId="38312" xr:uid="{00000000-0005-0000-0000-0000908B0000}"/>
    <cellStyle name="Accent6 43 2" xfId="38313" xr:uid="{00000000-0005-0000-0000-0000918B0000}"/>
    <cellStyle name="Accent6 44" xfId="38314" xr:uid="{00000000-0005-0000-0000-0000928B0000}"/>
    <cellStyle name="Accent6 44 2" xfId="38315" xr:uid="{00000000-0005-0000-0000-0000938B0000}"/>
    <cellStyle name="Accent6 45" xfId="38316" xr:uid="{00000000-0005-0000-0000-0000948B0000}"/>
    <cellStyle name="Accent6 45 2" xfId="38317" xr:uid="{00000000-0005-0000-0000-0000958B0000}"/>
    <cellStyle name="Accent6 46" xfId="38318" xr:uid="{00000000-0005-0000-0000-0000968B0000}"/>
    <cellStyle name="Accent6 46 2" xfId="38319" xr:uid="{00000000-0005-0000-0000-0000978B0000}"/>
    <cellStyle name="Accent6 47" xfId="38320" xr:uid="{00000000-0005-0000-0000-0000988B0000}"/>
    <cellStyle name="Accent6 47 2" xfId="38321" xr:uid="{00000000-0005-0000-0000-0000998B0000}"/>
    <cellStyle name="Accent6 48" xfId="38322" xr:uid="{00000000-0005-0000-0000-00009A8B0000}"/>
    <cellStyle name="Accent6 48 2" xfId="38323" xr:uid="{00000000-0005-0000-0000-00009B8B0000}"/>
    <cellStyle name="Accent6 49" xfId="38324" xr:uid="{00000000-0005-0000-0000-00009C8B0000}"/>
    <cellStyle name="Accent6 49 2" xfId="38325" xr:uid="{00000000-0005-0000-0000-00009D8B0000}"/>
    <cellStyle name="Accent6 5" xfId="1134" xr:uid="{00000000-0005-0000-0000-00009E8B0000}"/>
    <cellStyle name="Accent6 5 2" xfId="38326" xr:uid="{00000000-0005-0000-0000-00009F8B0000}"/>
    <cellStyle name="Accent6 5 2 2" xfId="38327" xr:uid="{00000000-0005-0000-0000-0000A08B0000}"/>
    <cellStyle name="Accent6 5 3" xfId="38328" xr:uid="{00000000-0005-0000-0000-0000A18B0000}"/>
    <cellStyle name="Accent6 5 3 2" xfId="38329" xr:uid="{00000000-0005-0000-0000-0000A28B0000}"/>
    <cellStyle name="Accent6 5 4" xfId="38330" xr:uid="{00000000-0005-0000-0000-0000A38B0000}"/>
    <cellStyle name="Accent6 5 4 2" xfId="38331" xr:uid="{00000000-0005-0000-0000-0000A48B0000}"/>
    <cellStyle name="Accent6 5 5" xfId="38332" xr:uid="{00000000-0005-0000-0000-0000A58B0000}"/>
    <cellStyle name="Accent6 5 5 2" xfId="38333" xr:uid="{00000000-0005-0000-0000-0000A68B0000}"/>
    <cellStyle name="Accent6 5 6" xfId="38334" xr:uid="{00000000-0005-0000-0000-0000A78B0000}"/>
    <cellStyle name="Accent6 50" xfId="38335" xr:uid="{00000000-0005-0000-0000-0000A88B0000}"/>
    <cellStyle name="Accent6 50 2" xfId="38336" xr:uid="{00000000-0005-0000-0000-0000A98B0000}"/>
    <cellStyle name="Accent6 51" xfId="38337" xr:uid="{00000000-0005-0000-0000-0000AA8B0000}"/>
    <cellStyle name="Accent6 51 2" xfId="38338" xr:uid="{00000000-0005-0000-0000-0000AB8B0000}"/>
    <cellStyle name="Accent6 52" xfId="38339" xr:uid="{00000000-0005-0000-0000-0000AC8B0000}"/>
    <cellStyle name="Accent6 52 2" xfId="38340" xr:uid="{00000000-0005-0000-0000-0000AD8B0000}"/>
    <cellStyle name="Accent6 53" xfId="38341" xr:uid="{00000000-0005-0000-0000-0000AE8B0000}"/>
    <cellStyle name="Accent6 53 2" xfId="38342" xr:uid="{00000000-0005-0000-0000-0000AF8B0000}"/>
    <cellStyle name="Accent6 54" xfId="38343" xr:uid="{00000000-0005-0000-0000-0000B08B0000}"/>
    <cellStyle name="Accent6 55" xfId="38344" xr:uid="{00000000-0005-0000-0000-0000B18B0000}"/>
    <cellStyle name="Accent6 56" xfId="38345" xr:uid="{00000000-0005-0000-0000-0000B28B0000}"/>
    <cellStyle name="Accent6 57" xfId="38346" xr:uid="{00000000-0005-0000-0000-0000B38B0000}"/>
    <cellStyle name="Accent6 58" xfId="38347" xr:uid="{00000000-0005-0000-0000-0000B48B0000}"/>
    <cellStyle name="Accent6 59" xfId="38348" xr:uid="{00000000-0005-0000-0000-0000B58B0000}"/>
    <cellStyle name="Accent6 6" xfId="1135" xr:uid="{00000000-0005-0000-0000-0000B68B0000}"/>
    <cellStyle name="Accent6 6 2" xfId="38349" xr:uid="{00000000-0005-0000-0000-0000B78B0000}"/>
    <cellStyle name="Accent6 6 2 2" xfId="38350" xr:uid="{00000000-0005-0000-0000-0000B88B0000}"/>
    <cellStyle name="Accent6 6 3" xfId="38351" xr:uid="{00000000-0005-0000-0000-0000B98B0000}"/>
    <cellStyle name="Accent6 6 3 2" xfId="38352" xr:uid="{00000000-0005-0000-0000-0000BA8B0000}"/>
    <cellStyle name="Accent6 6 4" xfId="38353" xr:uid="{00000000-0005-0000-0000-0000BB8B0000}"/>
    <cellStyle name="Accent6 6 4 2" xfId="38354" xr:uid="{00000000-0005-0000-0000-0000BC8B0000}"/>
    <cellStyle name="Accent6 6 5" xfId="38355" xr:uid="{00000000-0005-0000-0000-0000BD8B0000}"/>
    <cellStyle name="Accent6 6 5 2" xfId="38356" xr:uid="{00000000-0005-0000-0000-0000BE8B0000}"/>
    <cellStyle name="Accent6 6 6" xfId="38357" xr:uid="{00000000-0005-0000-0000-0000BF8B0000}"/>
    <cellStyle name="Accent6 60" xfId="38358" xr:uid="{00000000-0005-0000-0000-0000C08B0000}"/>
    <cellStyle name="Accent6 61" xfId="38359" xr:uid="{00000000-0005-0000-0000-0000C18B0000}"/>
    <cellStyle name="Accent6 62" xfId="38360" xr:uid="{00000000-0005-0000-0000-0000C28B0000}"/>
    <cellStyle name="Accent6 63" xfId="38361" xr:uid="{00000000-0005-0000-0000-0000C38B0000}"/>
    <cellStyle name="Accent6 64" xfId="38362" xr:uid="{00000000-0005-0000-0000-0000C48B0000}"/>
    <cellStyle name="Accent6 65" xfId="38363" xr:uid="{00000000-0005-0000-0000-0000C58B0000}"/>
    <cellStyle name="Accent6 66" xfId="38364" xr:uid="{00000000-0005-0000-0000-0000C68B0000}"/>
    <cellStyle name="Accent6 67" xfId="38365" xr:uid="{00000000-0005-0000-0000-0000C78B0000}"/>
    <cellStyle name="Accent6 68" xfId="38366" xr:uid="{00000000-0005-0000-0000-0000C88B0000}"/>
    <cellStyle name="Accent6 69" xfId="38367" xr:uid="{00000000-0005-0000-0000-0000C98B0000}"/>
    <cellStyle name="Accent6 7" xfId="1136" xr:uid="{00000000-0005-0000-0000-0000CA8B0000}"/>
    <cellStyle name="Accent6 7 2" xfId="38368" xr:uid="{00000000-0005-0000-0000-0000CB8B0000}"/>
    <cellStyle name="Accent6 7 2 2" xfId="38369" xr:uid="{00000000-0005-0000-0000-0000CC8B0000}"/>
    <cellStyle name="Accent6 7 3" xfId="38370" xr:uid="{00000000-0005-0000-0000-0000CD8B0000}"/>
    <cellStyle name="Accent6 7 3 2" xfId="38371" xr:uid="{00000000-0005-0000-0000-0000CE8B0000}"/>
    <cellStyle name="Accent6 7 4" xfId="38372" xr:uid="{00000000-0005-0000-0000-0000CF8B0000}"/>
    <cellStyle name="Accent6 7 4 2" xfId="38373" xr:uid="{00000000-0005-0000-0000-0000D08B0000}"/>
    <cellStyle name="Accent6 7 5" xfId="38374" xr:uid="{00000000-0005-0000-0000-0000D18B0000}"/>
    <cellStyle name="Accent6 7 5 2" xfId="38375" xr:uid="{00000000-0005-0000-0000-0000D28B0000}"/>
    <cellStyle name="Accent6 7 6" xfId="38376" xr:uid="{00000000-0005-0000-0000-0000D38B0000}"/>
    <cellStyle name="Accent6 70" xfId="38377" xr:uid="{00000000-0005-0000-0000-0000D48B0000}"/>
    <cellStyle name="Accent6 71" xfId="38378" xr:uid="{00000000-0005-0000-0000-0000D58B0000}"/>
    <cellStyle name="Accent6 72" xfId="38379" xr:uid="{00000000-0005-0000-0000-0000D68B0000}"/>
    <cellStyle name="Accent6 73" xfId="38380" xr:uid="{00000000-0005-0000-0000-0000D78B0000}"/>
    <cellStyle name="Accent6 74" xfId="38381" xr:uid="{00000000-0005-0000-0000-0000D88B0000}"/>
    <cellStyle name="Accent6 75" xfId="38382" xr:uid="{00000000-0005-0000-0000-0000D98B0000}"/>
    <cellStyle name="Accent6 76" xfId="38383" xr:uid="{00000000-0005-0000-0000-0000DA8B0000}"/>
    <cellStyle name="Accent6 8" xfId="1137" xr:uid="{00000000-0005-0000-0000-0000DB8B0000}"/>
    <cellStyle name="Accent6 8 2" xfId="38384" xr:uid="{00000000-0005-0000-0000-0000DC8B0000}"/>
    <cellStyle name="Accent6 8 2 2" xfId="38385" xr:uid="{00000000-0005-0000-0000-0000DD8B0000}"/>
    <cellStyle name="Accent6 8 3" xfId="38386" xr:uid="{00000000-0005-0000-0000-0000DE8B0000}"/>
    <cellStyle name="Accent6 8 3 2" xfId="38387" xr:uid="{00000000-0005-0000-0000-0000DF8B0000}"/>
    <cellStyle name="Accent6 8 4" xfId="38388" xr:uid="{00000000-0005-0000-0000-0000E08B0000}"/>
    <cellStyle name="Accent6 8 4 2" xfId="38389" xr:uid="{00000000-0005-0000-0000-0000E18B0000}"/>
    <cellStyle name="Accent6 8 5" xfId="38390" xr:uid="{00000000-0005-0000-0000-0000E28B0000}"/>
    <cellStyle name="Accent6 9" xfId="1138" xr:uid="{00000000-0005-0000-0000-0000E38B0000}"/>
    <cellStyle name="Accent6 9 2" xfId="38391" xr:uid="{00000000-0005-0000-0000-0000E48B0000}"/>
    <cellStyle name="Accent6 9 2 2" xfId="38392" xr:uid="{00000000-0005-0000-0000-0000E58B0000}"/>
    <cellStyle name="Accent6 9 3" xfId="38393" xr:uid="{00000000-0005-0000-0000-0000E68B0000}"/>
    <cellStyle name="Accent6 9 3 2" xfId="38394" xr:uid="{00000000-0005-0000-0000-0000E78B0000}"/>
    <cellStyle name="Accent6 9 4" xfId="38395" xr:uid="{00000000-0005-0000-0000-0000E88B0000}"/>
    <cellStyle name="Accent6 9 4 2" xfId="38396" xr:uid="{00000000-0005-0000-0000-0000E98B0000}"/>
    <cellStyle name="Accent6 9 5" xfId="38397" xr:uid="{00000000-0005-0000-0000-0000EA8B0000}"/>
    <cellStyle name="Actual Date" xfId="1139" xr:uid="{00000000-0005-0000-0000-0000EB8B0000}"/>
    <cellStyle name="Adjustable" xfId="38398" xr:uid="{00000000-0005-0000-0000-0000EC8B0000}"/>
    <cellStyle name="Bad" xfId="108" builtinId="27" customBuiltin="1"/>
    <cellStyle name="Bad 10" xfId="1140" xr:uid="{00000000-0005-0000-0000-0000ED8B0000}"/>
    <cellStyle name="Bad 10 10" xfId="38399" xr:uid="{00000000-0005-0000-0000-0000EE8B0000}"/>
    <cellStyle name="Bad 10 2" xfId="38400" xr:uid="{00000000-0005-0000-0000-0000EF8B0000}"/>
    <cellStyle name="Bad 10 2 2" xfId="38401" xr:uid="{00000000-0005-0000-0000-0000F08B0000}"/>
    <cellStyle name="Bad 10 3" xfId="38402" xr:uid="{00000000-0005-0000-0000-0000F18B0000}"/>
    <cellStyle name="Bad 10 3 2" xfId="38403" xr:uid="{00000000-0005-0000-0000-0000F28B0000}"/>
    <cellStyle name="Bad 10 4" xfId="38404" xr:uid="{00000000-0005-0000-0000-0000F38B0000}"/>
    <cellStyle name="Bad 10 4 2" xfId="38405" xr:uid="{00000000-0005-0000-0000-0000F48B0000}"/>
    <cellStyle name="Bad 10 5" xfId="38406" xr:uid="{00000000-0005-0000-0000-0000F58B0000}"/>
    <cellStyle name="Bad 10 5 2" xfId="38407" xr:uid="{00000000-0005-0000-0000-0000F68B0000}"/>
    <cellStyle name="Bad 10 6" xfId="38408" xr:uid="{00000000-0005-0000-0000-0000F78B0000}"/>
    <cellStyle name="Bad 10 6 2" xfId="38409" xr:uid="{00000000-0005-0000-0000-0000F88B0000}"/>
    <cellStyle name="Bad 10 7" xfId="38410" xr:uid="{00000000-0005-0000-0000-0000F98B0000}"/>
    <cellStyle name="Bad 10 7 2" xfId="38411" xr:uid="{00000000-0005-0000-0000-0000FA8B0000}"/>
    <cellStyle name="Bad 10 8" xfId="38412" xr:uid="{00000000-0005-0000-0000-0000FB8B0000}"/>
    <cellStyle name="Bad 10 8 2" xfId="38413" xr:uid="{00000000-0005-0000-0000-0000FC8B0000}"/>
    <cellStyle name="Bad 10 9" xfId="38414" xr:uid="{00000000-0005-0000-0000-0000FD8B0000}"/>
    <cellStyle name="Bad 10 9 2" xfId="38415" xr:uid="{00000000-0005-0000-0000-0000FE8B0000}"/>
    <cellStyle name="Bad 11" xfId="1141" xr:uid="{00000000-0005-0000-0000-0000FF8B0000}"/>
    <cellStyle name="Bad 11 10" xfId="38416" xr:uid="{00000000-0005-0000-0000-0000008C0000}"/>
    <cellStyle name="Bad 11 2" xfId="38417" xr:uid="{00000000-0005-0000-0000-0000018C0000}"/>
    <cellStyle name="Bad 11 2 2" xfId="38418" xr:uid="{00000000-0005-0000-0000-0000028C0000}"/>
    <cellStyle name="Bad 11 3" xfId="38419" xr:uid="{00000000-0005-0000-0000-0000038C0000}"/>
    <cellStyle name="Bad 11 3 2" xfId="38420" xr:uid="{00000000-0005-0000-0000-0000048C0000}"/>
    <cellStyle name="Bad 11 4" xfId="38421" xr:uid="{00000000-0005-0000-0000-0000058C0000}"/>
    <cellStyle name="Bad 11 4 2" xfId="38422" xr:uid="{00000000-0005-0000-0000-0000068C0000}"/>
    <cellStyle name="Bad 11 5" xfId="38423" xr:uid="{00000000-0005-0000-0000-0000078C0000}"/>
    <cellStyle name="Bad 11 5 2" xfId="38424" xr:uid="{00000000-0005-0000-0000-0000088C0000}"/>
    <cellStyle name="Bad 11 6" xfId="38425" xr:uid="{00000000-0005-0000-0000-0000098C0000}"/>
    <cellStyle name="Bad 11 6 2" xfId="38426" xr:uid="{00000000-0005-0000-0000-00000A8C0000}"/>
    <cellStyle name="Bad 11 7" xfId="38427" xr:uid="{00000000-0005-0000-0000-00000B8C0000}"/>
    <cellStyle name="Bad 11 7 2" xfId="38428" xr:uid="{00000000-0005-0000-0000-00000C8C0000}"/>
    <cellStyle name="Bad 11 8" xfId="38429" xr:uid="{00000000-0005-0000-0000-00000D8C0000}"/>
    <cellStyle name="Bad 11 8 2" xfId="38430" xr:uid="{00000000-0005-0000-0000-00000E8C0000}"/>
    <cellStyle name="Bad 11 9" xfId="38431" xr:uid="{00000000-0005-0000-0000-00000F8C0000}"/>
    <cellStyle name="Bad 11 9 2" xfId="38432" xr:uid="{00000000-0005-0000-0000-0000108C0000}"/>
    <cellStyle name="Bad 12" xfId="1142" xr:uid="{00000000-0005-0000-0000-0000118C0000}"/>
    <cellStyle name="Bad 12 2" xfId="38433" xr:uid="{00000000-0005-0000-0000-0000128C0000}"/>
    <cellStyle name="Bad 12 2 2" xfId="38434" xr:uid="{00000000-0005-0000-0000-0000138C0000}"/>
    <cellStyle name="Bad 12 3" xfId="38435" xr:uid="{00000000-0005-0000-0000-0000148C0000}"/>
    <cellStyle name="Bad 13" xfId="1143" xr:uid="{00000000-0005-0000-0000-0000158C0000}"/>
    <cellStyle name="Bad 13 2" xfId="38436" xr:uid="{00000000-0005-0000-0000-0000168C0000}"/>
    <cellStyle name="Bad 14" xfId="1144" xr:uid="{00000000-0005-0000-0000-0000178C0000}"/>
    <cellStyle name="Bad 14 2" xfId="38437" xr:uid="{00000000-0005-0000-0000-0000188C0000}"/>
    <cellStyle name="Bad 15" xfId="1145" xr:uid="{00000000-0005-0000-0000-0000198C0000}"/>
    <cellStyle name="Bad 15 2" xfId="38438" xr:uid="{00000000-0005-0000-0000-00001A8C0000}"/>
    <cellStyle name="Bad 16" xfId="1146" xr:uid="{00000000-0005-0000-0000-00001B8C0000}"/>
    <cellStyle name="Bad 16 2" xfId="38439" xr:uid="{00000000-0005-0000-0000-00001C8C0000}"/>
    <cellStyle name="Bad 17" xfId="1147" xr:uid="{00000000-0005-0000-0000-00001D8C0000}"/>
    <cellStyle name="Bad 17 2" xfId="38440" xr:uid="{00000000-0005-0000-0000-00001E8C0000}"/>
    <cellStyle name="Bad 18" xfId="1148" xr:uid="{00000000-0005-0000-0000-00001F8C0000}"/>
    <cellStyle name="Bad 18 2" xfId="38441" xr:uid="{00000000-0005-0000-0000-0000208C0000}"/>
    <cellStyle name="Bad 19" xfId="1149" xr:uid="{00000000-0005-0000-0000-0000218C0000}"/>
    <cellStyle name="Bad 19 2" xfId="38442" xr:uid="{00000000-0005-0000-0000-0000228C0000}"/>
    <cellStyle name="Bad 2" xfId="1150" xr:uid="{00000000-0005-0000-0000-0000238C0000}"/>
    <cellStyle name="Bad 2 2" xfId="1151" xr:uid="{00000000-0005-0000-0000-0000248C0000}"/>
    <cellStyle name="Bad 2 2 2" xfId="38443" xr:uid="{00000000-0005-0000-0000-0000258C0000}"/>
    <cellStyle name="Bad 2 2 2 2" xfId="38444" xr:uid="{00000000-0005-0000-0000-0000268C0000}"/>
    <cellStyle name="Bad 2 2 3" xfId="38445" xr:uid="{00000000-0005-0000-0000-0000278C0000}"/>
    <cellStyle name="Bad 2 3" xfId="1152" xr:uid="{00000000-0005-0000-0000-0000288C0000}"/>
    <cellStyle name="Bad 2 3 2" xfId="38446" xr:uid="{00000000-0005-0000-0000-0000298C0000}"/>
    <cellStyle name="Bad 2 3 2 2" xfId="38447" xr:uid="{00000000-0005-0000-0000-00002A8C0000}"/>
    <cellStyle name="Bad 2 3 3" xfId="38448" xr:uid="{00000000-0005-0000-0000-00002B8C0000}"/>
    <cellStyle name="Bad 2 4" xfId="1153" xr:uid="{00000000-0005-0000-0000-00002C8C0000}"/>
    <cellStyle name="Bad 2 4 2" xfId="38449" xr:uid="{00000000-0005-0000-0000-00002D8C0000}"/>
    <cellStyle name="Bad 2 4 2 2" xfId="38450" xr:uid="{00000000-0005-0000-0000-00002E8C0000}"/>
    <cellStyle name="Bad 2 4 3" xfId="38451" xr:uid="{00000000-0005-0000-0000-00002F8C0000}"/>
    <cellStyle name="Bad 2 5" xfId="38452" xr:uid="{00000000-0005-0000-0000-0000308C0000}"/>
    <cellStyle name="Bad 2 5 2" xfId="38453" xr:uid="{00000000-0005-0000-0000-0000318C0000}"/>
    <cellStyle name="Bad 2 6" xfId="38454" xr:uid="{00000000-0005-0000-0000-0000328C0000}"/>
    <cellStyle name="Bad 2 7" xfId="38455" xr:uid="{00000000-0005-0000-0000-0000338C0000}"/>
    <cellStyle name="Bad 20" xfId="1154" xr:uid="{00000000-0005-0000-0000-0000348C0000}"/>
    <cellStyle name="Bad 20 2" xfId="38456" xr:uid="{00000000-0005-0000-0000-0000358C0000}"/>
    <cellStyle name="Bad 21" xfId="1155" xr:uid="{00000000-0005-0000-0000-0000368C0000}"/>
    <cellStyle name="Bad 21 2" xfId="38457" xr:uid="{00000000-0005-0000-0000-0000378C0000}"/>
    <cellStyle name="Bad 22" xfId="1156" xr:uid="{00000000-0005-0000-0000-0000388C0000}"/>
    <cellStyle name="Bad 22 2" xfId="38458" xr:uid="{00000000-0005-0000-0000-0000398C0000}"/>
    <cellStyle name="Bad 23" xfId="1157" xr:uid="{00000000-0005-0000-0000-00003A8C0000}"/>
    <cellStyle name="Bad 23 2" xfId="38459" xr:uid="{00000000-0005-0000-0000-00003B8C0000}"/>
    <cellStyle name="Bad 24" xfId="1158" xr:uid="{00000000-0005-0000-0000-00003C8C0000}"/>
    <cellStyle name="Bad 24 2" xfId="1159" xr:uid="{00000000-0005-0000-0000-00003D8C0000}"/>
    <cellStyle name="Bad 24 2 2" xfId="38460" xr:uid="{00000000-0005-0000-0000-00003E8C0000}"/>
    <cellStyle name="Bad 24 3" xfId="38461" xr:uid="{00000000-0005-0000-0000-00003F8C0000}"/>
    <cellStyle name="Bad 25" xfId="1160" xr:uid="{00000000-0005-0000-0000-0000408C0000}"/>
    <cellStyle name="Bad 25 2" xfId="38462" xr:uid="{00000000-0005-0000-0000-0000418C0000}"/>
    <cellStyle name="Bad 26" xfId="38463" xr:uid="{00000000-0005-0000-0000-0000428C0000}"/>
    <cellStyle name="Bad 26 2" xfId="38464" xr:uid="{00000000-0005-0000-0000-0000438C0000}"/>
    <cellStyle name="Bad 27" xfId="38465" xr:uid="{00000000-0005-0000-0000-0000448C0000}"/>
    <cellStyle name="Bad 27 2" xfId="38466" xr:uid="{00000000-0005-0000-0000-0000458C0000}"/>
    <cellStyle name="Bad 28" xfId="38467" xr:uid="{00000000-0005-0000-0000-0000468C0000}"/>
    <cellStyle name="Bad 29" xfId="38468" xr:uid="{00000000-0005-0000-0000-0000478C0000}"/>
    <cellStyle name="Bad 29 2" xfId="38469" xr:uid="{00000000-0005-0000-0000-0000488C0000}"/>
    <cellStyle name="Bad 3" xfId="1161" xr:uid="{00000000-0005-0000-0000-0000498C0000}"/>
    <cellStyle name="Bad 3 2" xfId="38470" xr:uid="{00000000-0005-0000-0000-00004A8C0000}"/>
    <cellStyle name="Bad 3 2 2" xfId="38471" xr:uid="{00000000-0005-0000-0000-00004B8C0000}"/>
    <cellStyle name="Bad 3 3" xfId="38472" xr:uid="{00000000-0005-0000-0000-00004C8C0000}"/>
    <cellStyle name="Bad 3 3 2" xfId="38473" xr:uid="{00000000-0005-0000-0000-00004D8C0000}"/>
    <cellStyle name="Bad 3 4" xfId="38474" xr:uid="{00000000-0005-0000-0000-00004E8C0000}"/>
    <cellStyle name="Bad 3 4 2" xfId="38475" xr:uid="{00000000-0005-0000-0000-00004F8C0000}"/>
    <cellStyle name="Bad 3 5" xfId="38476" xr:uid="{00000000-0005-0000-0000-0000508C0000}"/>
    <cellStyle name="Bad 3 5 2" xfId="38477" xr:uid="{00000000-0005-0000-0000-0000518C0000}"/>
    <cellStyle name="Bad 3 6" xfId="38478" xr:uid="{00000000-0005-0000-0000-0000528C0000}"/>
    <cellStyle name="Bad 3 7" xfId="38479" xr:uid="{00000000-0005-0000-0000-0000538C0000}"/>
    <cellStyle name="Bad 4" xfId="1162" xr:uid="{00000000-0005-0000-0000-0000548C0000}"/>
    <cellStyle name="Bad 4 2" xfId="38480" xr:uid="{00000000-0005-0000-0000-0000558C0000}"/>
    <cellStyle name="Bad 4 2 2" xfId="38481" xr:uid="{00000000-0005-0000-0000-0000568C0000}"/>
    <cellStyle name="Bad 4 3" xfId="38482" xr:uid="{00000000-0005-0000-0000-0000578C0000}"/>
    <cellStyle name="Bad 4 3 2" xfId="38483" xr:uid="{00000000-0005-0000-0000-0000588C0000}"/>
    <cellStyle name="Bad 4 4" xfId="38484" xr:uid="{00000000-0005-0000-0000-0000598C0000}"/>
    <cellStyle name="Bad 4 4 2" xfId="38485" xr:uid="{00000000-0005-0000-0000-00005A8C0000}"/>
    <cellStyle name="Bad 4 5" xfId="38486" xr:uid="{00000000-0005-0000-0000-00005B8C0000}"/>
    <cellStyle name="Bad 4 5 2" xfId="38487" xr:uid="{00000000-0005-0000-0000-00005C8C0000}"/>
    <cellStyle name="Bad 4 6" xfId="38488" xr:uid="{00000000-0005-0000-0000-00005D8C0000}"/>
    <cellStyle name="Bad 5" xfId="1163" xr:uid="{00000000-0005-0000-0000-00005E8C0000}"/>
    <cellStyle name="Bad 5 2" xfId="38489" xr:uid="{00000000-0005-0000-0000-00005F8C0000}"/>
    <cellStyle name="Bad 5 2 2" xfId="38490" xr:uid="{00000000-0005-0000-0000-0000608C0000}"/>
    <cellStyle name="Bad 5 3" xfId="38491" xr:uid="{00000000-0005-0000-0000-0000618C0000}"/>
    <cellStyle name="Bad 5 3 2" xfId="38492" xr:uid="{00000000-0005-0000-0000-0000628C0000}"/>
    <cellStyle name="Bad 5 4" xfId="38493" xr:uid="{00000000-0005-0000-0000-0000638C0000}"/>
    <cellStyle name="Bad 5 4 2" xfId="38494" xr:uid="{00000000-0005-0000-0000-0000648C0000}"/>
    <cellStyle name="Bad 5 5" xfId="38495" xr:uid="{00000000-0005-0000-0000-0000658C0000}"/>
    <cellStyle name="Bad 5 5 2" xfId="38496" xr:uid="{00000000-0005-0000-0000-0000668C0000}"/>
    <cellStyle name="Bad 5 6" xfId="38497" xr:uid="{00000000-0005-0000-0000-0000678C0000}"/>
    <cellStyle name="Bad 6" xfId="1164" xr:uid="{00000000-0005-0000-0000-0000688C0000}"/>
    <cellStyle name="Bad 6 2" xfId="38498" xr:uid="{00000000-0005-0000-0000-0000698C0000}"/>
    <cellStyle name="Bad 6 2 2" xfId="38499" xr:uid="{00000000-0005-0000-0000-00006A8C0000}"/>
    <cellStyle name="Bad 6 3" xfId="38500" xr:uid="{00000000-0005-0000-0000-00006B8C0000}"/>
    <cellStyle name="Bad 6 3 2" xfId="38501" xr:uid="{00000000-0005-0000-0000-00006C8C0000}"/>
    <cellStyle name="Bad 6 4" xfId="38502" xr:uid="{00000000-0005-0000-0000-00006D8C0000}"/>
    <cellStyle name="Bad 6 4 2" xfId="38503" xr:uid="{00000000-0005-0000-0000-00006E8C0000}"/>
    <cellStyle name="Bad 6 5" xfId="38504" xr:uid="{00000000-0005-0000-0000-00006F8C0000}"/>
    <cellStyle name="Bad 6 5 2" xfId="38505" xr:uid="{00000000-0005-0000-0000-0000708C0000}"/>
    <cellStyle name="Bad 6 6" xfId="38506" xr:uid="{00000000-0005-0000-0000-0000718C0000}"/>
    <cellStyle name="Bad 7" xfId="1165" xr:uid="{00000000-0005-0000-0000-0000728C0000}"/>
    <cellStyle name="Bad 7 2" xfId="38507" xr:uid="{00000000-0005-0000-0000-0000738C0000}"/>
    <cellStyle name="Bad 7 2 2" xfId="38508" xr:uid="{00000000-0005-0000-0000-0000748C0000}"/>
    <cellStyle name="Bad 7 3" xfId="38509" xr:uid="{00000000-0005-0000-0000-0000758C0000}"/>
    <cellStyle name="Bad 7 3 2" xfId="38510" xr:uid="{00000000-0005-0000-0000-0000768C0000}"/>
    <cellStyle name="Bad 7 4" xfId="38511" xr:uid="{00000000-0005-0000-0000-0000778C0000}"/>
    <cellStyle name="Bad 7 4 2" xfId="38512" xr:uid="{00000000-0005-0000-0000-0000788C0000}"/>
    <cellStyle name="Bad 7 5" xfId="38513" xr:uid="{00000000-0005-0000-0000-0000798C0000}"/>
    <cellStyle name="Bad 7 5 2" xfId="38514" xr:uid="{00000000-0005-0000-0000-00007A8C0000}"/>
    <cellStyle name="Bad 7 6" xfId="38515" xr:uid="{00000000-0005-0000-0000-00007B8C0000}"/>
    <cellStyle name="Bad 8" xfId="1166" xr:uid="{00000000-0005-0000-0000-00007C8C0000}"/>
    <cellStyle name="Bad 8 2" xfId="38516" xr:uid="{00000000-0005-0000-0000-00007D8C0000}"/>
    <cellStyle name="Bad 8 2 2" xfId="38517" xr:uid="{00000000-0005-0000-0000-00007E8C0000}"/>
    <cellStyle name="Bad 8 3" xfId="38518" xr:uid="{00000000-0005-0000-0000-00007F8C0000}"/>
    <cellStyle name="Bad 8 3 2" xfId="38519" xr:uid="{00000000-0005-0000-0000-0000808C0000}"/>
    <cellStyle name="Bad 8 4" xfId="38520" xr:uid="{00000000-0005-0000-0000-0000818C0000}"/>
    <cellStyle name="Bad 8 4 2" xfId="38521" xr:uid="{00000000-0005-0000-0000-0000828C0000}"/>
    <cellStyle name="Bad 8 5" xfId="38522" xr:uid="{00000000-0005-0000-0000-0000838C0000}"/>
    <cellStyle name="Bad 9" xfId="1167" xr:uid="{00000000-0005-0000-0000-0000848C0000}"/>
    <cellStyle name="Bad 9 10" xfId="38523" xr:uid="{00000000-0005-0000-0000-0000858C0000}"/>
    <cellStyle name="Bad 9 2" xfId="38524" xr:uid="{00000000-0005-0000-0000-0000868C0000}"/>
    <cellStyle name="Bad 9 2 2" xfId="38525" xr:uid="{00000000-0005-0000-0000-0000878C0000}"/>
    <cellStyle name="Bad 9 3" xfId="38526" xr:uid="{00000000-0005-0000-0000-0000888C0000}"/>
    <cellStyle name="Bad 9 3 2" xfId="38527" xr:uid="{00000000-0005-0000-0000-0000898C0000}"/>
    <cellStyle name="Bad 9 4" xfId="38528" xr:uid="{00000000-0005-0000-0000-00008A8C0000}"/>
    <cellStyle name="Bad 9 4 2" xfId="38529" xr:uid="{00000000-0005-0000-0000-00008B8C0000}"/>
    <cellStyle name="Bad 9 5" xfId="38530" xr:uid="{00000000-0005-0000-0000-00008C8C0000}"/>
    <cellStyle name="Bad 9 5 2" xfId="38531" xr:uid="{00000000-0005-0000-0000-00008D8C0000}"/>
    <cellStyle name="Bad 9 6" xfId="38532" xr:uid="{00000000-0005-0000-0000-00008E8C0000}"/>
    <cellStyle name="Bad 9 6 2" xfId="38533" xr:uid="{00000000-0005-0000-0000-00008F8C0000}"/>
    <cellStyle name="Bad 9 7" xfId="38534" xr:uid="{00000000-0005-0000-0000-0000908C0000}"/>
    <cellStyle name="Bad 9 7 2" xfId="38535" xr:uid="{00000000-0005-0000-0000-0000918C0000}"/>
    <cellStyle name="Bad 9 8" xfId="38536" xr:uid="{00000000-0005-0000-0000-0000928C0000}"/>
    <cellStyle name="Bad 9 8 2" xfId="38537" xr:uid="{00000000-0005-0000-0000-0000938C0000}"/>
    <cellStyle name="Bad 9 9" xfId="38538" xr:uid="{00000000-0005-0000-0000-0000948C0000}"/>
    <cellStyle name="Bad 9 9 2" xfId="38539" xr:uid="{00000000-0005-0000-0000-0000958C0000}"/>
    <cellStyle name="blhAlignCenter" xfId="38540" xr:uid="{00000000-0005-0000-0000-0000968C0000}"/>
    <cellStyle name="blhAlignLeft" xfId="38541" xr:uid="{00000000-0005-0000-0000-0000978C0000}"/>
    <cellStyle name="blhAlignRight" xfId="38542" xr:uid="{00000000-0005-0000-0000-0000988C0000}"/>
    <cellStyle name="blhColorBlue" xfId="38543" xr:uid="{00000000-0005-0000-0000-0000998C0000}"/>
    <cellStyle name="blhColorBrown" xfId="38544" xr:uid="{00000000-0005-0000-0000-00009A8C0000}"/>
    <cellStyle name="blhColorGreen" xfId="38545" xr:uid="{00000000-0005-0000-0000-00009B8C0000}"/>
    <cellStyle name="blhColorGrey" xfId="38546" xr:uid="{00000000-0005-0000-0000-00009C8C0000}"/>
    <cellStyle name="blhColorPurple" xfId="38547" xr:uid="{00000000-0005-0000-0000-00009D8C0000}"/>
    <cellStyle name="blhColorYellow" xfId="38548" xr:uid="{00000000-0005-0000-0000-00009E8C0000}"/>
    <cellStyle name="blhTableRowLabel" xfId="38549" xr:uid="{00000000-0005-0000-0000-00009F8C0000}"/>
    <cellStyle name="blhTextBold" xfId="38550" xr:uid="{00000000-0005-0000-0000-0000A08C0000}"/>
    <cellStyle name="blhTextPageTitle" xfId="38551" xr:uid="{00000000-0005-0000-0000-0000A18C0000}"/>
    <cellStyle name="blhTextSubHeading1" xfId="38552" xr:uid="{00000000-0005-0000-0000-0000A28C0000}"/>
    <cellStyle name="Calculation" xfId="112" builtinId="22" customBuiltin="1"/>
    <cellStyle name="Calculation 10" xfId="1168" xr:uid="{00000000-0005-0000-0000-0000A38C0000}"/>
    <cellStyle name="Calculation 10 10" xfId="38553" xr:uid="{00000000-0005-0000-0000-0000A48C0000}"/>
    <cellStyle name="Calculation 10 2" xfId="38554" xr:uid="{00000000-0005-0000-0000-0000A58C0000}"/>
    <cellStyle name="Calculation 10 2 2" xfId="38555" xr:uid="{00000000-0005-0000-0000-0000A68C0000}"/>
    <cellStyle name="Calculation 10 3" xfId="38556" xr:uid="{00000000-0005-0000-0000-0000A78C0000}"/>
    <cellStyle name="Calculation 10 3 2" xfId="38557" xr:uid="{00000000-0005-0000-0000-0000A88C0000}"/>
    <cellStyle name="Calculation 10 4" xfId="38558" xr:uid="{00000000-0005-0000-0000-0000A98C0000}"/>
    <cellStyle name="Calculation 10 4 2" xfId="38559" xr:uid="{00000000-0005-0000-0000-0000AA8C0000}"/>
    <cellStyle name="Calculation 10 5" xfId="38560" xr:uid="{00000000-0005-0000-0000-0000AB8C0000}"/>
    <cellStyle name="Calculation 10 5 2" xfId="38561" xr:uid="{00000000-0005-0000-0000-0000AC8C0000}"/>
    <cellStyle name="Calculation 10 6" xfId="38562" xr:uid="{00000000-0005-0000-0000-0000AD8C0000}"/>
    <cellStyle name="Calculation 10 6 2" xfId="38563" xr:uid="{00000000-0005-0000-0000-0000AE8C0000}"/>
    <cellStyle name="Calculation 10 7" xfId="38564" xr:uid="{00000000-0005-0000-0000-0000AF8C0000}"/>
    <cellStyle name="Calculation 10 7 2" xfId="38565" xr:uid="{00000000-0005-0000-0000-0000B08C0000}"/>
    <cellStyle name="Calculation 10 8" xfId="38566" xr:uid="{00000000-0005-0000-0000-0000B18C0000}"/>
    <cellStyle name="Calculation 10 8 2" xfId="38567" xr:uid="{00000000-0005-0000-0000-0000B28C0000}"/>
    <cellStyle name="Calculation 10 9" xfId="38568" xr:uid="{00000000-0005-0000-0000-0000B38C0000}"/>
    <cellStyle name="Calculation 10 9 2" xfId="38569" xr:uid="{00000000-0005-0000-0000-0000B48C0000}"/>
    <cellStyle name="Calculation 11" xfId="1169" xr:uid="{00000000-0005-0000-0000-0000B58C0000}"/>
    <cellStyle name="Calculation 11 10" xfId="38570" xr:uid="{00000000-0005-0000-0000-0000B68C0000}"/>
    <cellStyle name="Calculation 11 2" xfId="38571" xr:uid="{00000000-0005-0000-0000-0000B78C0000}"/>
    <cellStyle name="Calculation 11 2 2" xfId="38572" xr:uid="{00000000-0005-0000-0000-0000B88C0000}"/>
    <cellStyle name="Calculation 11 3" xfId="38573" xr:uid="{00000000-0005-0000-0000-0000B98C0000}"/>
    <cellStyle name="Calculation 11 3 2" xfId="38574" xr:uid="{00000000-0005-0000-0000-0000BA8C0000}"/>
    <cellStyle name="Calculation 11 4" xfId="38575" xr:uid="{00000000-0005-0000-0000-0000BB8C0000}"/>
    <cellStyle name="Calculation 11 4 2" xfId="38576" xr:uid="{00000000-0005-0000-0000-0000BC8C0000}"/>
    <cellStyle name="Calculation 11 5" xfId="38577" xr:uid="{00000000-0005-0000-0000-0000BD8C0000}"/>
    <cellStyle name="Calculation 11 5 2" xfId="38578" xr:uid="{00000000-0005-0000-0000-0000BE8C0000}"/>
    <cellStyle name="Calculation 11 6" xfId="38579" xr:uid="{00000000-0005-0000-0000-0000BF8C0000}"/>
    <cellStyle name="Calculation 11 6 2" xfId="38580" xr:uid="{00000000-0005-0000-0000-0000C08C0000}"/>
    <cellStyle name="Calculation 11 7" xfId="38581" xr:uid="{00000000-0005-0000-0000-0000C18C0000}"/>
    <cellStyle name="Calculation 11 7 2" xfId="38582" xr:uid="{00000000-0005-0000-0000-0000C28C0000}"/>
    <cellStyle name="Calculation 11 8" xfId="38583" xr:uid="{00000000-0005-0000-0000-0000C38C0000}"/>
    <cellStyle name="Calculation 11 8 2" xfId="38584" xr:uid="{00000000-0005-0000-0000-0000C48C0000}"/>
    <cellStyle name="Calculation 11 9" xfId="38585" xr:uid="{00000000-0005-0000-0000-0000C58C0000}"/>
    <cellStyle name="Calculation 11 9 2" xfId="38586" xr:uid="{00000000-0005-0000-0000-0000C68C0000}"/>
    <cellStyle name="Calculation 12" xfId="1170" xr:uid="{00000000-0005-0000-0000-0000C78C0000}"/>
    <cellStyle name="Calculation 12 2" xfId="38587" xr:uid="{00000000-0005-0000-0000-0000C88C0000}"/>
    <cellStyle name="Calculation 12 2 2" xfId="38588" xr:uid="{00000000-0005-0000-0000-0000C98C0000}"/>
    <cellStyle name="Calculation 12 3" xfId="38589" xr:uid="{00000000-0005-0000-0000-0000CA8C0000}"/>
    <cellStyle name="Calculation 13" xfId="1171" xr:uid="{00000000-0005-0000-0000-0000CB8C0000}"/>
    <cellStyle name="Calculation 13 2" xfId="38590" xr:uid="{00000000-0005-0000-0000-0000CC8C0000}"/>
    <cellStyle name="Calculation 14" xfId="1172" xr:uid="{00000000-0005-0000-0000-0000CD8C0000}"/>
    <cellStyle name="Calculation 14 2" xfId="38591" xr:uid="{00000000-0005-0000-0000-0000CE8C0000}"/>
    <cellStyle name="Calculation 15" xfId="1173" xr:uid="{00000000-0005-0000-0000-0000CF8C0000}"/>
    <cellStyle name="Calculation 15 2" xfId="38592" xr:uid="{00000000-0005-0000-0000-0000D08C0000}"/>
    <cellStyle name="Calculation 16" xfId="1174" xr:uid="{00000000-0005-0000-0000-0000D18C0000}"/>
    <cellStyle name="Calculation 16 2" xfId="38593" xr:uid="{00000000-0005-0000-0000-0000D28C0000}"/>
    <cellStyle name="Calculation 17" xfId="1175" xr:uid="{00000000-0005-0000-0000-0000D38C0000}"/>
    <cellStyle name="Calculation 17 2" xfId="38594" xr:uid="{00000000-0005-0000-0000-0000D48C0000}"/>
    <cellStyle name="Calculation 18" xfId="1176" xr:uid="{00000000-0005-0000-0000-0000D58C0000}"/>
    <cellStyle name="Calculation 18 2" xfId="38595" xr:uid="{00000000-0005-0000-0000-0000D68C0000}"/>
    <cellStyle name="Calculation 19" xfId="1177" xr:uid="{00000000-0005-0000-0000-0000D78C0000}"/>
    <cellStyle name="Calculation 19 2" xfId="38596" xr:uid="{00000000-0005-0000-0000-0000D88C0000}"/>
    <cellStyle name="Calculation 2" xfId="1178" xr:uid="{00000000-0005-0000-0000-0000D98C0000}"/>
    <cellStyle name="Calculation 2 10" xfId="38597" xr:uid="{00000000-0005-0000-0000-0000DA8C0000}"/>
    <cellStyle name="Calculation 2 10 2" xfId="38598" xr:uid="{00000000-0005-0000-0000-0000DB8C0000}"/>
    <cellStyle name="Calculation 2 11" xfId="38599" xr:uid="{00000000-0005-0000-0000-0000DC8C0000}"/>
    <cellStyle name="Calculation 2 12" xfId="38600" xr:uid="{00000000-0005-0000-0000-0000DD8C0000}"/>
    <cellStyle name="Calculation 2 2" xfId="1179" xr:uid="{00000000-0005-0000-0000-0000DE8C0000}"/>
    <cellStyle name="Calculation 2 2 2" xfId="38601" xr:uid="{00000000-0005-0000-0000-0000DF8C0000}"/>
    <cellStyle name="Calculation 2 2 2 2" xfId="38602" xr:uid="{00000000-0005-0000-0000-0000E08C0000}"/>
    <cellStyle name="Calculation 2 2 2 2 2" xfId="38603" xr:uid="{00000000-0005-0000-0000-0000E18C0000}"/>
    <cellStyle name="Calculation 2 2 2 3" xfId="38604" xr:uid="{00000000-0005-0000-0000-0000E28C0000}"/>
    <cellStyle name="Calculation 2 2 2 3 2" xfId="38605" xr:uid="{00000000-0005-0000-0000-0000E38C0000}"/>
    <cellStyle name="Calculation 2 2 2 4" xfId="38606" xr:uid="{00000000-0005-0000-0000-0000E48C0000}"/>
    <cellStyle name="Calculation 2 2 2 4 2" xfId="38607" xr:uid="{00000000-0005-0000-0000-0000E58C0000}"/>
    <cellStyle name="Calculation 2 2 2 5" xfId="38608" xr:uid="{00000000-0005-0000-0000-0000E68C0000}"/>
    <cellStyle name="Calculation 2 2 2 5 2" xfId="38609" xr:uid="{00000000-0005-0000-0000-0000E78C0000}"/>
    <cellStyle name="Calculation 2 2 2 6" xfId="38610" xr:uid="{00000000-0005-0000-0000-0000E88C0000}"/>
    <cellStyle name="Calculation 2 2 2 6 2" xfId="38611" xr:uid="{00000000-0005-0000-0000-0000E98C0000}"/>
    <cellStyle name="Calculation 2 2 2 7" xfId="38612" xr:uid="{00000000-0005-0000-0000-0000EA8C0000}"/>
    <cellStyle name="Calculation 2 2 2 7 2" xfId="38613" xr:uid="{00000000-0005-0000-0000-0000EB8C0000}"/>
    <cellStyle name="Calculation 2 2 2 8" xfId="38614" xr:uid="{00000000-0005-0000-0000-0000EC8C0000}"/>
    <cellStyle name="Calculation 2 2 2 8 2" xfId="38615" xr:uid="{00000000-0005-0000-0000-0000ED8C0000}"/>
    <cellStyle name="Calculation 2 2 2 9" xfId="38616" xr:uid="{00000000-0005-0000-0000-0000EE8C0000}"/>
    <cellStyle name="Calculation 2 2 3" xfId="38617" xr:uid="{00000000-0005-0000-0000-0000EF8C0000}"/>
    <cellStyle name="Calculation 2 3" xfId="1180" xr:uid="{00000000-0005-0000-0000-0000F08C0000}"/>
    <cellStyle name="Calculation 2 3 2" xfId="38618" xr:uid="{00000000-0005-0000-0000-0000F18C0000}"/>
    <cellStyle name="Calculation 2 3 2 2" xfId="38619" xr:uid="{00000000-0005-0000-0000-0000F28C0000}"/>
    <cellStyle name="Calculation 2 3 3" xfId="38620" xr:uid="{00000000-0005-0000-0000-0000F38C0000}"/>
    <cellStyle name="Calculation 2 4" xfId="1181" xr:uid="{00000000-0005-0000-0000-0000F48C0000}"/>
    <cellStyle name="Calculation 2 4 2" xfId="38621" xr:uid="{00000000-0005-0000-0000-0000F58C0000}"/>
    <cellStyle name="Calculation 2 4 2 2" xfId="38622" xr:uid="{00000000-0005-0000-0000-0000F68C0000}"/>
    <cellStyle name="Calculation 2 4 3" xfId="38623" xr:uid="{00000000-0005-0000-0000-0000F78C0000}"/>
    <cellStyle name="Calculation 2 5" xfId="38624" xr:uid="{00000000-0005-0000-0000-0000F88C0000}"/>
    <cellStyle name="Calculation 2 5 2" xfId="38625" xr:uid="{00000000-0005-0000-0000-0000F98C0000}"/>
    <cellStyle name="Calculation 2 6" xfId="38626" xr:uid="{00000000-0005-0000-0000-0000FA8C0000}"/>
    <cellStyle name="Calculation 2 6 2" xfId="38627" xr:uid="{00000000-0005-0000-0000-0000FB8C0000}"/>
    <cellStyle name="Calculation 2 7" xfId="38628" xr:uid="{00000000-0005-0000-0000-0000FC8C0000}"/>
    <cellStyle name="Calculation 2 7 2" xfId="38629" xr:uid="{00000000-0005-0000-0000-0000FD8C0000}"/>
    <cellStyle name="Calculation 2 8" xfId="38630" xr:uid="{00000000-0005-0000-0000-0000FE8C0000}"/>
    <cellStyle name="Calculation 2 8 2" xfId="38631" xr:uid="{00000000-0005-0000-0000-0000FF8C0000}"/>
    <cellStyle name="Calculation 2 9" xfId="38632" xr:uid="{00000000-0005-0000-0000-0000008D0000}"/>
    <cellStyle name="Calculation 2 9 2" xfId="38633" xr:uid="{00000000-0005-0000-0000-0000018D0000}"/>
    <cellStyle name="Calculation 20" xfId="1182" xr:uid="{00000000-0005-0000-0000-0000028D0000}"/>
    <cellStyle name="Calculation 20 2" xfId="38634" xr:uid="{00000000-0005-0000-0000-0000038D0000}"/>
    <cellStyle name="Calculation 21" xfId="1183" xr:uid="{00000000-0005-0000-0000-0000048D0000}"/>
    <cellStyle name="Calculation 21 2" xfId="38635" xr:uid="{00000000-0005-0000-0000-0000058D0000}"/>
    <cellStyle name="Calculation 22" xfId="1184" xr:uid="{00000000-0005-0000-0000-0000068D0000}"/>
    <cellStyle name="Calculation 22 2" xfId="38636" xr:uid="{00000000-0005-0000-0000-0000078D0000}"/>
    <cellStyle name="Calculation 23" xfId="1185" xr:uid="{00000000-0005-0000-0000-0000088D0000}"/>
    <cellStyle name="Calculation 23 2" xfId="38637" xr:uid="{00000000-0005-0000-0000-0000098D0000}"/>
    <cellStyle name="Calculation 24" xfId="1186" xr:uid="{00000000-0005-0000-0000-00000A8D0000}"/>
    <cellStyle name="Calculation 24 2" xfId="1187" xr:uid="{00000000-0005-0000-0000-00000B8D0000}"/>
    <cellStyle name="Calculation 24 2 2" xfId="38638" xr:uid="{00000000-0005-0000-0000-00000C8D0000}"/>
    <cellStyle name="Calculation 24 3" xfId="38639" xr:uid="{00000000-0005-0000-0000-00000D8D0000}"/>
    <cellStyle name="Calculation 25" xfId="1188" xr:uid="{00000000-0005-0000-0000-00000E8D0000}"/>
    <cellStyle name="Calculation 25 2" xfId="38640" xr:uid="{00000000-0005-0000-0000-00000F8D0000}"/>
    <cellStyle name="Calculation 26" xfId="38641" xr:uid="{00000000-0005-0000-0000-0000108D0000}"/>
    <cellStyle name="Calculation 26 2" xfId="38642" xr:uid="{00000000-0005-0000-0000-0000118D0000}"/>
    <cellStyle name="Calculation 27" xfId="38643" xr:uid="{00000000-0005-0000-0000-0000128D0000}"/>
    <cellStyle name="Calculation 27 2" xfId="38644" xr:uid="{00000000-0005-0000-0000-0000138D0000}"/>
    <cellStyle name="Calculation 28" xfId="38645" xr:uid="{00000000-0005-0000-0000-0000148D0000}"/>
    <cellStyle name="Calculation 29" xfId="38646" xr:uid="{00000000-0005-0000-0000-0000158D0000}"/>
    <cellStyle name="Calculation 29 2" xfId="38647" xr:uid="{00000000-0005-0000-0000-0000168D0000}"/>
    <cellStyle name="Calculation 3" xfId="1189" xr:uid="{00000000-0005-0000-0000-0000178D0000}"/>
    <cellStyle name="Calculation 3 10" xfId="38648" xr:uid="{00000000-0005-0000-0000-0000188D0000}"/>
    <cellStyle name="Calculation 3 10 2" xfId="38649" xr:uid="{00000000-0005-0000-0000-0000198D0000}"/>
    <cellStyle name="Calculation 3 11" xfId="38650" xr:uid="{00000000-0005-0000-0000-00001A8D0000}"/>
    <cellStyle name="Calculation 3 12" xfId="38651" xr:uid="{00000000-0005-0000-0000-00001B8D0000}"/>
    <cellStyle name="Calculation 3 2" xfId="38652" xr:uid="{00000000-0005-0000-0000-00001C8D0000}"/>
    <cellStyle name="Calculation 3 2 2" xfId="38653" xr:uid="{00000000-0005-0000-0000-00001D8D0000}"/>
    <cellStyle name="Calculation 3 2 2 2" xfId="38654" xr:uid="{00000000-0005-0000-0000-00001E8D0000}"/>
    <cellStyle name="Calculation 3 2 3" xfId="38655" xr:uid="{00000000-0005-0000-0000-00001F8D0000}"/>
    <cellStyle name="Calculation 3 2 3 2" xfId="38656" xr:uid="{00000000-0005-0000-0000-0000208D0000}"/>
    <cellStyle name="Calculation 3 2 4" xfId="38657" xr:uid="{00000000-0005-0000-0000-0000218D0000}"/>
    <cellStyle name="Calculation 3 2 4 2" xfId="38658" xr:uid="{00000000-0005-0000-0000-0000228D0000}"/>
    <cellStyle name="Calculation 3 2 5" xfId="38659" xr:uid="{00000000-0005-0000-0000-0000238D0000}"/>
    <cellStyle name="Calculation 3 2 5 2" xfId="38660" xr:uid="{00000000-0005-0000-0000-0000248D0000}"/>
    <cellStyle name="Calculation 3 2 6" xfId="38661" xr:uid="{00000000-0005-0000-0000-0000258D0000}"/>
    <cellStyle name="Calculation 3 2 6 2" xfId="38662" xr:uid="{00000000-0005-0000-0000-0000268D0000}"/>
    <cellStyle name="Calculation 3 2 7" xfId="38663" xr:uid="{00000000-0005-0000-0000-0000278D0000}"/>
    <cellStyle name="Calculation 3 2 7 2" xfId="38664" xr:uid="{00000000-0005-0000-0000-0000288D0000}"/>
    <cellStyle name="Calculation 3 2 8" xfId="38665" xr:uid="{00000000-0005-0000-0000-0000298D0000}"/>
    <cellStyle name="Calculation 3 2 8 2" xfId="38666" xr:uid="{00000000-0005-0000-0000-00002A8D0000}"/>
    <cellStyle name="Calculation 3 2 9" xfId="38667" xr:uid="{00000000-0005-0000-0000-00002B8D0000}"/>
    <cellStyle name="Calculation 3 3" xfId="38668" xr:uid="{00000000-0005-0000-0000-00002C8D0000}"/>
    <cellStyle name="Calculation 3 3 2" xfId="38669" xr:uid="{00000000-0005-0000-0000-00002D8D0000}"/>
    <cellStyle name="Calculation 3 4" xfId="38670" xr:uid="{00000000-0005-0000-0000-00002E8D0000}"/>
    <cellStyle name="Calculation 3 4 2" xfId="38671" xr:uid="{00000000-0005-0000-0000-00002F8D0000}"/>
    <cellStyle name="Calculation 3 5" xfId="38672" xr:uid="{00000000-0005-0000-0000-0000308D0000}"/>
    <cellStyle name="Calculation 3 5 2" xfId="38673" xr:uid="{00000000-0005-0000-0000-0000318D0000}"/>
    <cellStyle name="Calculation 3 6" xfId="38674" xr:uid="{00000000-0005-0000-0000-0000328D0000}"/>
    <cellStyle name="Calculation 3 6 2" xfId="38675" xr:uid="{00000000-0005-0000-0000-0000338D0000}"/>
    <cellStyle name="Calculation 3 7" xfId="38676" xr:uid="{00000000-0005-0000-0000-0000348D0000}"/>
    <cellStyle name="Calculation 3 7 2" xfId="38677" xr:uid="{00000000-0005-0000-0000-0000358D0000}"/>
    <cellStyle name="Calculation 3 8" xfId="38678" xr:uid="{00000000-0005-0000-0000-0000368D0000}"/>
    <cellStyle name="Calculation 3 8 2" xfId="38679" xr:uid="{00000000-0005-0000-0000-0000378D0000}"/>
    <cellStyle name="Calculation 3 9" xfId="38680" xr:uid="{00000000-0005-0000-0000-0000388D0000}"/>
    <cellStyle name="Calculation 3 9 2" xfId="38681" xr:uid="{00000000-0005-0000-0000-0000398D0000}"/>
    <cellStyle name="Calculation 4" xfId="1190" xr:uid="{00000000-0005-0000-0000-00003A8D0000}"/>
    <cellStyle name="Calculation 4 10" xfId="38682" xr:uid="{00000000-0005-0000-0000-00003B8D0000}"/>
    <cellStyle name="Calculation 4 10 2" xfId="38683" xr:uid="{00000000-0005-0000-0000-00003C8D0000}"/>
    <cellStyle name="Calculation 4 11" xfId="38684" xr:uid="{00000000-0005-0000-0000-00003D8D0000}"/>
    <cellStyle name="Calculation 4 2" xfId="38685" xr:uid="{00000000-0005-0000-0000-00003E8D0000}"/>
    <cellStyle name="Calculation 4 2 2" xfId="38686" xr:uid="{00000000-0005-0000-0000-00003F8D0000}"/>
    <cellStyle name="Calculation 4 2 2 2" xfId="38687" xr:uid="{00000000-0005-0000-0000-0000408D0000}"/>
    <cellStyle name="Calculation 4 2 3" xfId="38688" xr:uid="{00000000-0005-0000-0000-0000418D0000}"/>
    <cellStyle name="Calculation 4 2 3 2" xfId="38689" xr:uid="{00000000-0005-0000-0000-0000428D0000}"/>
    <cellStyle name="Calculation 4 2 4" xfId="38690" xr:uid="{00000000-0005-0000-0000-0000438D0000}"/>
    <cellStyle name="Calculation 4 2 4 2" xfId="38691" xr:uid="{00000000-0005-0000-0000-0000448D0000}"/>
    <cellStyle name="Calculation 4 2 5" xfId="38692" xr:uid="{00000000-0005-0000-0000-0000458D0000}"/>
    <cellStyle name="Calculation 4 2 5 2" xfId="38693" xr:uid="{00000000-0005-0000-0000-0000468D0000}"/>
    <cellStyle name="Calculation 4 2 6" xfId="38694" xr:uid="{00000000-0005-0000-0000-0000478D0000}"/>
    <cellStyle name="Calculation 4 2 6 2" xfId="38695" xr:uid="{00000000-0005-0000-0000-0000488D0000}"/>
    <cellStyle name="Calculation 4 2 7" xfId="38696" xr:uid="{00000000-0005-0000-0000-0000498D0000}"/>
    <cellStyle name="Calculation 4 2 7 2" xfId="38697" xr:uid="{00000000-0005-0000-0000-00004A8D0000}"/>
    <cellStyle name="Calculation 4 2 8" xfId="38698" xr:uid="{00000000-0005-0000-0000-00004B8D0000}"/>
    <cellStyle name="Calculation 4 2 8 2" xfId="38699" xr:uid="{00000000-0005-0000-0000-00004C8D0000}"/>
    <cellStyle name="Calculation 4 2 9" xfId="38700" xr:uid="{00000000-0005-0000-0000-00004D8D0000}"/>
    <cellStyle name="Calculation 4 3" xfId="38701" xr:uid="{00000000-0005-0000-0000-00004E8D0000}"/>
    <cellStyle name="Calculation 4 3 2" xfId="38702" xr:uid="{00000000-0005-0000-0000-00004F8D0000}"/>
    <cellStyle name="Calculation 4 4" xfId="38703" xr:uid="{00000000-0005-0000-0000-0000508D0000}"/>
    <cellStyle name="Calculation 4 4 2" xfId="38704" xr:uid="{00000000-0005-0000-0000-0000518D0000}"/>
    <cellStyle name="Calculation 4 5" xfId="38705" xr:uid="{00000000-0005-0000-0000-0000528D0000}"/>
    <cellStyle name="Calculation 4 5 2" xfId="38706" xr:uid="{00000000-0005-0000-0000-0000538D0000}"/>
    <cellStyle name="Calculation 4 6" xfId="38707" xr:uid="{00000000-0005-0000-0000-0000548D0000}"/>
    <cellStyle name="Calculation 4 6 2" xfId="38708" xr:uid="{00000000-0005-0000-0000-0000558D0000}"/>
    <cellStyle name="Calculation 4 7" xfId="38709" xr:uid="{00000000-0005-0000-0000-0000568D0000}"/>
    <cellStyle name="Calculation 4 7 2" xfId="38710" xr:uid="{00000000-0005-0000-0000-0000578D0000}"/>
    <cellStyle name="Calculation 4 8" xfId="38711" xr:uid="{00000000-0005-0000-0000-0000588D0000}"/>
    <cellStyle name="Calculation 4 8 2" xfId="38712" xr:uid="{00000000-0005-0000-0000-0000598D0000}"/>
    <cellStyle name="Calculation 4 9" xfId="38713" xr:uid="{00000000-0005-0000-0000-00005A8D0000}"/>
    <cellStyle name="Calculation 4 9 2" xfId="38714" xr:uid="{00000000-0005-0000-0000-00005B8D0000}"/>
    <cellStyle name="Calculation 5" xfId="1191" xr:uid="{00000000-0005-0000-0000-00005C8D0000}"/>
    <cellStyle name="Calculation 5 10" xfId="38715" xr:uid="{00000000-0005-0000-0000-00005D8D0000}"/>
    <cellStyle name="Calculation 5 10 2" xfId="38716" xr:uid="{00000000-0005-0000-0000-00005E8D0000}"/>
    <cellStyle name="Calculation 5 11" xfId="38717" xr:uid="{00000000-0005-0000-0000-00005F8D0000}"/>
    <cellStyle name="Calculation 5 2" xfId="38718" xr:uid="{00000000-0005-0000-0000-0000608D0000}"/>
    <cellStyle name="Calculation 5 2 2" xfId="38719" xr:uid="{00000000-0005-0000-0000-0000618D0000}"/>
    <cellStyle name="Calculation 5 2 2 2" xfId="38720" xr:uid="{00000000-0005-0000-0000-0000628D0000}"/>
    <cellStyle name="Calculation 5 2 3" xfId="38721" xr:uid="{00000000-0005-0000-0000-0000638D0000}"/>
    <cellStyle name="Calculation 5 2 3 2" xfId="38722" xr:uid="{00000000-0005-0000-0000-0000648D0000}"/>
    <cellStyle name="Calculation 5 2 4" xfId="38723" xr:uid="{00000000-0005-0000-0000-0000658D0000}"/>
    <cellStyle name="Calculation 5 2 4 2" xfId="38724" xr:uid="{00000000-0005-0000-0000-0000668D0000}"/>
    <cellStyle name="Calculation 5 2 5" xfId="38725" xr:uid="{00000000-0005-0000-0000-0000678D0000}"/>
    <cellStyle name="Calculation 5 2 5 2" xfId="38726" xr:uid="{00000000-0005-0000-0000-0000688D0000}"/>
    <cellStyle name="Calculation 5 2 6" xfId="38727" xr:uid="{00000000-0005-0000-0000-0000698D0000}"/>
    <cellStyle name="Calculation 5 2 6 2" xfId="38728" xr:uid="{00000000-0005-0000-0000-00006A8D0000}"/>
    <cellStyle name="Calculation 5 2 7" xfId="38729" xr:uid="{00000000-0005-0000-0000-00006B8D0000}"/>
    <cellStyle name="Calculation 5 2 7 2" xfId="38730" xr:uid="{00000000-0005-0000-0000-00006C8D0000}"/>
    <cellStyle name="Calculation 5 2 8" xfId="38731" xr:uid="{00000000-0005-0000-0000-00006D8D0000}"/>
    <cellStyle name="Calculation 5 2 8 2" xfId="38732" xr:uid="{00000000-0005-0000-0000-00006E8D0000}"/>
    <cellStyle name="Calculation 5 2 9" xfId="38733" xr:uid="{00000000-0005-0000-0000-00006F8D0000}"/>
    <cellStyle name="Calculation 5 3" xfId="38734" xr:uid="{00000000-0005-0000-0000-0000708D0000}"/>
    <cellStyle name="Calculation 5 3 2" xfId="38735" xr:uid="{00000000-0005-0000-0000-0000718D0000}"/>
    <cellStyle name="Calculation 5 4" xfId="38736" xr:uid="{00000000-0005-0000-0000-0000728D0000}"/>
    <cellStyle name="Calculation 5 4 2" xfId="38737" xr:uid="{00000000-0005-0000-0000-0000738D0000}"/>
    <cellStyle name="Calculation 5 5" xfId="38738" xr:uid="{00000000-0005-0000-0000-0000748D0000}"/>
    <cellStyle name="Calculation 5 5 2" xfId="38739" xr:uid="{00000000-0005-0000-0000-0000758D0000}"/>
    <cellStyle name="Calculation 5 6" xfId="38740" xr:uid="{00000000-0005-0000-0000-0000768D0000}"/>
    <cellStyle name="Calculation 5 6 2" xfId="38741" xr:uid="{00000000-0005-0000-0000-0000778D0000}"/>
    <cellStyle name="Calculation 5 7" xfId="38742" xr:uid="{00000000-0005-0000-0000-0000788D0000}"/>
    <cellStyle name="Calculation 5 7 2" xfId="38743" xr:uid="{00000000-0005-0000-0000-0000798D0000}"/>
    <cellStyle name="Calculation 5 8" xfId="38744" xr:uid="{00000000-0005-0000-0000-00007A8D0000}"/>
    <cellStyle name="Calculation 5 8 2" xfId="38745" xr:uid="{00000000-0005-0000-0000-00007B8D0000}"/>
    <cellStyle name="Calculation 5 9" xfId="38746" xr:uid="{00000000-0005-0000-0000-00007C8D0000}"/>
    <cellStyle name="Calculation 5 9 2" xfId="38747" xr:uid="{00000000-0005-0000-0000-00007D8D0000}"/>
    <cellStyle name="Calculation 6" xfId="1192" xr:uid="{00000000-0005-0000-0000-00007E8D0000}"/>
    <cellStyle name="Calculation 6 10" xfId="38748" xr:uid="{00000000-0005-0000-0000-00007F8D0000}"/>
    <cellStyle name="Calculation 6 10 2" xfId="38749" xr:uid="{00000000-0005-0000-0000-0000808D0000}"/>
    <cellStyle name="Calculation 6 11" xfId="38750" xr:uid="{00000000-0005-0000-0000-0000818D0000}"/>
    <cellStyle name="Calculation 6 2" xfId="38751" xr:uid="{00000000-0005-0000-0000-0000828D0000}"/>
    <cellStyle name="Calculation 6 2 2" xfId="38752" xr:uid="{00000000-0005-0000-0000-0000838D0000}"/>
    <cellStyle name="Calculation 6 2 2 2" xfId="38753" xr:uid="{00000000-0005-0000-0000-0000848D0000}"/>
    <cellStyle name="Calculation 6 2 3" xfId="38754" xr:uid="{00000000-0005-0000-0000-0000858D0000}"/>
    <cellStyle name="Calculation 6 2 3 2" xfId="38755" xr:uid="{00000000-0005-0000-0000-0000868D0000}"/>
    <cellStyle name="Calculation 6 2 4" xfId="38756" xr:uid="{00000000-0005-0000-0000-0000878D0000}"/>
    <cellStyle name="Calculation 6 2 4 2" xfId="38757" xr:uid="{00000000-0005-0000-0000-0000888D0000}"/>
    <cellStyle name="Calculation 6 2 5" xfId="38758" xr:uid="{00000000-0005-0000-0000-0000898D0000}"/>
    <cellStyle name="Calculation 6 2 5 2" xfId="38759" xr:uid="{00000000-0005-0000-0000-00008A8D0000}"/>
    <cellStyle name="Calculation 6 2 6" xfId="38760" xr:uid="{00000000-0005-0000-0000-00008B8D0000}"/>
    <cellStyle name="Calculation 6 2 6 2" xfId="38761" xr:uid="{00000000-0005-0000-0000-00008C8D0000}"/>
    <cellStyle name="Calculation 6 2 7" xfId="38762" xr:uid="{00000000-0005-0000-0000-00008D8D0000}"/>
    <cellStyle name="Calculation 6 2 7 2" xfId="38763" xr:uid="{00000000-0005-0000-0000-00008E8D0000}"/>
    <cellStyle name="Calculation 6 2 8" xfId="38764" xr:uid="{00000000-0005-0000-0000-00008F8D0000}"/>
    <cellStyle name="Calculation 6 2 8 2" xfId="38765" xr:uid="{00000000-0005-0000-0000-0000908D0000}"/>
    <cellStyle name="Calculation 6 2 9" xfId="38766" xr:uid="{00000000-0005-0000-0000-0000918D0000}"/>
    <cellStyle name="Calculation 6 3" xfId="38767" xr:uid="{00000000-0005-0000-0000-0000928D0000}"/>
    <cellStyle name="Calculation 6 3 2" xfId="38768" xr:uid="{00000000-0005-0000-0000-0000938D0000}"/>
    <cellStyle name="Calculation 6 4" xfId="38769" xr:uid="{00000000-0005-0000-0000-0000948D0000}"/>
    <cellStyle name="Calculation 6 4 2" xfId="38770" xr:uid="{00000000-0005-0000-0000-0000958D0000}"/>
    <cellStyle name="Calculation 6 5" xfId="38771" xr:uid="{00000000-0005-0000-0000-0000968D0000}"/>
    <cellStyle name="Calculation 6 5 2" xfId="38772" xr:uid="{00000000-0005-0000-0000-0000978D0000}"/>
    <cellStyle name="Calculation 6 6" xfId="38773" xr:uid="{00000000-0005-0000-0000-0000988D0000}"/>
    <cellStyle name="Calculation 6 6 2" xfId="38774" xr:uid="{00000000-0005-0000-0000-0000998D0000}"/>
    <cellStyle name="Calculation 6 7" xfId="38775" xr:uid="{00000000-0005-0000-0000-00009A8D0000}"/>
    <cellStyle name="Calculation 6 7 2" xfId="38776" xr:uid="{00000000-0005-0000-0000-00009B8D0000}"/>
    <cellStyle name="Calculation 6 8" xfId="38777" xr:uid="{00000000-0005-0000-0000-00009C8D0000}"/>
    <cellStyle name="Calculation 6 8 2" xfId="38778" xr:uid="{00000000-0005-0000-0000-00009D8D0000}"/>
    <cellStyle name="Calculation 6 9" xfId="38779" xr:uid="{00000000-0005-0000-0000-00009E8D0000}"/>
    <cellStyle name="Calculation 6 9 2" xfId="38780" xr:uid="{00000000-0005-0000-0000-00009F8D0000}"/>
    <cellStyle name="Calculation 7" xfId="1193" xr:uid="{00000000-0005-0000-0000-0000A08D0000}"/>
    <cellStyle name="Calculation 7 10" xfId="38781" xr:uid="{00000000-0005-0000-0000-0000A18D0000}"/>
    <cellStyle name="Calculation 7 10 2" xfId="38782" xr:uid="{00000000-0005-0000-0000-0000A28D0000}"/>
    <cellStyle name="Calculation 7 11" xfId="38783" xr:uid="{00000000-0005-0000-0000-0000A38D0000}"/>
    <cellStyle name="Calculation 7 2" xfId="38784" xr:uid="{00000000-0005-0000-0000-0000A48D0000}"/>
    <cellStyle name="Calculation 7 2 2" xfId="38785" xr:uid="{00000000-0005-0000-0000-0000A58D0000}"/>
    <cellStyle name="Calculation 7 2 2 2" xfId="38786" xr:uid="{00000000-0005-0000-0000-0000A68D0000}"/>
    <cellStyle name="Calculation 7 2 3" xfId="38787" xr:uid="{00000000-0005-0000-0000-0000A78D0000}"/>
    <cellStyle name="Calculation 7 2 3 2" xfId="38788" xr:uid="{00000000-0005-0000-0000-0000A88D0000}"/>
    <cellStyle name="Calculation 7 2 4" xfId="38789" xr:uid="{00000000-0005-0000-0000-0000A98D0000}"/>
    <cellStyle name="Calculation 7 2 4 2" xfId="38790" xr:uid="{00000000-0005-0000-0000-0000AA8D0000}"/>
    <cellStyle name="Calculation 7 2 5" xfId="38791" xr:uid="{00000000-0005-0000-0000-0000AB8D0000}"/>
    <cellStyle name="Calculation 7 2 5 2" xfId="38792" xr:uid="{00000000-0005-0000-0000-0000AC8D0000}"/>
    <cellStyle name="Calculation 7 2 6" xfId="38793" xr:uid="{00000000-0005-0000-0000-0000AD8D0000}"/>
    <cellStyle name="Calculation 7 2 6 2" xfId="38794" xr:uid="{00000000-0005-0000-0000-0000AE8D0000}"/>
    <cellStyle name="Calculation 7 2 7" xfId="38795" xr:uid="{00000000-0005-0000-0000-0000AF8D0000}"/>
    <cellStyle name="Calculation 7 2 7 2" xfId="38796" xr:uid="{00000000-0005-0000-0000-0000B08D0000}"/>
    <cellStyle name="Calculation 7 2 8" xfId="38797" xr:uid="{00000000-0005-0000-0000-0000B18D0000}"/>
    <cellStyle name="Calculation 7 2 8 2" xfId="38798" xr:uid="{00000000-0005-0000-0000-0000B28D0000}"/>
    <cellStyle name="Calculation 7 2 9" xfId="38799" xr:uid="{00000000-0005-0000-0000-0000B38D0000}"/>
    <cellStyle name="Calculation 7 3" xfId="38800" xr:uid="{00000000-0005-0000-0000-0000B48D0000}"/>
    <cellStyle name="Calculation 7 3 2" xfId="38801" xr:uid="{00000000-0005-0000-0000-0000B58D0000}"/>
    <cellStyle name="Calculation 7 4" xfId="38802" xr:uid="{00000000-0005-0000-0000-0000B68D0000}"/>
    <cellStyle name="Calculation 7 4 2" xfId="38803" xr:uid="{00000000-0005-0000-0000-0000B78D0000}"/>
    <cellStyle name="Calculation 7 5" xfId="38804" xr:uid="{00000000-0005-0000-0000-0000B88D0000}"/>
    <cellStyle name="Calculation 7 5 2" xfId="38805" xr:uid="{00000000-0005-0000-0000-0000B98D0000}"/>
    <cellStyle name="Calculation 7 6" xfId="38806" xr:uid="{00000000-0005-0000-0000-0000BA8D0000}"/>
    <cellStyle name="Calculation 7 6 2" xfId="38807" xr:uid="{00000000-0005-0000-0000-0000BB8D0000}"/>
    <cellStyle name="Calculation 7 7" xfId="38808" xr:uid="{00000000-0005-0000-0000-0000BC8D0000}"/>
    <cellStyle name="Calculation 7 7 2" xfId="38809" xr:uid="{00000000-0005-0000-0000-0000BD8D0000}"/>
    <cellStyle name="Calculation 7 8" xfId="38810" xr:uid="{00000000-0005-0000-0000-0000BE8D0000}"/>
    <cellStyle name="Calculation 7 8 2" xfId="38811" xr:uid="{00000000-0005-0000-0000-0000BF8D0000}"/>
    <cellStyle name="Calculation 7 9" xfId="38812" xr:uid="{00000000-0005-0000-0000-0000C08D0000}"/>
    <cellStyle name="Calculation 7 9 2" xfId="38813" xr:uid="{00000000-0005-0000-0000-0000C18D0000}"/>
    <cellStyle name="Calculation 8" xfId="1194" xr:uid="{00000000-0005-0000-0000-0000C28D0000}"/>
    <cellStyle name="Calculation 8 2" xfId="38814" xr:uid="{00000000-0005-0000-0000-0000C38D0000}"/>
    <cellStyle name="Calculation 8 2 2" xfId="38815" xr:uid="{00000000-0005-0000-0000-0000C48D0000}"/>
    <cellStyle name="Calculation 8 3" xfId="38816" xr:uid="{00000000-0005-0000-0000-0000C58D0000}"/>
    <cellStyle name="Calculation 8 3 2" xfId="38817" xr:uid="{00000000-0005-0000-0000-0000C68D0000}"/>
    <cellStyle name="Calculation 8 4" xfId="38818" xr:uid="{00000000-0005-0000-0000-0000C78D0000}"/>
    <cellStyle name="Calculation 8 4 2" xfId="38819" xr:uid="{00000000-0005-0000-0000-0000C88D0000}"/>
    <cellStyle name="Calculation 8 5" xfId="38820" xr:uid="{00000000-0005-0000-0000-0000C98D0000}"/>
    <cellStyle name="Calculation 9" xfId="1195" xr:uid="{00000000-0005-0000-0000-0000CA8D0000}"/>
    <cellStyle name="Calculation 9 10" xfId="38821" xr:uid="{00000000-0005-0000-0000-0000CB8D0000}"/>
    <cellStyle name="Calculation 9 2" xfId="38822" xr:uid="{00000000-0005-0000-0000-0000CC8D0000}"/>
    <cellStyle name="Calculation 9 2 2" xfId="38823" xr:uid="{00000000-0005-0000-0000-0000CD8D0000}"/>
    <cellStyle name="Calculation 9 3" xfId="38824" xr:uid="{00000000-0005-0000-0000-0000CE8D0000}"/>
    <cellStyle name="Calculation 9 3 2" xfId="38825" xr:uid="{00000000-0005-0000-0000-0000CF8D0000}"/>
    <cellStyle name="Calculation 9 4" xfId="38826" xr:uid="{00000000-0005-0000-0000-0000D08D0000}"/>
    <cellStyle name="Calculation 9 4 2" xfId="38827" xr:uid="{00000000-0005-0000-0000-0000D18D0000}"/>
    <cellStyle name="Calculation 9 5" xfId="38828" xr:uid="{00000000-0005-0000-0000-0000D28D0000}"/>
    <cellStyle name="Calculation 9 5 2" xfId="38829" xr:uid="{00000000-0005-0000-0000-0000D38D0000}"/>
    <cellStyle name="Calculation 9 6" xfId="38830" xr:uid="{00000000-0005-0000-0000-0000D48D0000}"/>
    <cellStyle name="Calculation 9 6 2" xfId="38831" xr:uid="{00000000-0005-0000-0000-0000D58D0000}"/>
    <cellStyle name="Calculation 9 7" xfId="38832" xr:uid="{00000000-0005-0000-0000-0000D68D0000}"/>
    <cellStyle name="Calculation 9 7 2" xfId="38833" xr:uid="{00000000-0005-0000-0000-0000D78D0000}"/>
    <cellStyle name="Calculation 9 8" xfId="38834" xr:uid="{00000000-0005-0000-0000-0000D88D0000}"/>
    <cellStyle name="Calculation 9 8 2" xfId="38835" xr:uid="{00000000-0005-0000-0000-0000D98D0000}"/>
    <cellStyle name="Calculation 9 9" xfId="38836" xr:uid="{00000000-0005-0000-0000-0000DA8D0000}"/>
    <cellStyle name="Calculation 9 9 2" xfId="38837" xr:uid="{00000000-0005-0000-0000-0000DB8D0000}"/>
    <cellStyle name="Centered Heading" xfId="38838" xr:uid="{00000000-0005-0000-0000-0000DC8D0000}"/>
    <cellStyle name="cents" xfId="38839" xr:uid="{00000000-0005-0000-0000-0000DD8D0000}"/>
    <cellStyle name="Check Cell" xfId="114" builtinId="23" customBuiltin="1"/>
    <cellStyle name="Check Cell 10" xfId="1196" xr:uid="{00000000-0005-0000-0000-0000DE8D0000}"/>
    <cellStyle name="Check Cell 10 10" xfId="38840" xr:uid="{00000000-0005-0000-0000-0000DF8D0000}"/>
    <cellStyle name="Check Cell 10 2" xfId="38841" xr:uid="{00000000-0005-0000-0000-0000E08D0000}"/>
    <cellStyle name="Check Cell 10 2 2" xfId="38842" xr:uid="{00000000-0005-0000-0000-0000E18D0000}"/>
    <cellStyle name="Check Cell 10 3" xfId="38843" xr:uid="{00000000-0005-0000-0000-0000E28D0000}"/>
    <cellStyle name="Check Cell 10 3 2" xfId="38844" xr:uid="{00000000-0005-0000-0000-0000E38D0000}"/>
    <cellStyle name="Check Cell 10 4" xfId="38845" xr:uid="{00000000-0005-0000-0000-0000E48D0000}"/>
    <cellStyle name="Check Cell 10 4 2" xfId="38846" xr:uid="{00000000-0005-0000-0000-0000E58D0000}"/>
    <cellStyle name="Check Cell 10 5" xfId="38847" xr:uid="{00000000-0005-0000-0000-0000E68D0000}"/>
    <cellStyle name="Check Cell 10 5 2" xfId="38848" xr:uid="{00000000-0005-0000-0000-0000E78D0000}"/>
    <cellStyle name="Check Cell 10 6" xfId="38849" xr:uid="{00000000-0005-0000-0000-0000E88D0000}"/>
    <cellStyle name="Check Cell 10 6 2" xfId="38850" xr:uid="{00000000-0005-0000-0000-0000E98D0000}"/>
    <cellStyle name="Check Cell 10 7" xfId="38851" xr:uid="{00000000-0005-0000-0000-0000EA8D0000}"/>
    <cellStyle name="Check Cell 10 7 2" xfId="38852" xr:uid="{00000000-0005-0000-0000-0000EB8D0000}"/>
    <cellStyle name="Check Cell 10 8" xfId="38853" xr:uid="{00000000-0005-0000-0000-0000EC8D0000}"/>
    <cellStyle name="Check Cell 10 8 2" xfId="38854" xr:uid="{00000000-0005-0000-0000-0000ED8D0000}"/>
    <cellStyle name="Check Cell 10 9" xfId="38855" xr:uid="{00000000-0005-0000-0000-0000EE8D0000}"/>
    <cellStyle name="Check Cell 10 9 2" xfId="38856" xr:uid="{00000000-0005-0000-0000-0000EF8D0000}"/>
    <cellStyle name="Check Cell 11" xfId="1197" xr:uid="{00000000-0005-0000-0000-0000F08D0000}"/>
    <cellStyle name="Check Cell 11 10" xfId="38857" xr:uid="{00000000-0005-0000-0000-0000F18D0000}"/>
    <cellStyle name="Check Cell 11 2" xfId="38858" xr:uid="{00000000-0005-0000-0000-0000F28D0000}"/>
    <cellStyle name="Check Cell 11 2 2" xfId="38859" xr:uid="{00000000-0005-0000-0000-0000F38D0000}"/>
    <cellStyle name="Check Cell 11 3" xfId="38860" xr:uid="{00000000-0005-0000-0000-0000F48D0000}"/>
    <cellStyle name="Check Cell 11 3 2" xfId="38861" xr:uid="{00000000-0005-0000-0000-0000F58D0000}"/>
    <cellStyle name="Check Cell 11 4" xfId="38862" xr:uid="{00000000-0005-0000-0000-0000F68D0000}"/>
    <cellStyle name="Check Cell 11 4 2" xfId="38863" xr:uid="{00000000-0005-0000-0000-0000F78D0000}"/>
    <cellStyle name="Check Cell 11 5" xfId="38864" xr:uid="{00000000-0005-0000-0000-0000F88D0000}"/>
    <cellStyle name="Check Cell 11 5 2" xfId="38865" xr:uid="{00000000-0005-0000-0000-0000F98D0000}"/>
    <cellStyle name="Check Cell 11 6" xfId="38866" xr:uid="{00000000-0005-0000-0000-0000FA8D0000}"/>
    <cellStyle name="Check Cell 11 6 2" xfId="38867" xr:uid="{00000000-0005-0000-0000-0000FB8D0000}"/>
    <cellStyle name="Check Cell 11 7" xfId="38868" xr:uid="{00000000-0005-0000-0000-0000FC8D0000}"/>
    <cellStyle name="Check Cell 11 7 2" xfId="38869" xr:uid="{00000000-0005-0000-0000-0000FD8D0000}"/>
    <cellStyle name="Check Cell 11 8" xfId="38870" xr:uid="{00000000-0005-0000-0000-0000FE8D0000}"/>
    <cellStyle name="Check Cell 11 8 2" xfId="38871" xr:uid="{00000000-0005-0000-0000-0000FF8D0000}"/>
    <cellStyle name="Check Cell 11 9" xfId="38872" xr:uid="{00000000-0005-0000-0000-0000008E0000}"/>
    <cellStyle name="Check Cell 11 9 2" xfId="38873" xr:uid="{00000000-0005-0000-0000-0000018E0000}"/>
    <cellStyle name="Check Cell 12" xfId="1198" xr:uid="{00000000-0005-0000-0000-0000028E0000}"/>
    <cellStyle name="Check Cell 12 2" xfId="38874" xr:uid="{00000000-0005-0000-0000-0000038E0000}"/>
    <cellStyle name="Check Cell 12 2 2" xfId="38875" xr:uid="{00000000-0005-0000-0000-0000048E0000}"/>
    <cellStyle name="Check Cell 12 3" xfId="38876" xr:uid="{00000000-0005-0000-0000-0000058E0000}"/>
    <cellStyle name="Check Cell 13" xfId="1199" xr:uid="{00000000-0005-0000-0000-0000068E0000}"/>
    <cellStyle name="Check Cell 13 2" xfId="38877" xr:uid="{00000000-0005-0000-0000-0000078E0000}"/>
    <cellStyle name="Check Cell 14" xfId="1200" xr:uid="{00000000-0005-0000-0000-0000088E0000}"/>
    <cellStyle name="Check Cell 14 2" xfId="38878" xr:uid="{00000000-0005-0000-0000-0000098E0000}"/>
    <cellStyle name="Check Cell 15" xfId="1201" xr:uid="{00000000-0005-0000-0000-00000A8E0000}"/>
    <cellStyle name="Check Cell 15 2" xfId="38879" xr:uid="{00000000-0005-0000-0000-00000B8E0000}"/>
    <cellStyle name="Check Cell 16" xfId="1202" xr:uid="{00000000-0005-0000-0000-00000C8E0000}"/>
    <cellStyle name="Check Cell 16 2" xfId="38880" xr:uid="{00000000-0005-0000-0000-00000D8E0000}"/>
    <cellStyle name="Check Cell 17" xfId="1203" xr:uid="{00000000-0005-0000-0000-00000E8E0000}"/>
    <cellStyle name="Check Cell 17 2" xfId="38881" xr:uid="{00000000-0005-0000-0000-00000F8E0000}"/>
    <cellStyle name="Check Cell 18" xfId="1204" xr:uid="{00000000-0005-0000-0000-0000108E0000}"/>
    <cellStyle name="Check Cell 18 2" xfId="38882" xr:uid="{00000000-0005-0000-0000-0000118E0000}"/>
    <cellStyle name="Check Cell 19" xfId="1205" xr:uid="{00000000-0005-0000-0000-0000128E0000}"/>
    <cellStyle name="Check Cell 19 2" xfId="38883" xr:uid="{00000000-0005-0000-0000-0000138E0000}"/>
    <cellStyle name="Check Cell 2" xfId="1206" xr:uid="{00000000-0005-0000-0000-0000148E0000}"/>
    <cellStyle name="Check Cell 2 2" xfId="1207" xr:uid="{00000000-0005-0000-0000-0000158E0000}"/>
    <cellStyle name="Check Cell 2 2 2" xfId="38884" xr:uid="{00000000-0005-0000-0000-0000168E0000}"/>
    <cellStyle name="Check Cell 2 2 2 2" xfId="38885" xr:uid="{00000000-0005-0000-0000-0000178E0000}"/>
    <cellStyle name="Check Cell 2 2 3" xfId="38886" xr:uid="{00000000-0005-0000-0000-0000188E0000}"/>
    <cellStyle name="Check Cell 2 3" xfId="1208" xr:uid="{00000000-0005-0000-0000-0000198E0000}"/>
    <cellStyle name="Check Cell 2 3 2" xfId="38887" xr:uid="{00000000-0005-0000-0000-00001A8E0000}"/>
    <cellStyle name="Check Cell 2 3 2 2" xfId="38888" xr:uid="{00000000-0005-0000-0000-00001B8E0000}"/>
    <cellStyle name="Check Cell 2 3 3" xfId="38889" xr:uid="{00000000-0005-0000-0000-00001C8E0000}"/>
    <cellStyle name="Check Cell 2 4" xfId="1209" xr:uid="{00000000-0005-0000-0000-00001D8E0000}"/>
    <cellStyle name="Check Cell 2 4 2" xfId="38890" xr:uid="{00000000-0005-0000-0000-00001E8E0000}"/>
    <cellStyle name="Check Cell 2 4 2 2" xfId="38891" xr:uid="{00000000-0005-0000-0000-00001F8E0000}"/>
    <cellStyle name="Check Cell 2 4 3" xfId="38892" xr:uid="{00000000-0005-0000-0000-0000208E0000}"/>
    <cellStyle name="Check Cell 2 5" xfId="38893" xr:uid="{00000000-0005-0000-0000-0000218E0000}"/>
    <cellStyle name="Check Cell 2 5 2" xfId="38894" xr:uid="{00000000-0005-0000-0000-0000228E0000}"/>
    <cellStyle name="Check Cell 2 6" xfId="38895" xr:uid="{00000000-0005-0000-0000-0000238E0000}"/>
    <cellStyle name="Check Cell 2 7" xfId="38896" xr:uid="{00000000-0005-0000-0000-0000248E0000}"/>
    <cellStyle name="Check Cell 20" xfId="1210" xr:uid="{00000000-0005-0000-0000-0000258E0000}"/>
    <cellStyle name="Check Cell 20 2" xfId="38897" xr:uid="{00000000-0005-0000-0000-0000268E0000}"/>
    <cellStyle name="Check Cell 21" xfId="1211" xr:uid="{00000000-0005-0000-0000-0000278E0000}"/>
    <cellStyle name="Check Cell 21 2" xfId="38898" xr:uid="{00000000-0005-0000-0000-0000288E0000}"/>
    <cellStyle name="Check Cell 22" xfId="1212" xr:uid="{00000000-0005-0000-0000-0000298E0000}"/>
    <cellStyle name="Check Cell 22 2" xfId="38899" xr:uid="{00000000-0005-0000-0000-00002A8E0000}"/>
    <cellStyle name="Check Cell 23" xfId="1213" xr:uid="{00000000-0005-0000-0000-00002B8E0000}"/>
    <cellStyle name="Check Cell 23 2" xfId="38900" xr:uid="{00000000-0005-0000-0000-00002C8E0000}"/>
    <cellStyle name="Check Cell 24" xfId="1214" xr:uid="{00000000-0005-0000-0000-00002D8E0000}"/>
    <cellStyle name="Check Cell 24 2" xfId="1215" xr:uid="{00000000-0005-0000-0000-00002E8E0000}"/>
    <cellStyle name="Check Cell 24 2 2" xfId="38901" xr:uid="{00000000-0005-0000-0000-00002F8E0000}"/>
    <cellStyle name="Check Cell 24 3" xfId="38902" xr:uid="{00000000-0005-0000-0000-0000308E0000}"/>
    <cellStyle name="Check Cell 25" xfId="1216" xr:uid="{00000000-0005-0000-0000-0000318E0000}"/>
    <cellStyle name="Check Cell 25 2" xfId="38903" xr:uid="{00000000-0005-0000-0000-0000328E0000}"/>
    <cellStyle name="Check Cell 26" xfId="38904" xr:uid="{00000000-0005-0000-0000-0000338E0000}"/>
    <cellStyle name="Check Cell 26 2" xfId="38905" xr:uid="{00000000-0005-0000-0000-0000348E0000}"/>
    <cellStyle name="Check Cell 27" xfId="38906" xr:uid="{00000000-0005-0000-0000-0000358E0000}"/>
    <cellStyle name="Check Cell 27 2" xfId="38907" xr:uid="{00000000-0005-0000-0000-0000368E0000}"/>
    <cellStyle name="Check Cell 28" xfId="38908" xr:uid="{00000000-0005-0000-0000-0000378E0000}"/>
    <cellStyle name="Check Cell 29" xfId="38909" xr:uid="{00000000-0005-0000-0000-0000388E0000}"/>
    <cellStyle name="Check Cell 29 2" xfId="38910" xr:uid="{00000000-0005-0000-0000-0000398E0000}"/>
    <cellStyle name="Check Cell 3" xfId="1217" xr:uid="{00000000-0005-0000-0000-00003A8E0000}"/>
    <cellStyle name="Check Cell 3 2" xfId="38911" xr:uid="{00000000-0005-0000-0000-00003B8E0000}"/>
    <cellStyle name="Check Cell 3 2 2" xfId="38912" xr:uid="{00000000-0005-0000-0000-00003C8E0000}"/>
    <cellStyle name="Check Cell 3 3" xfId="38913" xr:uid="{00000000-0005-0000-0000-00003D8E0000}"/>
    <cellStyle name="Check Cell 3 3 2" xfId="38914" xr:uid="{00000000-0005-0000-0000-00003E8E0000}"/>
    <cellStyle name="Check Cell 3 4" xfId="38915" xr:uid="{00000000-0005-0000-0000-00003F8E0000}"/>
    <cellStyle name="Check Cell 3 4 2" xfId="38916" xr:uid="{00000000-0005-0000-0000-0000408E0000}"/>
    <cellStyle name="Check Cell 3 5" xfId="38917" xr:uid="{00000000-0005-0000-0000-0000418E0000}"/>
    <cellStyle name="Check Cell 3 5 2" xfId="38918" xr:uid="{00000000-0005-0000-0000-0000428E0000}"/>
    <cellStyle name="Check Cell 3 6" xfId="38919" xr:uid="{00000000-0005-0000-0000-0000438E0000}"/>
    <cellStyle name="Check Cell 3 7" xfId="38920" xr:uid="{00000000-0005-0000-0000-0000448E0000}"/>
    <cellStyle name="Check Cell 4" xfId="1218" xr:uid="{00000000-0005-0000-0000-0000458E0000}"/>
    <cellStyle name="Check Cell 4 2" xfId="38921" xr:uid="{00000000-0005-0000-0000-0000468E0000}"/>
    <cellStyle name="Check Cell 4 2 2" xfId="38922" xr:uid="{00000000-0005-0000-0000-0000478E0000}"/>
    <cellStyle name="Check Cell 4 3" xfId="38923" xr:uid="{00000000-0005-0000-0000-0000488E0000}"/>
    <cellStyle name="Check Cell 4 3 2" xfId="38924" xr:uid="{00000000-0005-0000-0000-0000498E0000}"/>
    <cellStyle name="Check Cell 4 4" xfId="38925" xr:uid="{00000000-0005-0000-0000-00004A8E0000}"/>
    <cellStyle name="Check Cell 4 4 2" xfId="38926" xr:uid="{00000000-0005-0000-0000-00004B8E0000}"/>
    <cellStyle name="Check Cell 4 5" xfId="38927" xr:uid="{00000000-0005-0000-0000-00004C8E0000}"/>
    <cellStyle name="Check Cell 4 5 2" xfId="38928" xr:uid="{00000000-0005-0000-0000-00004D8E0000}"/>
    <cellStyle name="Check Cell 4 6" xfId="38929" xr:uid="{00000000-0005-0000-0000-00004E8E0000}"/>
    <cellStyle name="Check Cell 5" xfId="1219" xr:uid="{00000000-0005-0000-0000-00004F8E0000}"/>
    <cellStyle name="Check Cell 5 2" xfId="38930" xr:uid="{00000000-0005-0000-0000-0000508E0000}"/>
    <cellStyle name="Check Cell 5 2 2" xfId="38931" xr:uid="{00000000-0005-0000-0000-0000518E0000}"/>
    <cellStyle name="Check Cell 5 3" xfId="38932" xr:uid="{00000000-0005-0000-0000-0000528E0000}"/>
    <cellStyle name="Check Cell 5 3 2" xfId="38933" xr:uid="{00000000-0005-0000-0000-0000538E0000}"/>
    <cellStyle name="Check Cell 5 4" xfId="38934" xr:uid="{00000000-0005-0000-0000-0000548E0000}"/>
    <cellStyle name="Check Cell 5 4 2" xfId="38935" xr:uid="{00000000-0005-0000-0000-0000558E0000}"/>
    <cellStyle name="Check Cell 5 5" xfId="38936" xr:uid="{00000000-0005-0000-0000-0000568E0000}"/>
    <cellStyle name="Check Cell 5 5 2" xfId="38937" xr:uid="{00000000-0005-0000-0000-0000578E0000}"/>
    <cellStyle name="Check Cell 5 6" xfId="38938" xr:uid="{00000000-0005-0000-0000-0000588E0000}"/>
    <cellStyle name="Check Cell 6" xfId="1220" xr:uid="{00000000-0005-0000-0000-0000598E0000}"/>
    <cellStyle name="Check Cell 6 2" xfId="38939" xr:uid="{00000000-0005-0000-0000-00005A8E0000}"/>
    <cellStyle name="Check Cell 6 2 2" xfId="38940" xr:uid="{00000000-0005-0000-0000-00005B8E0000}"/>
    <cellStyle name="Check Cell 6 3" xfId="38941" xr:uid="{00000000-0005-0000-0000-00005C8E0000}"/>
    <cellStyle name="Check Cell 6 3 2" xfId="38942" xr:uid="{00000000-0005-0000-0000-00005D8E0000}"/>
    <cellStyle name="Check Cell 6 4" xfId="38943" xr:uid="{00000000-0005-0000-0000-00005E8E0000}"/>
    <cellStyle name="Check Cell 6 4 2" xfId="38944" xr:uid="{00000000-0005-0000-0000-00005F8E0000}"/>
    <cellStyle name="Check Cell 6 5" xfId="38945" xr:uid="{00000000-0005-0000-0000-0000608E0000}"/>
    <cellStyle name="Check Cell 6 5 2" xfId="38946" xr:uid="{00000000-0005-0000-0000-0000618E0000}"/>
    <cellStyle name="Check Cell 6 6" xfId="38947" xr:uid="{00000000-0005-0000-0000-0000628E0000}"/>
    <cellStyle name="Check Cell 7" xfId="1221" xr:uid="{00000000-0005-0000-0000-0000638E0000}"/>
    <cellStyle name="Check Cell 7 2" xfId="38948" xr:uid="{00000000-0005-0000-0000-0000648E0000}"/>
    <cellStyle name="Check Cell 7 2 2" xfId="38949" xr:uid="{00000000-0005-0000-0000-0000658E0000}"/>
    <cellStyle name="Check Cell 7 3" xfId="38950" xr:uid="{00000000-0005-0000-0000-0000668E0000}"/>
    <cellStyle name="Check Cell 7 3 2" xfId="38951" xr:uid="{00000000-0005-0000-0000-0000678E0000}"/>
    <cellStyle name="Check Cell 7 4" xfId="38952" xr:uid="{00000000-0005-0000-0000-0000688E0000}"/>
    <cellStyle name="Check Cell 7 4 2" xfId="38953" xr:uid="{00000000-0005-0000-0000-0000698E0000}"/>
    <cellStyle name="Check Cell 7 5" xfId="38954" xr:uid="{00000000-0005-0000-0000-00006A8E0000}"/>
    <cellStyle name="Check Cell 7 5 2" xfId="38955" xr:uid="{00000000-0005-0000-0000-00006B8E0000}"/>
    <cellStyle name="Check Cell 7 6" xfId="38956" xr:uid="{00000000-0005-0000-0000-00006C8E0000}"/>
    <cellStyle name="Check Cell 8" xfId="1222" xr:uid="{00000000-0005-0000-0000-00006D8E0000}"/>
    <cellStyle name="Check Cell 8 2" xfId="38957" xr:uid="{00000000-0005-0000-0000-00006E8E0000}"/>
    <cellStyle name="Check Cell 8 2 2" xfId="38958" xr:uid="{00000000-0005-0000-0000-00006F8E0000}"/>
    <cellStyle name="Check Cell 8 3" xfId="38959" xr:uid="{00000000-0005-0000-0000-0000708E0000}"/>
    <cellStyle name="Check Cell 8 3 2" xfId="38960" xr:uid="{00000000-0005-0000-0000-0000718E0000}"/>
    <cellStyle name="Check Cell 8 4" xfId="38961" xr:uid="{00000000-0005-0000-0000-0000728E0000}"/>
    <cellStyle name="Check Cell 8 4 2" xfId="38962" xr:uid="{00000000-0005-0000-0000-0000738E0000}"/>
    <cellStyle name="Check Cell 8 5" xfId="38963" xr:uid="{00000000-0005-0000-0000-0000748E0000}"/>
    <cellStyle name="Check Cell 9" xfId="1223" xr:uid="{00000000-0005-0000-0000-0000758E0000}"/>
    <cellStyle name="Check Cell 9 10" xfId="38964" xr:uid="{00000000-0005-0000-0000-0000768E0000}"/>
    <cellStyle name="Check Cell 9 2" xfId="38965" xr:uid="{00000000-0005-0000-0000-0000778E0000}"/>
    <cellStyle name="Check Cell 9 2 2" xfId="38966" xr:uid="{00000000-0005-0000-0000-0000788E0000}"/>
    <cellStyle name="Check Cell 9 3" xfId="38967" xr:uid="{00000000-0005-0000-0000-0000798E0000}"/>
    <cellStyle name="Check Cell 9 3 2" xfId="38968" xr:uid="{00000000-0005-0000-0000-00007A8E0000}"/>
    <cellStyle name="Check Cell 9 4" xfId="38969" xr:uid="{00000000-0005-0000-0000-00007B8E0000}"/>
    <cellStyle name="Check Cell 9 4 2" xfId="38970" xr:uid="{00000000-0005-0000-0000-00007C8E0000}"/>
    <cellStyle name="Check Cell 9 5" xfId="38971" xr:uid="{00000000-0005-0000-0000-00007D8E0000}"/>
    <cellStyle name="Check Cell 9 5 2" xfId="38972" xr:uid="{00000000-0005-0000-0000-00007E8E0000}"/>
    <cellStyle name="Check Cell 9 6" xfId="38973" xr:uid="{00000000-0005-0000-0000-00007F8E0000}"/>
    <cellStyle name="Check Cell 9 6 2" xfId="38974" xr:uid="{00000000-0005-0000-0000-0000808E0000}"/>
    <cellStyle name="Check Cell 9 7" xfId="38975" xr:uid="{00000000-0005-0000-0000-0000818E0000}"/>
    <cellStyle name="Check Cell 9 7 2" xfId="38976" xr:uid="{00000000-0005-0000-0000-0000828E0000}"/>
    <cellStyle name="Check Cell 9 8" xfId="38977" xr:uid="{00000000-0005-0000-0000-0000838E0000}"/>
    <cellStyle name="Check Cell 9 8 2" xfId="38978" xr:uid="{00000000-0005-0000-0000-0000848E0000}"/>
    <cellStyle name="Check Cell 9 9" xfId="38979" xr:uid="{00000000-0005-0000-0000-0000858E0000}"/>
    <cellStyle name="Check Cell 9 9 2" xfId="38980" xr:uid="{00000000-0005-0000-0000-0000868E0000}"/>
    <cellStyle name="Column_Title" xfId="38981" xr:uid="{00000000-0005-0000-0000-0000878E0000}"/>
    <cellStyle name="ColumnHeading" xfId="26" xr:uid="{00000000-0005-0000-0000-00002D000000}"/>
    <cellStyle name="coma 5" xfId="1224" xr:uid="{00000000-0005-0000-0000-0000898E0000}"/>
    <cellStyle name="Comma" xfId="1" builtinId="3"/>
    <cellStyle name="Comma %" xfId="38982" xr:uid="{00000000-0005-0000-0000-00008B8E0000}"/>
    <cellStyle name="Comma 0.0" xfId="38983" xr:uid="{00000000-0005-0000-0000-00008C8E0000}"/>
    <cellStyle name="Comma 0.0%" xfId="38984" xr:uid="{00000000-0005-0000-0000-00008D8E0000}"/>
    <cellStyle name="Comma 0.00" xfId="38985" xr:uid="{00000000-0005-0000-0000-00008E8E0000}"/>
    <cellStyle name="Comma 0.00%" xfId="38986" xr:uid="{00000000-0005-0000-0000-00008F8E0000}"/>
    <cellStyle name="Comma 0.000" xfId="38987" xr:uid="{00000000-0005-0000-0000-0000908E0000}"/>
    <cellStyle name="Comma 0.000%" xfId="38988" xr:uid="{00000000-0005-0000-0000-0000918E0000}"/>
    <cellStyle name="Comma 10" xfId="38989" xr:uid="{00000000-0005-0000-0000-0000928E0000}"/>
    <cellStyle name="Comma 10 10" xfId="38990" xr:uid="{00000000-0005-0000-0000-0000938E0000}"/>
    <cellStyle name="Comma 10 10 2" xfId="38991" xr:uid="{00000000-0005-0000-0000-0000948E0000}"/>
    <cellStyle name="Comma 10 11" xfId="38992" xr:uid="{00000000-0005-0000-0000-0000958E0000}"/>
    <cellStyle name="Comma 10 12" xfId="38993" xr:uid="{00000000-0005-0000-0000-0000968E0000}"/>
    <cellStyle name="Comma 10 2" xfId="38994" xr:uid="{00000000-0005-0000-0000-0000978E0000}"/>
    <cellStyle name="Comma 10 2 2" xfId="38995" xr:uid="{00000000-0005-0000-0000-0000988E0000}"/>
    <cellStyle name="Comma 10 2 2 2" xfId="38996" xr:uid="{00000000-0005-0000-0000-0000998E0000}"/>
    <cellStyle name="Comma 10 2 2 2 2" xfId="38997" xr:uid="{00000000-0005-0000-0000-00009A8E0000}"/>
    <cellStyle name="Comma 10 2 2 2 2 2" xfId="38998" xr:uid="{00000000-0005-0000-0000-00009B8E0000}"/>
    <cellStyle name="Comma 10 2 2 2 3" xfId="38999" xr:uid="{00000000-0005-0000-0000-00009C8E0000}"/>
    <cellStyle name="Comma 10 2 2 3" xfId="39000" xr:uid="{00000000-0005-0000-0000-00009D8E0000}"/>
    <cellStyle name="Comma 10 2 2 3 2" xfId="39001" xr:uid="{00000000-0005-0000-0000-00009E8E0000}"/>
    <cellStyle name="Comma 10 2 2 4" xfId="39002" xr:uid="{00000000-0005-0000-0000-00009F8E0000}"/>
    <cellStyle name="Comma 10 2 3" xfId="39003" xr:uid="{00000000-0005-0000-0000-0000A08E0000}"/>
    <cellStyle name="Comma 10 2 3 2" xfId="39004" xr:uid="{00000000-0005-0000-0000-0000A18E0000}"/>
    <cellStyle name="Comma 10 2 3 2 2" xfId="39005" xr:uid="{00000000-0005-0000-0000-0000A28E0000}"/>
    <cellStyle name="Comma 10 2 3 2 2 2" xfId="39006" xr:uid="{00000000-0005-0000-0000-0000A38E0000}"/>
    <cellStyle name="Comma 10 2 3 2 3" xfId="39007" xr:uid="{00000000-0005-0000-0000-0000A48E0000}"/>
    <cellStyle name="Comma 10 2 3 3" xfId="39008" xr:uid="{00000000-0005-0000-0000-0000A58E0000}"/>
    <cellStyle name="Comma 10 2 3 3 2" xfId="39009" xr:uid="{00000000-0005-0000-0000-0000A68E0000}"/>
    <cellStyle name="Comma 10 2 3 4" xfId="39010" xr:uid="{00000000-0005-0000-0000-0000A78E0000}"/>
    <cellStyle name="Comma 10 2 4" xfId="39011" xr:uid="{00000000-0005-0000-0000-0000A88E0000}"/>
    <cellStyle name="Comma 10 2 4 2" xfId="39012" xr:uid="{00000000-0005-0000-0000-0000A98E0000}"/>
    <cellStyle name="Comma 10 2 4 2 2" xfId="39013" xr:uid="{00000000-0005-0000-0000-0000AA8E0000}"/>
    <cellStyle name="Comma 10 2 4 2 2 2" xfId="39014" xr:uid="{00000000-0005-0000-0000-0000AB8E0000}"/>
    <cellStyle name="Comma 10 2 4 2 3" xfId="39015" xr:uid="{00000000-0005-0000-0000-0000AC8E0000}"/>
    <cellStyle name="Comma 10 2 4 3" xfId="39016" xr:uid="{00000000-0005-0000-0000-0000AD8E0000}"/>
    <cellStyle name="Comma 10 2 4 3 2" xfId="39017" xr:uid="{00000000-0005-0000-0000-0000AE8E0000}"/>
    <cellStyle name="Comma 10 2 4 4" xfId="39018" xr:uid="{00000000-0005-0000-0000-0000AF8E0000}"/>
    <cellStyle name="Comma 10 3" xfId="39019" xr:uid="{00000000-0005-0000-0000-0000B08E0000}"/>
    <cellStyle name="Comma 10 3 10" xfId="39020" xr:uid="{00000000-0005-0000-0000-0000B18E0000}"/>
    <cellStyle name="Comma 10 3 11" xfId="39021" xr:uid="{00000000-0005-0000-0000-0000B28E0000}"/>
    <cellStyle name="Comma 10 3 2" xfId="39022" xr:uid="{00000000-0005-0000-0000-0000B38E0000}"/>
    <cellStyle name="Comma 10 3 2 2" xfId="39023" xr:uid="{00000000-0005-0000-0000-0000B48E0000}"/>
    <cellStyle name="Comma 10 3 2 2 2" xfId="39024" xr:uid="{00000000-0005-0000-0000-0000B58E0000}"/>
    <cellStyle name="Comma 10 3 2 2 2 2" xfId="39025" xr:uid="{00000000-0005-0000-0000-0000B68E0000}"/>
    <cellStyle name="Comma 10 3 2 2 2 2 2" xfId="39026" xr:uid="{00000000-0005-0000-0000-0000B78E0000}"/>
    <cellStyle name="Comma 10 3 2 2 2 3" xfId="39027" xr:uid="{00000000-0005-0000-0000-0000B88E0000}"/>
    <cellStyle name="Comma 10 3 2 2 3" xfId="39028" xr:uid="{00000000-0005-0000-0000-0000B98E0000}"/>
    <cellStyle name="Comma 10 3 2 2 3 2" xfId="39029" xr:uid="{00000000-0005-0000-0000-0000BA8E0000}"/>
    <cellStyle name="Comma 10 3 2 2 4" xfId="39030" xr:uid="{00000000-0005-0000-0000-0000BB8E0000}"/>
    <cellStyle name="Comma 10 3 2 2 5" xfId="39031" xr:uid="{00000000-0005-0000-0000-0000BC8E0000}"/>
    <cellStyle name="Comma 10 3 2 2 6" xfId="39032" xr:uid="{00000000-0005-0000-0000-0000BD8E0000}"/>
    <cellStyle name="Comma 10 3 2 3" xfId="39033" xr:uid="{00000000-0005-0000-0000-0000BE8E0000}"/>
    <cellStyle name="Comma 10 3 2 3 2" xfId="39034" xr:uid="{00000000-0005-0000-0000-0000BF8E0000}"/>
    <cellStyle name="Comma 10 3 2 3 2 2" xfId="39035" xr:uid="{00000000-0005-0000-0000-0000C08E0000}"/>
    <cellStyle name="Comma 10 3 2 3 3" xfId="39036" xr:uid="{00000000-0005-0000-0000-0000C18E0000}"/>
    <cellStyle name="Comma 10 3 2 4" xfId="39037" xr:uid="{00000000-0005-0000-0000-0000C28E0000}"/>
    <cellStyle name="Comma 10 3 2 4 2" xfId="39038" xr:uid="{00000000-0005-0000-0000-0000C38E0000}"/>
    <cellStyle name="Comma 10 3 2 5" xfId="39039" xr:uid="{00000000-0005-0000-0000-0000C48E0000}"/>
    <cellStyle name="Comma 10 3 2 6" xfId="39040" xr:uid="{00000000-0005-0000-0000-0000C58E0000}"/>
    <cellStyle name="Comma 10 3 2 7" xfId="39041" xr:uid="{00000000-0005-0000-0000-0000C68E0000}"/>
    <cellStyle name="Comma 10 3 3" xfId="39042" xr:uid="{00000000-0005-0000-0000-0000C78E0000}"/>
    <cellStyle name="Comma 10 3 3 2" xfId="39043" xr:uid="{00000000-0005-0000-0000-0000C88E0000}"/>
    <cellStyle name="Comma 10 3 3 2 2" xfId="39044" xr:uid="{00000000-0005-0000-0000-0000C98E0000}"/>
    <cellStyle name="Comma 10 3 3 2 2 2" xfId="39045" xr:uid="{00000000-0005-0000-0000-0000CA8E0000}"/>
    <cellStyle name="Comma 10 3 3 2 2 2 2" xfId="39046" xr:uid="{00000000-0005-0000-0000-0000CB8E0000}"/>
    <cellStyle name="Comma 10 3 3 2 2 3" xfId="39047" xr:uid="{00000000-0005-0000-0000-0000CC8E0000}"/>
    <cellStyle name="Comma 10 3 3 2 3" xfId="39048" xr:uid="{00000000-0005-0000-0000-0000CD8E0000}"/>
    <cellStyle name="Comma 10 3 3 2 3 2" xfId="39049" xr:uid="{00000000-0005-0000-0000-0000CE8E0000}"/>
    <cellStyle name="Comma 10 3 3 2 4" xfId="39050" xr:uid="{00000000-0005-0000-0000-0000CF8E0000}"/>
    <cellStyle name="Comma 10 3 3 2 5" xfId="39051" xr:uid="{00000000-0005-0000-0000-0000D08E0000}"/>
    <cellStyle name="Comma 10 3 3 2 6" xfId="39052" xr:uid="{00000000-0005-0000-0000-0000D18E0000}"/>
    <cellStyle name="Comma 10 3 3 3" xfId="39053" xr:uid="{00000000-0005-0000-0000-0000D28E0000}"/>
    <cellStyle name="Comma 10 3 3 3 2" xfId="39054" xr:uid="{00000000-0005-0000-0000-0000D38E0000}"/>
    <cellStyle name="Comma 10 3 3 3 2 2" xfId="39055" xr:uid="{00000000-0005-0000-0000-0000D48E0000}"/>
    <cellStyle name="Comma 10 3 3 3 3" xfId="39056" xr:uid="{00000000-0005-0000-0000-0000D58E0000}"/>
    <cellStyle name="Comma 10 3 3 4" xfId="39057" xr:uid="{00000000-0005-0000-0000-0000D68E0000}"/>
    <cellStyle name="Comma 10 3 3 4 2" xfId="39058" xr:uid="{00000000-0005-0000-0000-0000D78E0000}"/>
    <cellStyle name="Comma 10 3 3 5" xfId="39059" xr:uid="{00000000-0005-0000-0000-0000D88E0000}"/>
    <cellStyle name="Comma 10 3 3 6" xfId="39060" xr:uid="{00000000-0005-0000-0000-0000D98E0000}"/>
    <cellStyle name="Comma 10 3 3 7" xfId="39061" xr:uid="{00000000-0005-0000-0000-0000DA8E0000}"/>
    <cellStyle name="Comma 10 3 4" xfId="39062" xr:uid="{00000000-0005-0000-0000-0000DB8E0000}"/>
    <cellStyle name="Comma 10 3 4 2" xfId="39063" xr:uid="{00000000-0005-0000-0000-0000DC8E0000}"/>
    <cellStyle name="Comma 10 3 4 2 2" xfId="39064" xr:uid="{00000000-0005-0000-0000-0000DD8E0000}"/>
    <cellStyle name="Comma 10 3 4 2 2 2" xfId="39065" xr:uid="{00000000-0005-0000-0000-0000DE8E0000}"/>
    <cellStyle name="Comma 10 3 4 2 3" xfId="39066" xr:uid="{00000000-0005-0000-0000-0000DF8E0000}"/>
    <cellStyle name="Comma 10 3 4 3" xfId="39067" xr:uid="{00000000-0005-0000-0000-0000E08E0000}"/>
    <cellStyle name="Comma 10 3 4 3 2" xfId="39068" xr:uid="{00000000-0005-0000-0000-0000E18E0000}"/>
    <cellStyle name="Comma 10 3 4 4" xfId="39069" xr:uid="{00000000-0005-0000-0000-0000E28E0000}"/>
    <cellStyle name="Comma 10 3 4 5" xfId="39070" xr:uid="{00000000-0005-0000-0000-0000E38E0000}"/>
    <cellStyle name="Comma 10 3 4 6" xfId="39071" xr:uid="{00000000-0005-0000-0000-0000E48E0000}"/>
    <cellStyle name="Comma 10 3 5" xfId="39072" xr:uid="{00000000-0005-0000-0000-0000E58E0000}"/>
    <cellStyle name="Comma 10 3 5 2" xfId="39073" xr:uid="{00000000-0005-0000-0000-0000E68E0000}"/>
    <cellStyle name="Comma 10 3 5 2 2" xfId="39074" xr:uid="{00000000-0005-0000-0000-0000E78E0000}"/>
    <cellStyle name="Comma 10 3 5 3" xfId="39075" xr:uid="{00000000-0005-0000-0000-0000E88E0000}"/>
    <cellStyle name="Comma 10 3 6" xfId="39076" xr:uid="{00000000-0005-0000-0000-0000E98E0000}"/>
    <cellStyle name="Comma 10 3 6 2" xfId="39077" xr:uid="{00000000-0005-0000-0000-0000EA8E0000}"/>
    <cellStyle name="Comma 10 3 6 2 2" xfId="39078" xr:uid="{00000000-0005-0000-0000-0000EB8E0000}"/>
    <cellStyle name="Comma 10 3 6 3" xfId="39079" xr:uid="{00000000-0005-0000-0000-0000EC8E0000}"/>
    <cellStyle name="Comma 10 3 7" xfId="39080" xr:uid="{00000000-0005-0000-0000-0000ED8E0000}"/>
    <cellStyle name="Comma 10 3 7 2" xfId="39081" xr:uid="{00000000-0005-0000-0000-0000EE8E0000}"/>
    <cellStyle name="Comma 10 3 8" xfId="39082" xr:uid="{00000000-0005-0000-0000-0000EF8E0000}"/>
    <cellStyle name="Comma 10 3 8 2" xfId="39083" xr:uid="{00000000-0005-0000-0000-0000F08E0000}"/>
    <cellStyle name="Comma 10 3 9" xfId="39084" xr:uid="{00000000-0005-0000-0000-0000F18E0000}"/>
    <cellStyle name="Comma 10 4" xfId="39085" xr:uid="{00000000-0005-0000-0000-0000F28E0000}"/>
    <cellStyle name="Comma 10 4 2" xfId="39086" xr:uid="{00000000-0005-0000-0000-0000F38E0000}"/>
    <cellStyle name="Comma 10 4 2 2" xfId="39087" xr:uid="{00000000-0005-0000-0000-0000F48E0000}"/>
    <cellStyle name="Comma 10 4 2 2 2" xfId="39088" xr:uid="{00000000-0005-0000-0000-0000F58E0000}"/>
    <cellStyle name="Comma 10 4 2 3" xfId="39089" xr:uid="{00000000-0005-0000-0000-0000F68E0000}"/>
    <cellStyle name="Comma 10 4 3" xfId="39090" xr:uid="{00000000-0005-0000-0000-0000F78E0000}"/>
    <cellStyle name="Comma 10 4 3 2" xfId="39091" xr:uid="{00000000-0005-0000-0000-0000F88E0000}"/>
    <cellStyle name="Comma 10 4 3 2 2" xfId="39092" xr:uid="{00000000-0005-0000-0000-0000F98E0000}"/>
    <cellStyle name="Comma 10 4 3 3" xfId="39093" xr:uid="{00000000-0005-0000-0000-0000FA8E0000}"/>
    <cellStyle name="Comma 10 4 4" xfId="39094" xr:uid="{00000000-0005-0000-0000-0000FB8E0000}"/>
    <cellStyle name="Comma 10 4 4 2" xfId="39095" xr:uid="{00000000-0005-0000-0000-0000FC8E0000}"/>
    <cellStyle name="Comma 10 4 5" xfId="39096" xr:uid="{00000000-0005-0000-0000-0000FD8E0000}"/>
    <cellStyle name="Comma 10 4 6" xfId="39097" xr:uid="{00000000-0005-0000-0000-0000FE8E0000}"/>
    <cellStyle name="Comma 10 4 7" xfId="39098" xr:uid="{00000000-0005-0000-0000-0000FF8E0000}"/>
    <cellStyle name="Comma 10 5" xfId="39099" xr:uid="{00000000-0005-0000-0000-0000008F0000}"/>
    <cellStyle name="Comma 10 5 2" xfId="39100" xr:uid="{00000000-0005-0000-0000-0000018F0000}"/>
    <cellStyle name="Comma 10 5 2 2" xfId="39101" xr:uid="{00000000-0005-0000-0000-0000028F0000}"/>
    <cellStyle name="Comma 10 5 2 2 2" xfId="39102" xr:uid="{00000000-0005-0000-0000-0000038F0000}"/>
    <cellStyle name="Comma 10 5 2 3" xfId="39103" xr:uid="{00000000-0005-0000-0000-0000048F0000}"/>
    <cellStyle name="Comma 10 5 3" xfId="39104" xr:uid="{00000000-0005-0000-0000-0000058F0000}"/>
    <cellStyle name="Comma 10 5 3 2" xfId="39105" xr:uid="{00000000-0005-0000-0000-0000068F0000}"/>
    <cellStyle name="Comma 10 5 4" xfId="39106" xr:uid="{00000000-0005-0000-0000-0000078F0000}"/>
    <cellStyle name="Comma 10 6" xfId="39107" xr:uid="{00000000-0005-0000-0000-0000088F0000}"/>
    <cellStyle name="Comma 10 6 2" xfId="39108" xr:uid="{00000000-0005-0000-0000-0000098F0000}"/>
    <cellStyle name="Comma 10 6 2 2" xfId="39109" xr:uid="{00000000-0005-0000-0000-00000A8F0000}"/>
    <cellStyle name="Comma 10 6 2 2 2" xfId="39110" xr:uid="{00000000-0005-0000-0000-00000B8F0000}"/>
    <cellStyle name="Comma 10 6 2 3" xfId="39111" xr:uid="{00000000-0005-0000-0000-00000C8F0000}"/>
    <cellStyle name="Comma 10 6 3" xfId="39112" xr:uid="{00000000-0005-0000-0000-00000D8F0000}"/>
    <cellStyle name="Comma 10 6 3 2" xfId="39113" xr:uid="{00000000-0005-0000-0000-00000E8F0000}"/>
    <cellStyle name="Comma 10 6 4" xfId="39114" xr:uid="{00000000-0005-0000-0000-00000F8F0000}"/>
    <cellStyle name="Comma 10 7" xfId="39115" xr:uid="{00000000-0005-0000-0000-0000108F0000}"/>
    <cellStyle name="Comma 10 7 2" xfId="39116" xr:uid="{00000000-0005-0000-0000-0000118F0000}"/>
    <cellStyle name="Comma 10 7 2 2" xfId="39117" xr:uid="{00000000-0005-0000-0000-0000128F0000}"/>
    <cellStyle name="Comma 10 7 2 2 2" xfId="39118" xr:uid="{00000000-0005-0000-0000-0000138F0000}"/>
    <cellStyle name="Comma 10 7 2 3" xfId="39119" xr:uid="{00000000-0005-0000-0000-0000148F0000}"/>
    <cellStyle name="Comma 10 7 3" xfId="39120" xr:uid="{00000000-0005-0000-0000-0000158F0000}"/>
    <cellStyle name="Comma 10 7 3 2" xfId="39121" xr:uid="{00000000-0005-0000-0000-0000168F0000}"/>
    <cellStyle name="Comma 10 7 4" xfId="39122" xr:uid="{00000000-0005-0000-0000-0000178F0000}"/>
    <cellStyle name="Comma 10 8" xfId="39123" xr:uid="{00000000-0005-0000-0000-0000188F0000}"/>
    <cellStyle name="Comma 10 8 2" xfId="39124" xr:uid="{00000000-0005-0000-0000-0000198F0000}"/>
    <cellStyle name="Comma 10 8 2 2" xfId="39125" xr:uid="{00000000-0005-0000-0000-00001A8F0000}"/>
    <cellStyle name="Comma 10 8 3" xfId="39126" xr:uid="{00000000-0005-0000-0000-00001B8F0000}"/>
    <cellStyle name="Comma 10 9" xfId="39127" xr:uid="{00000000-0005-0000-0000-00001C8F0000}"/>
    <cellStyle name="Comma 10 9 2" xfId="39128" xr:uid="{00000000-0005-0000-0000-00001D8F0000}"/>
    <cellStyle name="Comma 10 9 2 2" xfId="39129" xr:uid="{00000000-0005-0000-0000-00001E8F0000}"/>
    <cellStyle name="Comma 10 9 3" xfId="39130" xr:uid="{00000000-0005-0000-0000-00001F8F0000}"/>
    <cellStyle name="Comma 11" xfId="39131" xr:uid="{00000000-0005-0000-0000-0000208F0000}"/>
    <cellStyle name="Comma 11 2" xfId="39132" xr:uid="{00000000-0005-0000-0000-0000218F0000}"/>
    <cellStyle name="Comma 11 2 2" xfId="39133" xr:uid="{00000000-0005-0000-0000-0000228F0000}"/>
    <cellStyle name="Comma 11 2 2 2" xfId="39134" xr:uid="{00000000-0005-0000-0000-0000238F0000}"/>
    <cellStyle name="Comma 11 3" xfId="39135" xr:uid="{00000000-0005-0000-0000-0000248F0000}"/>
    <cellStyle name="Comma 11 3 2" xfId="39136" xr:uid="{00000000-0005-0000-0000-0000258F0000}"/>
    <cellStyle name="Comma 11 4" xfId="39137" xr:uid="{00000000-0005-0000-0000-0000268F0000}"/>
    <cellStyle name="Comma 11 4 2" xfId="39138" xr:uid="{00000000-0005-0000-0000-0000278F0000}"/>
    <cellStyle name="Comma 11 4 2 2" xfId="39139" xr:uid="{00000000-0005-0000-0000-0000288F0000}"/>
    <cellStyle name="Comma 11 4 2 2 2" xfId="39140" xr:uid="{00000000-0005-0000-0000-0000298F0000}"/>
    <cellStyle name="Comma 11 4 2 2 2 2" xfId="39141" xr:uid="{00000000-0005-0000-0000-00002A8F0000}"/>
    <cellStyle name="Comma 11 4 2 2 3" xfId="39142" xr:uid="{00000000-0005-0000-0000-00002B8F0000}"/>
    <cellStyle name="Comma 11 4 2 3" xfId="39143" xr:uid="{00000000-0005-0000-0000-00002C8F0000}"/>
    <cellStyle name="Comma 11 4 2 3 2" xfId="39144" xr:uid="{00000000-0005-0000-0000-00002D8F0000}"/>
    <cellStyle name="Comma 11 4 2 4" xfId="39145" xr:uid="{00000000-0005-0000-0000-00002E8F0000}"/>
    <cellStyle name="Comma 11 4 2 5" xfId="39146" xr:uid="{00000000-0005-0000-0000-00002F8F0000}"/>
    <cellStyle name="Comma 11 4 2 6" xfId="39147" xr:uid="{00000000-0005-0000-0000-0000308F0000}"/>
    <cellStyle name="Comma 11 4 3" xfId="39148" xr:uid="{00000000-0005-0000-0000-0000318F0000}"/>
    <cellStyle name="Comma 11 4 3 2" xfId="39149" xr:uid="{00000000-0005-0000-0000-0000328F0000}"/>
    <cellStyle name="Comma 11 4 3 2 2" xfId="39150" xr:uid="{00000000-0005-0000-0000-0000338F0000}"/>
    <cellStyle name="Comma 11 4 3 3" xfId="39151" xr:uid="{00000000-0005-0000-0000-0000348F0000}"/>
    <cellStyle name="Comma 11 4 4" xfId="39152" xr:uid="{00000000-0005-0000-0000-0000358F0000}"/>
    <cellStyle name="Comma 11 4 4 2" xfId="39153" xr:uid="{00000000-0005-0000-0000-0000368F0000}"/>
    <cellStyle name="Comma 11 4 5" xfId="39154" xr:uid="{00000000-0005-0000-0000-0000378F0000}"/>
    <cellStyle name="Comma 11 4 6" xfId="39155" xr:uid="{00000000-0005-0000-0000-0000388F0000}"/>
    <cellStyle name="Comma 11 4 7" xfId="39156" xr:uid="{00000000-0005-0000-0000-0000398F0000}"/>
    <cellStyle name="Comma 11 5" xfId="39157" xr:uid="{00000000-0005-0000-0000-00003A8F0000}"/>
    <cellStyle name="Comma 11 5 2" xfId="39158" xr:uid="{00000000-0005-0000-0000-00003B8F0000}"/>
    <cellStyle name="Comma 11 5 2 2" xfId="39159" xr:uid="{00000000-0005-0000-0000-00003C8F0000}"/>
    <cellStyle name="Comma 11 5 2 2 2" xfId="39160" xr:uid="{00000000-0005-0000-0000-00003D8F0000}"/>
    <cellStyle name="Comma 11 5 2 2 2 2" xfId="39161" xr:uid="{00000000-0005-0000-0000-00003E8F0000}"/>
    <cellStyle name="Comma 11 5 2 2 3" xfId="39162" xr:uid="{00000000-0005-0000-0000-00003F8F0000}"/>
    <cellStyle name="Comma 11 5 2 3" xfId="39163" xr:uid="{00000000-0005-0000-0000-0000408F0000}"/>
    <cellStyle name="Comma 11 5 2 3 2" xfId="39164" xr:uid="{00000000-0005-0000-0000-0000418F0000}"/>
    <cellStyle name="Comma 11 5 2 4" xfId="39165" xr:uid="{00000000-0005-0000-0000-0000428F0000}"/>
    <cellStyle name="Comma 11 5 2 5" xfId="39166" xr:uid="{00000000-0005-0000-0000-0000438F0000}"/>
    <cellStyle name="Comma 11 5 2 6" xfId="39167" xr:uid="{00000000-0005-0000-0000-0000448F0000}"/>
    <cellStyle name="Comma 11 5 3" xfId="39168" xr:uid="{00000000-0005-0000-0000-0000458F0000}"/>
    <cellStyle name="Comma 11 5 3 2" xfId="39169" xr:uid="{00000000-0005-0000-0000-0000468F0000}"/>
    <cellStyle name="Comma 11 5 3 2 2" xfId="39170" xr:uid="{00000000-0005-0000-0000-0000478F0000}"/>
    <cellStyle name="Comma 11 5 3 3" xfId="39171" xr:uid="{00000000-0005-0000-0000-0000488F0000}"/>
    <cellStyle name="Comma 11 5 4" xfId="39172" xr:uid="{00000000-0005-0000-0000-0000498F0000}"/>
    <cellStyle name="Comma 11 5 4 2" xfId="39173" xr:uid="{00000000-0005-0000-0000-00004A8F0000}"/>
    <cellStyle name="Comma 11 5 5" xfId="39174" xr:uid="{00000000-0005-0000-0000-00004B8F0000}"/>
    <cellStyle name="Comma 11 5 6" xfId="39175" xr:uid="{00000000-0005-0000-0000-00004C8F0000}"/>
    <cellStyle name="Comma 11 5 7" xfId="39176" xr:uid="{00000000-0005-0000-0000-00004D8F0000}"/>
    <cellStyle name="Comma 11 6" xfId="39177" xr:uid="{00000000-0005-0000-0000-00004E8F0000}"/>
    <cellStyle name="Comma 11 6 2" xfId="39178" xr:uid="{00000000-0005-0000-0000-00004F8F0000}"/>
    <cellStyle name="Comma 11 7" xfId="39179" xr:uid="{00000000-0005-0000-0000-0000508F0000}"/>
    <cellStyle name="Comma 11 7 2" xfId="39180" xr:uid="{00000000-0005-0000-0000-0000518F0000}"/>
    <cellStyle name="Comma 11 8" xfId="39181" xr:uid="{00000000-0005-0000-0000-0000528F0000}"/>
    <cellStyle name="Comma 11 9" xfId="39182" xr:uid="{00000000-0005-0000-0000-0000538F0000}"/>
    <cellStyle name="Comma 12" xfId="39183" xr:uid="{00000000-0005-0000-0000-0000548F0000}"/>
    <cellStyle name="Comma 12 2" xfId="39184" xr:uid="{00000000-0005-0000-0000-0000558F0000}"/>
    <cellStyle name="Comma 12 2 2" xfId="39185" xr:uid="{00000000-0005-0000-0000-0000568F0000}"/>
    <cellStyle name="Comma 12 2 3" xfId="39186" xr:uid="{00000000-0005-0000-0000-0000578F0000}"/>
    <cellStyle name="Comma 12 3" xfId="39187" xr:uid="{00000000-0005-0000-0000-0000588F0000}"/>
    <cellStyle name="Comma 12 4" xfId="39188" xr:uid="{00000000-0005-0000-0000-0000598F0000}"/>
    <cellStyle name="Comma 13" xfId="39189" xr:uid="{00000000-0005-0000-0000-00005A8F0000}"/>
    <cellStyle name="Comma 13 2" xfId="39190" xr:uid="{00000000-0005-0000-0000-00005B8F0000}"/>
    <cellStyle name="Comma 13 2 2" xfId="39191" xr:uid="{00000000-0005-0000-0000-00005C8F0000}"/>
    <cellStyle name="Comma 13 3" xfId="39192" xr:uid="{00000000-0005-0000-0000-00005D8F0000}"/>
    <cellStyle name="Comma 13 3 2" xfId="39193" xr:uid="{00000000-0005-0000-0000-00005E8F0000}"/>
    <cellStyle name="Comma 13 4" xfId="39194" xr:uid="{00000000-0005-0000-0000-00005F8F0000}"/>
    <cellStyle name="Comma 14" xfId="39195" xr:uid="{00000000-0005-0000-0000-0000608F0000}"/>
    <cellStyle name="Comma 14 2" xfId="39196" xr:uid="{00000000-0005-0000-0000-0000618F0000}"/>
    <cellStyle name="Comma 14 2 2" xfId="39197" xr:uid="{00000000-0005-0000-0000-0000628F0000}"/>
    <cellStyle name="Comma 14 3" xfId="39198" xr:uid="{00000000-0005-0000-0000-0000638F0000}"/>
    <cellStyle name="Comma 14 3 2" xfId="39199" xr:uid="{00000000-0005-0000-0000-0000648F0000}"/>
    <cellStyle name="Comma 14 3 2 2" xfId="39200" xr:uid="{00000000-0005-0000-0000-0000658F0000}"/>
    <cellStyle name="Comma 14 3 2 2 2" xfId="39201" xr:uid="{00000000-0005-0000-0000-0000668F0000}"/>
    <cellStyle name="Comma 14 3 2 3" xfId="39202" xr:uid="{00000000-0005-0000-0000-0000678F0000}"/>
    <cellStyle name="Comma 14 3 3" xfId="39203" xr:uid="{00000000-0005-0000-0000-0000688F0000}"/>
    <cellStyle name="Comma 14 3 3 2" xfId="39204" xr:uid="{00000000-0005-0000-0000-0000698F0000}"/>
    <cellStyle name="Comma 14 3 4" xfId="39205" xr:uid="{00000000-0005-0000-0000-00006A8F0000}"/>
    <cellStyle name="Comma 14 4" xfId="39206" xr:uid="{00000000-0005-0000-0000-00006B8F0000}"/>
    <cellStyle name="Comma 14 4 2" xfId="39207" xr:uid="{00000000-0005-0000-0000-00006C8F0000}"/>
    <cellStyle name="Comma 14 4 2 2" xfId="39208" xr:uid="{00000000-0005-0000-0000-00006D8F0000}"/>
    <cellStyle name="Comma 14 4 2 2 2" xfId="39209" xr:uid="{00000000-0005-0000-0000-00006E8F0000}"/>
    <cellStyle name="Comma 14 4 2 3" xfId="39210" xr:uid="{00000000-0005-0000-0000-00006F8F0000}"/>
    <cellStyle name="Comma 14 4 3" xfId="39211" xr:uid="{00000000-0005-0000-0000-0000708F0000}"/>
    <cellStyle name="Comma 14 4 3 2" xfId="39212" xr:uid="{00000000-0005-0000-0000-0000718F0000}"/>
    <cellStyle name="Comma 14 4 4" xfId="39213" xr:uid="{00000000-0005-0000-0000-0000728F0000}"/>
    <cellStyle name="Comma 14 5" xfId="39214" xr:uid="{00000000-0005-0000-0000-0000738F0000}"/>
    <cellStyle name="Comma 14 5 2" xfId="39215" xr:uid="{00000000-0005-0000-0000-0000748F0000}"/>
    <cellStyle name="Comma 14 5 2 2" xfId="39216" xr:uid="{00000000-0005-0000-0000-0000758F0000}"/>
    <cellStyle name="Comma 14 5 2 2 2" xfId="39217" xr:uid="{00000000-0005-0000-0000-0000768F0000}"/>
    <cellStyle name="Comma 14 5 2 3" xfId="39218" xr:uid="{00000000-0005-0000-0000-0000778F0000}"/>
    <cellStyle name="Comma 14 5 3" xfId="39219" xr:uid="{00000000-0005-0000-0000-0000788F0000}"/>
    <cellStyle name="Comma 14 5 3 2" xfId="39220" xr:uid="{00000000-0005-0000-0000-0000798F0000}"/>
    <cellStyle name="Comma 14 5 4" xfId="39221" xr:uid="{00000000-0005-0000-0000-00007A8F0000}"/>
    <cellStyle name="Comma 14 6" xfId="39222" xr:uid="{00000000-0005-0000-0000-00007B8F0000}"/>
    <cellStyle name="Comma 15" xfId="39223" xr:uid="{00000000-0005-0000-0000-00007C8F0000}"/>
    <cellStyle name="Comma 15 2" xfId="39224" xr:uid="{00000000-0005-0000-0000-00007D8F0000}"/>
    <cellStyle name="Comma 15 2 2" xfId="39225" xr:uid="{00000000-0005-0000-0000-00007E8F0000}"/>
    <cellStyle name="Comma 15 2 2 2" xfId="39226" xr:uid="{00000000-0005-0000-0000-00007F8F0000}"/>
    <cellStyle name="Comma 15 2 2 2 2" xfId="39227" xr:uid="{00000000-0005-0000-0000-0000808F0000}"/>
    <cellStyle name="Comma 15 2 2 2 2 2" xfId="39228" xr:uid="{00000000-0005-0000-0000-0000818F0000}"/>
    <cellStyle name="Comma 15 2 2 2 3" xfId="39229" xr:uid="{00000000-0005-0000-0000-0000828F0000}"/>
    <cellStyle name="Comma 15 2 2 3" xfId="39230" xr:uid="{00000000-0005-0000-0000-0000838F0000}"/>
    <cellStyle name="Comma 15 2 2 3 2" xfId="39231" xr:uid="{00000000-0005-0000-0000-0000848F0000}"/>
    <cellStyle name="Comma 15 2 2 4" xfId="39232" xr:uid="{00000000-0005-0000-0000-0000858F0000}"/>
    <cellStyle name="Comma 15 2 2 5" xfId="39233" xr:uid="{00000000-0005-0000-0000-0000868F0000}"/>
    <cellStyle name="Comma 15 2 2 6" xfId="39234" xr:uid="{00000000-0005-0000-0000-0000878F0000}"/>
    <cellStyle name="Comma 15 2 3" xfId="39235" xr:uid="{00000000-0005-0000-0000-0000888F0000}"/>
    <cellStyle name="Comma 15 2 3 2" xfId="39236" xr:uid="{00000000-0005-0000-0000-0000898F0000}"/>
    <cellStyle name="Comma 15 2 3 2 2" xfId="39237" xr:uid="{00000000-0005-0000-0000-00008A8F0000}"/>
    <cellStyle name="Comma 15 2 3 3" xfId="39238" xr:uid="{00000000-0005-0000-0000-00008B8F0000}"/>
    <cellStyle name="Comma 15 2 4" xfId="39239" xr:uid="{00000000-0005-0000-0000-00008C8F0000}"/>
    <cellStyle name="Comma 15 2 4 2" xfId="39240" xr:uid="{00000000-0005-0000-0000-00008D8F0000}"/>
    <cellStyle name="Comma 15 2 5" xfId="39241" xr:uid="{00000000-0005-0000-0000-00008E8F0000}"/>
    <cellStyle name="Comma 15 2 5 2" xfId="39242" xr:uid="{00000000-0005-0000-0000-00008F8F0000}"/>
    <cellStyle name="Comma 15 2 6" xfId="39243" xr:uid="{00000000-0005-0000-0000-0000908F0000}"/>
    <cellStyle name="Comma 15 2 7" xfId="39244" xr:uid="{00000000-0005-0000-0000-0000918F0000}"/>
    <cellStyle name="Comma 15 2 8" xfId="39245" xr:uid="{00000000-0005-0000-0000-0000928F0000}"/>
    <cellStyle name="Comma 15 3" xfId="39246" xr:uid="{00000000-0005-0000-0000-0000938F0000}"/>
    <cellStyle name="Comma 15 3 2" xfId="39247" xr:uid="{00000000-0005-0000-0000-0000948F0000}"/>
    <cellStyle name="Comma 15 3 2 2" xfId="39248" xr:uid="{00000000-0005-0000-0000-0000958F0000}"/>
    <cellStyle name="Comma 15 3 2 2 2" xfId="39249" xr:uid="{00000000-0005-0000-0000-0000968F0000}"/>
    <cellStyle name="Comma 15 3 2 2 2 2" xfId="39250" xr:uid="{00000000-0005-0000-0000-0000978F0000}"/>
    <cellStyle name="Comma 15 3 2 2 3" xfId="39251" xr:uid="{00000000-0005-0000-0000-0000988F0000}"/>
    <cellStyle name="Comma 15 3 2 3" xfId="39252" xr:uid="{00000000-0005-0000-0000-0000998F0000}"/>
    <cellStyle name="Comma 15 3 2 3 2" xfId="39253" xr:uid="{00000000-0005-0000-0000-00009A8F0000}"/>
    <cellStyle name="Comma 15 3 2 4" xfId="39254" xr:uid="{00000000-0005-0000-0000-00009B8F0000}"/>
    <cellStyle name="Comma 15 3 2 5" xfId="39255" xr:uid="{00000000-0005-0000-0000-00009C8F0000}"/>
    <cellStyle name="Comma 15 3 2 6" xfId="39256" xr:uid="{00000000-0005-0000-0000-00009D8F0000}"/>
    <cellStyle name="Comma 15 3 3" xfId="39257" xr:uid="{00000000-0005-0000-0000-00009E8F0000}"/>
    <cellStyle name="Comma 15 3 3 2" xfId="39258" xr:uid="{00000000-0005-0000-0000-00009F8F0000}"/>
    <cellStyle name="Comma 15 3 3 2 2" xfId="39259" xr:uid="{00000000-0005-0000-0000-0000A08F0000}"/>
    <cellStyle name="Comma 15 3 3 3" xfId="39260" xr:uid="{00000000-0005-0000-0000-0000A18F0000}"/>
    <cellStyle name="Comma 15 3 4" xfId="39261" xr:uid="{00000000-0005-0000-0000-0000A28F0000}"/>
    <cellStyle name="Comma 15 3 4 2" xfId="39262" xr:uid="{00000000-0005-0000-0000-0000A38F0000}"/>
    <cellStyle name="Comma 15 3 5" xfId="39263" xr:uid="{00000000-0005-0000-0000-0000A48F0000}"/>
    <cellStyle name="Comma 15 3 6" xfId="39264" xr:uid="{00000000-0005-0000-0000-0000A58F0000}"/>
    <cellStyle name="Comma 15 3 7" xfId="39265" xr:uid="{00000000-0005-0000-0000-0000A68F0000}"/>
    <cellStyle name="Comma 15 4" xfId="39266" xr:uid="{00000000-0005-0000-0000-0000A78F0000}"/>
    <cellStyle name="Comma 15 5" xfId="39267" xr:uid="{00000000-0005-0000-0000-0000A88F0000}"/>
    <cellStyle name="Comma 15 5 2" xfId="39268" xr:uid="{00000000-0005-0000-0000-0000A98F0000}"/>
    <cellStyle name="Comma 15 6" xfId="39269" xr:uid="{00000000-0005-0000-0000-0000AA8F0000}"/>
    <cellStyle name="Comma 15 6 2" xfId="39270" xr:uid="{00000000-0005-0000-0000-0000AB8F0000}"/>
    <cellStyle name="Comma 15 7" xfId="39271" xr:uid="{00000000-0005-0000-0000-0000AC8F0000}"/>
    <cellStyle name="Comma 15 8" xfId="39272" xr:uid="{00000000-0005-0000-0000-0000AD8F0000}"/>
    <cellStyle name="Comma 16" xfId="39273" xr:uid="{00000000-0005-0000-0000-0000AE8F0000}"/>
    <cellStyle name="Comma 16 2" xfId="39274" xr:uid="{00000000-0005-0000-0000-0000AF8F0000}"/>
    <cellStyle name="Comma 16 2 2" xfId="39275" xr:uid="{00000000-0005-0000-0000-0000B08F0000}"/>
    <cellStyle name="Comma 16 3" xfId="39276" xr:uid="{00000000-0005-0000-0000-0000B18F0000}"/>
    <cellStyle name="Comma 16 4" xfId="39277" xr:uid="{00000000-0005-0000-0000-0000B28F0000}"/>
    <cellStyle name="Comma 17" xfId="39278" xr:uid="{00000000-0005-0000-0000-0000B38F0000}"/>
    <cellStyle name="Comma 17 2" xfId="39279" xr:uid="{00000000-0005-0000-0000-0000B48F0000}"/>
    <cellStyle name="Comma 18" xfId="39280" xr:uid="{00000000-0005-0000-0000-0000B58F0000}"/>
    <cellStyle name="Comma 18 2" xfId="39281" xr:uid="{00000000-0005-0000-0000-0000B68F0000}"/>
    <cellStyle name="Comma 18 3" xfId="39282" xr:uid="{00000000-0005-0000-0000-0000B78F0000}"/>
    <cellStyle name="Comma 19" xfId="39283" xr:uid="{00000000-0005-0000-0000-0000B88F0000}"/>
    <cellStyle name="Comma 19 2" xfId="39284" xr:uid="{00000000-0005-0000-0000-0000B98F0000}"/>
    <cellStyle name="Comma 2" xfId="6" xr:uid="{00000000-0005-0000-0000-00002F000000}"/>
    <cellStyle name="Comma 2 10" xfId="39285" xr:uid="{00000000-0005-0000-0000-0000BB8F0000}"/>
    <cellStyle name="Comma 2 11" xfId="39286" xr:uid="{00000000-0005-0000-0000-0000BC8F0000}"/>
    <cellStyle name="Comma 2 12" xfId="39287" xr:uid="{00000000-0005-0000-0000-0000BD8F0000}"/>
    <cellStyle name="Comma 2 13" xfId="39288" xr:uid="{00000000-0005-0000-0000-0000BE8F0000}"/>
    <cellStyle name="Comma 2 14" xfId="39289" xr:uid="{00000000-0005-0000-0000-0000BF8F0000}"/>
    <cellStyle name="Comma 2 15" xfId="39290" xr:uid="{00000000-0005-0000-0000-0000C08F0000}"/>
    <cellStyle name="Comma 2 16" xfId="158" xr:uid="{00000000-0005-0000-0000-0000BA8F0000}"/>
    <cellStyle name="Comma 2 2" xfId="149" xr:uid="{00000000-0005-0000-0000-000030000000}"/>
    <cellStyle name="Comma 2 2 2" xfId="1226" xr:uid="{00000000-0005-0000-0000-0000C28F0000}"/>
    <cellStyle name="Comma 2 2 2 2" xfId="39291" xr:uid="{00000000-0005-0000-0000-0000C38F0000}"/>
    <cellStyle name="Comma 2 2 2 2 2" xfId="39292" xr:uid="{00000000-0005-0000-0000-0000C48F0000}"/>
    <cellStyle name="Comma 2 2 2 3" xfId="39293" xr:uid="{00000000-0005-0000-0000-0000C58F0000}"/>
    <cellStyle name="Comma 2 2 2 3 2" xfId="39294" xr:uid="{00000000-0005-0000-0000-0000C68F0000}"/>
    <cellStyle name="Comma 2 2 2 4" xfId="39295" xr:uid="{00000000-0005-0000-0000-0000C78F0000}"/>
    <cellStyle name="Comma 2 2 3" xfId="39296" xr:uid="{00000000-0005-0000-0000-0000C88F0000}"/>
    <cellStyle name="Comma 2 2 3 2" xfId="39297" xr:uid="{00000000-0005-0000-0000-0000C98F0000}"/>
    <cellStyle name="Comma 2 2 4" xfId="39298" xr:uid="{00000000-0005-0000-0000-0000CA8F0000}"/>
    <cellStyle name="Comma 2 2 4 2" xfId="39299" xr:uid="{00000000-0005-0000-0000-0000CB8F0000}"/>
    <cellStyle name="Comma 2 2 5" xfId="39300" xr:uid="{00000000-0005-0000-0000-0000CC8F0000}"/>
    <cellStyle name="Comma 2 2 6" xfId="1225" xr:uid="{00000000-0005-0000-0000-0000C18F0000}"/>
    <cellStyle name="Comma 2 3" xfId="1227" xr:uid="{00000000-0005-0000-0000-0000CD8F0000}"/>
    <cellStyle name="Comma 2 3 2" xfId="39301" xr:uid="{00000000-0005-0000-0000-0000CE8F0000}"/>
    <cellStyle name="Comma 2 3 2 2" xfId="39302" xr:uid="{00000000-0005-0000-0000-0000CF8F0000}"/>
    <cellStyle name="Comma 2 3 2 3" xfId="39303" xr:uid="{00000000-0005-0000-0000-0000D08F0000}"/>
    <cellStyle name="Comma 2 3 3" xfId="39304" xr:uid="{00000000-0005-0000-0000-0000D18F0000}"/>
    <cellStyle name="Comma 2 3 4" xfId="39305" xr:uid="{00000000-0005-0000-0000-0000D28F0000}"/>
    <cellStyle name="Comma 2 3 5" xfId="39306" xr:uid="{00000000-0005-0000-0000-0000D38F0000}"/>
    <cellStyle name="Comma 2 4" xfId="1228" xr:uid="{00000000-0005-0000-0000-0000D48F0000}"/>
    <cellStyle name="Comma 2 4 2" xfId="39307" xr:uid="{00000000-0005-0000-0000-0000D58F0000}"/>
    <cellStyle name="Comma 2 4 2 2" xfId="39308" xr:uid="{00000000-0005-0000-0000-0000D68F0000}"/>
    <cellStyle name="Comma 2 4 3" xfId="39309" xr:uid="{00000000-0005-0000-0000-0000D78F0000}"/>
    <cellStyle name="Comma 2 4 3 2" xfId="39310" xr:uid="{00000000-0005-0000-0000-0000D88F0000}"/>
    <cellStyle name="Comma 2 4 4" xfId="39311" xr:uid="{00000000-0005-0000-0000-0000D98F0000}"/>
    <cellStyle name="Comma 2 4 4 2" xfId="39312" xr:uid="{00000000-0005-0000-0000-0000DA8F0000}"/>
    <cellStyle name="Comma 2 4 4 2 2" xfId="39313" xr:uid="{00000000-0005-0000-0000-0000DB8F0000}"/>
    <cellStyle name="Comma 2 4 4 3" xfId="39314" xr:uid="{00000000-0005-0000-0000-0000DC8F0000}"/>
    <cellStyle name="Comma 2 4 5" xfId="39315" xr:uid="{00000000-0005-0000-0000-0000DD8F0000}"/>
    <cellStyle name="Comma 2 5" xfId="1229" xr:uid="{00000000-0005-0000-0000-0000DE8F0000}"/>
    <cellStyle name="Comma 2 5 2" xfId="39316" xr:uid="{00000000-0005-0000-0000-0000DF8F0000}"/>
    <cellStyle name="Comma 2 5 2 2" xfId="39317" xr:uid="{00000000-0005-0000-0000-0000E08F0000}"/>
    <cellStyle name="Comma 2 5 2 3" xfId="39318" xr:uid="{00000000-0005-0000-0000-0000E18F0000}"/>
    <cellStyle name="Comma 2 5 3" xfId="39319" xr:uid="{00000000-0005-0000-0000-0000E28F0000}"/>
    <cellStyle name="Comma 2 5 3 2" xfId="39320" xr:uid="{00000000-0005-0000-0000-0000E38F0000}"/>
    <cellStyle name="Comma 2 5 3 2 2" xfId="39321" xr:uid="{00000000-0005-0000-0000-0000E48F0000}"/>
    <cellStyle name="Comma 2 5 3 2 2 2" xfId="39322" xr:uid="{00000000-0005-0000-0000-0000E58F0000}"/>
    <cellStyle name="Comma 2 5 3 2 3" xfId="39323" xr:uid="{00000000-0005-0000-0000-0000E68F0000}"/>
    <cellStyle name="Comma 2 5 3 3" xfId="39324" xr:uid="{00000000-0005-0000-0000-0000E78F0000}"/>
    <cellStyle name="Comma 2 5 3 3 2" xfId="39325" xr:uid="{00000000-0005-0000-0000-0000E88F0000}"/>
    <cellStyle name="Comma 2 5 3 4" xfId="39326" xr:uid="{00000000-0005-0000-0000-0000E98F0000}"/>
    <cellStyle name="Comma 2 5 4" xfId="39327" xr:uid="{00000000-0005-0000-0000-0000EA8F0000}"/>
    <cellStyle name="Comma 2 5 4 2" xfId="39328" xr:uid="{00000000-0005-0000-0000-0000EB8F0000}"/>
    <cellStyle name="Comma 2 5 4 2 2" xfId="39329" xr:uid="{00000000-0005-0000-0000-0000EC8F0000}"/>
    <cellStyle name="Comma 2 5 4 2 2 2" xfId="39330" xr:uid="{00000000-0005-0000-0000-0000ED8F0000}"/>
    <cellStyle name="Comma 2 5 4 2 3" xfId="39331" xr:uid="{00000000-0005-0000-0000-0000EE8F0000}"/>
    <cellStyle name="Comma 2 5 4 3" xfId="39332" xr:uid="{00000000-0005-0000-0000-0000EF8F0000}"/>
    <cellStyle name="Comma 2 5 4 3 2" xfId="39333" xr:uid="{00000000-0005-0000-0000-0000F08F0000}"/>
    <cellStyle name="Comma 2 5 4 4" xfId="39334" xr:uid="{00000000-0005-0000-0000-0000F18F0000}"/>
    <cellStyle name="Comma 2 5 5" xfId="39335" xr:uid="{00000000-0005-0000-0000-0000F28F0000}"/>
    <cellStyle name="Comma 2 5 5 2" xfId="39336" xr:uid="{00000000-0005-0000-0000-0000F38F0000}"/>
    <cellStyle name="Comma 2 5 5 2 2" xfId="39337" xr:uid="{00000000-0005-0000-0000-0000F48F0000}"/>
    <cellStyle name="Comma 2 5 5 2 2 2" xfId="39338" xr:uid="{00000000-0005-0000-0000-0000F58F0000}"/>
    <cellStyle name="Comma 2 5 5 2 3" xfId="39339" xr:uid="{00000000-0005-0000-0000-0000F68F0000}"/>
    <cellStyle name="Comma 2 5 5 3" xfId="39340" xr:uid="{00000000-0005-0000-0000-0000F78F0000}"/>
    <cellStyle name="Comma 2 5 5 3 2" xfId="39341" xr:uid="{00000000-0005-0000-0000-0000F88F0000}"/>
    <cellStyle name="Comma 2 5 5 4" xfId="39342" xr:uid="{00000000-0005-0000-0000-0000F98F0000}"/>
    <cellStyle name="Comma 2 5 6" xfId="39343" xr:uid="{00000000-0005-0000-0000-0000FA8F0000}"/>
    <cellStyle name="Comma 2 6" xfId="3573" xr:uid="{00000000-0005-0000-0000-0000FB8F0000}"/>
    <cellStyle name="Comma 2 6 2" xfId="39344" xr:uid="{00000000-0005-0000-0000-0000FC8F0000}"/>
    <cellStyle name="Comma 2 6 3" xfId="39345" xr:uid="{00000000-0005-0000-0000-0000FD8F0000}"/>
    <cellStyle name="Comma 2 7" xfId="39346" xr:uid="{00000000-0005-0000-0000-0000FE8F0000}"/>
    <cellStyle name="Comma 2 7 2" xfId="39347" xr:uid="{00000000-0005-0000-0000-0000FF8F0000}"/>
    <cellStyle name="Comma 2 7 2 2" xfId="39348" xr:uid="{00000000-0005-0000-0000-000000900000}"/>
    <cellStyle name="Comma 2 7 3" xfId="39349" xr:uid="{00000000-0005-0000-0000-000001900000}"/>
    <cellStyle name="Comma 2 7 4" xfId="39350" xr:uid="{00000000-0005-0000-0000-000002900000}"/>
    <cellStyle name="Comma 2 8" xfId="39351" xr:uid="{00000000-0005-0000-0000-000003900000}"/>
    <cellStyle name="Comma 2 8 2" xfId="39352" xr:uid="{00000000-0005-0000-0000-000004900000}"/>
    <cellStyle name="Comma 2 8 2 2" xfId="39353" xr:uid="{00000000-0005-0000-0000-000005900000}"/>
    <cellStyle name="Comma 2 8 3" xfId="39354" xr:uid="{00000000-0005-0000-0000-000006900000}"/>
    <cellStyle name="Comma 2 8 4" xfId="39355" xr:uid="{00000000-0005-0000-0000-000007900000}"/>
    <cellStyle name="Comma 2 9" xfId="39356" xr:uid="{00000000-0005-0000-0000-000008900000}"/>
    <cellStyle name="Comma 2 9 2" xfId="39357" xr:uid="{00000000-0005-0000-0000-000009900000}"/>
    <cellStyle name="Comma 2 9 2 2" xfId="39358" xr:uid="{00000000-0005-0000-0000-00000A900000}"/>
    <cellStyle name="Comma 2 9 3" xfId="39359" xr:uid="{00000000-0005-0000-0000-00000B900000}"/>
    <cellStyle name="Comma 20" xfId="3569" xr:uid="{00000000-0005-0000-0000-00000C900000}"/>
    <cellStyle name="Comma 21" xfId="39360" xr:uid="{00000000-0005-0000-0000-00000D900000}"/>
    <cellStyle name="Comma 22" xfId="39361" xr:uid="{00000000-0005-0000-0000-00000E900000}"/>
    <cellStyle name="Comma 23" xfId="157" xr:uid="{00000000-0005-0000-0000-0000188F0000}"/>
    <cellStyle name="Comma 24" xfId="56361" xr:uid="{BBDA985D-7606-49EA-A529-24FB1A638756}"/>
    <cellStyle name="Comma 25" xfId="56366" xr:uid="{8D5E87EC-5BF4-4D26-ABC4-2DED1CA6E576}"/>
    <cellStyle name="Comma 3" xfId="27" xr:uid="{00000000-0005-0000-0000-000031000000}"/>
    <cellStyle name="Comma 3 10" xfId="39362" xr:uid="{00000000-0005-0000-0000-000010900000}"/>
    <cellStyle name="Comma 3 2" xfId="152" xr:uid="{00000000-0005-0000-0000-000032000000}"/>
    <cellStyle name="Comma 3 2 2" xfId="39363" xr:uid="{00000000-0005-0000-0000-000012900000}"/>
    <cellStyle name="Comma 3 2 2 2" xfId="39364" xr:uid="{00000000-0005-0000-0000-000013900000}"/>
    <cellStyle name="Comma 3 2 2 3" xfId="39365" xr:uid="{00000000-0005-0000-0000-000014900000}"/>
    <cellStyle name="Comma 3 2 3" xfId="39366" xr:uid="{00000000-0005-0000-0000-000015900000}"/>
    <cellStyle name="Comma 3 2 3 2" xfId="39367" xr:uid="{00000000-0005-0000-0000-000016900000}"/>
    <cellStyle name="Comma 3 2 4" xfId="39368" xr:uid="{00000000-0005-0000-0000-000017900000}"/>
    <cellStyle name="Comma 3 2 4 2" xfId="39369" xr:uid="{00000000-0005-0000-0000-000018900000}"/>
    <cellStyle name="Comma 3 2 5" xfId="39370" xr:uid="{00000000-0005-0000-0000-000019900000}"/>
    <cellStyle name="Comma 3 2 6" xfId="39371" xr:uid="{00000000-0005-0000-0000-00001A900000}"/>
    <cellStyle name="Comma 3 2 7" xfId="1230" xr:uid="{00000000-0005-0000-0000-000011900000}"/>
    <cellStyle name="Comma 3 3" xfId="39372" xr:uid="{00000000-0005-0000-0000-00001B900000}"/>
    <cellStyle name="Comma 3 3 2" xfId="39373" xr:uid="{00000000-0005-0000-0000-00001C900000}"/>
    <cellStyle name="Comma 3 3 3" xfId="39374" xr:uid="{00000000-0005-0000-0000-00001D900000}"/>
    <cellStyle name="Comma 3 3 4" xfId="39375" xr:uid="{00000000-0005-0000-0000-00001E900000}"/>
    <cellStyle name="Comma 3 4" xfId="39376" xr:uid="{00000000-0005-0000-0000-00001F900000}"/>
    <cellStyle name="Comma 3 4 10" xfId="39377" xr:uid="{00000000-0005-0000-0000-000020900000}"/>
    <cellStyle name="Comma 3 4 2" xfId="39378" xr:uid="{00000000-0005-0000-0000-000021900000}"/>
    <cellStyle name="Comma 3 4 2 2" xfId="39379" xr:uid="{00000000-0005-0000-0000-000022900000}"/>
    <cellStyle name="Comma 3 4 2 2 2" xfId="39380" xr:uid="{00000000-0005-0000-0000-000023900000}"/>
    <cellStyle name="Comma 3 4 2 2 2 2" xfId="39381" xr:uid="{00000000-0005-0000-0000-000024900000}"/>
    <cellStyle name="Comma 3 4 2 2 2 2 2" xfId="39382" xr:uid="{00000000-0005-0000-0000-000025900000}"/>
    <cellStyle name="Comma 3 4 2 2 2 3" xfId="39383" xr:uid="{00000000-0005-0000-0000-000026900000}"/>
    <cellStyle name="Comma 3 4 2 2 3" xfId="39384" xr:uid="{00000000-0005-0000-0000-000027900000}"/>
    <cellStyle name="Comma 3 4 2 2 3 2" xfId="39385" xr:uid="{00000000-0005-0000-0000-000028900000}"/>
    <cellStyle name="Comma 3 4 2 2 4" xfId="39386" xr:uid="{00000000-0005-0000-0000-000029900000}"/>
    <cellStyle name="Comma 3 4 2 2 5" xfId="39387" xr:uid="{00000000-0005-0000-0000-00002A900000}"/>
    <cellStyle name="Comma 3 4 2 2 6" xfId="39388" xr:uid="{00000000-0005-0000-0000-00002B900000}"/>
    <cellStyle name="Comma 3 4 2 3" xfId="39389" xr:uid="{00000000-0005-0000-0000-00002C900000}"/>
    <cellStyle name="Comma 3 4 2 3 2" xfId="39390" xr:uid="{00000000-0005-0000-0000-00002D900000}"/>
    <cellStyle name="Comma 3 4 2 3 2 2" xfId="39391" xr:uid="{00000000-0005-0000-0000-00002E900000}"/>
    <cellStyle name="Comma 3 4 2 3 3" xfId="39392" xr:uid="{00000000-0005-0000-0000-00002F900000}"/>
    <cellStyle name="Comma 3 4 2 4" xfId="39393" xr:uid="{00000000-0005-0000-0000-000030900000}"/>
    <cellStyle name="Comma 3 4 2 4 2" xfId="39394" xr:uid="{00000000-0005-0000-0000-000031900000}"/>
    <cellStyle name="Comma 3 4 2 5" xfId="39395" xr:uid="{00000000-0005-0000-0000-000032900000}"/>
    <cellStyle name="Comma 3 4 2 6" xfId="39396" xr:uid="{00000000-0005-0000-0000-000033900000}"/>
    <cellStyle name="Comma 3 4 2 7" xfId="39397" xr:uid="{00000000-0005-0000-0000-000034900000}"/>
    <cellStyle name="Comma 3 4 3" xfId="39398" xr:uid="{00000000-0005-0000-0000-000035900000}"/>
    <cellStyle name="Comma 3 4 3 2" xfId="39399" xr:uid="{00000000-0005-0000-0000-000036900000}"/>
    <cellStyle name="Comma 3 4 3 2 2" xfId="39400" xr:uid="{00000000-0005-0000-0000-000037900000}"/>
    <cellStyle name="Comma 3 4 3 2 2 2" xfId="39401" xr:uid="{00000000-0005-0000-0000-000038900000}"/>
    <cellStyle name="Comma 3 4 3 2 3" xfId="39402" xr:uid="{00000000-0005-0000-0000-000039900000}"/>
    <cellStyle name="Comma 3 4 3 3" xfId="39403" xr:uid="{00000000-0005-0000-0000-00003A900000}"/>
    <cellStyle name="Comma 3 4 3 3 2" xfId="39404" xr:uid="{00000000-0005-0000-0000-00003B900000}"/>
    <cellStyle name="Comma 3 4 3 4" xfId="39405" xr:uid="{00000000-0005-0000-0000-00003C900000}"/>
    <cellStyle name="Comma 3 4 3 5" xfId="39406" xr:uid="{00000000-0005-0000-0000-00003D900000}"/>
    <cellStyle name="Comma 3 4 3 6" xfId="39407" xr:uid="{00000000-0005-0000-0000-00003E900000}"/>
    <cellStyle name="Comma 3 4 4" xfId="39408" xr:uid="{00000000-0005-0000-0000-00003F900000}"/>
    <cellStyle name="Comma 3 4 4 2" xfId="39409" xr:uid="{00000000-0005-0000-0000-000040900000}"/>
    <cellStyle name="Comma 3 4 4 2 2" xfId="39410" xr:uid="{00000000-0005-0000-0000-000041900000}"/>
    <cellStyle name="Comma 3 4 4 3" xfId="39411" xr:uid="{00000000-0005-0000-0000-000042900000}"/>
    <cellStyle name="Comma 3 4 5" xfId="39412" xr:uid="{00000000-0005-0000-0000-000043900000}"/>
    <cellStyle name="Comma 3 4 5 2" xfId="39413" xr:uid="{00000000-0005-0000-0000-000044900000}"/>
    <cellStyle name="Comma 3 4 5 2 2" xfId="39414" xr:uid="{00000000-0005-0000-0000-000045900000}"/>
    <cellStyle name="Comma 3 4 5 3" xfId="39415" xr:uid="{00000000-0005-0000-0000-000046900000}"/>
    <cellStyle name="Comma 3 4 6" xfId="39416" xr:uid="{00000000-0005-0000-0000-000047900000}"/>
    <cellStyle name="Comma 3 4 6 2" xfId="39417" xr:uid="{00000000-0005-0000-0000-000048900000}"/>
    <cellStyle name="Comma 3 4 7" xfId="39418" xr:uid="{00000000-0005-0000-0000-000049900000}"/>
    <cellStyle name="Comma 3 4 7 2" xfId="39419" xr:uid="{00000000-0005-0000-0000-00004A900000}"/>
    <cellStyle name="Comma 3 4 8" xfId="39420" xr:uid="{00000000-0005-0000-0000-00004B900000}"/>
    <cellStyle name="Comma 3 4 9" xfId="39421" xr:uid="{00000000-0005-0000-0000-00004C900000}"/>
    <cellStyle name="Comma 3 5" xfId="39422" xr:uid="{00000000-0005-0000-0000-00004D900000}"/>
    <cellStyle name="Comma 3 5 2" xfId="39423" xr:uid="{00000000-0005-0000-0000-00004E900000}"/>
    <cellStyle name="Comma 3 6" xfId="39424" xr:uid="{00000000-0005-0000-0000-00004F900000}"/>
    <cellStyle name="Comma 3 6 2" xfId="39425" xr:uid="{00000000-0005-0000-0000-000050900000}"/>
    <cellStyle name="Comma 3 7" xfId="39426" xr:uid="{00000000-0005-0000-0000-000051900000}"/>
    <cellStyle name="Comma 3 8" xfId="39427" xr:uid="{00000000-0005-0000-0000-000052900000}"/>
    <cellStyle name="Comma 3 9" xfId="39428" xr:uid="{00000000-0005-0000-0000-000053900000}"/>
    <cellStyle name="Comma 4" xfId="28" xr:uid="{00000000-0005-0000-0000-000033000000}"/>
    <cellStyle name="Comma 4 2" xfId="1231" xr:uid="{00000000-0005-0000-0000-000055900000}"/>
    <cellStyle name="Comma 4 2 2" xfId="39429" xr:uid="{00000000-0005-0000-0000-000056900000}"/>
    <cellStyle name="Comma 4 2 2 2" xfId="39430" xr:uid="{00000000-0005-0000-0000-000057900000}"/>
    <cellStyle name="Comma 4 2 2 2 2" xfId="39431" xr:uid="{00000000-0005-0000-0000-000058900000}"/>
    <cellStyle name="Comma 4 2 2 3" xfId="39432" xr:uid="{00000000-0005-0000-0000-000059900000}"/>
    <cellStyle name="Comma 4 2 3" xfId="39433" xr:uid="{00000000-0005-0000-0000-00005A900000}"/>
    <cellStyle name="Comma 4 3" xfId="39434" xr:uid="{00000000-0005-0000-0000-00005B900000}"/>
    <cellStyle name="Comma 4 3 2" xfId="39435" xr:uid="{00000000-0005-0000-0000-00005C900000}"/>
    <cellStyle name="Comma 4 3 2 2" xfId="39436" xr:uid="{00000000-0005-0000-0000-00005D900000}"/>
    <cellStyle name="Comma 4 3 2 2 2" xfId="39437" xr:uid="{00000000-0005-0000-0000-00005E900000}"/>
    <cellStyle name="Comma 4 3 2 2 2 2" xfId="39438" xr:uid="{00000000-0005-0000-0000-00005F900000}"/>
    <cellStyle name="Comma 4 3 2 2 3" xfId="39439" xr:uid="{00000000-0005-0000-0000-000060900000}"/>
    <cellStyle name="Comma 4 3 2 3" xfId="39440" xr:uid="{00000000-0005-0000-0000-000061900000}"/>
    <cellStyle name="Comma 4 3 2 3 2" xfId="39441" xr:uid="{00000000-0005-0000-0000-000062900000}"/>
    <cellStyle name="Comma 4 3 2 4" xfId="39442" xr:uid="{00000000-0005-0000-0000-000063900000}"/>
    <cellStyle name="Comma 4 3 3" xfId="39443" xr:uid="{00000000-0005-0000-0000-000064900000}"/>
    <cellStyle name="Comma 4 3 3 2" xfId="39444" xr:uid="{00000000-0005-0000-0000-000065900000}"/>
    <cellStyle name="Comma 4 3 3 2 2" xfId="39445" xr:uid="{00000000-0005-0000-0000-000066900000}"/>
    <cellStyle name="Comma 4 3 3 2 2 2" xfId="39446" xr:uid="{00000000-0005-0000-0000-000067900000}"/>
    <cellStyle name="Comma 4 3 3 2 3" xfId="39447" xr:uid="{00000000-0005-0000-0000-000068900000}"/>
    <cellStyle name="Comma 4 3 3 3" xfId="39448" xr:uid="{00000000-0005-0000-0000-000069900000}"/>
    <cellStyle name="Comma 4 3 3 3 2" xfId="39449" xr:uid="{00000000-0005-0000-0000-00006A900000}"/>
    <cellStyle name="Comma 4 3 3 4" xfId="39450" xr:uid="{00000000-0005-0000-0000-00006B900000}"/>
    <cellStyle name="Comma 4 3 4" xfId="39451" xr:uid="{00000000-0005-0000-0000-00006C900000}"/>
    <cellStyle name="Comma 4 3 4 2" xfId="39452" xr:uid="{00000000-0005-0000-0000-00006D900000}"/>
    <cellStyle name="Comma 4 3 4 2 2" xfId="39453" xr:uid="{00000000-0005-0000-0000-00006E900000}"/>
    <cellStyle name="Comma 4 3 4 2 2 2" xfId="39454" xr:uid="{00000000-0005-0000-0000-00006F900000}"/>
    <cellStyle name="Comma 4 3 4 2 3" xfId="39455" xr:uid="{00000000-0005-0000-0000-000070900000}"/>
    <cellStyle name="Comma 4 3 4 3" xfId="39456" xr:uid="{00000000-0005-0000-0000-000071900000}"/>
    <cellStyle name="Comma 4 3 4 3 2" xfId="39457" xr:uid="{00000000-0005-0000-0000-000072900000}"/>
    <cellStyle name="Comma 4 3 4 4" xfId="39458" xr:uid="{00000000-0005-0000-0000-000073900000}"/>
    <cellStyle name="Comma 4 3 5" xfId="39459" xr:uid="{00000000-0005-0000-0000-000074900000}"/>
    <cellStyle name="Comma 4 4" xfId="39460" xr:uid="{00000000-0005-0000-0000-000075900000}"/>
    <cellStyle name="Comma 4 4 2" xfId="39461" xr:uid="{00000000-0005-0000-0000-000076900000}"/>
    <cellStyle name="Comma 4 4 2 2" xfId="39462" xr:uid="{00000000-0005-0000-0000-000077900000}"/>
    <cellStyle name="Comma 4 4 3" xfId="39463" xr:uid="{00000000-0005-0000-0000-000078900000}"/>
    <cellStyle name="Comma 4 5" xfId="39464" xr:uid="{00000000-0005-0000-0000-000079900000}"/>
    <cellStyle name="Comma 5" xfId="143" xr:uid="{00000000-0005-0000-0000-000034000000}"/>
    <cellStyle name="Comma 5 10" xfId="39465" xr:uid="{00000000-0005-0000-0000-00007B900000}"/>
    <cellStyle name="Comma 5 10 2" xfId="39466" xr:uid="{00000000-0005-0000-0000-00007C900000}"/>
    <cellStyle name="Comma 5 10 2 2" xfId="39467" xr:uid="{00000000-0005-0000-0000-00007D900000}"/>
    <cellStyle name="Comma 5 10 2 2 2" xfId="39468" xr:uid="{00000000-0005-0000-0000-00007E900000}"/>
    <cellStyle name="Comma 5 10 2 3" xfId="39469" xr:uid="{00000000-0005-0000-0000-00007F900000}"/>
    <cellStyle name="Comma 5 10 3" xfId="39470" xr:uid="{00000000-0005-0000-0000-000080900000}"/>
    <cellStyle name="Comma 5 10 3 2" xfId="39471" xr:uid="{00000000-0005-0000-0000-000081900000}"/>
    <cellStyle name="Comma 5 10 4" xfId="39472" xr:uid="{00000000-0005-0000-0000-000082900000}"/>
    <cellStyle name="Comma 5 11" xfId="39473" xr:uid="{00000000-0005-0000-0000-000083900000}"/>
    <cellStyle name="Comma 5 11 2" xfId="39474" xr:uid="{00000000-0005-0000-0000-000084900000}"/>
    <cellStyle name="Comma 5 11 2 2" xfId="39475" xr:uid="{00000000-0005-0000-0000-000085900000}"/>
    <cellStyle name="Comma 5 11 3" xfId="39476" xr:uid="{00000000-0005-0000-0000-000086900000}"/>
    <cellStyle name="Comma 5 12" xfId="39477" xr:uid="{00000000-0005-0000-0000-000087900000}"/>
    <cellStyle name="Comma 5 12 2" xfId="39478" xr:uid="{00000000-0005-0000-0000-000088900000}"/>
    <cellStyle name="Comma 5 12 2 2" xfId="39479" xr:uid="{00000000-0005-0000-0000-000089900000}"/>
    <cellStyle name="Comma 5 12 3" xfId="39480" xr:uid="{00000000-0005-0000-0000-00008A900000}"/>
    <cellStyle name="Comma 5 13" xfId="39481" xr:uid="{00000000-0005-0000-0000-00008B900000}"/>
    <cellStyle name="Comma 5 13 2" xfId="39482" xr:uid="{00000000-0005-0000-0000-00008C900000}"/>
    <cellStyle name="Comma 5 14" xfId="39483" xr:uid="{00000000-0005-0000-0000-00008D900000}"/>
    <cellStyle name="Comma 5 15" xfId="1232" xr:uid="{00000000-0005-0000-0000-00007A900000}"/>
    <cellStyle name="Comma 5 2" xfId="39484" xr:uid="{00000000-0005-0000-0000-00008E900000}"/>
    <cellStyle name="Comma 5 2 2" xfId="39485" xr:uid="{00000000-0005-0000-0000-00008F900000}"/>
    <cellStyle name="Comma 5 2 2 2" xfId="39486" xr:uid="{00000000-0005-0000-0000-000090900000}"/>
    <cellStyle name="Comma 5 2 2 2 2" xfId="39487" xr:uid="{00000000-0005-0000-0000-000091900000}"/>
    <cellStyle name="Comma 5 2 2 2 2 2" xfId="39488" xr:uid="{00000000-0005-0000-0000-000092900000}"/>
    <cellStyle name="Comma 5 2 2 2 3" xfId="39489" xr:uid="{00000000-0005-0000-0000-000093900000}"/>
    <cellStyle name="Comma 5 2 2 3" xfId="39490" xr:uid="{00000000-0005-0000-0000-000094900000}"/>
    <cellStyle name="Comma 5 2 2 3 2" xfId="39491" xr:uid="{00000000-0005-0000-0000-000095900000}"/>
    <cellStyle name="Comma 5 2 2 4" xfId="39492" xr:uid="{00000000-0005-0000-0000-000096900000}"/>
    <cellStyle name="Comma 5 2 3" xfId="39493" xr:uid="{00000000-0005-0000-0000-000097900000}"/>
    <cellStyle name="Comma 5 2 3 2" xfId="39494" xr:uid="{00000000-0005-0000-0000-000098900000}"/>
    <cellStyle name="Comma 5 2 3 2 2" xfId="39495" xr:uid="{00000000-0005-0000-0000-000099900000}"/>
    <cellStyle name="Comma 5 2 3 2 2 2" xfId="39496" xr:uid="{00000000-0005-0000-0000-00009A900000}"/>
    <cellStyle name="Comma 5 2 3 2 3" xfId="39497" xr:uid="{00000000-0005-0000-0000-00009B900000}"/>
    <cellStyle name="Comma 5 2 3 3" xfId="39498" xr:uid="{00000000-0005-0000-0000-00009C900000}"/>
    <cellStyle name="Comma 5 2 3 3 2" xfId="39499" xr:uid="{00000000-0005-0000-0000-00009D900000}"/>
    <cellStyle name="Comma 5 2 3 4" xfId="39500" xr:uid="{00000000-0005-0000-0000-00009E900000}"/>
    <cellStyle name="Comma 5 2 4" xfId="39501" xr:uid="{00000000-0005-0000-0000-00009F900000}"/>
    <cellStyle name="Comma 5 2 4 2" xfId="39502" xr:uid="{00000000-0005-0000-0000-0000A0900000}"/>
    <cellStyle name="Comma 5 2 4 2 2" xfId="39503" xr:uid="{00000000-0005-0000-0000-0000A1900000}"/>
    <cellStyle name="Comma 5 2 4 2 2 2" xfId="39504" xr:uid="{00000000-0005-0000-0000-0000A2900000}"/>
    <cellStyle name="Comma 5 2 4 2 3" xfId="39505" xr:uid="{00000000-0005-0000-0000-0000A3900000}"/>
    <cellStyle name="Comma 5 2 4 3" xfId="39506" xr:uid="{00000000-0005-0000-0000-0000A4900000}"/>
    <cellStyle name="Comma 5 2 4 3 2" xfId="39507" xr:uid="{00000000-0005-0000-0000-0000A5900000}"/>
    <cellStyle name="Comma 5 2 4 4" xfId="39508" xr:uid="{00000000-0005-0000-0000-0000A6900000}"/>
    <cellStyle name="Comma 5 2 5" xfId="39509" xr:uid="{00000000-0005-0000-0000-0000A7900000}"/>
    <cellStyle name="Comma 5 3" xfId="39510" xr:uid="{00000000-0005-0000-0000-0000A8900000}"/>
    <cellStyle name="Comma 5 3 10" xfId="39511" xr:uid="{00000000-0005-0000-0000-0000A9900000}"/>
    <cellStyle name="Comma 5 3 11" xfId="39512" xr:uid="{00000000-0005-0000-0000-0000AA900000}"/>
    <cellStyle name="Comma 5 3 2" xfId="39513" xr:uid="{00000000-0005-0000-0000-0000AB900000}"/>
    <cellStyle name="Comma 5 3 2 2" xfId="39514" xr:uid="{00000000-0005-0000-0000-0000AC900000}"/>
    <cellStyle name="Comma 5 3 2 2 2" xfId="39515" xr:uid="{00000000-0005-0000-0000-0000AD900000}"/>
    <cellStyle name="Comma 5 3 2 2 2 2" xfId="39516" xr:uid="{00000000-0005-0000-0000-0000AE900000}"/>
    <cellStyle name="Comma 5 3 2 2 2 2 2" xfId="39517" xr:uid="{00000000-0005-0000-0000-0000AF900000}"/>
    <cellStyle name="Comma 5 3 2 2 2 3" xfId="39518" xr:uid="{00000000-0005-0000-0000-0000B0900000}"/>
    <cellStyle name="Comma 5 3 2 2 3" xfId="39519" xr:uid="{00000000-0005-0000-0000-0000B1900000}"/>
    <cellStyle name="Comma 5 3 2 2 3 2" xfId="39520" xr:uid="{00000000-0005-0000-0000-0000B2900000}"/>
    <cellStyle name="Comma 5 3 2 2 4" xfId="39521" xr:uid="{00000000-0005-0000-0000-0000B3900000}"/>
    <cellStyle name="Comma 5 3 2 2 5" xfId="39522" xr:uid="{00000000-0005-0000-0000-0000B4900000}"/>
    <cellStyle name="Comma 5 3 2 2 6" xfId="39523" xr:uid="{00000000-0005-0000-0000-0000B5900000}"/>
    <cellStyle name="Comma 5 3 2 3" xfId="39524" xr:uid="{00000000-0005-0000-0000-0000B6900000}"/>
    <cellStyle name="Comma 5 3 2 3 2" xfId="39525" xr:uid="{00000000-0005-0000-0000-0000B7900000}"/>
    <cellStyle name="Comma 5 3 2 3 2 2" xfId="39526" xr:uid="{00000000-0005-0000-0000-0000B8900000}"/>
    <cellStyle name="Comma 5 3 2 3 3" xfId="39527" xr:uid="{00000000-0005-0000-0000-0000B9900000}"/>
    <cellStyle name="Comma 5 3 2 4" xfId="39528" xr:uid="{00000000-0005-0000-0000-0000BA900000}"/>
    <cellStyle name="Comma 5 3 2 4 2" xfId="39529" xr:uid="{00000000-0005-0000-0000-0000BB900000}"/>
    <cellStyle name="Comma 5 3 2 5" xfId="39530" xr:uid="{00000000-0005-0000-0000-0000BC900000}"/>
    <cellStyle name="Comma 5 3 2 6" xfId="39531" xr:uid="{00000000-0005-0000-0000-0000BD900000}"/>
    <cellStyle name="Comma 5 3 2 7" xfId="39532" xr:uid="{00000000-0005-0000-0000-0000BE900000}"/>
    <cellStyle name="Comma 5 3 3" xfId="39533" xr:uid="{00000000-0005-0000-0000-0000BF900000}"/>
    <cellStyle name="Comma 5 3 3 2" xfId="39534" xr:uid="{00000000-0005-0000-0000-0000C0900000}"/>
    <cellStyle name="Comma 5 3 3 2 2" xfId="39535" xr:uid="{00000000-0005-0000-0000-0000C1900000}"/>
    <cellStyle name="Comma 5 3 3 2 2 2" xfId="39536" xr:uid="{00000000-0005-0000-0000-0000C2900000}"/>
    <cellStyle name="Comma 5 3 3 2 2 2 2" xfId="39537" xr:uid="{00000000-0005-0000-0000-0000C3900000}"/>
    <cellStyle name="Comma 5 3 3 2 2 3" xfId="39538" xr:uid="{00000000-0005-0000-0000-0000C4900000}"/>
    <cellStyle name="Comma 5 3 3 2 3" xfId="39539" xr:uid="{00000000-0005-0000-0000-0000C5900000}"/>
    <cellStyle name="Comma 5 3 3 2 3 2" xfId="39540" xr:uid="{00000000-0005-0000-0000-0000C6900000}"/>
    <cellStyle name="Comma 5 3 3 2 4" xfId="39541" xr:uid="{00000000-0005-0000-0000-0000C7900000}"/>
    <cellStyle name="Comma 5 3 3 2 5" xfId="39542" xr:uid="{00000000-0005-0000-0000-0000C8900000}"/>
    <cellStyle name="Comma 5 3 3 2 6" xfId="39543" xr:uid="{00000000-0005-0000-0000-0000C9900000}"/>
    <cellStyle name="Comma 5 3 3 3" xfId="39544" xr:uid="{00000000-0005-0000-0000-0000CA900000}"/>
    <cellStyle name="Comma 5 3 3 3 2" xfId="39545" xr:uid="{00000000-0005-0000-0000-0000CB900000}"/>
    <cellStyle name="Comma 5 3 3 3 2 2" xfId="39546" xr:uid="{00000000-0005-0000-0000-0000CC900000}"/>
    <cellStyle name="Comma 5 3 3 3 3" xfId="39547" xr:uid="{00000000-0005-0000-0000-0000CD900000}"/>
    <cellStyle name="Comma 5 3 3 4" xfId="39548" xr:uid="{00000000-0005-0000-0000-0000CE900000}"/>
    <cellStyle name="Comma 5 3 3 4 2" xfId="39549" xr:uid="{00000000-0005-0000-0000-0000CF900000}"/>
    <cellStyle name="Comma 5 3 3 5" xfId="39550" xr:uid="{00000000-0005-0000-0000-0000D0900000}"/>
    <cellStyle name="Comma 5 3 3 6" xfId="39551" xr:uid="{00000000-0005-0000-0000-0000D1900000}"/>
    <cellStyle name="Comma 5 3 3 7" xfId="39552" xr:uid="{00000000-0005-0000-0000-0000D2900000}"/>
    <cellStyle name="Comma 5 3 4" xfId="39553" xr:uid="{00000000-0005-0000-0000-0000D3900000}"/>
    <cellStyle name="Comma 5 3 4 2" xfId="39554" xr:uid="{00000000-0005-0000-0000-0000D4900000}"/>
    <cellStyle name="Comma 5 3 4 2 2" xfId="39555" xr:uid="{00000000-0005-0000-0000-0000D5900000}"/>
    <cellStyle name="Comma 5 3 4 2 2 2" xfId="39556" xr:uid="{00000000-0005-0000-0000-0000D6900000}"/>
    <cellStyle name="Comma 5 3 4 2 3" xfId="39557" xr:uid="{00000000-0005-0000-0000-0000D7900000}"/>
    <cellStyle name="Comma 5 3 4 3" xfId="39558" xr:uid="{00000000-0005-0000-0000-0000D8900000}"/>
    <cellStyle name="Comma 5 3 4 3 2" xfId="39559" xr:uid="{00000000-0005-0000-0000-0000D9900000}"/>
    <cellStyle name="Comma 5 3 4 4" xfId="39560" xr:uid="{00000000-0005-0000-0000-0000DA900000}"/>
    <cellStyle name="Comma 5 3 4 5" xfId="39561" xr:uid="{00000000-0005-0000-0000-0000DB900000}"/>
    <cellStyle name="Comma 5 3 4 6" xfId="39562" xr:uid="{00000000-0005-0000-0000-0000DC900000}"/>
    <cellStyle name="Comma 5 3 5" xfId="39563" xr:uid="{00000000-0005-0000-0000-0000DD900000}"/>
    <cellStyle name="Comma 5 3 5 2" xfId="39564" xr:uid="{00000000-0005-0000-0000-0000DE900000}"/>
    <cellStyle name="Comma 5 3 5 2 2" xfId="39565" xr:uid="{00000000-0005-0000-0000-0000DF900000}"/>
    <cellStyle name="Comma 5 3 5 3" xfId="39566" xr:uid="{00000000-0005-0000-0000-0000E0900000}"/>
    <cellStyle name="Comma 5 3 6" xfId="39567" xr:uid="{00000000-0005-0000-0000-0000E1900000}"/>
    <cellStyle name="Comma 5 3 6 2" xfId="39568" xr:uid="{00000000-0005-0000-0000-0000E2900000}"/>
    <cellStyle name="Comma 5 3 6 2 2" xfId="39569" xr:uid="{00000000-0005-0000-0000-0000E3900000}"/>
    <cellStyle name="Comma 5 3 6 3" xfId="39570" xr:uid="{00000000-0005-0000-0000-0000E4900000}"/>
    <cellStyle name="Comma 5 3 7" xfId="39571" xr:uid="{00000000-0005-0000-0000-0000E5900000}"/>
    <cellStyle name="Comma 5 3 7 2" xfId="39572" xr:uid="{00000000-0005-0000-0000-0000E6900000}"/>
    <cellStyle name="Comma 5 3 8" xfId="39573" xr:uid="{00000000-0005-0000-0000-0000E7900000}"/>
    <cellStyle name="Comma 5 3 9" xfId="39574" xr:uid="{00000000-0005-0000-0000-0000E8900000}"/>
    <cellStyle name="Comma 5 4" xfId="39575" xr:uid="{00000000-0005-0000-0000-0000E9900000}"/>
    <cellStyle name="Comma 5 4 2" xfId="39576" xr:uid="{00000000-0005-0000-0000-0000EA900000}"/>
    <cellStyle name="Comma 5 4 3" xfId="39577" xr:uid="{00000000-0005-0000-0000-0000EB900000}"/>
    <cellStyle name="Comma 5 5" xfId="39578" xr:uid="{00000000-0005-0000-0000-0000EC900000}"/>
    <cellStyle name="Comma 5 5 2" xfId="39579" xr:uid="{00000000-0005-0000-0000-0000ED900000}"/>
    <cellStyle name="Comma 5 5 2 2" xfId="39580" xr:uid="{00000000-0005-0000-0000-0000EE900000}"/>
    <cellStyle name="Comma 5 5 2 2 2" xfId="39581" xr:uid="{00000000-0005-0000-0000-0000EF900000}"/>
    <cellStyle name="Comma 5 5 2 2 2 2" xfId="39582" xr:uid="{00000000-0005-0000-0000-0000F0900000}"/>
    <cellStyle name="Comma 5 5 2 2 3" xfId="39583" xr:uid="{00000000-0005-0000-0000-0000F1900000}"/>
    <cellStyle name="Comma 5 5 2 3" xfId="39584" xr:uid="{00000000-0005-0000-0000-0000F2900000}"/>
    <cellStyle name="Comma 5 5 2 3 2" xfId="39585" xr:uid="{00000000-0005-0000-0000-0000F3900000}"/>
    <cellStyle name="Comma 5 5 2 4" xfId="39586" xr:uid="{00000000-0005-0000-0000-0000F4900000}"/>
    <cellStyle name="Comma 5 5 2 5" xfId="39587" xr:uid="{00000000-0005-0000-0000-0000F5900000}"/>
    <cellStyle name="Comma 5 5 2 6" xfId="39588" xr:uid="{00000000-0005-0000-0000-0000F6900000}"/>
    <cellStyle name="Comma 5 5 3" xfId="39589" xr:uid="{00000000-0005-0000-0000-0000F7900000}"/>
    <cellStyle name="Comma 5 5 3 2" xfId="39590" xr:uid="{00000000-0005-0000-0000-0000F8900000}"/>
    <cellStyle name="Comma 5 5 3 2 2" xfId="39591" xr:uid="{00000000-0005-0000-0000-0000F9900000}"/>
    <cellStyle name="Comma 5 5 3 3" xfId="39592" xr:uid="{00000000-0005-0000-0000-0000FA900000}"/>
    <cellStyle name="Comma 5 5 4" xfId="39593" xr:uid="{00000000-0005-0000-0000-0000FB900000}"/>
    <cellStyle name="Comma 5 5 4 2" xfId="39594" xr:uid="{00000000-0005-0000-0000-0000FC900000}"/>
    <cellStyle name="Comma 5 5 4 2 2" xfId="39595" xr:uid="{00000000-0005-0000-0000-0000FD900000}"/>
    <cellStyle name="Comma 5 5 4 3" xfId="39596" xr:uid="{00000000-0005-0000-0000-0000FE900000}"/>
    <cellStyle name="Comma 5 5 5" xfId="39597" xr:uid="{00000000-0005-0000-0000-0000FF900000}"/>
    <cellStyle name="Comma 5 5 5 2" xfId="39598" xr:uid="{00000000-0005-0000-0000-000000910000}"/>
    <cellStyle name="Comma 5 5 6" xfId="39599" xr:uid="{00000000-0005-0000-0000-000001910000}"/>
    <cellStyle name="Comma 5 5 7" xfId="39600" xr:uid="{00000000-0005-0000-0000-000002910000}"/>
    <cellStyle name="Comma 5 5 8" xfId="39601" xr:uid="{00000000-0005-0000-0000-000003910000}"/>
    <cellStyle name="Comma 5 6" xfId="39602" xr:uid="{00000000-0005-0000-0000-000004910000}"/>
    <cellStyle name="Comma 5 6 2" xfId="39603" xr:uid="{00000000-0005-0000-0000-000005910000}"/>
    <cellStyle name="Comma 5 6 2 2" xfId="39604" xr:uid="{00000000-0005-0000-0000-000006910000}"/>
    <cellStyle name="Comma 5 6 2 2 2" xfId="39605" xr:uid="{00000000-0005-0000-0000-000007910000}"/>
    <cellStyle name="Comma 5 6 2 2 2 2" xfId="39606" xr:uid="{00000000-0005-0000-0000-000008910000}"/>
    <cellStyle name="Comma 5 6 2 2 3" xfId="39607" xr:uid="{00000000-0005-0000-0000-000009910000}"/>
    <cellStyle name="Comma 5 6 2 3" xfId="39608" xr:uid="{00000000-0005-0000-0000-00000A910000}"/>
    <cellStyle name="Comma 5 6 2 3 2" xfId="39609" xr:uid="{00000000-0005-0000-0000-00000B910000}"/>
    <cellStyle name="Comma 5 6 2 4" xfId="39610" xr:uid="{00000000-0005-0000-0000-00000C910000}"/>
    <cellStyle name="Comma 5 6 2 5" xfId="39611" xr:uid="{00000000-0005-0000-0000-00000D910000}"/>
    <cellStyle name="Comma 5 6 2 6" xfId="39612" xr:uid="{00000000-0005-0000-0000-00000E910000}"/>
    <cellStyle name="Comma 5 6 3" xfId="39613" xr:uid="{00000000-0005-0000-0000-00000F910000}"/>
    <cellStyle name="Comma 5 6 3 2" xfId="39614" xr:uid="{00000000-0005-0000-0000-000010910000}"/>
    <cellStyle name="Comma 5 6 3 2 2" xfId="39615" xr:uid="{00000000-0005-0000-0000-000011910000}"/>
    <cellStyle name="Comma 5 6 3 3" xfId="39616" xr:uid="{00000000-0005-0000-0000-000012910000}"/>
    <cellStyle name="Comma 5 6 4" xfId="39617" xr:uid="{00000000-0005-0000-0000-000013910000}"/>
    <cellStyle name="Comma 5 6 4 2" xfId="39618" xr:uid="{00000000-0005-0000-0000-000014910000}"/>
    <cellStyle name="Comma 5 6 5" xfId="39619" xr:uid="{00000000-0005-0000-0000-000015910000}"/>
    <cellStyle name="Comma 5 6 6" xfId="39620" xr:uid="{00000000-0005-0000-0000-000016910000}"/>
    <cellStyle name="Comma 5 6 7" xfId="39621" xr:uid="{00000000-0005-0000-0000-000017910000}"/>
    <cellStyle name="Comma 5 7" xfId="39622" xr:uid="{00000000-0005-0000-0000-000018910000}"/>
    <cellStyle name="Comma 5 7 2" xfId="39623" xr:uid="{00000000-0005-0000-0000-000019910000}"/>
    <cellStyle name="Comma 5 7 2 2" xfId="39624" xr:uid="{00000000-0005-0000-0000-00001A910000}"/>
    <cellStyle name="Comma 5 7 2 2 2" xfId="39625" xr:uid="{00000000-0005-0000-0000-00001B910000}"/>
    <cellStyle name="Comma 5 7 2 3" xfId="39626" xr:uid="{00000000-0005-0000-0000-00001C910000}"/>
    <cellStyle name="Comma 5 7 3" xfId="39627" xr:uid="{00000000-0005-0000-0000-00001D910000}"/>
    <cellStyle name="Comma 5 7 3 2" xfId="39628" xr:uid="{00000000-0005-0000-0000-00001E910000}"/>
    <cellStyle name="Comma 5 7 4" xfId="39629" xr:uid="{00000000-0005-0000-0000-00001F910000}"/>
    <cellStyle name="Comma 5 7 5" xfId="39630" xr:uid="{00000000-0005-0000-0000-000020910000}"/>
    <cellStyle name="Comma 5 7 6" xfId="39631" xr:uid="{00000000-0005-0000-0000-000021910000}"/>
    <cellStyle name="Comma 5 8" xfId="39632" xr:uid="{00000000-0005-0000-0000-000022910000}"/>
    <cellStyle name="Comma 5 8 2" xfId="39633" xr:uid="{00000000-0005-0000-0000-000023910000}"/>
    <cellStyle name="Comma 5 8 2 2" xfId="39634" xr:uid="{00000000-0005-0000-0000-000024910000}"/>
    <cellStyle name="Comma 5 8 2 2 2" xfId="39635" xr:uid="{00000000-0005-0000-0000-000025910000}"/>
    <cellStyle name="Comma 5 8 2 3" xfId="39636" xr:uid="{00000000-0005-0000-0000-000026910000}"/>
    <cellStyle name="Comma 5 8 3" xfId="39637" xr:uid="{00000000-0005-0000-0000-000027910000}"/>
    <cellStyle name="Comma 5 8 3 2" xfId="39638" xr:uid="{00000000-0005-0000-0000-000028910000}"/>
    <cellStyle name="Comma 5 8 4" xfId="39639" xr:uid="{00000000-0005-0000-0000-000029910000}"/>
    <cellStyle name="Comma 5 9" xfId="39640" xr:uid="{00000000-0005-0000-0000-00002A910000}"/>
    <cellStyle name="Comma 5 9 2" xfId="39641" xr:uid="{00000000-0005-0000-0000-00002B910000}"/>
    <cellStyle name="Comma 5 9 2 2" xfId="39642" xr:uid="{00000000-0005-0000-0000-00002C910000}"/>
    <cellStyle name="Comma 5 9 2 2 2" xfId="39643" xr:uid="{00000000-0005-0000-0000-00002D910000}"/>
    <cellStyle name="Comma 5 9 2 3" xfId="39644" xr:uid="{00000000-0005-0000-0000-00002E910000}"/>
    <cellStyle name="Comma 5 9 3" xfId="39645" xr:uid="{00000000-0005-0000-0000-00002F910000}"/>
    <cellStyle name="Comma 5 9 3 2" xfId="39646" xr:uid="{00000000-0005-0000-0000-000030910000}"/>
    <cellStyle name="Comma 5 9 4" xfId="39647" xr:uid="{00000000-0005-0000-0000-000031910000}"/>
    <cellStyle name="Comma 6" xfId="1233" xr:uid="{00000000-0005-0000-0000-000032910000}"/>
    <cellStyle name="Comma 6 10" xfId="39648" xr:uid="{00000000-0005-0000-0000-000033910000}"/>
    <cellStyle name="Comma 6 10 2" xfId="39649" xr:uid="{00000000-0005-0000-0000-000034910000}"/>
    <cellStyle name="Comma 6 11" xfId="39650" xr:uid="{00000000-0005-0000-0000-000035910000}"/>
    <cellStyle name="Comma 6 12" xfId="39651" xr:uid="{00000000-0005-0000-0000-000036910000}"/>
    <cellStyle name="Comma 6 2" xfId="39652" xr:uid="{00000000-0005-0000-0000-000037910000}"/>
    <cellStyle name="Comma 6 2 10" xfId="39653" xr:uid="{00000000-0005-0000-0000-000038910000}"/>
    <cellStyle name="Comma 6 2 10 2" xfId="39654" xr:uid="{00000000-0005-0000-0000-000039910000}"/>
    <cellStyle name="Comma 6 2 11" xfId="39655" xr:uid="{00000000-0005-0000-0000-00003A910000}"/>
    <cellStyle name="Comma 6 2 2" xfId="39656" xr:uid="{00000000-0005-0000-0000-00003B910000}"/>
    <cellStyle name="Comma 6 2 2 2" xfId="39657" xr:uid="{00000000-0005-0000-0000-00003C910000}"/>
    <cellStyle name="Comma 6 2 2 2 2" xfId="39658" xr:uid="{00000000-0005-0000-0000-00003D910000}"/>
    <cellStyle name="Comma 6 2 2 2 2 2" xfId="39659" xr:uid="{00000000-0005-0000-0000-00003E910000}"/>
    <cellStyle name="Comma 6 2 2 2 2 2 2" xfId="39660" xr:uid="{00000000-0005-0000-0000-00003F910000}"/>
    <cellStyle name="Comma 6 2 2 2 2 3" xfId="39661" xr:uid="{00000000-0005-0000-0000-000040910000}"/>
    <cellStyle name="Comma 6 2 2 2 3" xfId="39662" xr:uid="{00000000-0005-0000-0000-000041910000}"/>
    <cellStyle name="Comma 6 2 2 2 3 2" xfId="39663" xr:uid="{00000000-0005-0000-0000-000042910000}"/>
    <cellStyle name="Comma 6 2 2 2 4" xfId="39664" xr:uid="{00000000-0005-0000-0000-000043910000}"/>
    <cellStyle name="Comma 6 2 2 2 5" xfId="39665" xr:uid="{00000000-0005-0000-0000-000044910000}"/>
    <cellStyle name="Comma 6 2 2 2 6" xfId="39666" xr:uid="{00000000-0005-0000-0000-000045910000}"/>
    <cellStyle name="Comma 6 2 2 3" xfId="39667" xr:uid="{00000000-0005-0000-0000-000046910000}"/>
    <cellStyle name="Comma 6 2 2 3 2" xfId="39668" xr:uid="{00000000-0005-0000-0000-000047910000}"/>
    <cellStyle name="Comma 6 2 2 3 2 2" xfId="39669" xr:uid="{00000000-0005-0000-0000-000048910000}"/>
    <cellStyle name="Comma 6 2 2 3 3" xfId="39670" xr:uid="{00000000-0005-0000-0000-000049910000}"/>
    <cellStyle name="Comma 6 2 2 4" xfId="39671" xr:uid="{00000000-0005-0000-0000-00004A910000}"/>
    <cellStyle name="Comma 6 2 2 4 2" xfId="39672" xr:uid="{00000000-0005-0000-0000-00004B910000}"/>
    <cellStyle name="Comma 6 2 2 5" xfId="39673" xr:uid="{00000000-0005-0000-0000-00004C910000}"/>
    <cellStyle name="Comma 6 2 2 6" xfId="39674" xr:uid="{00000000-0005-0000-0000-00004D910000}"/>
    <cellStyle name="Comma 6 2 2 7" xfId="39675" xr:uid="{00000000-0005-0000-0000-00004E910000}"/>
    <cellStyle name="Comma 6 2 3" xfId="39676" xr:uid="{00000000-0005-0000-0000-00004F910000}"/>
    <cellStyle name="Comma 6 2 3 2" xfId="39677" xr:uid="{00000000-0005-0000-0000-000050910000}"/>
    <cellStyle name="Comma 6 2 3 2 2" xfId="39678" xr:uid="{00000000-0005-0000-0000-000051910000}"/>
    <cellStyle name="Comma 6 2 3 2 2 2" xfId="39679" xr:uid="{00000000-0005-0000-0000-000052910000}"/>
    <cellStyle name="Comma 6 2 3 2 2 2 2" xfId="39680" xr:uid="{00000000-0005-0000-0000-000053910000}"/>
    <cellStyle name="Comma 6 2 3 2 2 3" xfId="39681" xr:uid="{00000000-0005-0000-0000-000054910000}"/>
    <cellStyle name="Comma 6 2 3 2 3" xfId="39682" xr:uid="{00000000-0005-0000-0000-000055910000}"/>
    <cellStyle name="Comma 6 2 3 2 3 2" xfId="39683" xr:uid="{00000000-0005-0000-0000-000056910000}"/>
    <cellStyle name="Comma 6 2 3 2 4" xfId="39684" xr:uid="{00000000-0005-0000-0000-000057910000}"/>
    <cellStyle name="Comma 6 2 3 2 5" xfId="39685" xr:uid="{00000000-0005-0000-0000-000058910000}"/>
    <cellStyle name="Comma 6 2 3 2 6" xfId="39686" xr:uid="{00000000-0005-0000-0000-000059910000}"/>
    <cellStyle name="Comma 6 2 3 3" xfId="39687" xr:uid="{00000000-0005-0000-0000-00005A910000}"/>
    <cellStyle name="Comma 6 2 3 3 2" xfId="39688" xr:uid="{00000000-0005-0000-0000-00005B910000}"/>
    <cellStyle name="Comma 6 2 3 3 2 2" xfId="39689" xr:uid="{00000000-0005-0000-0000-00005C910000}"/>
    <cellStyle name="Comma 6 2 3 3 3" xfId="39690" xr:uid="{00000000-0005-0000-0000-00005D910000}"/>
    <cellStyle name="Comma 6 2 3 4" xfId="39691" xr:uid="{00000000-0005-0000-0000-00005E910000}"/>
    <cellStyle name="Comma 6 2 3 4 2" xfId="39692" xr:uid="{00000000-0005-0000-0000-00005F910000}"/>
    <cellStyle name="Comma 6 2 3 5" xfId="39693" xr:uid="{00000000-0005-0000-0000-000060910000}"/>
    <cellStyle name="Comma 6 2 3 6" xfId="39694" xr:uid="{00000000-0005-0000-0000-000061910000}"/>
    <cellStyle name="Comma 6 2 3 7" xfId="39695" xr:uid="{00000000-0005-0000-0000-000062910000}"/>
    <cellStyle name="Comma 6 2 4" xfId="39696" xr:uid="{00000000-0005-0000-0000-000063910000}"/>
    <cellStyle name="Comma 6 2 4 2" xfId="39697" xr:uid="{00000000-0005-0000-0000-000064910000}"/>
    <cellStyle name="Comma 6 2 4 2 2" xfId="39698" xr:uid="{00000000-0005-0000-0000-000065910000}"/>
    <cellStyle name="Comma 6 2 4 2 2 2" xfId="39699" xr:uid="{00000000-0005-0000-0000-000066910000}"/>
    <cellStyle name="Comma 6 2 4 2 3" xfId="39700" xr:uid="{00000000-0005-0000-0000-000067910000}"/>
    <cellStyle name="Comma 6 2 4 3" xfId="39701" xr:uid="{00000000-0005-0000-0000-000068910000}"/>
    <cellStyle name="Comma 6 2 4 3 2" xfId="39702" xr:uid="{00000000-0005-0000-0000-000069910000}"/>
    <cellStyle name="Comma 6 2 4 4" xfId="39703" xr:uid="{00000000-0005-0000-0000-00006A910000}"/>
    <cellStyle name="Comma 6 2 4 5" xfId="39704" xr:uid="{00000000-0005-0000-0000-00006B910000}"/>
    <cellStyle name="Comma 6 2 4 6" xfId="39705" xr:uid="{00000000-0005-0000-0000-00006C910000}"/>
    <cellStyle name="Comma 6 2 5" xfId="39706" xr:uid="{00000000-0005-0000-0000-00006D910000}"/>
    <cellStyle name="Comma 6 2 5 2" xfId="39707" xr:uid="{00000000-0005-0000-0000-00006E910000}"/>
    <cellStyle name="Comma 6 2 5 2 2" xfId="39708" xr:uid="{00000000-0005-0000-0000-00006F910000}"/>
    <cellStyle name="Comma 6 2 5 2 2 2" xfId="39709" xr:uid="{00000000-0005-0000-0000-000070910000}"/>
    <cellStyle name="Comma 6 2 5 2 3" xfId="39710" xr:uid="{00000000-0005-0000-0000-000071910000}"/>
    <cellStyle name="Comma 6 2 5 3" xfId="39711" xr:uid="{00000000-0005-0000-0000-000072910000}"/>
    <cellStyle name="Comma 6 2 5 3 2" xfId="39712" xr:uid="{00000000-0005-0000-0000-000073910000}"/>
    <cellStyle name="Comma 6 2 5 4" xfId="39713" xr:uid="{00000000-0005-0000-0000-000074910000}"/>
    <cellStyle name="Comma 6 2 6" xfId="39714" xr:uid="{00000000-0005-0000-0000-000075910000}"/>
    <cellStyle name="Comma 6 2 6 2" xfId="39715" xr:uid="{00000000-0005-0000-0000-000076910000}"/>
    <cellStyle name="Comma 6 2 6 2 2" xfId="39716" xr:uid="{00000000-0005-0000-0000-000077910000}"/>
    <cellStyle name="Comma 6 2 6 2 2 2" xfId="39717" xr:uid="{00000000-0005-0000-0000-000078910000}"/>
    <cellStyle name="Comma 6 2 6 2 3" xfId="39718" xr:uid="{00000000-0005-0000-0000-000079910000}"/>
    <cellStyle name="Comma 6 2 6 3" xfId="39719" xr:uid="{00000000-0005-0000-0000-00007A910000}"/>
    <cellStyle name="Comma 6 2 6 3 2" xfId="39720" xr:uid="{00000000-0005-0000-0000-00007B910000}"/>
    <cellStyle name="Comma 6 2 6 4" xfId="39721" xr:uid="{00000000-0005-0000-0000-00007C910000}"/>
    <cellStyle name="Comma 6 2 7" xfId="39722" xr:uid="{00000000-0005-0000-0000-00007D910000}"/>
    <cellStyle name="Comma 6 2 7 2" xfId="39723" xr:uid="{00000000-0005-0000-0000-00007E910000}"/>
    <cellStyle name="Comma 6 2 7 2 2" xfId="39724" xr:uid="{00000000-0005-0000-0000-00007F910000}"/>
    <cellStyle name="Comma 6 2 7 2 2 2" xfId="39725" xr:uid="{00000000-0005-0000-0000-000080910000}"/>
    <cellStyle name="Comma 6 2 7 2 3" xfId="39726" xr:uid="{00000000-0005-0000-0000-000081910000}"/>
    <cellStyle name="Comma 6 2 7 3" xfId="39727" xr:uid="{00000000-0005-0000-0000-000082910000}"/>
    <cellStyle name="Comma 6 2 7 3 2" xfId="39728" xr:uid="{00000000-0005-0000-0000-000083910000}"/>
    <cellStyle name="Comma 6 2 7 4" xfId="39729" xr:uid="{00000000-0005-0000-0000-000084910000}"/>
    <cellStyle name="Comma 6 2 8" xfId="39730" xr:uid="{00000000-0005-0000-0000-000085910000}"/>
    <cellStyle name="Comma 6 2 8 2" xfId="39731" xr:uid="{00000000-0005-0000-0000-000086910000}"/>
    <cellStyle name="Comma 6 2 8 2 2" xfId="39732" xr:uid="{00000000-0005-0000-0000-000087910000}"/>
    <cellStyle name="Comma 6 2 8 3" xfId="39733" xr:uid="{00000000-0005-0000-0000-000088910000}"/>
    <cellStyle name="Comma 6 2 9" xfId="39734" xr:uid="{00000000-0005-0000-0000-000089910000}"/>
    <cellStyle name="Comma 6 2 9 2" xfId="39735" xr:uid="{00000000-0005-0000-0000-00008A910000}"/>
    <cellStyle name="Comma 6 2 9 2 2" xfId="39736" xr:uid="{00000000-0005-0000-0000-00008B910000}"/>
    <cellStyle name="Comma 6 2 9 3" xfId="39737" xr:uid="{00000000-0005-0000-0000-00008C910000}"/>
    <cellStyle name="Comma 6 3" xfId="39738" xr:uid="{00000000-0005-0000-0000-00008D910000}"/>
    <cellStyle name="Comma 6 3 2" xfId="39739" xr:uid="{00000000-0005-0000-0000-00008E910000}"/>
    <cellStyle name="Comma 6 3 3" xfId="39740" xr:uid="{00000000-0005-0000-0000-00008F910000}"/>
    <cellStyle name="Comma 6 3 3 2" xfId="39741" xr:uid="{00000000-0005-0000-0000-000090910000}"/>
    <cellStyle name="Comma 6 3 4" xfId="39742" xr:uid="{00000000-0005-0000-0000-000091910000}"/>
    <cellStyle name="Comma 6 3 5" xfId="39743" xr:uid="{00000000-0005-0000-0000-000092910000}"/>
    <cellStyle name="Comma 6 4" xfId="39744" xr:uid="{00000000-0005-0000-0000-000093910000}"/>
    <cellStyle name="Comma 6 4 2" xfId="39745" xr:uid="{00000000-0005-0000-0000-000094910000}"/>
    <cellStyle name="Comma 6 4 2 2" xfId="39746" xr:uid="{00000000-0005-0000-0000-000095910000}"/>
    <cellStyle name="Comma 6 4 2 2 2" xfId="39747" xr:uid="{00000000-0005-0000-0000-000096910000}"/>
    <cellStyle name="Comma 6 4 2 3" xfId="39748" xr:uid="{00000000-0005-0000-0000-000097910000}"/>
    <cellStyle name="Comma 6 4 3" xfId="39749" xr:uid="{00000000-0005-0000-0000-000098910000}"/>
    <cellStyle name="Comma 6 4 3 2" xfId="39750" xr:uid="{00000000-0005-0000-0000-000099910000}"/>
    <cellStyle name="Comma 6 4 4" xfId="39751" xr:uid="{00000000-0005-0000-0000-00009A910000}"/>
    <cellStyle name="Comma 6 4 5" xfId="39752" xr:uid="{00000000-0005-0000-0000-00009B910000}"/>
    <cellStyle name="Comma 6 4 6" xfId="39753" xr:uid="{00000000-0005-0000-0000-00009C910000}"/>
    <cellStyle name="Comma 6 5" xfId="39754" xr:uid="{00000000-0005-0000-0000-00009D910000}"/>
    <cellStyle name="Comma 6 5 2" xfId="39755" xr:uid="{00000000-0005-0000-0000-00009E910000}"/>
    <cellStyle name="Comma 6 5 2 2" xfId="39756" xr:uid="{00000000-0005-0000-0000-00009F910000}"/>
    <cellStyle name="Comma 6 5 2 2 2" xfId="39757" xr:uid="{00000000-0005-0000-0000-0000A0910000}"/>
    <cellStyle name="Comma 6 5 2 3" xfId="39758" xr:uid="{00000000-0005-0000-0000-0000A1910000}"/>
    <cellStyle name="Comma 6 5 3" xfId="39759" xr:uid="{00000000-0005-0000-0000-0000A2910000}"/>
    <cellStyle name="Comma 6 5 3 2" xfId="39760" xr:uid="{00000000-0005-0000-0000-0000A3910000}"/>
    <cellStyle name="Comma 6 5 4" xfId="39761" xr:uid="{00000000-0005-0000-0000-0000A4910000}"/>
    <cellStyle name="Comma 6 6" xfId="39762" xr:uid="{00000000-0005-0000-0000-0000A5910000}"/>
    <cellStyle name="Comma 6 6 2" xfId="39763" xr:uid="{00000000-0005-0000-0000-0000A6910000}"/>
    <cellStyle name="Comma 6 6 2 2" xfId="39764" xr:uid="{00000000-0005-0000-0000-0000A7910000}"/>
    <cellStyle name="Comma 6 6 2 2 2" xfId="39765" xr:uid="{00000000-0005-0000-0000-0000A8910000}"/>
    <cellStyle name="Comma 6 6 2 3" xfId="39766" xr:uid="{00000000-0005-0000-0000-0000A9910000}"/>
    <cellStyle name="Comma 6 6 3" xfId="39767" xr:uid="{00000000-0005-0000-0000-0000AA910000}"/>
    <cellStyle name="Comma 6 6 3 2" xfId="39768" xr:uid="{00000000-0005-0000-0000-0000AB910000}"/>
    <cellStyle name="Comma 6 6 4" xfId="39769" xr:uid="{00000000-0005-0000-0000-0000AC910000}"/>
    <cellStyle name="Comma 6 7" xfId="39770" xr:uid="{00000000-0005-0000-0000-0000AD910000}"/>
    <cellStyle name="Comma 6 7 2" xfId="39771" xr:uid="{00000000-0005-0000-0000-0000AE910000}"/>
    <cellStyle name="Comma 6 7 2 2" xfId="39772" xr:uid="{00000000-0005-0000-0000-0000AF910000}"/>
    <cellStyle name="Comma 6 7 2 2 2" xfId="39773" xr:uid="{00000000-0005-0000-0000-0000B0910000}"/>
    <cellStyle name="Comma 6 7 2 3" xfId="39774" xr:uid="{00000000-0005-0000-0000-0000B1910000}"/>
    <cellStyle name="Comma 6 7 3" xfId="39775" xr:uid="{00000000-0005-0000-0000-0000B2910000}"/>
    <cellStyle name="Comma 6 7 3 2" xfId="39776" xr:uid="{00000000-0005-0000-0000-0000B3910000}"/>
    <cellStyle name="Comma 6 7 4" xfId="39777" xr:uid="{00000000-0005-0000-0000-0000B4910000}"/>
    <cellStyle name="Comma 6 8" xfId="39778" xr:uid="{00000000-0005-0000-0000-0000B5910000}"/>
    <cellStyle name="Comma 6 8 2" xfId="39779" xr:uid="{00000000-0005-0000-0000-0000B6910000}"/>
    <cellStyle name="Comma 6 8 2 2" xfId="39780" xr:uid="{00000000-0005-0000-0000-0000B7910000}"/>
    <cellStyle name="Comma 6 8 3" xfId="39781" xr:uid="{00000000-0005-0000-0000-0000B8910000}"/>
    <cellStyle name="Comma 6 9" xfId="39782" xr:uid="{00000000-0005-0000-0000-0000B9910000}"/>
    <cellStyle name="Comma 6 9 2" xfId="39783" xr:uid="{00000000-0005-0000-0000-0000BA910000}"/>
    <cellStyle name="Comma 6 9 2 2" xfId="39784" xr:uid="{00000000-0005-0000-0000-0000BB910000}"/>
    <cellStyle name="Comma 6 9 3" xfId="39785" xr:uid="{00000000-0005-0000-0000-0000BC910000}"/>
    <cellStyle name="Comma 7" xfId="1234" xr:uid="{00000000-0005-0000-0000-0000BD910000}"/>
    <cellStyle name="Comma 7 10" xfId="39786" xr:uid="{00000000-0005-0000-0000-0000BE910000}"/>
    <cellStyle name="Comma 7 10 2" xfId="39787" xr:uid="{00000000-0005-0000-0000-0000BF910000}"/>
    <cellStyle name="Comma 7 11" xfId="39788" xr:uid="{00000000-0005-0000-0000-0000C0910000}"/>
    <cellStyle name="Comma 7 12" xfId="39789" xr:uid="{00000000-0005-0000-0000-0000C1910000}"/>
    <cellStyle name="Comma 7 2" xfId="39790" xr:uid="{00000000-0005-0000-0000-0000C2910000}"/>
    <cellStyle name="Comma 7 2 10" xfId="39791" xr:uid="{00000000-0005-0000-0000-0000C3910000}"/>
    <cellStyle name="Comma 7 2 2" xfId="39792" xr:uid="{00000000-0005-0000-0000-0000C4910000}"/>
    <cellStyle name="Comma 7 2 2 2" xfId="39793" xr:uid="{00000000-0005-0000-0000-0000C5910000}"/>
    <cellStyle name="Comma 7 2 2 2 2" xfId="39794" xr:uid="{00000000-0005-0000-0000-0000C6910000}"/>
    <cellStyle name="Comma 7 2 2 2 2 2" xfId="39795" xr:uid="{00000000-0005-0000-0000-0000C7910000}"/>
    <cellStyle name="Comma 7 2 2 2 2 2 2" xfId="39796" xr:uid="{00000000-0005-0000-0000-0000C8910000}"/>
    <cellStyle name="Comma 7 2 2 2 2 3" xfId="39797" xr:uid="{00000000-0005-0000-0000-0000C9910000}"/>
    <cellStyle name="Comma 7 2 2 2 3" xfId="39798" xr:uid="{00000000-0005-0000-0000-0000CA910000}"/>
    <cellStyle name="Comma 7 2 2 2 3 2" xfId="39799" xr:uid="{00000000-0005-0000-0000-0000CB910000}"/>
    <cellStyle name="Comma 7 2 2 2 4" xfId="39800" xr:uid="{00000000-0005-0000-0000-0000CC910000}"/>
    <cellStyle name="Comma 7 2 2 2 5" xfId="39801" xr:uid="{00000000-0005-0000-0000-0000CD910000}"/>
    <cellStyle name="Comma 7 2 2 2 6" xfId="39802" xr:uid="{00000000-0005-0000-0000-0000CE910000}"/>
    <cellStyle name="Comma 7 2 2 3" xfId="39803" xr:uid="{00000000-0005-0000-0000-0000CF910000}"/>
    <cellStyle name="Comma 7 2 2 3 2" xfId="39804" xr:uid="{00000000-0005-0000-0000-0000D0910000}"/>
    <cellStyle name="Comma 7 2 2 3 2 2" xfId="39805" xr:uid="{00000000-0005-0000-0000-0000D1910000}"/>
    <cellStyle name="Comma 7 2 2 3 3" xfId="39806" xr:uid="{00000000-0005-0000-0000-0000D2910000}"/>
    <cellStyle name="Comma 7 2 2 4" xfId="39807" xr:uid="{00000000-0005-0000-0000-0000D3910000}"/>
    <cellStyle name="Comma 7 2 2 4 2" xfId="39808" xr:uid="{00000000-0005-0000-0000-0000D4910000}"/>
    <cellStyle name="Comma 7 2 2 5" xfId="39809" xr:uid="{00000000-0005-0000-0000-0000D5910000}"/>
    <cellStyle name="Comma 7 2 2 6" xfId="39810" xr:uid="{00000000-0005-0000-0000-0000D6910000}"/>
    <cellStyle name="Comma 7 2 2 7" xfId="39811" xr:uid="{00000000-0005-0000-0000-0000D7910000}"/>
    <cellStyle name="Comma 7 2 3" xfId="39812" xr:uid="{00000000-0005-0000-0000-0000D8910000}"/>
    <cellStyle name="Comma 7 2 3 2" xfId="39813" xr:uid="{00000000-0005-0000-0000-0000D9910000}"/>
    <cellStyle name="Comma 7 2 3 2 2" xfId="39814" xr:uid="{00000000-0005-0000-0000-0000DA910000}"/>
    <cellStyle name="Comma 7 2 3 2 2 2" xfId="39815" xr:uid="{00000000-0005-0000-0000-0000DB910000}"/>
    <cellStyle name="Comma 7 2 3 2 2 2 2" xfId="39816" xr:uid="{00000000-0005-0000-0000-0000DC910000}"/>
    <cellStyle name="Comma 7 2 3 2 2 3" xfId="39817" xr:uid="{00000000-0005-0000-0000-0000DD910000}"/>
    <cellStyle name="Comma 7 2 3 2 3" xfId="39818" xr:uid="{00000000-0005-0000-0000-0000DE910000}"/>
    <cellStyle name="Comma 7 2 3 2 3 2" xfId="39819" xr:uid="{00000000-0005-0000-0000-0000DF910000}"/>
    <cellStyle name="Comma 7 2 3 2 4" xfId="39820" xr:uid="{00000000-0005-0000-0000-0000E0910000}"/>
    <cellStyle name="Comma 7 2 3 2 5" xfId="39821" xr:uid="{00000000-0005-0000-0000-0000E1910000}"/>
    <cellStyle name="Comma 7 2 3 2 6" xfId="39822" xr:uid="{00000000-0005-0000-0000-0000E2910000}"/>
    <cellStyle name="Comma 7 2 3 3" xfId="39823" xr:uid="{00000000-0005-0000-0000-0000E3910000}"/>
    <cellStyle name="Comma 7 2 3 3 2" xfId="39824" xr:uid="{00000000-0005-0000-0000-0000E4910000}"/>
    <cellStyle name="Comma 7 2 3 3 2 2" xfId="39825" xr:uid="{00000000-0005-0000-0000-0000E5910000}"/>
    <cellStyle name="Comma 7 2 3 3 3" xfId="39826" xr:uid="{00000000-0005-0000-0000-0000E6910000}"/>
    <cellStyle name="Comma 7 2 3 4" xfId="39827" xr:uid="{00000000-0005-0000-0000-0000E7910000}"/>
    <cellStyle name="Comma 7 2 3 4 2" xfId="39828" xr:uid="{00000000-0005-0000-0000-0000E8910000}"/>
    <cellStyle name="Comma 7 2 3 5" xfId="39829" xr:uid="{00000000-0005-0000-0000-0000E9910000}"/>
    <cellStyle name="Comma 7 2 3 6" xfId="39830" xr:uid="{00000000-0005-0000-0000-0000EA910000}"/>
    <cellStyle name="Comma 7 2 3 7" xfId="39831" xr:uid="{00000000-0005-0000-0000-0000EB910000}"/>
    <cellStyle name="Comma 7 2 4" xfId="39832" xr:uid="{00000000-0005-0000-0000-0000EC910000}"/>
    <cellStyle name="Comma 7 2 4 2" xfId="39833" xr:uid="{00000000-0005-0000-0000-0000ED910000}"/>
    <cellStyle name="Comma 7 2 4 2 2" xfId="39834" xr:uid="{00000000-0005-0000-0000-0000EE910000}"/>
    <cellStyle name="Comma 7 2 4 2 2 2" xfId="39835" xr:uid="{00000000-0005-0000-0000-0000EF910000}"/>
    <cellStyle name="Comma 7 2 4 2 3" xfId="39836" xr:uid="{00000000-0005-0000-0000-0000F0910000}"/>
    <cellStyle name="Comma 7 2 4 3" xfId="39837" xr:uid="{00000000-0005-0000-0000-0000F1910000}"/>
    <cellStyle name="Comma 7 2 4 3 2" xfId="39838" xr:uid="{00000000-0005-0000-0000-0000F2910000}"/>
    <cellStyle name="Comma 7 2 4 4" xfId="39839" xr:uid="{00000000-0005-0000-0000-0000F3910000}"/>
    <cellStyle name="Comma 7 2 4 5" xfId="39840" xr:uid="{00000000-0005-0000-0000-0000F4910000}"/>
    <cellStyle name="Comma 7 2 4 6" xfId="39841" xr:uid="{00000000-0005-0000-0000-0000F5910000}"/>
    <cellStyle name="Comma 7 2 5" xfId="39842" xr:uid="{00000000-0005-0000-0000-0000F6910000}"/>
    <cellStyle name="Comma 7 2 5 2" xfId="39843" xr:uid="{00000000-0005-0000-0000-0000F7910000}"/>
    <cellStyle name="Comma 7 2 5 2 2" xfId="39844" xr:uid="{00000000-0005-0000-0000-0000F8910000}"/>
    <cellStyle name="Comma 7 2 5 3" xfId="39845" xr:uid="{00000000-0005-0000-0000-0000F9910000}"/>
    <cellStyle name="Comma 7 2 6" xfId="39846" xr:uid="{00000000-0005-0000-0000-0000FA910000}"/>
    <cellStyle name="Comma 7 2 6 2" xfId="39847" xr:uid="{00000000-0005-0000-0000-0000FB910000}"/>
    <cellStyle name="Comma 7 2 6 2 2" xfId="39848" xr:uid="{00000000-0005-0000-0000-0000FC910000}"/>
    <cellStyle name="Comma 7 2 6 3" xfId="39849" xr:uid="{00000000-0005-0000-0000-0000FD910000}"/>
    <cellStyle name="Comma 7 2 7" xfId="39850" xr:uid="{00000000-0005-0000-0000-0000FE910000}"/>
    <cellStyle name="Comma 7 2 7 2" xfId="39851" xr:uid="{00000000-0005-0000-0000-0000FF910000}"/>
    <cellStyle name="Comma 7 2 8" xfId="39852" xr:uid="{00000000-0005-0000-0000-000000920000}"/>
    <cellStyle name="Comma 7 2 9" xfId="39853" xr:uid="{00000000-0005-0000-0000-000001920000}"/>
    <cellStyle name="Comma 7 3" xfId="39854" xr:uid="{00000000-0005-0000-0000-000002920000}"/>
    <cellStyle name="Comma 7 3 2" xfId="39855" xr:uid="{00000000-0005-0000-0000-000003920000}"/>
    <cellStyle name="Comma 7 3 3" xfId="39856" xr:uid="{00000000-0005-0000-0000-000004920000}"/>
    <cellStyle name="Comma 7 3 3 2" xfId="39857" xr:uid="{00000000-0005-0000-0000-000005920000}"/>
    <cellStyle name="Comma 7 3 4" xfId="39858" xr:uid="{00000000-0005-0000-0000-000006920000}"/>
    <cellStyle name="Comma 7 3 5" xfId="39859" xr:uid="{00000000-0005-0000-0000-000007920000}"/>
    <cellStyle name="Comma 7 4" xfId="39860" xr:uid="{00000000-0005-0000-0000-000008920000}"/>
    <cellStyle name="Comma 7 4 2" xfId="39861" xr:uid="{00000000-0005-0000-0000-000009920000}"/>
    <cellStyle name="Comma 7 4 2 2" xfId="39862" xr:uid="{00000000-0005-0000-0000-00000A920000}"/>
    <cellStyle name="Comma 7 4 2 2 2" xfId="39863" xr:uid="{00000000-0005-0000-0000-00000B920000}"/>
    <cellStyle name="Comma 7 4 2 3" xfId="39864" xr:uid="{00000000-0005-0000-0000-00000C920000}"/>
    <cellStyle name="Comma 7 4 3" xfId="39865" xr:uid="{00000000-0005-0000-0000-00000D920000}"/>
    <cellStyle name="Comma 7 4 3 2" xfId="39866" xr:uid="{00000000-0005-0000-0000-00000E920000}"/>
    <cellStyle name="Comma 7 4 4" xfId="39867" xr:uid="{00000000-0005-0000-0000-00000F920000}"/>
    <cellStyle name="Comma 7 4 5" xfId="39868" xr:uid="{00000000-0005-0000-0000-000010920000}"/>
    <cellStyle name="Comma 7 4 6" xfId="39869" xr:uid="{00000000-0005-0000-0000-000011920000}"/>
    <cellStyle name="Comma 7 5" xfId="39870" xr:uid="{00000000-0005-0000-0000-000012920000}"/>
    <cellStyle name="Comma 7 5 2" xfId="39871" xr:uid="{00000000-0005-0000-0000-000013920000}"/>
    <cellStyle name="Comma 7 5 2 2" xfId="39872" xr:uid="{00000000-0005-0000-0000-000014920000}"/>
    <cellStyle name="Comma 7 5 2 2 2" xfId="39873" xr:uid="{00000000-0005-0000-0000-000015920000}"/>
    <cellStyle name="Comma 7 5 2 3" xfId="39874" xr:uid="{00000000-0005-0000-0000-000016920000}"/>
    <cellStyle name="Comma 7 5 3" xfId="39875" xr:uid="{00000000-0005-0000-0000-000017920000}"/>
    <cellStyle name="Comma 7 5 3 2" xfId="39876" xr:uid="{00000000-0005-0000-0000-000018920000}"/>
    <cellStyle name="Comma 7 5 4" xfId="39877" xr:uid="{00000000-0005-0000-0000-000019920000}"/>
    <cellStyle name="Comma 7 6" xfId="39878" xr:uid="{00000000-0005-0000-0000-00001A920000}"/>
    <cellStyle name="Comma 7 6 2" xfId="39879" xr:uid="{00000000-0005-0000-0000-00001B920000}"/>
    <cellStyle name="Comma 7 6 2 2" xfId="39880" xr:uid="{00000000-0005-0000-0000-00001C920000}"/>
    <cellStyle name="Comma 7 6 2 2 2" xfId="39881" xr:uid="{00000000-0005-0000-0000-00001D920000}"/>
    <cellStyle name="Comma 7 6 2 3" xfId="39882" xr:uid="{00000000-0005-0000-0000-00001E920000}"/>
    <cellStyle name="Comma 7 6 3" xfId="39883" xr:uid="{00000000-0005-0000-0000-00001F920000}"/>
    <cellStyle name="Comma 7 6 3 2" xfId="39884" xr:uid="{00000000-0005-0000-0000-000020920000}"/>
    <cellStyle name="Comma 7 6 4" xfId="39885" xr:uid="{00000000-0005-0000-0000-000021920000}"/>
    <cellStyle name="Comma 7 7" xfId="39886" xr:uid="{00000000-0005-0000-0000-000022920000}"/>
    <cellStyle name="Comma 7 7 2" xfId="39887" xr:uid="{00000000-0005-0000-0000-000023920000}"/>
    <cellStyle name="Comma 7 7 2 2" xfId="39888" xr:uid="{00000000-0005-0000-0000-000024920000}"/>
    <cellStyle name="Comma 7 7 2 2 2" xfId="39889" xr:uid="{00000000-0005-0000-0000-000025920000}"/>
    <cellStyle name="Comma 7 7 2 3" xfId="39890" xr:uid="{00000000-0005-0000-0000-000026920000}"/>
    <cellStyle name="Comma 7 7 3" xfId="39891" xr:uid="{00000000-0005-0000-0000-000027920000}"/>
    <cellStyle name="Comma 7 7 3 2" xfId="39892" xr:uid="{00000000-0005-0000-0000-000028920000}"/>
    <cellStyle name="Comma 7 7 4" xfId="39893" xr:uid="{00000000-0005-0000-0000-000029920000}"/>
    <cellStyle name="Comma 7 8" xfId="39894" xr:uid="{00000000-0005-0000-0000-00002A920000}"/>
    <cellStyle name="Comma 7 8 2" xfId="39895" xr:uid="{00000000-0005-0000-0000-00002B920000}"/>
    <cellStyle name="Comma 7 8 2 2" xfId="39896" xr:uid="{00000000-0005-0000-0000-00002C920000}"/>
    <cellStyle name="Comma 7 8 3" xfId="39897" xr:uid="{00000000-0005-0000-0000-00002D920000}"/>
    <cellStyle name="Comma 7 9" xfId="39898" xr:uid="{00000000-0005-0000-0000-00002E920000}"/>
    <cellStyle name="Comma 7 9 2" xfId="39899" xr:uid="{00000000-0005-0000-0000-00002F920000}"/>
    <cellStyle name="Comma 7 9 2 2" xfId="39900" xr:uid="{00000000-0005-0000-0000-000030920000}"/>
    <cellStyle name="Comma 7 9 3" xfId="39901" xr:uid="{00000000-0005-0000-0000-000031920000}"/>
    <cellStyle name="Comma 8" xfId="39902" xr:uid="{00000000-0005-0000-0000-000032920000}"/>
    <cellStyle name="Comma 8 10" xfId="39903" xr:uid="{00000000-0005-0000-0000-000033920000}"/>
    <cellStyle name="Comma 8 10 2" xfId="39904" xr:uid="{00000000-0005-0000-0000-000034920000}"/>
    <cellStyle name="Comma 8 11" xfId="39905" xr:uid="{00000000-0005-0000-0000-000035920000}"/>
    <cellStyle name="Comma 8 12" xfId="39906" xr:uid="{00000000-0005-0000-0000-000036920000}"/>
    <cellStyle name="Comma 8 2" xfId="39907" xr:uid="{00000000-0005-0000-0000-000037920000}"/>
    <cellStyle name="Comma 8 2 10" xfId="39908" xr:uid="{00000000-0005-0000-0000-000038920000}"/>
    <cellStyle name="Comma 8 2 2" xfId="39909" xr:uid="{00000000-0005-0000-0000-000039920000}"/>
    <cellStyle name="Comma 8 2 2 2" xfId="39910" xr:uid="{00000000-0005-0000-0000-00003A920000}"/>
    <cellStyle name="Comma 8 2 2 2 2" xfId="39911" xr:uid="{00000000-0005-0000-0000-00003B920000}"/>
    <cellStyle name="Comma 8 2 2 2 2 2" xfId="39912" xr:uid="{00000000-0005-0000-0000-00003C920000}"/>
    <cellStyle name="Comma 8 2 2 2 2 2 2" xfId="39913" xr:uid="{00000000-0005-0000-0000-00003D920000}"/>
    <cellStyle name="Comma 8 2 2 2 2 3" xfId="39914" xr:uid="{00000000-0005-0000-0000-00003E920000}"/>
    <cellStyle name="Comma 8 2 2 2 3" xfId="39915" xr:uid="{00000000-0005-0000-0000-00003F920000}"/>
    <cellStyle name="Comma 8 2 2 2 3 2" xfId="39916" xr:uid="{00000000-0005-0000-0000-000040920000}"/>
    <cellStyle name="Comma 8 2 2 2 4" xfId="39917" xr:uid="{00000000-0005-0000-0000-000041920000}"/>
    <cellStyle name="Comma 8 2 2 2 5" xfId="39918" xr:uid="{00000000-0005-0000-0000-000042920000}"/>
    <cellStyle name="Comma 8 2 2 2 6" xfId="39919" xr:uid="{00000000-0005-0000-0000-000043920000}"/>
    <cellStyle name="Comma 8 2 2 3" xfId="39920" xr:uid="{00000000-0005-0000-0000-000044920000}"/>
    <cellStyle name="Comma 8 2 2 3 2" xfId="39921" xr:uid="{00000000-0005-0000-0000-000045920000}"/>
    <cellStyle name="Comma 8 2 2 3 2 2" xfId="39922" xr:uid="{00000000-0005-0000-0000-000046920000}"/>
    <cellStyle name="Comma 8 2 2 3 3" xfId="39923" xr:uid="{00000000-0005-0000-0000-000047920000}"/>
    <cellStyle name="Comma 8 2 2 4" xfId="39924" xr:uid="{00000000-0005-0000-0000-000048920000}"/>
    <cellStyle name="Comma 8 2 2 4 2" xfId="39925" xr:uid="{00000000-0005-0000-0000-000049920000}"/>
    <cellStyle name="Comma 8 2 2 5" xfId="39926" xr:uid="{00000000-0005-0000-0000-00004A920000}"/>
    <cellStyle name="Comma 8 2 2 6" xfId="39927" xr:uid="{00000000-0005-0000-0000-00004B920000}"/>
    <cellStyle name="Comma 8 2 2 7" xfId="39928" xr:uid="{00000000-0005-0000-0000-00004C920000}"/>
    <cellStyle name="Comma 8 2 3" xfId="39929" xr:uid="{00000000-0005-0000-0000-00004D920000}"/>
    <cellStyle name="Comma 8 2 3 2" xfId="39930" xr:uid="{00000000-0005-0000-0000-00004E920000}"/>
    <cellStyle name="Comma 8 2 3 2 2" xfId="39931" xr:uid="{00000000-0005-0000-0000-00004F920000}"/>
    <cellStyle name="Comma 8 2 3 2 2 2" xfId="39932" xr:uid="{00000000-0005-0000-0000-000050920000}"/>
    <cellStyle name="Comma 8 2 3 2 2 2 2" xfId="39933" xr:uid="{00000000-0005-0000-0000-000051920000}"/>
    <cellStyle name="Comma 8 2 3 2 2 3" xfId="39934" xr:uid="{00000000-0005-0000-0000-000052920000}"/>
    <cellStyle name="Comma 8 2 3 2 3" xfId="39935" xr:uid="{00000000-0005-0000-0000-000053920000}"/>
    <cellStyle name="Comma 8 2 3 2 3 2" xfId="39936" xr:uid="{00000000-0005-0000-0000-000054920000}"/>
    <cellStyle name="Comma 8 2 3 2 4" xfId="39937" xr:uid="{00000000-0005-0000-0000-000055920000}"/>
    <cellStyle name="Comma 8 2 3 2 5" xfId="39938" xr:uid="{00000000-0005-0000-0000-000056920000}"/>
    <cellStyle name="Comma 8 2 3 2 6" xfId="39939" xr:uid="{00000000-0005-0000-0000-000057920000}"/>
    <cellStyle name="Comma 8 2 3 3" xfId="39940" xr:uid="{00000000-0005-0000-0000-000058920000}"/>
    <cellStyle name="Comma 8 2 3 3 2" xfId="39941" xr:uid="{00000000-0005-0000-0000-000059920000}"/>
    <cellStyle name="Comma 8 2 3 3 2 2" xfId="39942" xr:uid="{00000000-0005-0000-0000-00005A920000}"/>
    <cellStyle name="Comma 8 2 3 3 3" xfId="39943" xr:uid="{00000000-0005-0000-0000-00005B920000}"/>
    <cellStyle name="Comma 8 2 3 4" xfId="39944" xr:uid="{00000000-0005-0000-0000-00005C920000}"/>
    <cellStyle name="Comma 8 2 3 4 2" xfId="39945" xr:uid="{00000000-0005-0000-0000-00005D920000}"/>
    <cellStyle name="Comma 8 2 3 5" xfId="39946" xr:uid="{00000000-0005-0000-0000-00005E920000}"/>
    <cellStyle name="Comma 8 2 3 6" xfId="39947" xr:uid="{00000000-0005-0000-0000-00005F920000}"/>
    <cellStyle name="Comma 8 2 3 7" xfId="39948" xr:uid="{00000000-0005-0000-0000-000060920000}"/>
    <cellStyle name="Comma 8 2 4" xfId="39949" xr:uid="{00000000-0005-0000-0000-000061920000}"/>
    <cellStyle name="Comma 8 2 4 2" xfId="39950" xr:uid="{00000000-0005-0000-0000-000062920000}"/>
    <cellStyle name="Comma 8 2 4 2 2" xfId="39951" xr:uid="{00000000-0005-0000-0000-000063920000}"/>
    <cellStyle name="Comma 8 2 4 2 2 2" xfId="39952" xr:uid="{00000000-0005-0000-0000-000064920000}"/>
    <cellStyle name="Comma 8 2 4 2 3" xfId="39953" xr:uid="{00000000-0005-0000-0000-000065920000}"/>
    <cellStyle name="Comma 8 2 4 3" xfId="39954" xr:uid="{00000000-0005-0000-0000-000066920000}"/>
    <cellStyle name="Comma 8 2 4 3 2" xfId="39955" xr:uid="{00000000-0005-0000-0000-000067920000}"/>
    <cellStyle name="Comma 8 2 4 4" xfId="39956" xr:uid="{00000000-0005-0000-0000-000068920000}"/>
    <cellStyle name="Comma 8 2 4 5" xfId="39957" xr:uid="{00000000-0005-0000-0000-000069920000}"/>
    <cellStyle name="Comma 8 2 4 6" xfId="39958" xr:uid="{00000000-0005-0000-0000-00006A920000}"/>
    <cellStyle name="Comma 8 2 5" xfId="39959" xr:uid="{00000000-0005-0000-0000-00006B920000}"/>
    <cellStyle name="Comma 8 2 5 2" xfId="39960" xr:uid="{00000000-0005-0000-0000-00006C920000}"/>
    <cellStyle name="Comma 8 2 5 2 2" xfId="39961" xr:uid="{00000000-0005-0000-0000-00006D920000}"/>
    <cellStyle name="Comma 8 2 5 3" xfId="39962" xr:uid="{00000000-0005-0000-0000-00006E920000}"/>
    <cellStyle name="Comma 8 2 6" xfId="39963" xr:uid="{00000000-0005-0000-0000-00006F920000}"/>
    <cellStyle name="Comma 8 2 6 2" xfId="39964" xr:uid="{00000000-0005-0000-0000-000070920000}"/>
    <cellStyle name="Comma 8 2 6 2 2" xfId="39965" xr:uid="{00000000-0005-0000-0000-000071920000}"/>
    <cellStyle name="Comma 8 2 6 3" xfId="39966" xr:uid="{00000000-0005-0000-0000-000072920000}"/>
    <cellStyle name="Comma 8 2 7" xfId="39967" xr:uid="{00000000-0005-0000-0000-000073920000}"/>
    <cellStyle name="Comma 8 2 7 2" xfId="39968" xr:uid="{00000000-0005-0000-0000-000074920000}"/>
    <cellStyle name="Comma 8 2 8" xfId="39969" xr:uid="{00000000-0005-0000-0000-000075920000}"/>
    <cellStyle name="Comma 8 2 9" xfId="39970" xr:uid="{00000000-0005-0000-0000-000076920000}"/>
    <cellStyle name="Comma 8 3" xfId="39971" xr:uid="{00000000-0005-0000-0000-000077920000}"/>
    <cellStyle name="Comma 8 3 2" xfId="39972" xr:uid="{00000000-0005-0000-0000-000078920000}"/>
    <cellStyle name="Comma 8 3 3" xfId="39973" xr:uid="{00000000-0005-0000-0000-000079920000}"/>
    <cellStyle name="Comma 8 3 3 2" xfId="39974" xr:uid="{00000000-0005-0000-0000-00007A920000}"/>
    <cellStyle name="Comma 8 3 4" xfId="39975" xr:uid="{00000000-0005-0000-0000-00007B920000}"/>
    <cellStyle name="Comma 8 3 5" xfId="39976" xr:uid="{00000000-0005-0000-0000-00007C920000}"/>
    <cellStyle name="Comma 8 4" xfId="39977" xr:uid="{00000000-0005-0000-0000-00007D920000}"/>
    <cellStyle name="Comma 8 4 2" xfId="39978" xr:uid="{00000000-0005-0000-0000-00007E920000}"/>
    <cellStyle name="Comma 8 4 2 2" xfId="39979" xr:uid="{00000000-0005-0000-0000-00007F920000}"/>
    <cellStyle name="Comma 8 4 2 2 2" xfId="39980" xr:uid="{00000000-0005-0000-0000-000080920000}"/>
    <cellStyle name="Comma 8 4 2 3" xfId="39981" xr:uid="{00000000-0005-0000-0000-000081920000}"/>
    <cellStyle name="Comma 8 4 3" xfId="39982" xr:uid="{00000000-0005-0000-0000-000082920000}"/>
    <cellStyle name="Comma 8 4 3 2" xfId="39983" xr:uid="{00000000-0005-0000-0000-000083920000}"/>
    <cellStyle name="Comma 8 4 4" xfId="39984" xr:uid="{00000000-0005-0000-0000-000084920000}"/>
    <cellStyle name="Comma 8 4 5" xfId="39985" xr:uid="{00000000-0005-0000-0000-000085920000}"/>
    <cellStyle name="Comma 8 4 6" xfId="39986" xr:uid="{00000000-0005-0000-0000-000086920000}"/>
    <cellStyle name="Comma 8 5" xfId="39987" xr:uid="{00000000-0005-0000-0000-000087920000}"/>
    <cellStyle name="Comma 8 5 2" xfId="39988" xr:uid="{00000000-0005-0000-0000-000088920000}"/>
    <cellStyle name="Comma 8 5 2 2" xfId="39989" xr:uid="{00000000-0005-0000-0000-000089920000}"/>
    <cellStyle name="Comma 8 5 2 2 2" xfId="39990" xr:uid="{00000000-0005-0000-0000-00008A920000}"/>
    <cellStyle name="Comma 8 5 2 3" xfId="39991" xr:uid="{00000000-0005-0000-0000-00008B920000}"/>
    <cellStyle name="Comma 8 5 3" xfId="39992" xr:uid="{00000000-0005-0000-0000-00008C920000}"/>
    <cellStyle name="Comma 8 5 3 2" xfId="39993" xr:uid="{00000000-0005-0000-0000-00008D920000}"/>
    <cellStyle name="Comma 8 5 4" xfId="39994" xr:uid="{00000000-0005-0000-0000-00008E920000}"/>
    <cellStyle name="Comma 8 6" xfId="39995" xr:uid="{00000000-0005-0000-0000-00008F920000}"/>
    <cellStyle name="Comma 8 6 2" xfId="39996" xr:uid="{00000000-0005-0000-0000-000090920000}"/>
    <cellStyle name="Comma 8 6 2 2" xfId="39997" xr:uid="{00000000-0005-0000-0000-000091920000}"/>
    <cellStyle name="Comma 8 6 2 2 2" xfId="39998" xr:uid="{00000000-0005-0000-0000-000092920000}"/>
    <cellStyle name="Comma 8 6 2 3" xfId="39999" xr:uid="{00000000-0005-0000-0000-000093920000}"/>
    <cellStyle name="Comma 8 6 3" xfId="40000" xr:uid="{00000000-0005-0000-0000-000094920000}"/>
    <cellStyle name="Comma 8 6 3 2" xfId="40001" xr:uid="{00000000-0005-0000-0000-000095920000}"/>
    <cellStyle name="Comma 8 6 4" xfId="40002" xr:uid="{00000000-0005-0000-0000-000096920000}"/>
    <cellStyle name="Comma 8 7" xfId="40003" xr:uid="{00000000-0005-0000-0000-000097920000}"/>
    <cellStyle name="Comma 8 7 2" xfId="40004" xr:uid="{00000000-0005-0000-0000-000098920000}"/>
    <cellStyle name="Comma 8 7 2 2" xfId="40005" xr:uid="{00000000-0005-0000-0000-000099920000}"/>
    <cellStyle name="Comma 8 7 2 2 2" xfId="40006" xr:uid="{00000000-0005-0000-0000-00009A920000}"/>
    <cellStyle name="Comma 8 7 2 3" xfId="40007" xr:uid="{00000000-0005-0000-0000-00009B920000}"/>
    <cellStyle name="Comma 8 7 3" xfId="40008" xr:uid="{00000000-0005-0000-0000-00009C920000}"/>
    <cellStyle name="Comma 8 7 3 2" xfId="40009" xr:uid="{00000000-0005-0000-0000-00009D920000}"/>
    <cellStyle name="Comma 8 7 4" xfId="40010" xr:uid="{00000000-0005-0000-0000-00009E920000}"/>
    <cellStyle name="Comma 8 8" xfId="40011" xr:uid="{00000000-0005-0000-0000-00009F920000}"/>
    <cellStyle name="Comma 8 8 2" xfId="40012" xr:uid="{00000000-0005-0000-0000-0000A0920000}"/>
    <cellStyle name="Comma 8 8 2 2" xfId="40013" xr:uid="{00000000-0005-0000-0000-0000A1920000}"/>
    <cellStyle name="Comma 8 8 3" xfId="40014" xr:uid="{00000000-0005-0000-0000-0000A2920000}"/>
    <cellStyle name="Comma 8 9" xfId="40015" xr:uid="{00000000-0005-0000-0000-0000A3920000}"/>
    <cellStyle name="Comma 8 9 2" xfId="40016" xr:uid="{00000000-0005-0000-0000-0000A4920000}"/>
    <cellStyle name="Comma 8 9 2 2" xfId="40017" xr:uid="{00000000-0005-0000-0000-0000A5920000}"/>
    <cellStyle name="Comma 8 9 3" xfId="40018" xr:uid="{00000000-0005-0000-0000-0000A6920000}"/>
    <cellStyle name="Comma 9" xfId="40019" xr:uid="{00000000-0005-0000-0000-0000A7920000}"/>
    <cellStyle name="Comma 9 10" xfId="40020" xr:uid="{00000000-0005-0000-0000-0000A8920000}"/>
    <cellStyle name="Comma 9 10 2" xfId="40021" xr:uid="{00000000-0005-0000-0000-0000A9920000}"/>
    <cellStyle name="Comma 9 11" xfId="40022" xr:uid="{00000000-0005-0000-0000-0000AA920000}"/>
    <cellStyle name="Comma 9 12" xfId="40023" xr:uid="{00000000-0005-0000-0000-0000AB920000}"/>
    <cellStyle name="Comma 9 2" xfId="40024" xr:uid="{00000000-0005-0000-0000-0000AC920000}"/>
    <cellStyle name="Comma 9 2 10" xfId="40025" xr:uid="{00000000-0005-0000-0000-0000AD920000}"/>
    <cellStyle name="Comma 9 2 2" xfId="40026" xr:uid="{00000000-0005-0000-0000-0000AE920000}"/>
    <cellStyle name="Comma 9 2 2 2" xfId="40027" xr:uid="{00000000-0005-0000-0000-0000AF920000}"/>
    <cellStyle name="Comma 9 2 2 2 2" xfId="40028" xr:uid="{00000000-0005-0000-0000-0000B0920000}"/>
    <cellStyle name="Comma 9 2 2 2 2 2" xfId="40029" xr:uid="{00000000-0005-0000-0000-0000B1920000}"/>
    <cellStyle name="Comma 9 2 2 2 2 2 2" xfId="40030" xr:uid="{00000000-0005-0000-0000-0000B2920000}"/>
    <cellStyle name="Comma 9 2 2 2 2 3" xfId="40031" xr:uid="{00000000-0005-0000-0000-0000B3920000}"/>
    <cellStyle name="Comma 9 2 2 2 3" xfId="40032" xr:uid="{00000000-0005-0000-0000-0000B4920000}"/>
    <cellStyle name="Comma 9 2 2 2 3 2" xfId="40033" xr:uid="{00000000-0005-0000-0000-0000B5920000}"/>
    <cellStyle name="Comma 9 2 2 2 4" xfId="40034" xr:uid="{00000000-0005-0000-0000-0000B6920000}"/>
    <cellStyle name="Comma 9 2 2 2 5" xfId="40035" xr:uid="{00000000-0005-0000-0000-0000B7920000}"/>
    <cellStyle name="Comma 9 2 2 2 6" xfId="40036" xr:uid="{00000000-0005-0000-0000-0000B8920000}"/>
    <cellStyle name="Comma 9 2 2 3" xfId="40037" xr:uid="{00000000-0005-0000-0000-0000B9920000}"/>
    <cellStyle name="Comma 9 2 2 3 2" xfId="40038" xr:uid="{00000000-0005-0000-0000-0000BA920000}"/>
    <cellStyle name="Comma 9 2 2 3 2 2" xfId="40039" xr:uid="{00000000-0005-0000-0000-0000BB920000}"/>
    <cellStyle name="Comma 9 2 2 3 3" xfId="40040" xr:uid="{00000000-0005-0000-0000-0000BC920000}"/>
    <cellStyle name="Comma 9 2 2 4" xfId="40041" xr:uid="{00000000-0005-0000-0000-0000BD920000}"/>
    <cellStyle name="Comma 9 2 2 4 2" xfId="40042" xr:uid="{00000000-0005-0000-0000-0000BE920000}"/>
    <cellStyle name="Comma 9 2 2 5" xfId="40043" xr:uid="{00000000-0005-0000-0000-0000BF920000}"/>
    <cellStyle name="Comma 9 2 2 6" xfId="40044" xr:uid="{00000000-0005-0000-0000-0000C0920000}"/>
    <cellStyle name="Comma 9 2 2 7" xfId="40045" xr:uid="{00000000-0005-0000-0000-0000C1920000}"/>
    <cellStyle name="Comma 9 2 3" xfId="40046" xr:uid="{00000000-0005-0000-0000-0000C2920000}"/>
    <cellStyle name="Comma 9 2 3 2" xfId="40047" xr:uid="{00000000-0005-0000-0000-0000C3920000}"/>
    <cellStyle name="Comma 9 2 3 2 2" xfId="40048" xr:uid="{00000000-0005-0000-0000-0000C4920000}"/>
    <cellStyle name="Comma 9 2 3 2 2 2" xfId="40049" xr:uid="{00000000-0005-0000-0000-0000C5920000}"/>
    <cellStyle name="Comma 9 2 3 2 2 2 2" xfId="40050" xr:uid="{00000000-0005-0000-0000-0000C6920000}"/>
    <cellStyle name="Comma 9 2 3 2 2 3" xfId="40051" xr:uid="{00000000-0005-0000-0000-0000C7920000}"/>
    <cellStyle name="Comma 9 2 3 2 3" xfId="40052" xr:uid="{00000000-0005-0000-0000-0000C8920000}"/>
    <cellStyle name="Comma 9 2 3 2 3 2" xfId="40053" xr:uid="{00000000-0005-0000-0000-0000C9920000}"/>
    <cellStyle name="Comma 9 2 3 2 4" xfId="40054" xr:uid="{00000000-0005-0000-0000-0000CA920000}"/>
    <cellStyle name="Comma 9 2 3 2 5" xfId="40055" xr:uid="{00000000-0005-0000-0000-0000CB920000}"/>
    <cellStyle name="Comma 9 2 3 2 6" xfId="40056" xr:uid="{00000000-0005-0000-0000-0000CC920000}"/>
    <cellStyle name="Comma 9 2 3 3" xfId="40057" xr:uid="{00000000-0005-0000-0000-0000CD920000}"/>
    <cellStyle name="Comma 9 2 3 3 2" xfId="40058" xr:uid="{00000000-0005-0000-0000-0000CE920000}"/>
    <cellStyle name="Comma 9 2 3 3 2 2" xfId="40059" xr:uid="{00000000-0005-0000-0000-0000CF920000}"/>
    <cellStyle name="Comma 9 2 3 3 3" xfId="40060" xr:uid="{00000000-0005-0000-0000-0000D0920000}"/>
    <cellStyle name="Comma 9 2 3 4" xfId="40061" xr:uid="{00000000-0005-0000-0000-0000D1920000}"/>
    <cellStyle name="Comma 9 2 3 4 2" xfId="40062" xr:uid="{00000000-0005-0000-0000-0000D2920000}"/>
    <cellStyle name="Comma 9 2 3 5" xfId="40063" xr:uid="{00000000-0005-0000-0000-0000D3920000}"/>
    <cellStyle name="Comma 9 2 3 6" xfId="40064" xr:uid="{00000000-0005-0000-0000-0000D4920000}"/>
    <cellStyle name="Comma 9 2 3 7" xfId="40065" xr:uid="{00000000-0005-0000-0000-0000D5920000}"/>
    <cellStyle name="Comma 9 2 4" xfId="40066" xr:uid="{00000000-0005-0000-0000-0000D6920000}"/>
    <cellStyle name="Comma 9 2 4 2" xfId="40067" xr:uid="{00000000-0005-0000-0000-0000D7920000}"/>
    <cellStyle name="Comma 9 2 4 2 2" xfId="40068" xr:uid="{00000000-0005-0000-0000-0000D8920000}"/>
    <cellStyle name="Comma 9 2 4 2 2 2" xfId="40069" xr:uid="{00000000-0005-0000-0000-0000D9920000}"/>
    <cellStyle name="Comma 9 2 4 2 3" xfId="40070" xr:uid="{00000000-0005-0000-0000-0000DA920000}"/>
    <cellStyle name="Comma 9 2 4 3" xfId="40071" xr:uid="{00000000-0005-0000-0000-0000DB920000}"/>
    <cellStyle name="Comma 9 2 4 3 2" xfId="40072" xr:uid="{00000000-0005-0000-0000-0000DC920000}"/>
    <cellStyle name="Comma 9 2 4 4" xfId="40073" xr:uid="{00000000-0005-0000-0000-0000DD920000}"/>
    <cellStyle name="Comma 9 2 4 5" xfId="40074" xr:uid="{00000000-0005-0000-0000-0000DE920000}"/>
    <cellStyle name="Comma 9 2 4 6" xfId="40075" xr:uid="{00000000-0005-0000-0000-0000DF920000}"/>
    <cellStyle name="Comma 9 2 5" xfId="40076" xr:uid="{00000000-0005-0000-0000-0000E0920000}"/>
    <cellStyle name="Comma 9 2 5 2" xfId="40077" xr:uid="{00000000-0005-0000-0000-0000E1920000}"/>
    <cellStyle name="Comma 9 2 5 2 2" xfId="40078" xr:uid="{00000000-0005-0000-0000-0000E2920000}"/>
    <cellStyle name="Comma 9 2 5 3" xfId="40079" xr:uid="{00000000-0005-0000-0000-0000E3920000}"/>
    <cellStyle name="Comma 9 2 6" xfId="40080" xr:uid="{00000000-0005-0000-0000-0000E4920000}"/>
    <cellStyle name="Comma 9 2 6 2" xfId="40081" xr:uid="{00000000-0005-0000-0000-0000E5920000}"/>
    <cellStyle name="Comma 9 2 6 2 2" xfId="40082" xr:uid="{00000000-0005-0000-0000-0000E6920000}"/>
    <cellStyle name="Comma 9 2 6 3" xfId="40083" xr:uid="{00000000-0005-0000-0000-0000E7920000}"/>
    <cellStyle name="Comma 9 2 7" xfId="40084" xr:uid="{00000000-0005-0000-0000-0000E8920000}"/>
    <cellStyle name="Comma 9 2 7 2" xfId="40085" xr:uid="{00000000-0005-0000-0000-0000E9920000}"/>
    <cellStyle name="Comma 9 2 8" xfId="40086" xr:uid="{00000000-0005-0000-0000-0000EA920000}"/>
    <cellStyle name="Comma 9 2 9" xfId="40087" xr:uid="{00000000-0005-0000-0000-0000EB920000}"/>
    <cellStyle name="Comma 9 3" xfId="40088" xr:uid="{00000000-0005-0000-0000-0000EC920000}"/>
    <cellStyle name="Comma 9 3 2" xfId="40089" xr:uid="{00000000-0005-0000-0000-0000ED920000}"/>
    <cellStyle name="Comma 9 3 3" xfId="40090" xr:uid="{00000000-0005-0000-0000-0000EE920000}"/>
    <cellStyle name="Comma 9 3 3 2" xfId="40091" xr:uid="{00000000-0005-0000-0000-0000EF920000}"/>
    <cellStyle name="Comma 9 3 4" xfId="40092" xr:uid="{00000000-0005-0000-0000-0000F0920000}"/>
    <cellStyle name="Comma 9 3 5" xfId="40093" xr:uid="{00000000-0005-0000-0000-0000F1920000}"/>
    <cellStyle name="Comma 9 4" xfId="40094" xr:uid="{00000000-0005-0000-0000-0000F2920000}"/>
    <cellStyle name="Comma 9 4 2" xfId="40095" xr:uid="{00000000-0005-0000-0000-0000F3920000}"/>
    <cellStyle name="Comma 9 4 2 2" xfId="40096" xr:uid="{00000000-0005-0000-0000-0000F4920000}"/>
    <cellStyle name="Comma 9 4 2 2 2" xfId="40097" xr:uid="{00000000-0005-0000-0000-0000F5920000}"/>
    <cellStyle name="Comma 9 4 2 3" xfId="40098" xr:uid="{00000000-0005-0000-0000-0000F6920000}"/>
    <cellStyle name="Comma 9 4 3" xfId="40099" xr:uid="{00000000-0005-0000-0000-0000F7920000}"/>
    <cellStyle name="Comma 9 4 3 2" xfId="40100" xr:uid="{00000000-0005-0000-0000-0000F8920000}"/>
    <cellStyle name="Comma 9 4 4" xfId="40101" xr:uid="{00000000-0005-0000-0000-0000F9920000}"/>
    <cellStyle name="Comma 9 4 5" xfId="40102" xr:uid="{00000000-0005-0000-0000-0000FA920000}"/>
    <cellStyle name="Comma 9 4 6" xfId="40103" xr:uid="{00000000-0005-0000-0000-0000FB920000}"/>
    <cellStyle name="Comma 9 5" xfId="40104" xr:uid="{00000000-0005-0000-0000-0000FC920000}"/>
    <cellStyle name="Comma 9 5 2" xfId="40105" xr:uid="{00000000-0005-0000-0000-0000FD920000}"/>
    <cellStyle name="Comma 9 5 2 2" xfId="40106" xr:uid="{00000000-0005-0000-0000-0000FE920000}"/>
    <cellStyle name="Comma 9 5 2 2 2" xfId="40107" xr:uid="{00000000-0005-0000-0000-0000FF920000}"/>
    <cellStyle name="Comma 9 5 2 3" xfId="40108" xr:uid="{00000000-0005-0000-0000-000000930000}"/>
    <cellStyle name="Comma 9 5 3" xfId="40109" xr:uid="{00000000-0005-0000-0000-000001930000}"/>
    <cellStyle name="Comma 9 5 3 2" xfId="40110" xr:uid="{00000000-0005-0000-0000-000002930000}"/>
    <cellStyle name="Comma 9 5 4" xfId="40111" xr:uid="{00000000-0005-0000-0000-000003930000}"/>
    <cellStyle name="Comma 9 6" xfId="40112" xr:uid="{00000000-0005-0000-0000-000004930000}"/>
    <cellStyle name="Comma 9 6 2" xfId="40113" xr:uid="{00000000-0005-0000-0000-000005930000}"/>
    <cellStyle name="Comma 9 6 2 2" xfId="40114" xr:uid="{00000000-0005-0000-0000-000006930000}"/>
    <cellStyle name="Comma 9 6 2 2 2" xfId="40115" xr:uid="{00000000-0005-0000-0000-000007930000}"/>
    <cellStyle name="Comma 9 6 2 3" xfId="40116" xr:uid="{00000000-0005-0000-0000-000008930000}"/>
    <cellStyle name="Comma 9 6 3" xfId="40117" xr:uid="{00000000-0005-0000-0000-000009930000}"/>
    <cellStyle name="Comma 9 6 3 2" xfId="40118" xr:uid="{00000000-0005-0000-0000-00000A930000}"/>
    <cellStyle name="Comma 9 6 4" xfId="40119" xr:uid="{00000000-0005-0000-0000-00000B930000}"/>
    <cellStyle name="Comma 9 7" xfId="40120" xr:uid="{00000000-0005-0000-0000-00000C930000}"/>
    <cellStyle name="Comma 9 7 2" xfId="40121" xr:uid="{00000000-0005-0000-0000-00000D930000}"/>
    <cellStyle name="Comma 9 7 2 2" xfId="40122" xr:uid="{00000000-0005-0000-0000-00000E930000}"/>
    <cellStyle name="Comma 9 7 2 2 2" xfId="40123" xr:uid="{00000000-0005-0000-0000-00000F930000}"/>
    <cellStyle name="Comma 9 7 2 3" xfId="40124" xr:uid="{00000000-0005-0000-0000-000010930000}"/>
    <cellStyle name="Comma 9 7 3" xfId="40125" xr:uid="{00000000-0005-0000-0000-000011930000}"/>
    <cellStyle name="Comma 9 7 3 2" xfId="40126" xr:uid="{00000000-0005-0000-0000-000012930000}"/>
    <cellStyle name="Comma 9 7 4" xfId="40127" xr:uid="{00000000-0005-0000-0000-000013930000}"/>
    <cellStyle name="Comma 9 8" xfId="40128" xr:uid="{00000000-0005-0000-0000-000014930000}"/>
    <cellStyle name="Comma 9 8 2" xfId="40129" xr:uid="{00000000-0005-0000-0000-000015930000}"/>
    <cellStyle name="Comma 9 8 2 2" xfId="40130" xr:uid="{00000000-0005-0000-0000-000016930000}"/>
    <cellStyle name="Comma 9 8 3" xfId="40131" xr:uid="{00000000-0005-0000-0000-000017930000}"/>
    <cellStyle name="Comma 9 9" xfId="40132" xr:uid="{00000000-0005-0000-0000-000018930000}"/>
    <cellStyle name="Comma 9 9 2" xfId="40133" xr:uid="{00000000-0005-0000-0000-000019930000}"/>
    <cellStyle name="Comma 9 9 2 2" xfId="40134" xr:uid="{00000000-0005-0000-0000-00001A930000}"/>
    <cellStyle name="Comma 9 9 3" xfId="40135" xr:uid="{00000000-0005-0000-0000-00001B930000}"/>
    <cellStyle name="Comma0" xfId="29" xr:uid="{00000000-0005-0000-0000-000035000000}"/>
    <cellStyle name="Comma0 - Style1" xfId="1235" xr:uid="{00000000-0005-0000-0000-00001D930000}"/>
    <cellStyle name="Comma0 - Style4" xfId="1236" xr:uid="{00000000-0005-0000-0000-00001E930000}"/>
    <cellStyle name="Comma0 10" xfId="40136" xr:uid="{00000000-0005-0000-0000-00001F930000}"/>
    <cellStyle name="Comma0 10 2" xfId="40137" xr:uid="{00000000-0005-0000-0000-000020930000}"/>
    <cellStyle name="Comma0 11" xfId="40138" xr:uid="{00000000-0005-0000-0000-000021930000}"/>
    <cellStyle name="Comma0 2" xfId="1237" xr:uid="{00000000-0005-0000-0000-000022930000}"/>
    <cellStyle name="Comma0 2 2" xfId="40139" xr:uid="{00000000-0005-0000-0000-000023930000}"/>
    <cellStyle name="Comma0 2 2 2" xfId="40140" xr:uid="{00000000-0005-0000-0000-000024930000}"/>
    <cellStyle name="Comma0 2 3" xfId="40141" xr:uid="{00000000-0005-0000-0000-000025930000}"/>
    <cellStyle name="Comma0 3" xfId="1238" xr:uid="{00000000-0005-0000-0000-000026930000}"/>
    <cellStyle name="Comma0 3 2" xfId="40142" xr:uid="{00000000-0005-0000-0000-000027930000}"/>
    <cellStyle name="Comma0 3 3" xfId="40143" xr:uid="{00000000-0005-0000-0000-000028930000}"/>
    <cellStyle name="Comma0 4" xfId="1239" xr:uid="{00000000-0005-0000-0000-000029930000}"/>
    <cellStyle name="Comma0 4 2" xfId="40144" xr:uid="{00000000-0005-0000-0000-00002A930000}"/>
    <cellStyle name="Comma0 5" xfId="1240" xr:uid="{00000000-0005-0000-0000-00002B930000}"/>
    <cellStyle name="Comma0 5 2" xfId="40145" xr:uid="{00000000-0005-0000-0000-00002C930000}"/>
    <cellStyle name="Comma0 6" xfId="1241" xr:uid="{00000000-0005-0000-0000-00002D930000}"/>
    <cellStyle name="Comma0 6 2" xfId="40146" xr:uid="{00000000-0005-0000-0000-00002E930000}"/>
    <cellStyle name="Comma0 7" xfId="1242" xr:uid="{00000000-0005-0000-0000-00002F930000}"/>
    <cellStyle name="Comma0 7 2" xfId="40147" xr:uid="{00000000-0005-0000-0000-000030930000}"/>
    <cellStyle name="Comma0 8" xfId="1243" xr:uid="{00000000-0005-0000-0000-000031930000}"/>
    <cellStyle name="Comma0 8 2" xfId="40148" xr:uid="{00000000-0005-0000-0000-000032930000}"/>
    <cellStyle name="Comma0 8 3" xfId="40149" xr:uid="{00000000-0005-0000-0000-000033930000}"/>
    <cellStyle name="Comma0 9" xfId="1244" xr:uid="{00000000-0005-0000-0000-000034930000}"/>
    <cellStyle name="Comma0 9 2" xfId="40150" xr:uid="{00000000-0005-0000-0000-000035930000}"/>
    <cellStyle name="Comma1 - Style1" xfId="1245" xr:uid="{00000000-0005-0000-0000-000036930000}"/>
    <cellStyle name="Comma4" xfId="30" xr:uid="{00000000-0005-0000-0000-000036000000}"/>
    <cellStyle name="Comma4 2" xfId="40151" xr:uid="{00000000-0005-0000-0000-000038930000}"/>
    <cellStyle name="Comma4 3" xfId="40152" xr:uid="{00000000-0005-0000-0000-000039930000}"/>
    <cellStyle name="Comma4 4" xfId="1246" xr:uid="{00000000-0005-0000-0000-000037930000}"/>
    <cellStyle name="Company Name" xfId="40153" xr:uid="{00000000-0005-0000-0000-00003A930000}"/>
    <cellStyle name="CountryTitle" xfId="31" xr:uid="{00000000-0005-0000-0000-000037000000}"/>
    <cellStyle name="CR Comma" xfId="40154" xr:uid="{00000000-0005-0000-0000-00003C930000}"/>
    <cellStyle name="CR Currency" xfId="40155" xr:uid="{00000000-0005-0000-0000-00003D930000}"/>
    <cellStyle name="Credit" xfId="40156" xr:uid="{00000000-0005-0000-0000-00003E930000}"/>
    <cellStyle name="Credit subtotal" xfId="40157" xr:uid="{00000000-0005-0000-0000-00003F930000}"/>
    <cellStyle name="Credit Total" xfId="40158" xr:uid="{00000000-0005-0000-0000-000040930000}"/>
    <cellStyle name="Curren - Style2" xfId="1247" xr:uid="{00000000-0005-0000-0000-000041930000}"/>
    <cellStyle name="Curren - Style5" xfId="1248" xr:uid="{00000000-0005-0000-0000-000042930000}"/>
    <cellStyle name="Currency" xfId="2" builtinId="4"/>
    <cellStyle name="Currency %" xfId="40159" xr:uid="{00000000-0005-0000-0000-000044930000}"/>
    <cellStyle name="Currency [3 space]" xfId="40160" xr:uid="{00000000-0005-0000-0000-000045930000}"/>
    <cellStyle name="Currency [3]" xfId="40161" xr:uid="{00000000-0005-0000-0000-000046930000}"/>
    <cellStyle name="Currency [4]" xfId="40162" xr:uid="{00000000-0005-0000-0000-000047930000}"/>
    <cellStyle name="currency 0" xfId="32" xr:uid="{00000000-0005-0000-0000-000039000000}"/>
    <cellStyle name="currency 0 2" xfId="1249" xr:uid="{00000000-0005-0000-0000-000049930000}"/>
    <cellStyle name="Currency 0.0" xfId="40163" xr:uid="{00000000-0005-0000-0000-00004A930000}"/>
    <cellStyle name="Currency 0.0%" xfId="40164" xr:uid="{00000000-0005-0000-0000-00004B930000}"/>
    <cellStyle name="Currency 0.00" xfId="40165" xr:uid="{00000000-0005-0000-0000-00004C930000}"/>
    <cellStyle name="Currency 0.00%" xfId="40166" xr:uid="{00000000-0005-0000-0000-00004D930000}"/>
    <cellStyle name="Currency 0.000" xfId="40167" xr:uid="{00000000-0005-0000-0000-00004E930000}"/>
    <cellStyle name="Currency 0.000%" xfId="40168" xr:uid="{00000000-0005-0000-0000-00004F930000}"/>
    <cellStyle name="Currency 10" xfId="40169" xr:uid="{00000000-0005-0000-0000-000050930000}"/>
    <cellStyle name="Currency 10 2" xfId="40170" xr:uid="{00000000-0005-0000-0000-000051930000}"/>
    <cellStyle name="Currency 10 3" xfId="40171" xr:uid="{00000000-0005-0000-0000-000052930000}"/>
    <cellStyle name="Currency 11" xfId="40172" xr:uid="{00000000-0005-0000-0000-000053930000}"/>
    <cellStyle name="Currency 11 2" xfId="40173" xr:uid="{00000000-0005-0000-0000-000054930000}"/>
    <cellStyle name="Currency 11 3" xfId="40174" xr:uid="{00000000-0005-0000-0000-000055930000}"/>
    <cellStyle name="Currency 12" xfId="40175" xr:uid="{00000000-0005-0000-0000-000056930000}"/>
    <cellStyle name="Currency 12 2" xfId="40176" xr:uid="{00000000-0005-0000-0000-000057930000}"/>
    <cellStyle name="Currency 12 3" xfId="40177" xr:uid="{00000000-0005-0000-0000-000058930000}"/>
    <cellStyle name="Currency 13" xfId="40178" xr:uid="{00000000-0005-0000-0000-000059930000}"/>
    <cellStyle name="Currency 13 2" xfId="40179" xr:uid="{00000000-0005-0000-0000-00005A930000}"/>
    <cellStyle name="Currency 13 3" xfId="40180" xr:uid="{00000000-0005-0000-0000-00005B930000}"/>
    <cellStyle name="Currency 14" xfId="40181" xr:uid="{00000000-0005-0000-0000-00005C930000}"/>
    <cellStyle name="Currency 14 2" xfId="40182" xr:uid="{00000000-0005-0000-0000-00005D930000}"/>
    <cellStyle name="Currency 14 3" xfId="40183" xr:uid="{00000000-0005-0000-0000-00005E930000}"/>
    <cellStyle name="Currency 15" xfId="40184" xr:uid="{00000000-0005-0000-0000-00005F930000}"/>
    <cellStyle name="Currency 15 2" xfId="40185" xr:uid="{00000000-0005-0000-0000-000060930000}"/>
    <cellStyle name="Currency 15 3" xfId="40186" xr:uid="{00000000-0005-0000-0000-000061930000}"/>
    <cellStyle name="Currency 16" xfId="40187" xr:uid="{00000000-0005-0000-0000-000062930000}"/>
    <cellStyle name="Currency 16 2" xfId="40188" xr:uid="{00000000-0005-0000-0000-000063930000}"/>
    <cellStyle name="Currency 17" xfId="40189" xr:uid="{00000000-0005-0000-0000-000064930000}"/>
    <cellStyle name="Currency 17 2" xfId="40190" xr:uid="{00000000-0005-0000-0000-000065930000}"/>
    <cellStyle name="Currency 18" xfId="40191" xr:uid="{00000000-0005-0000-0000-000066930000}"/>
    <cellStyle name="Currency 18 2" xfId="40192" xr:uid="{00000000-0005-0000-0000-000067930000}"/>
    <cellStyle name="Currency 19" xfId="40193" xr:uid="{00000000-0005-0000-0000-000068930000}"/>
    <cellStyle name="Currency 19 2" xfId="40194" xr:uid="{00000000-0005-0000-0000-000069930000}"/>
    <cellStyle name="Currency 19 3" xfId="40195" xr:uid="{00000000-0005-0000-0000-00006A930000}"/>
    <cellStyle name="Currency 2" xfId="33" xr:uid="{00000000-0005-0000-0000-00003A000000}"/>
    <cellStyle name="Currency 2 2" xfId="154" xr:uid="{00000000-0005-0000-0000-00003B000000}"/>
    <cellStyle name="Currency 2 2 2" xfId="40196" xr:uid="{00000000-0005-0000-0000-00006D930000}"/>
    <cellStyle name="Currency 2 2 2 2" xfId="40197" xr:uid="{00000000-0005-0000-0000-00006E930000}"/>
    <cellStyle name="Currency 2 2 3" xfId="40198" xr:uid="{00000000-0005-0000-0000-00006F930000}"/>
    <cellStyle name="Currency 2 2 4" xfId="40199" xr:uid="{00000000-0005-0000-0000-000070930000}"/>
    <cellStyle name="Currency 2 2 5" xfId="40200" xr:uid="{00000000-0005-0000-0000-000071930000}"/>
    <cellStyle name="Currency 2 3" xfId="1250" xr:uid="{00000000-0005-0000-0000-000072930000}"/>
    <cellStyle name="Currency 2 3 2" xfId="40201" xr:uid="{00000000-0005-0000-0000-000073930000}"/>
    <cellStyle name="Currency 2 3 2 2" xfId="40202" xr:uid="{00000000-0005-0000-0000-000074930000}"/>
    <cellStyle name="Currency 2 3 2 2 2" xfId="40203" xr:uid="{00000000-0005-0000-0000-000075930000}"/>
    <cellStyle name="Currency 2 3 2 3" xfId="40204" xr:uid="{00000000-0005-0000-0000-000076930000}"/>
    <cellStyle name="Currency 2 4" xfId="1251" xr:uid="{00000000-0005-0000-0000-000077930000}"/>
    <cellStyle name="Currency 2 5" xfId="40205" xr:uid="{00000000-0005-0000-0000-000078930000}"/>
    <cellStyle name="Currency 2 5 2" xfId="40206" xr:uid="{00000000-0005-0000-0000-000079930000}"/>
    <cellStyle name="Currency 2 5 2 2" xfId="40207" xr:uid="{00000000-0005-0000-0000-00007A930000}"/>
    <cellStyle name="Currency 2 5 2 3" xfId="40208" xr:uid="{00000000-0005-0000-0000-00007B930000}"/>
    <cellStyle name="Currency 2 5 3" xfId="40209" xr:uid="{00000000-0005-0000-0000-00007C930000}"/>
    <cellStyle name="Currency 2 6" xfId="40210" xr:uid="{00000000-0005-0000-0000-00007D930000}"/>
    <cellStyle name="Currency 2 6 2" xfId="40211" xr:uid="{00000000-0005-0000-0000-00007E930000}"/>
    <cellStyle name="Currency 2 6 3" xfId="40212" xr:uid="{00000000-0005-0000-0000-00007F930000}"/>
    <cellStyle name="Currency 2 6 3 2" xfId="40213" xr:uid="{00000000-0005-0000-0000-000080930000}"/>
    <cellStyle name="Currency 2 7" xfId="40214" xr:uid="{00000000-0005-0000-0000-000081930000}"/>
    <cellStyle name="Currency 2 7 2" xfId="40215" xr:uid="{00000000-0005-0000-0000-000082930000}"/>
    <cellStyle name="Currency 20" xfId="40216" xr:uid="{00000000-0005-0000-0000-000083930000}"/>
    <cellStyle name="Currency 20 2" xfId="40217" xr:uid="{00000000-0005-0000-0000-000084930000}"/>
    <cellStyle name="Currency 20 3" xfId="40218" xr:uid="{00000000-0005-0000-0000-000085930000}"/>
    <cellStyle name="Currency 21" xfId="40219" xr:uid="{00000000-0005-0000-0000-000086930000}"/>
    <cellStyle name="Currency 21 2" xfId="40220" xr:uid="{00000000-0005-0000-0000-000087930000}"/>
    <cellStyle name="Currency 21 3" xfId="40221" xr:uid="{00000000-0005-0000-0000-000088930000}"/>
    <cellStyle name="Currency 22" xfId="40222" xr:uid="{00000000-0005-0000-0000-000089930000}"/>
    <cellStyle name="Currency 22 2" xfId="40223" xr:uid="{00000000-0005-0000-0000-00008A930000}"/>
    <cellStyle name="Currency 23" xfId="40224" xr:uid="{00000000-0005-0000-0000-00008B930000}"/>
    <cellStyle name="Currency 23 2" xfId="40225" xr:uid="{00000000-0005-0000-0000-00008C930000}"/>
    <cellStyle name="Currency 23 2 2" xfId="40226" xr:uid="{00000000-0005-0000-0000-00008D930000}"/>
    <cellStyle name="Currency 23 3" xfId="40227" xr:uid="{00000000-0005-0000-0000-00008E930000}"/>
    <cellStyle name="Currency 24" xfId="40228" xr:uid="{00000000-0005-0000-0000-00008F930000}"/>
    <cellStyle name="Currency 25" xfId="40229" xr:uid="{00000000-0005-0000-0000-000090930000}"/>
    <cellStyle name="Currency 25 2" xfId="40230" xr:uid="{00000000-0005-0000-0000-000091930000}"/>
    <cellStyle name="Currency 26" xfId="40231" xr:uid="{00000000-0005-0000-0000-000092930000}"/>
    <cellStyle name="Currency 26 2" xfId="40232" xr:uid="{00000000-0005-0000-0000-000093930000}"/>
    <cellStyle name="Currency 27" xfId="40233" xr:uid="{00000000-0005-0000-0000-000094930000}"/>
    <cellStyle name="Currency 28" xfId="40234" xr:uid="{00000000-0005-0000-0000-000095930000}"/>
    <cellStyle name="Currency 29" xfId="40235" xr:uid="{00000000-0005-0000-0000-000096930000}"/>
    <cellStyle name="Currency 3" xfId="34" xr:uid="{00000000-0005-0000-0000-00003C000000}"/>
    <cellStyle name="Currency 3 2" xfId="1252" xr:uid="{00000000-0005-0000-0000-000098930000}"/>
    <cellStyle name="Currency 3 2 2" xfId="40236" xr:uid="{00000000-0005-0000-0000-000099930000}"/>
    <cellStyle name="Currency 3 3" xfId="40237" xr:uid="{00000000-0005-0000-0000-00009A930000}"/>
    <cellStyle name="Currency 30" xfId="40238" xr:uid="{00000000-0005-0000-0000-00009B930000}"/>
    <cellStyle name="Currency 31" xfId="40239" xr:uid="{00000000-0005-0000-0000-00009C930000}"/>
    <cellStyle name="Currency 32" xfId="40240" xr:uid="{00000000-0005-0000-0000-00009D930000}"/>
    <cellStyle name="Currency 33" xfId="40241" xr:uid="{00000000-0005-0000-0000-00009E930000}"/>
    <cellStyle name="Currency 34" xfId="40242" xr:uid="{00000000-0005-0000-0000-00009F930000}"/>
    <cellStyle name="Currency 35" xfId="40243" xr:uid="{00000000-0005-0000-0000-0000A0930000}"/>
    <cellStyle name="Currency 36" xfId="40244" xr:uid="{00000000-0005-0000-0000-0000A1930000}"/>
    <cellStyle name="Currency 37" xfId="40245" xr:uid="{00000000-0005-0000-0000-0000A2930000}"/>
    <cellStyle name="Currency 38" xfId="40246" xr:uid="{00000000-0005-0000-0000-0000A3930000}"/>
    <cellStyle name="Currency 39" xfId="40247" xr:uid="{00000000-0005-0000-0000-0000A4930000}"/>
    <cellStyle name="Currency 4" xfId="35" xr:uid="{00000000-0005-0000-0000-00003D000000}"/>
    <cellStyle name="Currency 4 2" xfId="40248" xr:uid="{00000000-0005-0000-0000-0000A6930000}"/>
    <cellStyle name="Currency 4 3" xfId="1253" xr:uid="{00000000-0005-0000-0000-0000A5930000}"/>
    <cellStyle name="Currency 40" xfId="40249" xr:uid="{00000000-0005-0000-0000-0000A7930000}"/>
    <cellStyle name="Currency 41" xfId="40250" xr:uid="{00000000-0005-0000-0000-0000A8930000}"/>
    <cellStyle name="Currency 42" xfId="40251" xr:uid="{00000000-0005-0000-0000-0000A9930000}"/>
    <cellStyle name="Currency 43" xfId="40252" xr:uid="{00000000-0005-0000-0000-0000AA930000}"/>
    <cellStyle name="Currency 44" xfId="40253" xr:uid="{00000000-0005-0000-0000-0000AB930000}"/>
    <cellStyle name="Currency 45" xfId="40254" xr:uid="{00000000-0005-0000-0000-0000AC930000}"/>
    <cellStyle name="Currency 46" xfId="40255" xr:uid="{00000000-0005-0000-0000-0000AD930000}"/>
    <cellStyle name="Currency 46 2" xfId="40256" xr:uid="{00000000-0005-0000-0000-0000AE930000}"/>
    <cellStyle name="Currency 46 2 2" xfId="40257" xr:uid="{00000000-0005-0000-0000-0000AF930000}"/>
    <cellStyle name="Currency 46 3" xfId="40258" xr:uid="{00000000-0005-0000-0000-0000B0930000}"/>
    <cellStyle name="Currency 47" xfId="3568" xr:uid="{00000000-0005-0000-0000-0000CD930000}"/>
    <cellStyle name="Currency 48" xfId="56362" xr:uid="{57CA87E8-2EAB-414C-8123-D57C23EA61BB}"/>
    <cellStyle name="Currency 49" xfId="56364" xr:uid="{7A4291D1-F7D7-439C-B5F6-D18E5BA70589}"/>
    <cellStyle name="Currency 5" xfId="153" xr:uid="{00000000-0005-0000-0000-00003E000000}"/>
    <cellStyle name="Currency 5 2" xfId="40259" xr:uid="{00000000-0005-0000-0000-0000B2930000}"/>
    <cellStyle name="Currency 5 2 2" xfId="40260" xr:uid="{00000000-0005-0000-0000-0000B3930000}"/>
    <cellStyle name="Currency 5 3" xfId="40261" xr:uid="{00000000-0005-0000-0000-0000B4930000}"/>
    <cellStyle name="Currency 5 4" xfId="40262" xr:uid="{00000000-0005-0000-0000-0000B5930000}"/>
    <cellStyle name="Currency 5 5" xfId="1254" xr:uid="{00000000-0005-0000-0000-0000B1930000}"/>
    <cellStyle name="Currency 6" xfId="40263" xr:uid="{00000000-0005-0000-0000-0000B6930000}"/>
    <cellStyle name="Currency 6 10" xfId="40264" xr:uid="{00000000-0005-0000-0000-0000B7930000}"/>
    <cellStyle name="Currency 6 10 2" xfId="40265" xr:uid="{00000000-0005-0000-0000-0000B8930000}"/>
    <cellStyle name="Currency 6 10 2 2" xfId="40266" xr:uid="{00000000-0005-0000-0000-0000B9930000}"/>
    <cellStyle name="Currency 6 10 2 2 2" xfId="40267" xr:uid="{00000000-0005-0000-0000-0000BA930000}"/>
    <cellStyle name="Currency 6 10 2 3" xfId="40268" xr:uid="{00000000-0005-0000-0000-0000BB930000}"/>
    <cellStyle name="Currency 6 10 3" xfId="40269" xr:uid="{00000000-0005-0000-0000-0000BC930000}"/>
    <cellStyle name="Currency 6 10 3 2" xfId="40270" xr:uid="{00000000-0005-0000-0000-0000BD930000}"/>
    <cellStyle name="Currency 6 10 4" xfId="40271" xr:uid="{00000000-0005-0000-0000-0000BE930000}"/>
    <cellStyle name="Currency 6 10 5" xfId="40272" xr:uid="{00000000-0005-0000-0000-0000BF930000}"/>
    <cellStyle name="Currency 6 10 6" xfId="40273" xr:uid="{00000000-0005-0000-0000-0000C0930000}"/>
    <cellStyle name="Currency 6 11" xfId="40274" xr:uid="{00000000-0005-0000-0000-0000C1930000}"/>
    <cellStyle name="Currency 6 11 2" xfId="40275" xr:uid="{00000000-0005-0000-0000-0000C2930000}"/>
    <cellStyle name="Currency 6 11 2 2" xfId="40276" xr:uid="{00000000-0005-0000-0000-0000C3930000}"/>
    <cellStyle name="Currency 6 11 2 2 2" xfId="40277" xr:uid="{00000000-0005-0000-0000-0000C4930000}"/>
    <cellStyle name="Currency 6 11 2 3" xfId="40278" xr:uid="{00000000-0005-0000-0000-0000C5930000}"/>
    <cellStyle name="Currency 6 11 3" xfId="40279" xr:uid="{00000000-0005-0000-0000-0000C6930000}"/>
    <cellStyle name="Currency 6 11 3 2" xfId="40280" xr:uid="{00000000-0005-0000-0000-0000C7930000}"/>
    <cellStyle name="Currency 6 11 4" xfId="40281" xr:uid="{00000000-0005-0000-0000-0000C8930000}"/>
    <cellStyle name="Currency 6 12" xfId="40282" xr:uid="{00000000-0005-0000-0000-0000C9930000}"/>
    <cellStyle name="Currency 6 12 2" xfId="40283" xr:uid="{00000000-0005-0000-0000-0000CA930000}"/>
    <cellStyle name="Currency 6 12 2 2" xfId="40284" xr:uid="{00000000-0005-0000-0000-0000CB930000}"/>
    <cellStyle name="Currency 6 12 2 2 2" xfId="40285" xr:uid="{00000000-0005-0000-0000-0000CC930000}"/>
    <cellStyle name="Currency 6 12 2 3" xfId="40286" xr:uid="{00000000-0005-0000-0000-0000CD930000}"/>
    <cellStyle name="Currency 6 12 3" xfId="40287" xr:uid="{00000000-0005-0000-0000-0000CE930000}"/>
    <cellStyle name="Currency 6 12 3 2" xfId="40288" xr:uid="{00000000-0005-0000-0000-0000CF930000}"/>
    <cellStyle name="Currency 6 12 4" xfId="40289" xr:uid="{00000000-0005-0000-0000-0000D0930000}"/>
    <cellStyle name="Currency 6 13" xfId="40290" xr:uid="{00000000-0005-0000-0000-0000D1930000}"/>
    <cellStyle name="Currency 6 13 2" xfId="40291" xr:uid="{00000000-0005-0000-0000-0000D2930000}"/>
    <cellStyle name="Currency 6 13 2 2" xfId="40292" xr:uid="{00000000-0005-0000-0000-0000D3930000}"/>
    <cellStyle name="Currency 6 13 2 2 2" xfId="40293" xr:uid="{00000000-0005-0000-0000-0000D4930000}"/>
    <cellStyle name="Currency 6 13 2 3" xfId="40294" xr:uid="{00000000-0005-0000-0000-0000D5930000}"/>
    <cellStyle name="Currency 6 13 3" xfId="40295" xr:uid="{00000000-0005-0000-0000-0000D6930000}"/>
    <cellStyle name="Currency 6 13 3 2" xfId="40296" xr:uid="{00000000-0005-0000-0000-0000D7930000}"/>
    <cellStyle name="Currency 6 13 4" xfId="40297" xr:uid="{00000000-0005-0000-0000-0000D8930000}"/>
    <cellStyle name="Currency 6 14" xfId="40298" xr:uid="{00000000-0005-0000-0000-0000D9930000}"/>
    <cellStyle name="Currency 6 14 2" xfId="40299" xr:uid="{00000000-0005-0000-0000-0000DA930000}"/>
    <cellStyle name="Currency 6 14 2 2" xfId="40300" xr:uid="{00000000-0005-0000-0000-0000DB930000}"/>
    <cellStyle name="Currency 6 14 3" xfId="40301" xr:uid="{00000000-0005-0000-0000-0000DC930000}"/>
    <cellStyle name="Currency 6 15" xfId="40302" xr:uid="{00000000-0005-0000-0000-0000DD930000}"/>
    <cellStyle name="Currency 6 15 2" xfId="40303" xr:uid="{00000000-0005-0000-0000-0000DE930000}"/>
    <cellStyle name="Currency 6 15 2 2" xfId="40304" xr:uid="{00000000-0005-0000-0000-0000DF930000}"/>
    <cellStyle name="Currency 6 15 3" xfId="40305" xr:uid="{00000000-0005-0000-0000-0000E0930000}"/>
    <cellStyle name="Currency 6 16" xfId="40306" xr:uid="{00000000-0005-0000-0000-0000E1930000}"/>
    <cellStyle name="Currency 6 16 2" xfId="40307" xr:uid="{00000000-0005-0000-0000-0000E2930000}"/>
    <cellStyle name="Currency 6 17" xfId="40308" xr:uid="{00000000-0005-0000-0000-0000E3930000}"/>
    <cellStyle name="Currency 6 18" xfId="40309" xr:uid="{00000000-0005-0000-0000-0000E4930000}"/>
    <cellStyle name="Currency 6 2" xfId="40310" xr:uid="{00000000-0005-0000-0000-0000E5930000}"/>
    <cellStyle name="Currency 6 2 10" xfId="40311" xr:uid="{00000000-0005-0000-0000-0000E6930000}"/>
    <cellStyle name="Currency 6 2 10 2" xfId="40312" xr:uid="{00000000-0005-0000-0000-0000E7930000}"/>
    <cellStyle name="Currency 6 2 11" xfId="40313" xr:uid="{00000000-0005-0000-0000-0000E8930000}"/>
    <cellStyle name="Currency 6 2 12" xfId="40314" xr:uid="{00000000-0005-0000-0000-0000E9930000}"/>
    <cellStyle name="Currency 6 2 13" xfId="40315" xr:uid="{00000000-0005-0000-0000-0000EA930000}"/>
    <cellStyle name="Currency 6 2 2" xfId="40316" xr:uid="{00000000-0005-0000-0000-0000EB930000}"/>
    <cellStyle name="Currency 6 2 2 10" xfId="40317" xr:uid="{00000000-0005-0000-0000-0000EC930000}"/>
    <cellStyle name="Currency 6 2 2 11" xfId="40318" xr:uid="{00000000-0005-0000-0000-0000ED930000}"/>
    <cellStyle name="Currency 6 2 2 2" xfId="40319" xr:uid="{00000000-0005-0000-0000-0000EE930000}"/>
    <cellStyle name="Currency 6 2 2 2 10" xfId="40320" xr:uid="{00000000-0005-0000-0000-0000EF930000}"/>
    <cellStyle name="Currency 6 2 2 2 2" xfId="40321" xr:uid="{00000000-0005-0000-0000-0000F0930000}"/>
    <cellStyle name="Currency 6 2 2 2 2 2" xfId="40322" xr:uid="{00000000-0005-0000-0000-0000F1930000}"/>
    <cellStyle name="Currency 6 2 2 2 2 2 2" xfId="40323" xr:uid="{00000000-0005-0000-0000-0000F2930000}"/>
    <cellStyle name="Currency 6 2 2 2 2 2 2 2" xfId="40324" xr:uid="{00000000-0005-0000-0000-0000F3930000}"/>
    <cellStyle name="Currency 6 2 2 2 2 2 2 2 2" xfId="40325" xr:uid="{00000000-0005-0000-0000-0000F4930000}"/>
    <cellStyle name="Currency 6 2 2 2 2 2 2 3" xfId="40326" xr:uid="{00000000-0005-0000-0000-0000F5930000}"/>
    <cellStyle name="Currency 6 2 2 2 2 2 3" xfId="40327" xr:uid="{00000000-0005-0000-0000-0000F6930000}"/>
    <cellStyle name="Currency 6 2 2 2 2 2 3 2" xfId="40328" xr:uid="{00000000-0005-0000-0000-0000F7930000}"/>
    <cellStyle name="Currency 6 2 2 2 2 2 4" xfId="40329" xr:uid="{00000000-0005-0000-0000-0000F8930000}"/>
    <cellStyle name="Currency 6 2 2 2 2 2 5" xfId="40330" xr:uid="{00000000-0005-0000-0000-0000F9930000}"/>
    <cellStyle name="Currency 6 2 2 2 2 2 6" xfId="40331" xr:uid="{00000000-0005-0000-0000-0000FA930000}"/>
    <cellStyle name="Currency 6 2 2 2 2 3" xfId="40332" xr:uid="{00000000-0005-0000-0000-0000FB930000}"/>
    <cellStyle name="Currency 6 2 2 2 2 3 2" xfId="40333" xr:uid="{00000000-0005-0000-0000-0000FC930000}"/>
    <cellStyle name="Currency 6 2 2 2 2 3 2 2" xfId="40334" xr:uid="{00000000-0005-0000-0000-0000FD930000}"/>
    <cellStyle name="Currency 6 2 2 2 2 3 3" xfId="40335" xr:uid="{00000000-0005-0000-0000-0000FE930000}"/>
    <cellStyle name="Currency 6 2 2 2 2 4" xfId="40336" xr:uid="{00000000-0005-0000-0000-0000FF930000}"/>
    <cellStyle name="Currency 6 2 2 2 2 4 2" xfId="40337" xr:uid="{00000000-0005-0000-0000-000000940000}"/>
    <cellStyle name="Currency 6 2 2 2 2 4 2 2" xfId="40338" xr:uid="{00000000-0005-0000-0000-000001940000}"/>
    <cellStyle name="Currency 6 2 2 2 2 4 3" xfId="40339" xr:uid="{00000000-0005-0000-0000-000002940000}"/>
    <cellStyle name="Currency 6 2 2 2 2 5" xfId="40340" xr:uid="{00000000-0005-0000-0000-000003940000}"/>
    <cellStyle name="Currency 6 2 2 2 2 5 2" xfId="40341" xr:uid="{00000000-0005-0000-0000-000004940000}"/>
    <cellStyle name="Currency 6 2 2 2 2 6" xfId="40342" xr:uid="{00000000-0005-0000-0000-000005940000}"/>
    <cellStyle name="Currency 6 2 2 2 2 7" xfId="40343" xr:uid="{00000000-0005-0000-0000-000006940000}"/>
    <cellStyle name="Currency 6 2 2 2 2 8" xfId="40344" xr:uid="{00000000-0005-0000-0000-000007940000}"/>
    <cellStyle name="Currency 6 2 2 2 3" xfId="40345" xr:uid="{00000000-0005-0000-0000-000008940000}"/>
    <cellStyle name="Currency 6 2 2 2 3 2" xfId="40346" xr:uid="{00000000-0005-0000-0000-000009940000}"/>
    <cellStyle name="Currency 6 2 2 2 3 2 2" xfId="40347" xr:uid="{00000000-0005-0000-0000-00000A940000}"/>
    <cellStyle name="Currency 6 2 2 2 3 2 2 2" xfId="40348" xr:uid="{00000000-0005-0000-0000-00000B940000}"/>
    <cellStyle name="Currency 6 2 2 2 3 2 2 2 2" xfId="40349" xr:uid="{00000000-0005-0000-0000-00000C940000}"/>
    <cellStyle name="Currency 6 2 2 2 3 2 2 3" xfId="40350" xr:uid="{00000000-0005-0000-0000-00000D940000}"/>
    <cellStyle name="Currency 6 2 2 2 3 2 3" xfId="40351" xr:uid="{00000000-0005-0000-0000-00000E940000}"/>
    <cellStyle name="Currency 6 2 2 2 3 2 3 2" xfId="40352" xr:uid="{00000000-0005-0000-0000-00000F940000}"/>
    <cellStyle name="Currency 6 2 2 2 3 2 4" xfId="40353" xr:uid="{00000000-0005-0000-0000-000010940000}"/>
    <cellStyle name="Currency 6 2 2 2 3 2 5" xfId="40354" xr:uid="{00000000-0005-0000-0000-000011940000}"/>
    <cellStyle name="Currency 6 2 2 2 3 2 6" xfId="40355" xr:uid="{00000000-0005-0000-0000-000012940000}"/>
    <cellStyle name="Currency 6 2 2 2 3 3" xfId="40356" xr:uid="{00000000-0005-0000-0000-000013940000}"/>
    <cellStyle name="Currency 6 2 2 2 3 3 2" xfId="40357" xr:uid="{00000000-0005-0000-0000-000014940000}"/>
    <cellStyle name="Currency 6 2 2 2 3 3 2 2" xfId="40358" xr:uid="{00000000-0005-0000-0000-000015940000}"/>
    <cellStyle name="Currency 6 2 2 2 3 3 3" xfId="40359" xr:uid="{00000000-0005-0000-0000-000016940000}"/>
    <cellStyle name="Currency 6 2 2 2 3 4" xfId="40360" xr:uid="{00000000-0005-0000-0000-000017940000}"/>
    <cellStyle name="Currency 6 2 2 2 3 4 2" xfId="40361" xr:uid="{00000000-0005-0000-0000-000018940000}"/>
    <cellStyle name="Currency 6 2 2 2 3 5" xfId="40362" xr:uid="{00000000-0005-0000-0000-000019940000}"/>
    <cellStyle name="Currency 6 2 2 2 3 6" xfId="40363" xr:uid="{00000000-0005-0000-0000-00001A940000}"/>
    <cellStyle name="Currency 6 2 2 2 3 7" xfId="40364" xr:uid="{00000000-0005-0000-0000-00001B940000}"/>
    <cellStyle name="Currency 6 2 2 2 4" xfId="40365" xr:uid="{00000000-0005-0000-0000-00001C940000}"/>
    <cellStyle name="Currency 6 2 2 2 4 2" xfId="40366" xr:uid="{00000000-0005-0000-0000-00001D940000}"/>
    <cellStyle name="Currency 6 2 2 2 4 2 2" xfId="40367" xr:uid="{00000000-0005-0000-0000-00001E940000}"/>
    <cellStyle name="Currency 6 2 2 2 4 2 2 2" xfId="40368" xr:uid="{00000000-0005-0000-0000-00001F940000}"/>
    <cellStyle name="Currency 6 2 2 2 4 2 3" xfId="40369" xr:uid="{00000000-0005-0000-0000-000020940000}"/>
    <cellStyle name="Currency 6 2 2 2 4 3" xfId="40370" xr:uid="{00000000-0005-0000-0000-000021940000}"/>
    <cellStyle name="Currency 6 2 2 2 4 3 2" xfId="40371" xr:uid="{00000000-0005-0000-0000-000022940000}"/>
    <cellStyle name="Currency 6 2 2 2 4 4" xfId="40372" xr:uid="{00000000-0005-0000-0000-000023940000}"/>
    <cellStyle name="Currency 6 2 2 2 4 5" xfId="40373" xr:uid="{00000000-0005-0000-0000-000024940000}"/>
    <cellStyle name="Currency 6 2 2 2 4 6" xfId="40374" xr:uid="{00000000-0005-0000-0000-000025940000}"/>
    <cellStyle name="Currency 6 2 2 2 5" xfId="40375" xr:uid="{00000000-0005-0000-0000-000026940000}"/>
    <cellStyle name="Currency 6 2 2 2 5 2" xfId="40376" xr:uid="{00000000-0005-0000-0000-000027940000}"/>
    <cellStyle name="Currency 6 2 2 2 5 2 2" xfId="40377" xr:uid="{00000000-0005-0000-0000-000028940000}"/>
    <cellStyle name="Currency 6 2 2 2 5 3" xfId="40378" xr:uid="{00000000-0005-0000-0000-000029940000}"/>
    <cellStyle name="Currency 6 2 2 2 6" xfId="40379" xr:uid="{00000000-0005-0000-0000-00002A940000}"/>
    <cellStyle name="Currency 6 2 2 2 6 2" xfId="40380" xr:uid="{00000000-0005-0000-0000-00002B940000}"/>
    <cellStyle name="Currency 6 2 2 2 6 2 2" xfId="40381" xr:uid="{00000000-0005-0000-0000-00002C940000}"/>
    <cellStyle name="Currency 6 2 2 2 6 3" xfId="40382" xr:uid="{00000000-0005-0000-0000-00002D940000}"/>
    <cellStyle name="Currency 6 2 2 2 7" xfId="40383" xr:uid="{00000000-0005-0000-0000-00002E940000}"/>
    <cellStyle name="Currency 6 2 2 2 7 2" xfId="40384" xr:uid="{00000000-0005-0000-0000-00002F940000}"/>
    <cellStyle name="Currency 6 2 2 2 8" xfId="40385" xr:uid="{00000000-0005-0000-0000-000030940000}"/>
    <cellStyle name="Currency 6 2 2 2 9" xfId="40386" xr:uid="{00000000-0005-0000-0000-000031940000}"/>
    <cellStyle name="Currency 6 2 2 3" xfId="40387" xr:uid="{00000000-0005-0000-0000-000032940000}"/>
    <cellStyle name="Currency 6 2 2 3 2" xfId="40388" xr:uid="{00000000-0005-0000-0000-000033940000}"/>
    <cellStyle name="Currency 6 2 2 3 2 2" xfId="40389" xr:uid="{00000000-0005-0000-0000-000034940000}"/>
    <cellStyle name="Currency 6 2 2 3 2 2 2" xfId="40390" xr:uid="{00000000-0005-0000-0000-000035940000}"/>
    <cellStyle name="Currency 6 2 2 3 2 2 2 2" xfId="40391" xr:uid="{00000000-0005-0000-0000-000036940000}"/>
    <cellStyle name="Currency 6 2 2 3 2 2 3" xfId="40392" xr:uid="{00000000-0005-0000-0000-000037940000}"/>
    <cellStyle name="Currency 6 2 2 3 2 3" xfId="40393" xr:uid="{00000000-0005-0000-0000-000038940000}"/>
    <cellStyle name="Currency 6 2 2 3 2 3 2" xfId="40394" xr:uid="{00000000-0005-0000-0000-000039940000}"/>
    <cellStyle name="Currency 6 2 2 3 2 4" xfId="40395" xr:uid="{00000000-0005-0000-0000-00003A940000}"/>
    <cellStyle name="Currency 6 2 2 3 2 5" xfId="40396" xr:uid="{00000000-0005-0000-0000-00003B940000}"/>
    <cellStyle name="Currency 6 2 2 3 2 6" xfId="40397" xr:uid="{00000000-0005-0000-0000-00003C940000}"/>
    <cellStyle name="Currency 6 2 2 3 3" xfId="40398" xr:uid="{00000000-0005-0000-0000-00003D940000}"/>
    <cellStyle name="Currency 6 2 2 3 3 2" xfId="40399" xr:uid="{00000000-0005-0000-0000-00003E940000}"/>
    <cellStyle name="Currency 6 2 2 3 3 2 2" xfId="40400" xr:uid="{00000000-0005-0000-0000-00003F940000}"/>
    <cellStyle name="Currency 6 2 2 3 3 3" xfId="40401" xr:uid="{00000000-0005-0000-0000-000040940000}"/>
    <cellStyle name="Currency 6 2 2 3 4" xfId="40402" xr:uid="{00000000-0005-0000-0000-000041940000}"/>
    <cellStyle name="Currency 6 2 2 3 4 2" xfId="40403" xr:uid="{00000000-0005-0000-0000-000042940000}"/>
    <cellStyle name="Currency 6 2 2 3 4 2 2" xfId="40404" xr:uid="{00000000-0005-0000-0000-000043940000}"/>
    <cellStyle name="Currency 6 2 2 3 4 3" xfId="40405" xr:uid="{00000000-0005-0000-0000-000044940000}"/>
    <cellStyle name="Currency 6 2 2 3 5" xfId="40406" xr:uid="{00000000-0005-0000-0000-000045940000}"/>
    <cellStyle name="Currency 6 2 2 3 5 2" xfId="40407" xr:uid="{00000000-0005-0000-0000-000046940000}"/>
    <cellStyle name="Currency 6 2 2 3 6" xfId="40408" xr:uid="{00000000-0005-0000-0000-000047940000}"/>
    <cellStyle name="Currency 6 2 2 3 7" xfId="40409" xr:uid="{00000000-0005-0000-0000-000048940000}"/>
    <cellStyle name="Currency 6 2 2 3 8" xfId="40410" xr:uid="{00000000-0005-0000-0000-000049940000}"/>
    <cellStyle name="Currency 6 2 2 4" xfId="40411" xr:uid="{00000000-0005-0000-0000-00004A940000}"/>
    <cellStyle name="Currency 6 2 2 4 2" xfId="40412" xr:uid="{00000000-0005-0000-0000-00004B940000}"/>
    <cellStyle name="Currency 6 2 2 4 2 2" xfId="40413" xr:uid="{00000000-0005-0000-0000-00004C940000}"/>
    <cellStyle name="Currency 6 2 2 4 2 2 2" xfId="40414" xr:uid="{00000000-0005-0000-0000-00004D940000}"/>
    <cellStyle name="Currency 6 2 2 4 2 2 2 2" xfId="40415" xr:uid="{00000000-0005-0000-0000-00004E940000}"/>
    <cellStyle name="Currency 6 2 2 4 2 2 3" xfId="40416" xr:uid="{00000000-0005-0000-0000-00004F940000}"/>
    <cellStyle name="Currency 6 2 2 4 2 3" xfId="40417" xr:uid="{00000000-0005-0000-0000-000050940000}"/>
    <cellStyle name="Currency 6 2 2 4 2 3 2" xfId="40418" xr:uid="{00000000-0005-0000-0000-000051940000}"/>
    <cellStyle name="Currency 6 2 2 4 2 4" xfId="40419" xr:uid="{00000000-0005-0000-0000-000052940000}"/>
    <cellStyle name="Currency 6 2 2 4 2 5" xfId="40420" xr:uid="{00000000-0005-0000-0000-000053940000}"/>
    <cellStyle name="Currency 6 2 2 4 2 6" xfId="40421" xr:uid="{00000000-0005-0000-0000-000054940000}"/>
    <cellStyle name="Currency 6 2 2 4 3" xfId="40422" xr:uid="{00000000-0005-0000-0000-000055940000}"/>
    <cellStyle name="Currency 6 2 2 4 3 2" xfId="40423" xr:uid="{00000000-0005-0000-0000-000056940000}"/>
    <cellStyle name="Currency 6 2 2 4 3 2 2" xfId="40424" xr:uid="{00000000-0005-0000-0000-000057940000}"/>
    <cellStyle name="Currency 6 2 2 4 3 3" xfId="40425" xr:uid="{00000000-0005-0000-0000-000058940000}"/>
    <cellStyle name="Currency 6 2 2 4 4" xfId="40426" xr:uid="{00000000-0005-0000-0000-000059940000}"/>
    <cellStyle name="Currency 6 2 2 4 4 2" xfId="40427" xr:uid="{00000000-0005-0000-0000-00005A940000}"/>
    <cellStyle name="Currency 6 2 2 4 4 2 2" xfId="40428" xr:uid="{00000000-0005-0000-0000-00005B940000}"/>
    <cellStyle name="Currency 6 2 2 4 4 3" xfId="40429" xr:uid="{00000000-0005-0000-0000-00005C940000}"/>
    <cellStyle name="Currency 6 2 2 4 5" xfId="40430" xr:uid="{00000000-0005-0000-0000-00005D940000}"/>
    <cellStyle name="Currency 6 2 2 4 5 2" xfId="40431" xr:uid="{00000000-0005-0000-0000-00005E940000}"/>
    <cellStyle name="Currency 6 2 2 4 6" xfId="40432" xr:uid="{00000000-0005-0000-0000-00005F940000}"/>
    <cellStyle name="Currency 6 2 2 4 7" xfId="40433" xr:uid="{00000000-0005-0000-0000-000060940000}"/>
    <cellStyle name="Currency 6 2 2 4 8" xfId="40434" xr:uid="{00000000-0005-0000-0000-000061940000}"/>
    <cellStyle name="Currency 6 2 2 5" xfId="40435" xr:uid="{00000000-0005-0000-0000-000062940000}"/>
    <cellStyle name="Currency 6 2 2 5 2" xfId="40436" xr:uid="{00000000-0005-0000-0000-000063940000}"/>
    <cellStyle name="Currency 6 2 2 5 2 2" xfId="40437" xr:uid="{00000000-0005-0000-0000-000064940000}"/>
    <cellStyle name="Currency 6 2 2 5 2 2 2" xfId="40438" xr:uid="{00000000-0005-0000-0000-000065940000}"/>
    <cellStyle name="Currency 6 2 2 5 2 3" xfId="40439" xr:uid="{00000000-0005-0000-0000-000066940000}"/>
    <cellStyle name="Currency 6 2 2 5 3" xfId="40440" xr:uid="{00000000-0005-0000-0000-000067940000}"/>
    <cellStyle name="Currency 6 2 2 5 3 2" xfId="40441" xr:uid="{00000000-0005-0000-0000-000068940000}"/>
    <cellStyle name="Currency 6 2 2 5 4" xfId="40442" xr:uid="{00000000-0005-0000-0000-000069940000}"/>
    <cellStyle name="Currency 6 2 2 5 5" xfId="40443" xr:uid="{00000000-0005-0000-0000-00006A940000}"/>
    <cellStyle name="Currency 6 2 2 5 6" xfId="40444" xr:uid="{00000000-0005-0000-0000-00006B940000}"/>
    <cellStyle name="Currency 6 2 2 6" xfId="40445" xr:uid="{00000000-0005-0000-0000-00006C940000}"/>
    <cellStyle name="Currency 6 2 2 6 2" xfId="40446" xr:uid="{00000000-0005-0000-0000-00006D940000}"/>
    <cellStyle name="Currency 6 2 2 6 2 2" xfId="40447" xr:uid="{00000000-0005-0000-0000-00006E940000}"/>
    <cellStyle name="Currency 6 2 2 6 3" xfId="40448" xr:uid="{00000000-0005-0000-0000-00006F940000}"/>
    <cellStyle name="Currency 6 2 2 7" xfId="40449" xr:uid="{00000000-0005-0000-0000-000070940000}"/>
    <cellStyle name="Currency 6 2 2 7 2" xfId="40450" xr:uid="{00000000-0005-0000-0000-000071940000}"/>
    <cellStyle name="Currency 6 2 2 7 2 2" xfId="40451" xr:uid="{00000000-0005-0000-0000-000072940000}"/>
    <cellStyle name="Currency 6 2 2 7 3" xfId="40452" xr:uid="{00000000-0005-0000-0000-000073940000}"/>
    <cellStyle name="Currency 6 2 2 8" xfId="40453" xr:uid="{00000000-0005-0000-0000-000074940000}"/>
    <cellStyle name="Currency 6 2 2 8 2" xfId="40454" xr:uid="{00000000-0005-0000-0000-000075940000}"/>
    <cellStyle name="Currency 6 2 2 9" xfId="40455" xr:uid="{00000000-0005-0000-0000-000076940000}"/>
    <cellStyle name="Currency 6 2 3" xfId="40456" xr:uid="{00000000-0005-0000-0000-000077940000}"/>
    <cellStyle name="Currency 6 2 3 10" xfId="40457" xr:uid="{00000000-0005-0000-0000-000078940000}"/>
    <cellStyle name="Currency 6 2 3 2" xfId="40458" xr:uid="{00000000-0005-0000-0000-000079940000}"/>
    <cellStyle name="Currency 6 2 3 2 2" xfId="40459" xr:uid="{00000000-0005-0000-0000-00007A940000}"/>
    <cellStyle name="Currency 6 2 3 2 2 2" xfId="40460" xr:uid="{00000000-0005-0000-0000-00007B940000}"/>
    <cellStyle name="Currency 6 2 3 2 2 2 2" xfId="40461" xr:uid="{00000000-0005-0000-0000-00007C940000}"/>
    <cellStyle name="Currency 6 2 3 2 2 2 2 2" xfId="40462" xr:uid="{00000000-0005-0000-0000-00007D940000}"/>
    <cellStyle name="Currency 6 2 3 2 2 2 3" xfId="40463" xr:uid="{00000000-0005-0000-0000-00007E940000}"/>
    <cellStyle name="Currency 6 2 3 2 2 3" xfId="40464" xr:uid="{00000000-0005-0000-0000-00007F940000}"/>
    <cellStyle name="Currency 6 2 3 2 2 3 2" xfId="40465" xr:uid="{00000000-0005-0000-0000-000080940000}"/>
    <cellStyle name="Currency 6 2 3 2 2 4" xfId="40466" xr:uid="{00000000-0005-0000-0000-000081940000}"/>
    <cellStyle name="Currency 6 2 3 2 2 5" xfId="40467" xr:uid="{00000000-0005-0000-0000-000082940000}"/>
    <cellStyle name="Currency 6 2 3 2 2 6" xfId="40468" xr:uid="{00000000-0005-0000-0000-000083940000}"/>
    <cellStyle name="Currency 6 2 3 2 3" xfId="40469" xr:uid="{00000000-0005-0000-0000-000084940000}"/>
    <cellStyle name="Currency 6 2 3 2 3 2" xfId="40470" xr:uid="{00000000-0005-0000-0000-000085940000}"/>
    <cellStyle name="Currency 6 2 3 2 3 2 2" xfId="40471" xr:uid="{00000000-0005-0000-0000-000086940000}"/>
    <cellStyle name="Currency 6 2 3 2 3 3" xfId="40472" xr:uid="{00000000-0005-0000-0000-000087940000}"/>
    <cellStyle name="Currency 6 2 3 2 4" xfId="40473" xr:uid="{00000000-0005-0000-0000-000088940000}"/>
    <cellStyle name="Currency 6 2 3 2 4 2" xfId="40474" xr:uid="{00000000-0005-0000-0000-000089940000}"/>
    <cellStyle name="Currency 6 2 3 2 4 2 2" xfId="40475" xr:uid="{00000000-0005-0000-0000-00008A940000}"/>
    <cellStyle name="Currency 6 2 3 2 4 3" xfId="40476" xr:uid="{00000000-0005-0000-0000-00008B940000}"/>
    <cellStyle name="Currency 6 2 3 2 5" xfId="40477" xr:uid="{00000000-0005-0000-0000-00008C940000}"/>
    <cellStyle name="Currency 6 2 3 2 5 2" xfId="40478" xr:uid="{00000000-0005-0000-0000-00008D940000}"/>
    <cellStyle name="Currency 6 2 3 2 6" xfId="40479" xr:uid="{00000000-0005-0000-0000-00008E940000}"/>
    <cellStyle name="Currency 6 2 3 2 7" xfId="40480" xr:uid="{00000000-0005-0000-0000-00008F940000}"/>
    <cellStyle name="Currency 6 2 3 2 8" xfId="40481" xr:uid="{00000000-0005-0000-0000-000090940000}"/>
    <cellStyle name="Currency 6 2 3 3" xfId="40482" xr:uid="{00000000-0005-0000-0000-000091940000}"/>
    <cellStyle name="Currency 6 2 3 3 2" xfId="40483" xr:uid="{00000000-0005-0000-0000-000092940000}"/>
    <cellStyle name="Currency 6 2 3 3 2 2" xfId="40484" xr:uid="{00000000-0005-0000-0000-000093940000}"/>
    <cellStyle name="Currency 6 2 3 3 2 2 2" xfId="40485" xr:uid="{00000000-0005-0000-0000-000094940000}"/>
    <cellStyle name="Currency 6 2 3 3 2 2 2 2" xfId="40486" xr:uid="{00000000-0005-0000-0000-000095940000}"/>
    <cellStyle name="Currency 6 2 3 3 2 2 3" xfId="40487" xr:uid="{00000000-0005-0000-0000-000096940000}"/>
    <cellStyle name="Currency 6 2 3 3 2 3" xfId="40488" xr:uid="{00000000-0005-0000-0000-000097940000}"/>
    <cellStyle name="Currency 6 2 3 3 2 3 2" xfId="40489" xr:uid="{00000000-0005-0000-0000-000098940000}"/>
    <cellStyle name="Currency 6 2 3 3 2 4" xfId="40490" xr:uid="{00000000-0005-0000-0000-000099940000}"/>
    <cellStyle name="Currency 6 2 3 3 2 5" xfId="40491" xr:uid="{00000000-0005-0000-0000-00009A940000}"/>
    <cellStyle name="Currency 6 2 3 3 2 6" xfId="40492" xr:uid="{00000000-0005-0000-0000-00009B940000}"/>
    <cellStyle name="Currency 6 2 3 3 3" xfId="40493" xr:uid="{00000000-0005-0000-0000-00009C940000}"/>
    <cellStyle name="Currency 6 2 3 3 3 2" xfId="40494" xr:uid="{00000000-0005-0000-0000-00009D940000}"/>
    <cellStyle name="Currency 6 2 3 3 3 2 2" xfId="40495" xr:uid="{00000000-0005-0000-0000-00009E940000}"/>
    <cellStyle name="Currency 6 2 3 3 3 3" xfId="40496" xr:uid="{00000000-0005-0000-0000-00009F940000}"/>
    <cellStyle name="Currency 6 2 3 3 4" xfId="40497" xr:uid="{00000000-0005-0000-0000-0000A0940000}"/>
    <cellStyle name="Currency 6 2 3 3 4 2" xfId="40498" xr:uid="{00000000-0005-0000-0000-0000A1940000}"/>
    <cellStyle name="Currency 6 2 3 3 5" xfId="40499" xr:uid="{00000000-0005-0000-0000-0000A2940000}"/>
    <cellStyle name="Currency 6 2 3 3 6" xfId="40500" xr:uid="{00000000-0005-0000-0000-0000A3940000}"/>
    <cellStyle name="Currency 6 2 3 3 7" xfId="40501" xr:uid="{00000000-0005-0000-0000-0000A4940000}"/>
    <cellStyle name="Currency 6 2 3 4" xfId="40502" xr:uid="{00000000-0005-0000-0000-0000A5940000}"/>
    <cellStyle name="Currency 6 2 3 4 2" xfId="40503" xr:uid="{00000000-0005-0000-0000-0000A6940000}"/>
    <cellStyle name="Currency 6 2 3 4 2 2" xfId="40504" xr:uid="{00000000-0005-0000-0000-0000A7940000}"/>
    <cellStyle name="Currency 6 2 3 4 2 2 2" xfId="40505" xr:uid="{00000000-0005-0000-0000-0000A8940000}"/>
    <cellStyle name="Currency 6 2 3 4 2 3" xfId="40506" xr:uid="{00000000-0005-0000-0000-0000A9940000}"/>
    <cellStyle name="Currency 6 2 3 4 3" xfId="40507" xr:uid="{00000000-0005-0000-0000-0000AA940000}"/>
    <cellStyle name="Currency 6 2 3 4 3 2" xfId="40508" xr:uid="{00000000-0005-0000-0000-0000AB940000}"/>
    <cellStyle name="Currency 6 2 3 4 4" xfId="40509" xr:uid="{00000000-0005-0000-0000-0000AC940000}"/>
    <cellStyle name="Currency 6 2 3 4 5" xfId="40510" xr:uid="{00000000-0005-0000-0000-0000AD940000}"/>
    <cellStyle name="Currency 6 2 3 4 6" xfId="40511" xr:uid="{00000000-0005-0000-0000-0000AE940000}"/>
    <cellStyle name="Currency 6 2 3 5" xfId="40512" xr:uid="{00000000-0005-0000-0000-0000AF940000}"/>
    <cellStyle name="Currency 6 2 3 5 2" xfId="40513" xr:uid="{00000000-0005-0000-0000-0000B0940000}"/>
    <cellStyle name="Currency 6 2 3 5 2 2" xfId="40514" xr:uid="{00000000-0005-0000-0000-0000B1940000}"/>
    <cellStyle name="Currency 6 2 3 5 3" xfId="40515" xr:uid="{00000000-0005-0000-0000-0000B2940000}"/>
    <cellStyle name="Currency 6 2 3 6" xfId="40516" xr:uid="{00000000-0005-0000-0000-0000B3940000}"/>
    <cellStyle name="Currency 6 2 3 6 2" xfId="40517" xr:uid="{00000000-0005-0000-0000-0000B4940000}"/>
    <cellStyle name="Currency 6 2 3 6 2 2" xfId="40518" xr:uid="{00000000-0005-0000-0000-0000B5940000}"/>
    <cellStyle name="Currency 6 2 3 6 3" xfId="40519" xr:uid="{00000000-0005-0000-0000-0000B6940000}"/>
    <cellStyle name="Currency 6 2 3 7" xfId="40520" xr:uid="{00000000-0005-0000-0000-0000B7940000}"/>
    <cellStyle name="Currency 6 2 3 7 2" xfId="40521" xr:uid="{00000000-0005-0000-0000-0000B8940000}"/>
    <cellStyle name="Currency 6 2 3 8" xfId="40522" xr:uid="{00000000-0005-0000-0000-0000B9940000}"/>
    <cellStyle name="Currency 6 2 3 9" xfId="40523" xr:uid="{00000000-0005-0000-0000-0000BA940000}"/>
    <cellStyle name="Currency 6 2 4" xfId="40524" xr:uid="{00000000-0005-0000-0000-0000BB940000}"/>
    <cellStyle name="Currency 6 2 4 2" xfId="40525" xr:uid="{00000000-0005-0000-0000-0000BC940000}"/>
    <cellStyle name="Currency 6 2 4 2 2" xfId="40526" xr:uid="{00000000-0005-0000-0000-0000BD940000}"/>
    <cellStyle name="Currency 6 2 4 2 2 2" xfId="40527" xr:uid="{00000000-0005-0000-0000-0000BE940000}"/>
    <cellStyle name="Currency 6 2 4 2 2 2 2" xfId="40528" xr:uid="{00000000-0005-0000-0000-0000BF940000}"/>
    <cellStyle name="Currency 6 2 4 2 2 3" xfId="40529" xr:uid="{00000000-0005-0000-0000-0000C0940000}"/>
    <cellStyle name="Currency 6 2 4 2 3" xfId="40530" xr:uid="{00000000-0005-0000-0000-0000C1940000}"/>
    <cellStyle name="Currency 6 2 4 2 3 2" xfId="40531" xr:uid="{00000000-0005-0000-0000-0000C2940000}"/>
    <cellStyle name="Currency 6 2 4 2 4" xfId="40532" xr:uid="{00000000-0005-0000-0000-0000C3940000}"/>
    <cellStyle name="Currency 6 2 4 2 5" xfId="40533" xr:uid="{00000000-0005-0000-0000-0000C4940000}"/>
    <cellStyle name="Currency 6 2 4 2 6" xfId="40534" xr:uid="{00000000-0005-0000-0000-0000C5940000}"/>
    <cellStyle name="Currency 6 2 4 3" xfId="40535" xr:uid="{00000000-0005-0000-0000-0000C6940000}"/>
    <cellStyle name="Currency 6 2 4 3 2" xfId="40536" xr:uid="{00000000-0005-0000-0000-0000C7940000}"/>
    <cellStyle name="Currency 6 2 4 3 2 2" xfId="40537" xr:uid="{00000000-0005-0000-0000-0000C8940000}"/>
    <cellStyle name="Currency 6 2 4 3 3" xfId="40538" xr:uid="{00000000-0005-0000-0000-0000C9940000}"/>
    <cellStyle name="Currency 6 2 4 4" xfId="40539" xr:uid="{00000000-0005-0000-0000-0000CA940000}"/>
    <cellStyle name="Currency 6 2 4 4 2" xfId="40540" xr:uid="{00000000-0005-0000-0000-0000CB940000}"/>
    <cellStyle name="Currency 6 2 4 4 2 2" xfId="40541" xr:uid="{00000000-0005-0000-0000-0000CC940000}"/>
    <cellStyle name="Currency 6 2 4 4 3" xfId="40542" xr:uid="{00000000-0005-0000-0000-0000CD940000}"/>
    <cellStyle name="Currency 6 2 4 5" xfId="40543" xr:uid="{00000000-0005-0000-0000-0000CE940000}"/>
    <cellStyle name="Currency 6 2 4 5 2" xfId="40544" xr:uid="{00000000-0005-0000-0000-0000CF940000}"/>
    <cellStyle name="Currency 6 2 4 6" xfId="40545" xr:uid="{00000000-0005-0000-0000-0000D0940000}"/>
    <cellStyle name="Currency 6 2 4 7" xfId="40546" xr:uid="{00000000-0005-0000-0000-0000D1940000}"/>
    <cellStyle name="Currency 6 2 4 8" xfId="40547" xr:uid="{00000000-0005-0000-0000-0000D2940000}"/>
    <cellStyle name="Currency 6 2 5" xfId="40548" xr:uid="{00000000-0005-0000-0000-0000D3940000}"/>
    <cellStyle name="Currency 6 2 5 2" xfId="40549" xr:uid="{00000000-0005-0000-0000-0000D4940000}"/>
    <cellStyle name="Currency 6 2 5 2 2" xfId="40550" xr:uid="{00000000-0005-0000-0000-0000D5940000}"/>
    <cellStyle name="Currency 6 2 5 2 2 2" xfId="40551" xr:uid="{00000000-0005-0000-0000-0000D6940000}"/>
    <cellStyle name="Currency 6 2 5 2 2 2 2" xfId="40552" xr:uid="{00000000-0005-0000-0000-0000D7940000}"/>
    <cellStyle name="Currency 6 2 5 2 2 3" xfId="40553" xr:uid="{00000000-0005-0000-0000-0000D8940000}"/>
    <cellStyle name="Currency 6 2 5 2 3" xfId="40554" xr:uid="{00000000-0005-0000-0000-0000D9940000}"/>
    <cellStyle name="Currency 6 2 5 2 3 2" xfId="40555" xr:uid="{00000000-0005-0000-0000-0000DA940000}"/>
    <cellStyle name="Currency 6 2 5 2 4" xfId="40556" xr:uid="{00000000-0005-0000-0000-0000DB940000}"/>
    <cellStyle name="Currency 6 2 5 2 5" xfId="40557" xr:uid="{00000000-0005-0000-0000-0000DC940000}"/>
    <cellStyle name="Currency 6 2 5 2 6" xfId="40558" xr:uid="{00000000-0005-0000-0000-0000DD940000}"/>
    <cellStyle name="Currency 6 2 5 3" xfId="40559" xr:uid="{00000000-0005-0000-0000-0000DE940000}"/>
    <cellStyle name="Currency 6 2 5 3 2" xfId="40560" xr:uid="{00000000-0005-0000-0000-0000DF940000}"/>
    <cellStyle name="Currency 6 2 5 3 2 2" xfId="40561" xr:uid="{00000000-0005-0000-0000-0000E0940000}"/>
    <cellStyle name="Currency 6 2 5 3 3" xfId="40562" xr:uid="{00000000-0005-0000-0000-0000E1940000}"/>
    <cellStyle name="Currency 6 2 5 4" xfId="40563" xr:uid="{00000000-0005-0000-0000-0000E2940000}"/>
    <cellStyle name="Currency 6 2 5 4 2" xfId="40564" xr:uid="{00000000-0005-0000-0000-0000E3940000}"/>
    <cellStyle name="Currency 6 2 5 4 2 2" xfId="40565" xr:uid="{00000000-0005-0000-0000-0000E4940000}"/>
    <cellStyle name="Currency 6 2 5 4 3" xfId="40566" xr:uid="{00000000-0005-0000-0000-0000E5940000}"/>
    <cellStyle name="Currency 6 2 5 5" xfId="40567" xr:uid="{00000000-0005-0000-0000-0000E6940000}"/>
    <cellStyle name="Currency 6 2 5 5 2" xfId="40568" xr:uid="{00000000-0005-0000-0000-0000E7940000}"/>
    <cellStyle name="Currency 6 2 5 6" xfId="40569" xr:uid="{00000000-0005-0000-0000-0000E8940000}"/>
    <cellStyle name="Currency 6 2 5 7" xfId="40570" xr:uid="{00000000-0005-0000-0000-0000E9940000}"/>
    <cellStyle name="Currency 6 2 5 8" xfId="40571" xr:uid="{00000000-0005-0000-0000-0000EA940000}"/>
    <cellStyle name="Currency 6 2 6" xfId="40572" xr:uid="{00000000-0005-0000-0000-0000EB940000}"/>
    <cellStyle name="Currency 6 2 6 2" xfId="40573" xr:uid="{00000000-0005-0000-0000-0000EC940000}"/>
    <cellStyle name="Currency 6 2 6 2 2" xfId="40574" xr:uid="{00000000-0005-0000-0000-0000ED940000}"/>
    <cellStyle name="Currency 6 2 6 2 2 2" xfId="40575" xr:uid="{00000000-0005-0000-0000-0000EE940000}"/>
    <cellStyle name="Currency 6 2 6 2 3" xfId="40576" xr:uid="{00000000-0005-0000-0000-0000EF940000}"/>
    <cellStyle name="Currency 6 2 6 3" xfId="40577" xr:uid="{00000000-0005-0000-0000-0000F0940000}"/>
    <cellStyle name="Currency 6 2 6 3 2" xfId="40578" xr:uid="{00000000-0005-0000-0000-0000F1940000}"/>
    <cellStyle name="Currency 6 2 6 4" xfId="40579" xr:uid="{00000000-0005-0000-0000-0000F2940000}"/>
    <cellStyle name="Currency 6 2 6 5" xfId="40580" xr:uid="{00000000-0005-0000-0000-0000F3940000}"/>
    <cellStyle name="Currency 6 2 6 6" xfId="40581" xr:uid="{00000000-0005-0000-0000-0000F4940000}"/>
    <cellStyle name="Currency 6 2 7" xfId="40582" xr:uid="{00000000-0005-0000-0000-0000F5940000}"/>
    <cellStyle name="Currency 6 2 7 2" xfId="40583" xr:uid="{00000000-0005-0000-0000-0000F6940000}"/>
    <cellStyle name="Currency 6 2 7 2 2" xfId="40584" xr:uid="{00000000-0005-0000-0000-0000F7940000}"/>
    <cellStyle name="Currency 6 2 7 3" xfId="40585" xr:uid="{00000000-0005-0000-0000-0000F8940000}"/>
    <cellStyle name="Currency 6 2 8" xfId="40586" xr:uid="{00000000-0005-0000-0000-0000F9940000}"/>
    <cellStyle name="Currency 6 2 8 2" xfId="40587" xr:uid="{00000000-0005-0000-0000-0000FA940000}"/>
    <cellStyle name="Currency 6 2 8 2 2" xfId="40588" xr:uid="{00000000-0005-0000-0000-0000FB940000}"/>
    <cellStyle name="Currency 6 2 8 3" xfId="40589" xr:uid="{00000000-0005-0000-0000-0000FC940000}"/>
    <cellStyle name="Currency 6 2 9" xfId="40590" xr:uid="{00000000-0005-0000-0000-0000FD940000}"/>
    <cellStyle name="Currency 6 2 9 2" xfId="40591" xr:uid="{00000000-0005-0000-0000-0000FE940000}"/>
    <cellStyle name="Currency 6 3" xfId="40592" xr:uid="{00000000-0005-0000-0000-0000FF940000}"/>
    <cellStyle name="Currency 6 3 10" xfId="40593" xr:uid="{00000000-0005-0000-0000-000000950000}"/>
    <cellStyle name="Currency 6 3 11" xfId="40594" xr:uid="{00000000-0005-0000-0000-000001950000}"/>
    <cellStyle name="Currency 6 3 2" xfId="40595" xr:uid="{00000000-0005-0000-0000-000002950000}"/>
    <cellStyle name="Currency 6 3 2 10" xfId="40596" xr:uid="{00000000-0005-0000-0000-000003950000}"/>
    <cellStyle name="Currency 6 3 2 2" xfId="40597" xr:uid="{00000000-0005-0000-0000-000004950000}"/>
    <cellStyle name="Currency 6 3 2 2 2" xfId="40598" xr:uid="{00000000-0005-0000-0000-000005950000}"/>
    <cellStyle name="Currency 6 3 2 2 2 2" xfId="40599" xr:uid="{00000000-0005-0000-0000-000006950000}"/>
    <cellStyle name="Currency 6 3 2 2 2 2 2" xfId="40600" xr:uid="{00000000-0005-0000-0000-000007950000}"/>
    <cellStyle name="Currency 6 3 2 2 2 2 2 2" xfId="40601" xr:uid="{00000000-0005-0000-0000-000008950000}"/>
    <cellStyle name="Currency 6 3 2 2 2 2 3" xfId="40602" xr:uid="{00000000-0005-0000-0000-000009950000}"/>
    <cellStyle name="Currency 6 3 2 2 2 3" xfId="40603" xr:uid="{00000000-0005-0000-0000-00000A950000}"/>
    <cellStyle name="Currency 6 3 2 2 2 3 2" xfId="40604" xr:uid="{00000000-0005-0000-0000-00000B950000}"/>
    <cellStyle name="Currency 6 3 2 2 2 4" xfId="40605" xr:uid="{00000000-0005-0000-0000-00000C950000}"/>
    <cellStyle name="Currency 6 3 2 2 2 5" xfId="40606" xr:uid="{00000000-0005-0000-0000-00000D950000}"/>
    <cellStyle name="Currency 6 3 2 2 2 6" xfId="40607" xr:uid="{00000000-0005-0000-0000-00000E950000}"/>
    <cellStyle name="Currency 6 3 2 2 3" xfId="40608" xr:uid="{00000000-0005-0000-0000-00000F950000}"/>
    <cellStyle name="Currency 6 3 2 2 3 2" xfId="40609" xr:uid="{00000000-0005-0000-0000-000010950000}"/>
    <cellStyle name="Currency 6 3 2 2 3 2 2" xfId="40610" xr:uid="{00000000-0005-0000-0000-000011950000}"/>
    <cellStyle name="Currency 6 3 2 2 3 3" xfId="40611" xr:uid="{00000000-0005-0000-0000-000012950000}"/>
    <cellStyle name="Currency 6 3 2 2 4" xfId="40612" xr:uid="{00000000-0005-0000-0000-000013950000}"/>
    <cellStyle name="Currency 6 3 2 2 4 2" xfId="40613" xr:uid="{00000000-0005-0000-0000-000014950000}"/>
    <cellStyle name="Currency 6 3 2 2 4 2 2" xfId="40614" xr:uid="{00000000-0005-0000-0000-000015950000}"/>
    <cellStyle name="Currency 6 3 2 2 4 3" xfId="40615" xr:uid="{00000000-0005-0000-0000-000016950000}"/>
    <cellStyle name="Currency 6 3 2 2 5" xfId="40616" xr:uid="{00000000-0005-0000-0000-000017950000}"/>
    <cellStyle name="Currency 6 3 2 2 5 2" xfId="40617" xr:uid="{00000000-0005-0000-0000-000018950000}"/>
    <cellStyle name="Currency 6 3 2 2 6" xfId="40618" xr:uid="{00000000-0005-0000-0000-000019950000}"/>
    <cellStyle name="Currency 6 3 2 2 7" xfId="40619" xr:uid="{00000000-0005-0000-0000-00001A950000}"/>
    <cellStyle name="Currency 6 3 2 2 8" xfId="40620" xr:uid="{00000000-0005-0000-0000-00001B950000}"/>
    <cellStyle name="Currency 6 3 2 3" xfId="40621" xr:uid="{00000000-0005-0000-0000-00001C950000}"/>
    <cellStyle name="Currency 6 3 2 3 2" xfId="40622" xr:uid="{00000000-0005-0000-0000-00001D950000}"/>
    <cellStyle name="Currency 6 3 2 3 2 2" xfId="40623" xr:uid="{00000000-0005-0000-0000-00001E950000}"/>
    <cellStyle name="Currency 6 3 2 3 2 2 2" xfId="40624" xr:uid="{00000000-0005-0000-0000-00001F950000}"/>
    <cellStyle name="Currency 6 3 2 3 2 2 2 2" xfId="40625" xr:uid="{00000000-0005-0000-0000-000020950000}"/>
    <cellStyle name="Currency 6 3 2 3 2 2 3" xfId="40626" xr:uid="{00000000-0005-0000-0000-000021950000}"/>
    <cellStyle name="Currency 6 3 2 3 2 3" xfId="40627" xr:uid="{00000000-0005-0000-0000-000022950000}"/>
    <cellStyle name="Currency 6 3 2 3 2 3 2" xfId="40628" xr:uid="{00000000-0005-0000-0000-000023950000}"/>
    <cellStyle name="Currency 6 3 2 3 2 4" xfId="40629" xr:uid="{00000000-0005-0000-0000-000024950000}"/>
    <cellStyle name="Currency 6 3 2 3 2 5" xfId="40630" xr:uid="{00000000-0005-0000-0000-000025950000}"/>
    <cellStyle name="Currency 6 3 2 3 2 6" xfId="40631" xr:uid="{00000000-0005-0000-0000-000026950000}"/>
    <cellStyle name="Currency 6 3 2 3 3" xfId="40632" xr:uid="{00000000-0005-0000-0000-000027950000}"/>
    <cellStyle name="Currency 6 3 2 3 3 2" xfId="40633" xr:uid="{00000000-0005-0000-0000-000028950000}"/>
    <cellStyle name="Currency 6 3 2 3 3 2 2" xfId="40634" xr:uid="{00000000-0005-0000-0000-000029950000}"/>
    <cellStyle name="Currency 6 3 2 3 3 3" xfId="40635" xr:uid="{00000000-0005-0000-0000-00002A950000}"/>
    <cellStyle name="Currency 6 3 2 3 4" xfId="40636" xr:uid="{00000000-0005-0000-0000-00002B950000}"/>
    <cellStyle name="Currency 6 3 2 3 4 2" xfId="40637" xr:uid="{00000000-0005-0000-0000-00002C950000}"/>
    <cellStyle name="Currency 6 3 2 3 5" xfId="40638" xr:uid="{00000000-0005-0000-0000-00002D950000}"/>
    <cellStyle name="Currency 6 3 2 3 6" xfId="40639" xr:uid="{00000000-0005-0000-0000-00002E950000}"/>
    <cellStyle name="Currency 6 3 2 3 7" xfId="40640" xr:uid="{00000000-0005-0000-0000-00002F950000}"/>
    <cellStyle name="Currency 6 3 2 4" xfId="40641" xr:uid="{00000000-0005-0000-0000-000030950000}"/>
    <cellStyle name="Currency 6 3 2 4 2" xfId="40642" xr:uid="{00000000-0005-0000-0000-000031950000}"/>
    <cellStyle name="Currency 6 3 2 4 2 2" xfId="40643" xr:uid="{00000000-0005-0000-0000-000032950000}"/>
    <cellStyle name="Currency 6 3 2 4 2 2 2" xfId="40644" xr:uid="{00000000-0005-0000-0000-000033950000}"/>
    <cellStyle name="Currency 6 3 2 4 2 3" xfId="40645" xr:uid="{00000000-0005-0000-0000-000034950000}"/>
    <cellStyle name="Currency 6 3 2 4 3" xfId="40646" xr:uid="{00000000-0005-0000-0000-000035950000}"/>
    <cellStyle name="Currency 6 3 2 4 3 2" xfId="40647" xr:uid="{00000000-0005-0000-0000-000036950000}"/>
    <cellStyle name="Currency 6 3 2 4 4" xfId="40648" xr:uid="{00000000-0005-0000-0000-000037950000}"/>
    <cellStyle name="Currency 6 3 2 4 5" xfId="40649" xr:uid="{00000000-0005-0000-0000-000038950000}"/>
    <cellStyle name="Currency 6 3 2 4 6" xfId="40650" xr:uid="{00000000-0005-0000-0000-000039950000}"/>
    <cellStyle name="Currency 6 3 2 5" xfId="40651" xr:uid="{00000000-0005-0000-0000-00003A950000}"/>
    <cellStyle name="Currency 6 3 2 5 2" xfId="40652" xr:uid="{00000000-0005-0000-0000-00003B950000}"/>
    <cellStyle name="Currency 6 3 2 5 2 2" xfId="40653" xr:uid="{00000000-0005-0000-0000-00003C950000}"/>
    <cellStyle name="Currency 6 3 2 5 3" xfId="40654" xr:uid="{00000000-0005-0000-0000-00003D950000}"/>
    <cellStyle name="Currency 6 3 2 6" xfId="40655" xr:uid="{00000000-0005-0000-0000-00003E950000}"/>
    <cellStyle name="Currency 6 3 2 6 2" xfId="40656" xr:uid="{00000000-0005-0000-0000-00003F950000}"/>
    <cellStyle name="Currency 6 3 2 6 2 2" xfId="40657" xr:uid="{00000000-0005-0000-0000-000040950000}"/>
    <cellStyle name="Currency 6 3 2 6 3" xfId="40658" xr:uid="{00000000-0005-0000-0000-000041950000}"/>
    <cellStyle name="Currency 6 3 2 7" xfId="40659" xr:uid="{00000000-0005-0000-0000-000042950000}"/>
    <cellStyle name="Currency 6 3 2 7 2" xfId="40660" xr:uid="{00000000-0005-0000-0000-000043950000}"/>
    <cellStyle name="Currency 6 3 2 8" xfId="40661" xr:uid="{00000000-0005-0000-0000-000044950000}"/>
    <cellStyle name="Currency 6 3 2 9" xfId="40662" xr:uid="{00000000-0005-0000-0000-000045950000}"/>
    <cellStyle name="Currency 6 3 3" xfId="40663" xr:uid="{00000000-0005-0000-0000-000046950000}"/>
    <cellStyle name="Currency 6 3 3 2" xfId="40664" xr:uid="{00000000-0005-0000-0000-000047950000}"/>
    <cellStyle name="Currency 6 3 3 2 2" xfId="40665" xr:uid="{00000000-0005-0000-0000-000048950000}"/>
    <cellStyle name="Currency 6 3 3 2 2 2" xfId="40666" xr:uid="{00000000-0005-0000-0000-000049950000}"/>
    <cellStyle name="Currency 6 3 3 2 2 2 2" xfId="40667" xr:uid="{00000000-0005-0000-0000-00004A950000}"/>
    <cellStyle name="Currency 6 3 3 2 2 3" xfId="40668" xr:uid="{00000000-0005-0000-0000-00004B950000}"/>
    <cellStyle name="Currency 6 3 3 2 3" xfId="40669" xr:uid="{00000000-0005-0000-0000-00004C950000}"/>
    <cellStyle name="Currency 6 3 3 2 3 2" xfId="40670" xr:uid="{00000000-0005-0000-0000-00004D950000}"/>
    <cellStyle name="Currency 6 3 3 2 4" xfId="40671" xr:uid="{00000000-0005-0000-0000-00004E950000}"/>
    <cellStyle name="Currency 6 3 3 2 5" xfId="40672" xr:uid="{00000000-0005-0000-0000-00004F950000}"/>
    <cellStyle name="Currency 6 3 3 2 6" xfId="40673" xr:uid="{00000000-0005-0000-0000-000050950000}"/>
    <cellStyle name="Currency 6 3 3 3" xfId="40674" xr:uid="{00000000-0005-0000-0000-000051950000}"/>
    <cellStyle name="Currency 6 3 3 3 2" xfId="40675" xr:uid="{00000000-0005-0000-0000-000052950000}"/>
    <cellStyle name="Currency 6 3 3 3 2 2" xfId="40676" xr:uid="{00000000-0005-0000-0000-000053950000}"/>
    <cellStyle name="Currency 6 3 3 3 3" xfId="40677" xr:uid="{00000000-0005-0000-0000-000054950000}"/>
    <cellStyle name="Currency 6 3 3 4" xfId="40678" xr:uid="{00000000-0005-0000-0000-000055950000}"/>
    <cellStyle name="Currency 6 3 3 4 2" xfId="40679" xr:uid="{00000000-0005-0000-0000-000056950000}"/>
    <cellStyle name="Currency 6 3 3 4 2 2" xfId="40680" xr:uid="{00000000-0005-0000-0000-000057950000}"/>
    <cellStyle name="Currency 6 3 3 4 3" xfId="40681" xr:uid="{00000000-0005-0000-0000-000058950000}"/>
    <cellStyle name="Currency 6 3 3 5" xfId="40682" xr:uid="{00000000-0005-0000-0000-000059950000}"/>
    <cellStyle name="Currency 6 3 3 5 2" xfId="40683" xr:uid="{00000000-0005-0000-0000-00005A950000}"/>
    <cellStyle name="Currency 6 3 3 6" xfId="40684" xr:uid="{00000000-0005-0000-0000-00005B950000}"/>
    <cellStyle name="Currency 6 3 3 7" xfId="40685" xr:uid="{00000000-0005-0000-0000-00005C950000}"/>
    <cellStyle name="Currency 6 3 3 8" xfId="40686" xr:uid="{00000000-0005-0000-0000-00005D950000}"/>
    <cellStyle name="Currency 6 3 4" xfId="40687" xr:uid="{00000000-0005-0000-0000-00005E950000}"/>
    <cellStyle name="Currency 6 3 4 2" xfId="40688" xr:uid="{00000000-0005-0000-0000-00005F950000}"/>
    <cellStyle name="Currency 6 3 4 2 2" xfId="40689" xr:uid="{00000000-0005-0000-0000-000060950000}"/>
    <cellStyle name="Currency 6 3 4 2 2 2" xfId="40690" xr:uid="{00000000-0005-0000-0000-000061950000}"/>
    <cellStyle name="Currency 6 3 4 2 2 2 2" xfId="40691" xr:uid="{00000000-0005-0000-0000-000062950000}"/>
    <cellStyle name="Currency 6 3 4 2 2 3" xfId="40692" xr:uid="{00000000-0005-0000-0000-000063950000}"/>
    <cellStyle name="Currency 6 3 4 2 3" xfId="40693" xr:uid="{00000000-0005-0000-0000-000064950000}"/>
    <cellStyle name="Currency 6 3 4 2 3 2" xfId="40694" xr:uid="{00000000-0005-0000-0000-000065950000}"/>
    <cellStyle name="Currency 6 3 4 2 4" xfId="40695" xr:uid="{00000000-0005-0000-0000-000066950000}"/>
    <cellStyle name="Currency 6 3 4 2 5" xfId="40696" xr:uid="{00000000-0005-0000-0000-000067950000}"/>
    <cellStyle name="Currency 6 3 4 2 6" xfId="40697" xr:uid="{00000000-0005-0000-0000-000068950000}"/>
    <cellStyle name="Currency 6 3 4 3" xfId="40698" xr:uid="{00000000-0005-0000-0000-000069950000}"/>
    <cellStyle name="Currency 6 3 4 3 2" xfId="40699" xr:uid="{00000000-0005-0000-0000-00006A950000}"/>
    <cellStyle name="Currency 6 3 4 3 2 2" xfId="40700" xr:uid="{00000000-0005-0000-0000-00006B950000}"/>
    <cellStyle name="Currency 6 3 4 3 3" xfId="40701" xr:uid="{00000000-0005-0000-0000-00006C950000}"/>
    <cellStyle name="Currency 6 3 4 4" xfId="40702" xr:uid="{00000000-0005-0000-0000-00006D950000}"/>
    <cellStyle name="Currency 6 3 4 4 2" xfId="40703" xr:uid="{00000000-0005-0000-0000-00006E950000}"/>
    <cellStyle name="Currency 6 3 4 4 2 2" xfId="40704" xr:uid="{00000000-0005-0000-0000-00006F950000}"/>
    <cellStyle name="Currency 6 3 4 4 3" xfId="40705" xr:uid="{00000000-0005-0000-0000-000070950000}"/>
    <cellStyle name="Currency 6 3 4 5" xfId="40706" xr:uid="{00000000-0005-0000-0000-000071950000}"/>
    <cellStyle name="Currency 6 3 4 5 2" xfId="40707" xr:uid="{00000000-0005-0000-0000-000072950000}"/>
    <cellStyle name="Currency 6 3 4 6" xfId="40708" xr:uid="{00000000-0005-0000-0000-000073950000}"/>
    <cellStyle name="Currency 6 3 4 7" xfId="40709" xr:uid="{00000000-0005-0000-0000-000074950000}"/>
    <cellStyle name="Currency 6 3 4 8" xfId="40710" xr:uid="{00000000-0005-0000-0000-000075950000}"/>
    <cellStyle name="Currency 6 3 5" xfId="40711" xr:uid="{00000000-0005-0000-0000-000076950000}"/>
    <cellStyle name="Currency 6 3 5 2" xfId="40712" xr:uid="{00000000-0005-0000-0000-000077950000}"/>
    <cellStyle name="Currency 6 3 5 2 2" xfId="40713" xr:uid="{00000000-0005-0000-0000-000078950000}"/>
    <cellStyle name="Currency 6 3 5 2 2 2" xfId="40714" xr:uid="{00000000-0005-0000-0000-000079950000}"/>
    <cellStyle name="Currency 6 3 5 2 3" xfId="40715" xr:uid="{00000000-0005-0000-0000-00007A950000}"/>
    <cellStyle name="Currency 6 3 5 3" xfId="40716" xr:uid="{00000000-0005-0000-0000-00007B950000}"/>
    <cellStyle name="Currency 6 3 5 3 2" xfId="40717" xr:uid="{00000000-0005-0000-0000-00007C950000}"/>
    <cellStyle name="Currency 6 3 5 4" xfId="40718" xr:uid="{00000000-0005-0000-0000-00007D950000}"/>
    <cellStyle name="Currency 6 3 5 5" xfId="40719" xr:uid="{00000000-0005-0000-0000-00007E950000}"/>
    <cellStyle name="Currency 6 3 5 6" xfId="40720" xr:uid="{00000000-0005-0000-0000-00007F950000}"/>
    <cellStyle name="Currency 6 3 6" xfId="40721" xr:uid="{00000000-0005-0000-0000-000080950000}"/>
    <cellStyle name="Currency 6 3 6 2" xfId="40722" xr:uid="{00000000-0005-0000-0000-000081950000}"/>
    <cellStyle name="Currency 6 3 6 2 2" xfId="40723" xr:uid="{00000000-0005-0000-0000-000082950000}"/>
    <cellStyle name="Currency 6 3 6 3" xfId="40724" xr:uid="{00000000-0005-0000-0000-000083950000}"/>
    <cellStyle name="Currency 6 3 7" xfId="40725" xr:uid="{00000000-0005-0000-0000-000084950000}"/>
    <cellStyle name="Currency 6 3 7 2" xfId="40726" xr:uid="{00000000-0005-0000-0000-000085950000}"/>
    <cellStyle name="Currency 6 3 7 2 2" xfId="40727" xr:uid="{00000000-0005-0000-0000-000086950000}"/>
    <cellStyle name="Currency 6 3 7 3" xfId="40728" xr:uid="{00000000-0005-0000-0000-000087950000}"/>
    <cellStyle name="Currency 6 3 8" xfId="40729" xr:uid="{00000000-0005-0000-0000-000088950000}"/>
    <cellStyle name="Currency 6 3 8 2" xfId="40730" xr:uid="{00000000-0005-0000-0000-000089950000}"/>
    <cellStyle name="Currency 6 3 9" xfId="40731" xr:uid="{00000000-0005-0000-0000-00008A950000}"/>
    <cellStyle name="Currency 6 4" xfId="40732" xr:uid="{00000000-0005-0000-0000-00008B950000}"/>
    <cellStyle name="Currency 6 4 10" xfId="40733" xr:uid="{00000000-0005-0000-0000-00008C950000}"/>
    <cellStyle name="Currency 6 4 11" xfId="40734" xr:uid="{00000000-0005-0000-0000-00008D950000}"/>
    <cellStyle name="Currency 6 4 2" xfId="40735" xr:uid="{00000000-0005-0000-0000-00008E950000}"/>
    <cellStyle name="Currency 6 4 2 10" xfId="40736" xr:uid="{00000000-0005-0000-0000-00008F950000}"/>
    <cellStyle name="Currency 6 4 2 2" xfId="40737" xr:uid="{00000000-0005-0000-0000-000090950000}"/>
    <cellStyle name="Currency 6 4 2 2 2" xfId="40738" xr:uid="{00000000-0005-0000-0000-000091950000}"/>
    <cellStyle name="Currency 6 4 2 2 2 2" xfId="40739" xr:uid="{00000000-0005-0000-0000-000092950000}"/>
    <cellStyle name="Currency 6 4 2 2 2 2 2" xfId="40740" xr:uid="{00000000-0005-0000-0000-000093950000}"/>
    <cellStyle name="Currency 6 4 2 2 2 2 2 2" xfId="40741" xr:uid="{00000000-0005-0000-0000-000094950000}"/>
    <cellStyle name="Currency 6 4 2 2 2 2 3" xfId="40742" xr:uid="{00000000-0005-0000-0000-000095950000}"/>
    <cellStyle name="Currency 6 4 2 2 2 3" xfId="40743" xr:uid="{00000000-0005-0000-0000-000096950000}"/>
    <cellStyle name="Currency 6 4 2 2 2 3 2" xfId="40744" xr:uid="{00000000-0005-0000-0000-000097950000}"/>
    <cellStyle name="Currency 6 4 2 2 2 4" xfId="40745" xr:uid="{00000000-0005-0000-0000-000098950000}"/>
    <cellStyle name="Currency 6 4 2 2 2 5" xfId="40746" xr:uid="{00000000-0005-0000-0000-000099950000}"/>
    <cellStyle name="Currency 6 4 2 2 2 6" xfId="40747" xr:uid="{00000000-0005-0000-0000-00009A950000}"/>
    <cellStyle name="Currency 6 4 2 2 3" xfId="40748" xr:uid="{00000000-0005-0000-0000-00009B950000}"/>
    <cellStyle name="Currency 6 4 2 2 3 2" xfId="40749" xr:uid="{00000000-0005-0000-0000-00009C950000}"/>
    <cellStyle name="Currency 6 4 2 2 3 2 2" xfId="40750" xr:uid="{00000000-0005-0000-0000-00009D950000}"/>
    <cellStyle name="Currency 6 4 2 2 3 3" xfId="40751" xr:uid="{00000000-0005-0000-0000-00009E950000}"/>
    <cellStyle name="Currency 6 4 2 2 4" xfId="40752" xr:uid="{00000000-0005-0000-0000-00009F950000}"/>
    <cellStyle name="Currency 6 4 2 2 4 2" xfId="40753" xr:uid="{00000000-0005-0000-0000-0000A0950000}"/>
    <cellStyle name="Currency 6 4 2 2 4 2 2" xfId="40754" xr:uid="{00000000-0005-0000-0000-0000A1950000}"/>
    <cellStyle name="Currency 6 4 2 2 4 3" xfId="40755" xr:uid="{00000000-0005-0000-0000-0000A2950000}"/>
    <cellStyle name="Currency 6 4 2 2 5" xfId="40756" xr:uid="{00000000-0005-0000-0000-0000A3950000}"/>
    <cellStyle name="Currency 6 4 2 2 5 2" xfId="40757" xr:uid="{00000000-0005-0000-0000-0000A4950000}"/>
    <cellStyle name="Currency 6 4 2 2 6" xfId="40758" xr:uid="{00000000-0005-0000-0000-0000A5950000}"/>
    <cellStyle name="Currency 6 4 2 2 7" xfId="40759" xr:uid="{00000000-0005-0000-0000-0000A6950000}"/>
    <cellStyle name="Currency 6 4 2 2 8" xfId="40760" xr:uid="{00000000-0005-0000-0000-0000A7950000}"/>
    <cellStyle name="Currency 6 4 2 3" xfId="40761" xr:uid="{00000000-0005-0000-0000-0000A8950000}"/>
    <cellStyle name="Currency 6 4 2 3 2" xfId="40762" xr:uid="{00000000-0005-0000-0000-0000A9950000}"/>
    <cellStyle name="Currency 6 4 2 3 2 2" xfId="40763" xr:uid="{00000000-0005-0000-0000-0000AA950000}"/>
    <cellStyle name="Currency 6 4 2 3 2 2 2" xfId="40764" xr:uid="{00000000-0005-0000-0000-0000AB950000}"/>
    <cellStyle name="Currency 6 4 2 3 2 2 2 2" xfId="40765" xr:uid="{00000000-0005-0000-0000-0000AC950000}"/>
    <cellStyle name="Currency 6 4 2 3 2 2 3" xfId="40766" xr:uid="{00000000-0005-0000-0000-0000AD950000}"/>
    <cellStyle name="Currency 6 4 2 3 2 3" xfId="40767" xr:uid="{00000000-0005-0000-0000-0000AE950000}"/>
    <cellStyle name="Currency 6 4 2 3 2 3 2" xfId="40768" xr:uid="{00000000-0005-0000-0000-0000AF950000}"/>
    <cellStyle name="Currency 6 4 2 3 2 4" xfId="40769" xr:uid="{00000000-0005-0000-0000-0000B0950000}"/>
    <cellStyle name="Currency 6 4 2 3 2 5" xfId="40770" xr:uid="{00000000-0005-0000-0000-0000B1950000}"/>
    <cellStyle name="Currency 6 4 2 3 2 6" xfId="40771" xr:uid="{00000000-0005-0000-0000-0000B2950000}"/>
    <cellStyle name="Currency 6 4 2 3 3" xfId="40772" xr:uid="{00000000-0005-0000-0000-0000B3950000}"/>
    <cellStyle name="Currency 6 4 2 3 3 2" xfId="40773" xr:uid="{00000000-0005-0000-0000-0000B4950000}"/>
    <cellStyle name="Currency 6 4 2 3 3 2 2" xfId="40774" xr:uid="{00000000-0005-0000-0000-0000B5950000}"/>
    <cellStyle name="Currency 6 4 2 3 3 3" xfId="40775" xr:uid="{00000000-0005-0000-0000-0000B6950000}"/>
    <cellStyle name="Currency 6 4 2 3 4" xfId="40776" xr:uid="{00000000-0005-0000-0000-0000B7950000}"/>
    <cellStyle name="Currency 6 4 2 3 4 2" xfId="40777" xr:uid="{00000000-0005-0000-0000-0000B8950000}"/>
    <cellStyle name="Currency 6 4 2 3 5" xfId="40778" xr:uid="{00000000-0005-0000-0000-0000B9950000}"/>
    <cellStyle name="Currency 6 4 2 3 6" xfId="40779" xr:uid="{00000000-0005-0000-0000-0000BA950000}"/>
    <cellStyle name="Currency 6 4 2 3 7" xfId="40780" xr:uid="{00000000-0005-0000-0000-0000BB950000}"/>
    <cellStyle name="Currency 6 4 2 4" xfId="40781" xr:uid="{00000000-0005-0000-0000-0000BC950000}"/>
    <cellStyle name="Currency 6 4 2 4 2" xfId="40782" xr:uid="{00000000-0005-0000-0000-0000BD950000}"/>
    <cellStyle name="Currency 6 4 2 4 2 2" xfId="40783" xr:uid="{00000000-0005-0000-0000-0000BE950000}"/>
    <cellStyle name="Currency 6 4 2 4 2 2 2" xfId="40784" xr:uid="{00000000-0005-0000-0000-0000BF950000}"/>
    <cellStyle name="Currency 6 4 2 4 2 3" xfId="40785" xr:uid="{00000000-0005-0000-0000-0000C0950000}"/>
    <cellStyle name="Currency 6 4 2 4 3" xfId="40786" xr:uid="{00000000-0005-0000-0000-0000C1950000}"/>
    <cellStyle name="Currency 6 4 2 4 3 2" xfId="40787" xr:uid="{00000000-0005-0000-0000-0000C2950000}"/>
    <cellStyle name="Currency 6 4 2 4 4" xfId="40788" xr:uid="{00000000-0005-0000-0000-0000C3950000}"/>
    <cellStyle name="Currency 6 4 2 4 5" xfId="40789" xr:uid="{00000000-0005-0000-0000-0000C4950000}"/>
    <cellStyle name="Currency 6 4 2 4 6" xfId="40790" xr:uid="{00000000-0005-0000-0000-0000C5950000}"/>
    <cellStyle name="Currency 6 4 2 5" xfId="40791" xr:uid="{00000000-0005-0000-0000-0000C6950000}"/>
    <cellStyle name="Currency 6 4 2 5 2" xfId="40792" xr:uid="{00000000-0005-0000-0000-0000C7950000}"/>
    <cellStyle name="Currency 6 4 2 5 2 2" xfId="40793" xr:uid="{00000000-0005-0000-0000-0000C8950000}"/>
    <cellStyle name="Currency 6 4 2 5 3" xfId="40794" xr:uid="{00000000-0005-0000-0000-0000C9950000}"/>
    <cellStyle name="Currency 6 4 2 6" xfId="40795" xr:uid="{00000000-0005-0000-0000-0000CA950000}"/>
    <cellStyle name="Currency 6 4 2 6 2" xfId="40796" xr:uid="{00000000-0005-0000-0000-0000CB950000}"/>
    <cellStyle name="Currency 6 4 2 6 2 2" xfId="40797" xr:uid="{00000000-0005-0000-0000-0000CC950000}"/>
    <cellStyle name="Currency 6 4 2 6 3" xfId="40798" xr:uid="{00000000-0005-0000-0000-0000CD950000}"/>
    <cellStyle name="Currency 6 4 2 7" xfId="40799" xr:uid="{00000000-0005-0000-0000-0000CE950000}"/>
    <cellStyle name="Currency 6 4 2 7 2" xfId="40800" xr:uid="{00000000-0005-0000-0000-0000CF950000}"/>
    <cellStyle name="Currency 6 4 2 8" xfId="40801" xr:uid="{00000000-0005-0000-0000-0000D0950000}"/>
    <cellStyle name="Currency 6 4 2 9" xfId="40802" xr:uid="{00000000-0005-0000-0000-0000D1950000}"/>
    <cellStyle name="Currency 6 4 3" xfId="40803" xr:uid="{00000000-0005-0000-0000-0000D2950000}"/>
    <cellStyle name="Currency 6 4 3 2" xfId="40804" xr:uid="{00000000-0005-0000-0000-0000D3950000}"/>
    <cellStyle name="Currency 6 4 3 2 2" xfId="40805" xr:uid="{00000000-0005-0000-0000-0000D4950000}"/>
    <cellStyle name="Currency 6 4 3 2 2 2" xfId="40806" xr:uid="{00000000-0005-0000-0000-0000D5950000}"/>
    <cellStyle name="Currency 6 4 3 2 2 2 2" xfId="40807" xr:uid="{00000000-0005-0000-0000-0000D6950000}"/>
    <cellStyle name="Currency 6 4 3 2 2 3" xfId="40808" xr:uid="{00000000-0005-0000-0000-0000D7950000}"/>
    <cellStyle name="Currency 6 4 3 2 3" xfId="40809" xr:uid="{00000000-0005-0000-0000-0000D8950000}"/>
    <cellStyle name="Currency 6 4 3 2 3 2" xfId="40810" xr:uid="{00000000-0005-0000-0000-0000D9950000}"/>
    <cellStyle name="Currency 6 4 3 2 4" xfId="40811" xr:uid="{00000000-0005-0000-0000-0000DA950000}"/>
    <cellStyle name="Currency 6 4 3 2 5" xfId="40812" xr:uid="{00000000-0005-0000-0000-0000DB950000}"/>
    <cellStyle name="Currency 6 4 3 2 6" xfId="40813" xr:uid="{00000000-0005-0000-0000-0000DC950000}"/>
    <cellStyle name="Currency 6 4 3 3" xfId="40814" xr:uid="{00000000-0005-0000-0000-0000DD950000}"/>
    <cellStyle name="Currency 6 4 3 3 2" xfId="40815" xr:uid="{00000000-0005-0000-0000-0000DE950000}"/>
    <cellStyle name="Currency 6 4 3 3 2 2" xfId="40816" xr:uid="{00000000-0005-0000-0000-0000DF950000}"/>
    <cellStyle name="Currency 6 4 3 3 3" xfId="40817" xr:uid="{00000000-0005-0000-0000-0000E0950000}"/>
    <cellStyle name="Currency 6 4 3 4" xfId="40818" xr:uid="{00000000-0005-0000-0000-0000E1950000}"/>
    <cellStyle name="Currency 6 4 3 4 2" xfId="40819" xr:uid="{00000000-0005-0000-0000-0000E2950000}"/>
    <cellStyle name="Currency 6 4 3 4 2 2" xfId="40820" xr:uid="{00000000-0005-0000-0000-0000E3950000}"/>
    <cellStyle name="Currency 6 4 3 4 3" xfId="40821" xr:uid="{00000000-0005-0000-0000-0000E4950000}"/>
    <cellStyle name="Currency 6 4 3 5" xfId="40822" xr:uid="{00000000-0005-0000-0000-0000E5950000}"/>
    <cellStyle name="Currency 6 4 3 5 2" xfId="40823" xr:uid="{00000000-0005-0000-0000-0000E6950000}"/>
    <cellStyle name="Currency 6 4 3 6" xfId="40824" xr:uid="{00000000-0005-0000-0000-0000E7950000}"/>
    <cellStyle name="Currency 6 4 3 7" xfId="40825" xr:uid="{00000000-0005-0000-0000-0000E8950000}"/>
    <cellStyle name="Currency 6 4 3 8" xfId="40826" xr:uid="{00000000-0005-0000-0000-0000E9950000}"/>
    <cellStyle name="Currency 6 4 4" xfId="40827" xr:uid="{00000000-0005-0000-0000-0000EA950000}"/>
    <cellStyle name="Currency 6 4 4 2" xfId="40828" xr:uid="{00000000-0005-0000-0000-0000EB950000}"/>
    <cellStyle name="Currency 6 4 4 2 2" xfId="40829" xr:uid="{00000000-0005-0000-0000-0000EC950000}"/>
    <cellStyle name="Currency 6 4 4 2 2 2" xfId="40830" xr:uid="{00000000-0005-0000-0000-0000ED950000}"/>
    <cellStyle name="Currency 6 4 4 2 2 2 2" xfId="40831" xr:uid="{00000000-0005-0000-0000-0000EE950000}"/>
    <cellStyle name="Currency 6 4 4 2 2 3" xfId="40832" xr:uid="{00000000-0005-0000-0000-0000EF950000}"/>
    <cellStyle name="Currency 6 4 4 2 3" xfId="40833" xr:uid="{00000000-0005-0000-0000-0000F0950000}"/>
    <cellStyle name="Currency 6 4 4 2 3 2" xfId="40834" xr:uid="{00000000-0005-0000-0000-0000F1950000}"/>
    <cellStyle name="Currency 6 4 4 2 4" xfId="40835" xr:uid="{00000000-0005-0000-0000-0000F2950000}"/>
    <cellStyle name="Currency 6 4 4 2 5" xfId="40836" xr:uid="{00000000-0005-0000-0000-0000F3950000}"/>
    <cellStyle name="Currency 6 4 4 2 6" xfId="40837" xr:uid="{00000000-0005-0000-0000-0000F4950000}"/>
    <cellStyle name="Currency 6 4 4 3" xfId="40838" xr:uid="{00000000-0005-0000-0000-0000F5950000}"/>
    <cellStyle name="Currency 6 4 4 3 2" xfId="40839" xr:uid="{00000000-0005-0000-0000-0000F6950000}"/>
    <cellStyle name="Currency 6 4 4 3 2 2" xfId="40840" xr:uid="{00000000-0005-0000-0000-0000F7950000}"/>
    <cellStyle name="Currency 6 4 4 3 3" xfId="40841" xr:uid="{00000000-0005-0000-0000-0000F8950000}"/>
    <cellStyle name="Currency 6 4 4 4" xfId="40842" xr:uid="{00000000-0005-0000-0000-0000F9950000}"/>
    <cellStyle name="Currency 6 4 4 4 2" xfId="40843" xr:uid="{00000000-0005-0000-0000-0000FA950000}"/>
    <cellStyle name="Currency 6 4 4 4 2 2" xfId="40844" xr:uid="{00000000-0005-0000-0000-0000FB950000}"/>
    <cellStyle name="Currency 6 4 4 4 3" xfId="40845" xr:uid="{00000000-0005-0000-0000-0000FC950000}"/>
    <cellStyle name="Currency 6 4 4 5" xfId="40846" xr:uid="{00000000-0005-0000-0000-0000FD950000}"/>
    <cellStyle name="Currency 6 4 4 5 2" xfId="40847" xr:uid="{00000000-0005-0000-0000-0000FE950000}"/>
    <cellStyle name="Currency 6 4 4 6" xfId="40848" xr:uid="{00000000-0005-0000-0000-0000FF950000}"/>
    <cellStyle name="Currency 6 4 4 7" xfId="40849" xr:uid="{00000000-0005-0000-0000-000000960000}"/>
    <cellStyle name="Currency 6 4 4 8" xfId="40850" xr:uid="{00000000-0005-0000-0000-000001960000}"/>
    <cellStyle name="Currency 6 4 5" xfId="40851" xr:uid="{00000000-0005-0000-0000-000002960000}"/>
    <cellStyle name="Currency 6 4 5 2" xfId="40852" xr:uid="{00000000-0005-0000-0000-000003960000}"/>
    <cellStyle name="Currency 6 4 5 2 2" xfId="40853" xr:uid="{00000000-0005-0000-0000-000004960000}"/>
    <cellStyle name="Currency 6 4 5 2 2 2" xfId="40854" xr:uid="{00000000-0005-0000-0000-000005960000}"/>
    <cellStyle name="Currency 6 4 5 2 3" xfId="40855" xr:uid="{00000000-0005-0000-0000-000006960000}"/>
    <cellStyle name="Currency 6 4 5 3" xfId="40856" xr:uid="{00000000-0005-0000-0000-000007960000}"/>
    <cellStyle name="Currency 6 4 5 3 2" xfId="40857" xr:uid="{00000000-0005-0000-0000-000008960000}"/>
    <cellStyle name="Currency 6 4 5 4" xfId="40858" xr:uid="{00000000-0005-0000-0000-000009960000}"/>
    <cellStyle name="Currency 6 4 5 5" xfId="40859" xr:uid="{00000000-0005-0000-0000-00000A960000}"/>
    <cellStyle name="Currency 6 4 5 6" xfId="40860" xr:uid="{00000000-0005-0000-0000-00000B960000}"/>
    <cellStyle name="Currency 6 4 6" xfId="40861" xr:uid="{00000000-0005-0000-0000-00000C960000}"/>
    <cellStyle name="Currency 6 4 6 2" xfId="40862" xr:uid="{00000000-0005-0000-0000-00000D960000}"/>
    <cellStyle name="Currency 6 4 6 2 2" xfId="40863" xr:uid="{00000000-0005-0000-0000-00000E960000}"/>
    <cellStyle name="Currency 6 4 6 3" xfId="40864" xr:uid="{00000000-0005-0000-0000-00000F960000}"/>
    <cellStyle name="Currency 6 4 7" xfId="40865" xr:uid="{00000000-0005-0000-0000-000010960000}"/>
    <cellStyle name="Currency 6 4 7 2" xfId="40866" xr:uid="{00000000-0005-0000-0000-000011960000}"/>
    <cellStyle name="Currency 6 4 7 2 2" xfId="40867" xr:uid="{00000000-0005-0000-0000-000012960000}"/>
    <cellStyle name="Currency 6 4 7 3" xfId="40868" xr:uid="{00000000-0005-0000-0000-000013960000}"/>
    <cellStyle name="Currency 6 4 8" xfId="40869" xr:uid="{00000000-0005-0000-0000-000014960000}"/>
    <cellStyle name="Currency 6 4 8 2" xfId="40870" xr:uid="{00000000-0005-0000-0000-000015960000}"/>
    <cellStyle name="Currency 6 4 9" xfId="40871" xr:uid="{00000000-0005-0000-0000-000016960000}"/>
    <cellStyle name="Currency 6 5" xfId="40872" xr:uid="{00000000-0005-0000-0000-000017960000}"/>
    <cellStyle name="Currency 6 5 10" xfId="40873" xr:uid="{00000000-0005-0000-0000-000018960000}"/>
    <cellStyle name="Currency 6 5 11" xfId="40874" xr:uid="{00000000-0005-0000-0000-000019960000}"/>
    <cellStyle name="Currency 6 5 2" xfId="40875" xr:uid="{00000000-0005-0000-0000-00001A960000}"/>
    <cellStyle name="Currency 6 5 2 10" xfId="40876" xr:uid="{00000000-0005-0000-0000-00001B960000}"/>
    <cellStyle name="Currency 6 5 2 2" xfId="40877" xr:uid="{00000000-0005-0000-0000-00001C960000}"/>
    <cellStyle name="Currency 6 5 2 2 2" xfId="40878" xr:uid="{00000000-0005-0000-0000-00001D960000}"/>
    <cellStyle name="Currency 6 5 2 2 2 2" xfId="40879" xr:uid="{00000000-0005-0000-0000-00001E960000}"/>
    <cellStyle name="Currency 6 5 2 2 2 2 2" xfId="40880" xr:uid="{00000000-0005-0000-0000-00001F960000}"/>
    <cellStyle name="Currency 6 5 2 2 2 2 2 2" xfId="40881" xr:uid="{00000000-0005-0000-0000-000020960000}"/>
    <cellStyle name="Currency 6 5 2 2 2 2 3" xfId="40882" xr:uid="{00000000-0005-0000-0000-000021960000}"/>
    <cellStyle name="Currency 6 5 2 2 2 3" xfId="40883" xr:uid="{00000000-0005-0000-0000-000022960000}"/>
    <cellStyle name="Currency 6 5 2 2 2 3 2" xfId="40884" xr:uid="{00000000-0005-0000-0000-000023960000}"/>
    <cellStyle name="Currency 6 5 2 2 2 4" xfId="40885" xr:uid="{00000000-0005-0000-0000-000024960000}"/>
    <cellStyle name="Currency 6 5 2 2 2 5" xfId="40886" xr:uid="{00000000-0005-0000-0000-000025960000}"/>
    <cellStyle name="Currency 6 5 2 2 2 6" xfId="40887" xr:uid="{00000000-0005-0000-0000-000026960000}"/>
    <cellStyle name="Currency 6 5 2 2 3" xfId="40888" xr:uid="{00000000-0005-0000-0000-000027960000}"/>
    <cellStyle name="Currency 6 5 2 2 3 2" xfId="40889" xr:uid="{00000000-0005-0000-0000-000028960000}"/>
    <cellStyle name="Currency 6 5 2 2 3 2 2" xfId="40890" xr:uid="{00000000-0005-0000-0000-000029960000}"/>
    <cellStyle name="Currency 6 5 2 2 3 3" xfId="40891" xr:uid="{00000000-0005-0000-0000-00002A960000}"/>
    <cellStyle name="Currency 6 5 2 2 4" xfId="40892" xr:uid="{00000000-0005-0000-0000-00002B960000}"/>
    <cellStyle name="Currency 6 5 2 2 4 2" xfId="40893" xr:uid="{00000000-0005-0000-0000-00002C960000}"/>
    <cellStyle name="Currency 6 5 2 2 5" xfId="40894" xr:uid="{00000000-0005-0000-0000-00002D960000}"/>
    <cellStyle name="Currency 6 5 2 2 6" xfId="40895" xr:uid="{00000000-0005-0000-0000-00002E960000}"/>
    <cellStyle name="Currency 6 5 2 2 7" xfId="40896" xr:uid="{00000000-0005-0000-0000-00002F960000}"/>
    <cellStyle name="Currency 6 5 2 3" xfId="40897" xr:uid="{00000000-0005-0000-0000-000030960000}"/>
    <cellStyle name="Currency 6 5 2 3 2" xfId="40898" xr:uid="{00000000-0005-0000-0000-000031960000}"/>
    <cellStyle name="Currency 6 5 2 3 2 2" xfId="40899" xr:uid="{00000000-0005-0000-0000-000032960000}"/>
    <cellStyle name="Currency 6 5 2 3 2 2 2" xfId="40900" xr:uid="{00000000-0005-0000-0000-000033960000}"/>
    <cellStyle name="Currency 6 5 2 3 2 2 2 2" xfId="40901" xr:uid="{00000000-0005-0000-0000-000034960000}"/>
    <cellStyle name="Currency 6 5 2 3 2 2 3" xfId="40902" xr:uid="{00000000-0005-0000-0000-000035960000}"/>
    <cellStyle name="Currency 6 5 2 3 2 3" xfId="40903" xr:uid="{00000000-0005-0000-0000-000036960000}"/>
    <cellStyle name="Currency 6 5 2 3 2 3 2" xfId="40904" xr:uid="{00000000-0005-0000-0000-000037960000}"/>
    <cellStyle name="Currency 6 5 2 3 2 4" xfId="40905" xr:uid="{00000000-0005-0000-0000-000038960000}"/>
    <cellStyle name="Currency 6 5 2 3 2 5" xfId="40906" xr:uid="{00000000-0005-0000-0000-000039960000}"/>
    <cellStyle name="Currency 6 5 2 3 2 6" xfId="40907" xr:uid="{00000000-0005-0000-0000-00003A960000}"/>
    <cellStyle name="Currency 6 5 2 3 3" xfId="40908" xr:uid="{00000000-0005-0000-0000-00003B960000}"/>
    <cellStyle name="Currency 6 5 2 3 3 2" xfId="40909" xr:uid="{00000000-0005-0000-0000-00003C960000}"/>
    <cellStyle name="Currency 6 5 2 3 3 2 2" xfId="40910" xr:uid="{00000000-0005-0000-0000-00003D960000}"/>
    <cellStyle name="Currency 6 5 2 3 3 3" xfId="40911" xr:uid="{00000000-0005-0000-0000-00003E960000}"/>
    <cellStyle name="Currency 6 5 2 3 4" xfId="40912" xr:uid="{00000000-0005-0000-0000-00003F960000}"/>
    <cellStyle name="Currency 6 5 2 3 4 2" xfId="40913" xr:uid="{00000000-0005-0000-0000-000040960000}"/>
    <cellStyle name="Currency 6 5 2 3 5" xfId="40914" xr:uid="{00000000-0005-0000-0000-000041960000}"/>
    <cellStyle name="Currency 6 5 2 3 6" xfId="40915" xr:uid="{00000000-0005-0000-0000-000042960000}"/>
    <cellStyle name="Currency 6 5 2 3 7" xfId="40916" xr:uid="{00000000-0005-0000-0000-000043960000}"/>
    <cellStyle name="Currency 6 5 2 4" xfId="40917" xr:uid="{00000000-0005-0000-0000-000044960000}"/>
    <cellStyle name="Currency 6 5 2 4 2" xfId="40918" xr:uid="{00000000-0005-0000-0000-000045960000}"/>
    <cellStyle name="Currency 6 5 2 4 2 2" xfId="40919" xr:uid="{00000000-0005-0000-0000-000046960000}"/>
    <cellStyle name="Currency 6 5 2 4 2 2 2" xfId="40920" xr:uid="{00000000-0005-0000-0000-000047960000}"/>
    <cellStyle name="Currency 6 5 2 4 2 3" xfId="40921" xr:uid="{00000000-0005-0000-0000-000048960000}"/>
    <cellStyle name="Currency 6 5 2 4 3" xfId="40922" xr:uid="{00000000-0005-0000-0000-000049960000}"/>
    <cellStyle name="Currency 6 5 2 4 3 2" xfId="40923" xr:uid="{00000000-0005-0000-0000-00004A960000}"/>
    <cellStyle name="Currency 6 5 2 4 4" xfId="40924" xr:uid="{00000000-0005-0000-0000-00004B960000}"/>
    <cellStyle name="Currency 6 5 2 4 5" xfId="40925" xr:uid="{00000000-0005-0000-0000-00004C960000}"/>
    <cellStyle name="Currency 6 5 2 4 6" xfId="40926" xr:uid="{00000000-0005-0000-0000-00004D960000}"/>
    <cellStyle name="Currency 6 5 2 5" xfId="40927" xr:uid="{00000000-0005-0000-0000-00004E960000}"/>
    <cellStyle name="Currency 6 5 2 5 2" xfId="40928" xr:uid="{00000000-0005-0000-0000-00004F960000}"/>
    <cellStyle name="Currency 6 5 2 5 2 2" xfId="40929" xr:uid="{00000000-0005-0000-0000-000050960000}"/>
    <cellStyle name="Currency 6 5 2 5 3" xfId="40930" xr:uid="{00000000-0005-0000-0000-000051960000}"/>
    <cellStyle name="Currency 6 5 2 6" xfId="40931" xr:uid="{00000000-0005-0000-0000-000052960000}"/>
    <cellStyle name="Currency 6 5 2 6 2" xfId="40932" xr:uid="{00000000-0005-0000-0000-000053960000}"/>
    <cellStyle name="Currency 6 5 2 6 2 2" xfId="40933" xr:uid="{00000000-0005-0000-0000-000054960000}"/>
    <cellStyle name="Currency 6 5 2 6 3" xfId="40934" xr:uid="{00000000-0005-0000-0000-000055960000}"/>
    <cellStyle name="Currency 6 5 2 7" xfId="40935" xr:uid="{00000000-0005-0000-0000-000056960000}"/>
    <cellStyle name="Currency 6 5 2 7 2" xfId="40936" xr:uid="{00000000-0005-0000-0000-000057960000}"/>
    <cellStyle name="Currency 6 5 2 8" xfId="40937" xr:uid="{00000000-0005-0000-0000-000058960000}"/>
    <cellStyle name="Currency 6 5 2 9" xfId="40938" xr:uid="{00000000-0005-0000-0000-000059960000}"/>
    <cellStyle name="Currency 6 5 3" xfId="40939" xr:uid="{00000000-0005-0000-0000-00005A960000}"/>
    <cellStyle name="Currency 6 5 3 2" xfId="40940" xr:uid="{00000000-0005-0000-0000-00005B960000}"/>
    <cellStyle name="Currency 6 5 3 2 2" xfId="40941" xr:uid="{00000000-0005-0000-0000-00005C960000}"/>
    <cellStyle name="Currency 6 5 3 2 2 2" xfId="40942" xr:uid="{00000000-0005-0000-0000-00005D960000}"/>
    <cellStyle name="Currency 6 5 3 2 2 2 2" xfId="40943" xr:uid="{00000000-0005-0000-0000-00005E960000}"/>
    <cellStyle name="Currency 6 5 3 2 2 3" xfId="40944" xr:uid="{00000000-0005-0000-0000-00005F960000}"/>
    <cellStyle name="Currency 6 5 3 2 3" xfId="40945" xr:uid="{00000000-0005-0000-0000-000060960000}"/>
    <cellStyle name="Currency 6 5 3 2 3 2" xfId="40946" xr:uid="{00000000-0005-0000-0000-000061960000}"/>
    <cellStyle name="Currency 6 5 3 2 4" xfId="40947" xr:uid="{00000000-0005-0000-0000-000062960000}"/>
    <cellStyle name="Currency 6 5 3 2 5" xfId="40948" xr:uid="{00000000-0005-0000-0000-000063960000}"/>
    <cellStyle name="Currency 6 5 3 2 6" xfId="40949" xr:uid="{00000000-0005-0000-0000-000064960000}"/>
    <cellStyle name="Currency 6 5 3 3" xfId="40950" xr:uid="{00000000-0005-0000-0000-000065960000}"/>
    <cellStyle name="Currency 6 5 3 3 2" xfId="40951" xr:uid="{00000000-0005-0000-0000-000066960000}"/>
    <cellStyle name="Currency 6 5 3 3 2 2" xfId="40952" xr:uid="{00000000-0005-0000-0000-000067960000}"/>
    <cellStyle name="Currency 6 5 3 3 3" xfId="40953" xr:uid="{00000000-0005-0000-0000-000068960000}"/>
    <cellStyle name="Currency 6 5 3 4" xfId="40954" xr:uid="{00000000-0005-0000-0000-000069960000}"/>
    <cellStyle name="Currency 6 5 3 4 2" xfId="40955" xr:uid="{00000000-0005-0000-0000-00006A960000}"/>
    <cellStyle name="Currency 6 5 3 4 2 2" xfId="40956" xr:uid="{00000000-0005-0000-0000-00006B960000}"/>
    <cellStyle name="Currency 6 5 3 4 3" xfId="40957" xr:uid="{00000000-0005-0000-0000-00006C960000}"/>
    <cellStyle name="Currency 6 5 3 5" xfId="40958" xr:uid="{00000000-0005-0000-0000-00006D960000}"/>
    <cellStyle name="Currency 6 5 3 5 2" xfId="40959" xr:uid="{00000000-0005-0000-0000-00006E960000}"/>
    <cellStyle name="Currency 6 5 3 6" xfId="40960" xr:uid="{00000000-0005-0000-0000-00006F960000}"/>
    <cellStyle name="Currency 6 5 3 7" xfId="40961" xr:uid="{00000000-0005-0000-0000-000070960000}"/>
    <cellStyle name="Currency 6 5 3 8" xfId="40962" xr:uid="{00000000-0005-0000-0000-000071960000}"/>
    <cellStyle name="Currency 6 5 4" xfId="40963" xr:uid="{00000000-0005-0000-0000-000072960000}"/>
    <cellStyle name="Currency 6 5 4 2" xfId="40964" xr:uid="{00000000-0005-0000-0000-000073960000}"/>
    <cellStyle name="Currency 6 5 4 2 2" xfId="40965" xr:uid="{00000000-0005-0000-0000-000074960000}"/>
    <cellStyle name="Currency 6 5 4 2 2 2" xfId="40966" xr:uid="{00000000-0005-0000-0000-000075960000}"/>
    <cellStyle name="Currency 6 5 4 2 2 2 2" xfId="40967" xr:uid="{00000000-0005-0000-0000-000076960000}"/>
    <cellStyle name="Currency 6 5 4 2 2 3" xfId="40968" xr:uid="{00000000-0005-0000-0000-000077960000}"/>
    <cellStyle name="Currency 6 5 4 2 3" xfId="40969" xr:uid="{00000000-0005-0000-0000-000078960000}"/>
    <cellStyle name="Currency 6 5 4 2 3 2" xfId="40970" xr:uid="{00000000-0005-0000-0000-000079960000}"/>
    <cellStyle name="Currency 6 5 4 2 4" xfId="40971" xr:uid="{00000000-0005-0000-0000-00007A960000}"/>
    <cellStyle name="Currency 6 5 4 2 5" xfId="40972" xr:uid="{00000000-0005-0000-0000-00007B960000}"/>
    <cellStyle name="Currency 6 5 4 2 6" xfId="40973" xr:uid="{00000000-0005-0000-0000-00007C960000}"/>
    <cellStyle name="Currency 6 5 4 3" xfId="40974" xr:uid="{00000000-0005-0000-0000-00007D960000}"/>
    <cellStyle name="Currency 6 5 4 3 2" xfId="40975" xr:uid="{00000000-0005-0000-0000-00007E960000}"/>
    <cellStyle name="Currency 6 5 4 3 2 2" xfId="40976" xr:uid="{00000000-0005-0000-0000-00007F960000}"/>
    <cellStyle name="Currency 6 5 4 3 3" xfId="40977" xr:uid="{00000000-0005-0000-0000-000080960000}"/>
    <cellStyle name="Currency 6 5 4 4" xfId="40978" xr:uid="{00000000-0005-0000-0000-000081960000}"/>
    <cellStyle name="Currency 6 5 4 4 2" xfId="40979" xr:uid="{00000000-0005-0000-0000-000082960000}"/>
    <cellStyle name="Currency 6 5 4 5" xfId="40980" xr:uid="{00000000-0005-0000-0000-000083960000}"/>
    <cellStyle name="Currency 6 5 4 6" xfId="40981" xr:uid="{00000000-0005-0000-0000-000084960000}"/>
    <cellStyle name="Currency 6 5 4 7" xfId="40982" xr:uid="{00000000-0005-0000-0000-000085960000}"/>
    <cellStyle name="Currency 6 5 5" xfId="40983" xr:uid="{00000000-0005-0000-0000-000086960000}"/>
    <cellStyle name="Currency 6 5 5 2" xfId="40984" xr:uid="{00000000-0005-0000-0000-000087960000}"/>
    <cellStyle name="Currency 6 5 5 2 2" xfId="40985" xr:uid="{00000000-0005-0000-0000-000088960000}"/>
    <cellStyle name="Currency 6 5 5 2 2 2" xfId="40986" xr:uid="{00000000-0005-0000-0000-000089960000}"/>
    <cellStyle name="Currency 6 5 5 2 3" xfId="40987" xr:uid="{00000000-0005-0000-0000-00008A960000}"/>
    <cellStyle name="Currency 6 5 5 3" xfId="40988" xr:uid="{00000000-0005-0000-0000-00008B960000}"/>
    <cellStyle name="Currency 6 5 5 3 2" xfId="40989" xr:uid="{00000000-0005-0000-0000-00008C960000}"/>
    <cellStyle name="Currency 6 5 5 4" xfId="40990" xr:uid="{00000000-0005-0000-0000-00008D960000}"/>
    <cellStyle name="Currency 6 5 5 5" xfId="40991" xr:uid="{00000000-0005-0000-0000-00008E960000}"/>
    <cellStyle name="Currency 6 5 5 6" xfId="40992" xr:uid="{00000000-0005-0000-0000-00008F960000}"/>
    <cellStyle name="Currency 6 5 6" xfId="40993" xr:uid="{00000000-0005-0000-0000-000090960000}"/>
    <cellStyle name="Currency 6 5 6 2" xfId="40994" xr:uid="{00000000-0005-0000-0000-000091960000}"/>
    <cellStyle name="Currency 6 5 6 2 2" xfId="40995" xr:uid="{00000000-0005-0000-0000-000092960000}"/>
    <cellStyle name="Currency 6 5 6 3" xfId="40996" xr:uid="{00000000-0005-0000-0000-000093960000}"/>
    <cellStyle name="Currency 6 5 7" xfId="40997" xr:uid="{00000000-0005-0000-0000-000094960000}"/>
    <cellStyle name="Currency 6 5 7 2" xfId="40998" xr:uid="{00000000-0005-0000-0000-000095960000}"/>
    <cellStyle name="Currency 6 5 7 2 2" xfId="40999" xr:uid="{00000000-0005-0000-0000-000096960000}"/>
    <cellStyle name="Currency 6 5 7 3" xfId="41000" xr:uid="{00000000-0005-0000-0000-000097960000}"/>
    <cellStyle name="Currency 6 5 8" xfId="41001" xr:uid="{00000000-0005-0000-0000-000098960000}"/>
    <cellStyle name="Currency 6 5 8 2" xfId="41002" xr:uid="{00000000-0005-0000-0000-000099960000}"/>
    <cellStyle name="Currency 6 5 9" xfId="41003" xr:uid="{00000000-0005-0000-0000-00009A960000}"/>
    <cellStyle name="Currency 6 6" xfId="41004" xr:uid="{00000000-0005-0000-0000-00009B960000}"/>
    <cellStyle name="Currency 6 6 10" xfId="41005" xr:uid="{00000000-0005-0000-0000-00009C960000}"/>
    <cellStyle name="Currency 6 6 2" xfId="41006" xr:uid="{00000000-0005-0000-0000-00009D960000}"/>
    <cellStyle name="Currency 6 6 2 2" xfId="41007" xr:uid="{00000000-0005-0000-0000-00009E960000}"/>
    <cellStyle name="Currency 6 6 2 2 2" xfId="41008" xr:uid="{00000000-0005-0000-0000-00009F960000}"/>
    <cellStyle name="Currency 6 6 2 2 2 2" xfId="41009" xr:uid="{00000000-0005-0000-0000-0000A0960000}"/>
    <cellStyle name="Currency 6 6 2 2 2 2 2" xfId="41010" xr:uid="{00000000-0005-0000-0000-0000A1960000}"/>
    <cellStyle name="Currency 6 6 2 2 2 3" xfId="41011" xr:uid="{00000000-0005-0000-0000-0000A2960000}"/>
    <cellStyle name="Currency 6 6 2 2 3" xfId="41012" xr:uid="{00000000-0005-0000-0000-0000A3960000}"/>
    <cellStyle name="Currency 6 6 2 2 3 2" xfId="41013" xr:uid="{00000000-0005-0000-0000-0000A4960000}"/>
    <cellStyle name="Currency 6 6 2 2 4" xfId="41014" xr:uid="{00000000-0005-0000-0000-0000A5960000}"/>
    <cellStyle name="Currency 6 6 2 2 5" xfId="41015" xr:uid="{00000000-0005-0000-0000-0000A6960000}"/>
    <cellStyle name="Currency 6 6 2 2 6" xfId="41016" xr:uid="{00000000-0005-0000-0000-0000A7960000}"/>
    <cellStyle name="Currency 6 6 2 3" xfId="41017" xr:uid="{00000000-0005-0000-0000-0000A8960000}"/>
    <cellStyle name="Currency 6 6 2 3 2" xfId="41018" xr:uid="{00000000-0005-0000-0000-0000A9960000}"/>
    <cellStyle name="Currency 6 6 2 3 2 2" xfId="41019" xr:uid="{00000000-0005-0000-0000-0000AA960000}"/>
    <cellStyle name="Currency 6 6 2 3 3" xfId="41020" xr:uid="{00000000-0005-0000-0000-0000AB960000}"/>
    <cellStyle name="Currency 6 6 2 4" xfId="41021" xr:uid="{00000000-0005-0000-0000-0000AC960000}"/>
    <cellStyle name="Currency 6 6 2 4 2" xfId="41022" xr:uid="{00000000-0005-0000-0000-0000AD960000}"/>
    <cellStyle name="Currency 6 6 2 4 2 2" xfId="41023" xr:uid="{00000000-0005-0000-0000-0000AE960000}"/>
    <cellStyle name="Currency 6 6 2 4 3" xfId="41024" xr:uid="{00000000-0005-0000-0000-0000AF960000}"/>
    <cellStyle name="Currency 6 6 2 5" xfId="41025" xr:uid="{00000000-0005-0000-0000-0000B0960000}"/>
    <cellStyle name="Currency 6 6 2 5 2" xfId="41026" xr:uid="{00000000-0005-0000-0000-0000B1960000}"/>
    <cellStyle name="Currency 6 6 2 6" xfId="41027" xr:uid="{00000000-0005-0000-0000-0000B2960000}"/>
    <cellStyle name="Currency 6 6 2 7" xfId="41028" xr:uid="{00000000-0005-0000-0000-0000B3960000}"/>
    <cellStyle name="Currency 6 6 2 8" xfId="41029" xr:uid="{00000000-0005-0000-0000-0000B4960000}"/>
    <cellStyle name="Currency 6 6 3" xfId="41030" xr:uid="{00000000-0005-0000-0000-0000B5960000}"/>
    <cellStyle name="Currency 6 6 3 2" xfId="41031" xr:uid="{00000000-0005-0000-0000-0000B6960000}"/>
    <cellStyle name="Currency 6 6 3 2 2" xfId="41032" xr:uid="{00000000-0005-0000-0000-0000B7960000}"/>
    <cellStyle name="Currency 6 6 3 2 2 2" xfId="41033" xr:uid="{00000000-0005-0000-0000-0000B8960000}"/>
    <cellStyle name="Currency 6 6 3 2 2 2 2" xfId="41034" xr:uid="{00000000-0005-0000-0000-0000B9960000}"/>
    <cellStyle name="Currency 6 6 3 2 2 3" xfId="41035" xr:uid="{00000000-0005-0000-0000-0000BA960000}"/>
    <cellStyle name="Currency 6 6 3 2 3" xfId="41036" xr:uid="{00000000-0005-0000-0000-0000BB960000}"/>
    <cellStyle name="Currency 6 6 3 2 3 2" xfId="41037" xr:uid="{00000000-0005-0000-0000-0000BC960000}"/>
    <cellStyle name="Currency 6 6 3 2 4" xfId="41038" xr:uid="{00000000-0005-0000-0000-0000BD960000}"/>
    <cellStyle name="Currency 6 6 3 2 5" xfId="41039" xr:uid="{00000000-0005-0000-0000-0000BE960000}"/>
    <cellStyle name="Currency 6 6 3 2 6" xfId="41040" xr:uid="{00000000-0005-0000-0000-0000BF960000}"/>
    <cellStyle name="Currency 6 6 3 3" xfId="41041" xr:uid="{00000000-0005-0000-0000-0000C0960000}"/>
    <cellStyle name="Currency 6 6 3 3 2" xfId="41042" xr:uid="{00000000-0005-0000-0000-0000C1960000}"/>
    <cellStyle name="Currency 6 6 3 3 2 2" xfId="41043" xr:uid="{00000000-0005-0000-0000-0000C2960000}"/>
    <cellStyle name="Currency 6 6 3 3 3" xfId="41044" xr:uid="{00000000-0005-0000-0000-0000C3960000}"/>
    <cellStyle name="Currency 6 6 3 4" xfId="41045" xr:uid="{00000000-0005-0000-0000-0000C4960000}"/>
    <cellStyle name="Currency 6 6 3 4 2" xfId="41046" xr:uid="{00000000-0005-0000-0000-0000C5960000}"/>
    <cellStyle name="Currency 6 6 3 5" xfId="41047" xr:uid="{00000000-0005-0000-0000-0000C6960000}"/>
    <cellStyle name="Currency 6 6 3 6" xfId="41048" xr:uid="{00000000-0005-0000-0000-0000C7960000}"/>
    <cellStyle name="Currency 6 6 3 7" xfId="41049" xr:uid="{00000000-0005-0000-0000-0000C8960000}"/>
    <cellStyle name="Currency 6 6 4" xfId="41050" xr:uid="{00000000-0005-0000-0000-0000C9960000}"/>
    <cellStyle name="Currency 6 6 4 2" xfId="41051" xr:uid="{00000000-0005-0000-0000-0000CA960000}"/>
    <cellStyle name="Currency 6 6 4 2 2" xfId="41052" xr:uid="{00000000-0005-0000-0000-0000CB960000}"/>
    <cellStyle name="Currency 6 6 4 2 2 2" xfId="41053" xr:uid="{00000000-0005-0000-0000-0000CC960000}"/>
    <cellStyle name="Currency 6 6 4 2 3" xfId="41054" xr:uid="{00000000-0005-0000-0000-0000CD960000}"/>
    <cellStyle name="Currency 6 6 4 3" xfId="41055" xr:uid="{00000000-0005-0000-0000-0000CE960000}"/>
    <cellStyle name="Currency 6 6 4 3 2" xfId="41056" xr:uid="{00000000-0005-0000-0000-0000CF960000}"/>
    <cellStyle name="Currency 6 6 4 4" xfId="41057" xr:uid="{00000000-0005-0000-0000-0000D0960000}"/>
    <cellStyle name="Currency 6 6 4 5" xfId="41058" xr:uid="{00000000-0005-0000-0000-0000D1960000}"/>
    <cellStyle name="Currency 6 6 4 6" xfId="41059" xr:uid="{00000000-0005-0000-0000-0000D2960000}"/>
    <cellStyle name="Currency 6 6 5" xfId="41060" xr:uid="{00000000-0005-0000-0000-0000D3960000}"/>
    <cellStyle name="Currency 6 6 5 2" xfId="41061" xr:uid="{00000000-0005-0000-0000-0000D4960000}"/>
    <cellStyle name="Currency 6 6 5 2 2" xfId="41062" xr:uid="{00000000-0005-0000-0000-0000D5960000}"/>
    <cellStyle name="Currency 6 6 5 3" xfId="41063" xr:uid="{00000000-0005-0000-0000-0000D6960000}"/>
    <cellStyle name="Currency 6 6 6" xfId="41064" xr:uid="{00000000-0005-0000-0000-0000D7960000}"/>
    <cellStyle name="Currency 6 6 6 2" xfId="41065" xr:uid="{00000000-0005-0000-0000-0000D8960000}"/>
    <cellStyle name="Currency 6 6 6 2 2" xfId="41066" xr:uid="{00000000-0005-0000-0000-0000D9960000}"/>
    <cellStyle name="Currency 6 6 6 3" xfId="41067" xr:uid="{00000000-0005-0000-0000-0000DA960000}"/>
    <cellStyle name="Currency 6 6 7" xfId="41068" xr:uid="{00000000-0005-0000-0000-0000DB960000}"/>
    <cellStyle name="Currency 6 6 7 2" xfId="41069" xr:uid="{00000000-0005-0000-0000-0000DC960000}"/>
    <cellStyle name="Currency 6 6 8" xfId="41070" xr:uid="{00000000-0005-0000-0000-0000DD960000}"/>
    <cellStyle name="Currency 6 6 9" xfId="41071" xr:uid="{00000000-0005-0000-0000-0000DE960000}"/>
    <cellStyle name="Currency 6 7" xfId="41072" xr:uid="{00000000-0005-0000-0000-0000DF960000}"/>
    <cellStyle name="Currency 6 7 2" xfId="41073" xr:uid="{00000000-0005-0000-0000-0000E0960000}"/>
    <cellStyle name="Currency 6 8" xfId="41074" xr:uid="{00000000-0005-0000-0000-0000E1960000}"/>
    <cellStyle name="Currency 6 8 2" xfId="41075" xr:uid="{00000000-0005-0000-0000-0000E2960000}"/>
    <cellStyle name="Currency 6 8 2 2" xfId="41076" xr:uid="{00000000-0005-0000-0000-0000E3960000}"/>
    <cellStyle name="Currency 6 8 2 2 2" xfId="41077" xr:uid="{00000000-0005-0000-0000-0000E4960000}"/>
    <cellStyle name="Currency 6 8 2 2 2 2" xfId="41078" xr:uid="{00000000-0005-0000-0000-0000E5960000}"/>
    <cellStyle name="Currency 6 8 2 2 3" xfId="41079" xr:uid="{00000000-0005-0000-0000-0000E6960000}"/>
    <cellStyle name="Currency 6 8 2 3" xfId="41080" xr:uid="{00000000-0005-0000-0000-0000E7960000}"/>
    <cellStyle name="Currency 6 8 2 3 2" xfId="41081" xr:uid="{00000000-0005-0000-0000-0000E8960000}"/>
    <cellStyle name="Currency 6 8 2 4" xfId="41082" xr:uid="{00000000-0005-0000-0000-0000E9960000}"/>
    <cellStyle name="Currency 6 8 2 5" xfId="41083" xr:uid="{00000000-0005-0000-0000-0000EA960000}"/>
    <cellStyle name="Currency 6 8 2 6" xfId="41084" xr:uid="{00000000-0005-0000-0000-0000EB960000}"/>
    <cellStyle name="Currency 6 8 3" xfId="41085" xr:uid="{00000000-0005-0000-0000-0000EC960000}"/>
    <cellStyle name="Currency 6 8 3 2" xfId="41086" xr:uid="{00000000-0005-0000-0000-0000ED960000}"/>
    <cellStyle name="Currency 6 8 3 2 2" xfId="41087" xr:uid="{00000000-0005-0000-0000-0000EE960000}"/>
    <cellStyle name="Currency 6 8 3 3" xfId="41088" xr:uid="{00000000-0005-0000-0000-0000EF960000}"/>
    <cellStyle name="Currency 6 8 4" xfId="41089" xr:uid="{00000000-0005-0000-0000-0000F0960000}"/>
    <cellStyle name="Currency 6 8 4 2" xfId="41090" xr:uid="{00000000-0005-0000-0000-0000F1960000}"/>
    <cellStyle name="Currency 6 8 4 2 2" xfId="41091" xr:uid="{00000000-0005-0000-0000-0000F2960000}"/>
    <cellStyle name="Currency 6 8 4 3" xfId="41092" xr:uid="{00000000-0005-0000-0000-0000F3960000}"/>
    <cellStyle name="Currency 6 8 5" xfId="41093" xr:uid="{00000000-0005-0000-0000-0000F4960000}"/>
    <cellStyle name="Currency 6 8 5 2" xfId="41094" xr:uid="{00000000-0005-0000-0000-0000F5960000}"/>
    <cellStyle name="Currency 6 8 6" xfId="41095" xr:uid="{00000000-0005-0000-0000-0000F6960000}"/>
    <cellStyle name="Currency 6 8 7" xfId="41096" xr:uid="{00000000-0005-0000-0000-0000F7960000}"/>
    <cellStyle name="Currency 6 8 8" xfId="41097" xr:uid="{00000000-0005-0000-0000-0000F8960000}"/>
    <cellStyle name="Currency 6 9" xfId="41098" xr:uid="{00000000-0005-0000-0000-0000F9960000}"/>
    <cellStyle name="Currency 6 9 2" xfId="41099" xr:uid="{00000000-0005-0000-0000-0000FA960000}"/>
    <cellStyle name="Currency 6 9 2 2" xfId="41100" xr:uid="{00000000-0005-0000-0000-0000FB960000}"/>
    <cellStyle name="Currency 6 9 2 2 2" xfId="41101" xr:uid="{00000000-0005-0000-0000-0000FC960000}"/>
    <cellStyle name="Currency 6 9 2 2 2 2" xfId="41102" xr:uid="{00000000-0005-0000-0000-0000FD960000}"/>
    <cellStyle name="Currency 6 9 2 2 3" xfId="41103" xr:uid="{00000000-0005-0000-0000-0000FE960000}"/>
    <cellStyle name="Currency 6 9 2 3" xfId="41104" xr:uid="{00000000-0005-0000-0000-0000FF960000}"/>
    <cellStyle name="Currency 6 9 2 3 2" xfId="41105" xr:uid="{00000000-0005-0000-0000-000000970000}"/>
    <cellStyle name="Currency 6 9 2 4" xfId="41106" xr:uid="{00000000-0005-0000-0000-000001970000}"/>
    <cellStyle name="Currency 6 9 2 5" xfId="41107" xr:uid="{00000000-0005-0000-0000-000002970000}"/>
    <cellStyle name="Currency 6 9 2 6" xfId="41108" xr:uid="{00000000-0005-0000-0000-000003970000}"/>
    <cellStyle name="Currency 6 9 3" xfId="41109" xr:uid="{00000000-0005-0000-0000-000004970000}"/>
    <cellStyle name="Currency 6 9 3 2" xfId="41110" xr:uid="{00000000-0005-0000-0000-000005970000}"/>
    <cellStyle name="Currency 6 9 3 2 2" xfId="41111" xr:uid="{00000000-0005-0000-0000-000006970000}"/>
    <cellStyle name="Currency 6 9 3 3" xfId="41112" xr:uid="{00000000-0005-0000-0000-000007970000}"/>
    <cellStyle name="Currency 6 9 4" xfId="41113" xr:uid="{00000000-0005-0000-0000-000008970000}"/>
    <cellStyle name="Currency 6 9 4 2" xfId="41114" xr:uid="{00000000-0005-0000-0000-000009970000}"/>
    <cellStyle name="Currency 6 9 5" xfId="41115" xr:uid="{00000000-0005-0000-0000-00000A970000}"/>
    <cellStyle name="Currency 6 9 6" xfId="41116" xr:uid="{00000000-0005-0000-0000-00000B970000}"/>
    <cellStyle name="Currency 6 9 7" xfId="41117" xr:uid="{00000000-0005-0000-0000-00000C970000}"/>
    <cellStyle name="Currency 7" xfId="41118" xr:uid="{00000000-0005-0000-0000-00000D970000}"/>
    <cellStyle name="Currency 7 2" xfId="41119" xr:uid="{00000000-0005-0000-0000-00000E970000}"/>
    <cellStyle name="Currency 7 2 2" xfId="41120" xr:uid="{00000000-0005-0000-0000-00000F970000}"/>
    <cellStyle name="Currency 7 2 2 2" xfId="41121" xr:uid="{00000000-0005-0000-0000-000010970000}"/>
    <cellStyle name="Currency 7 2 2 2 2" xfId="41122" xr:uid="{00000000-0005-0000-0000-000011970000}"/>
    <cellStyle name="Currency 7 2 2 3" xfId="41123" xr:uid="{00000000-0005-0000-0000-000012970000}"/>
    <cellStyle name="Currency 7 2 3" xfId="41124" xr:uid="{00000000-0005-0000-0000-000013970000}"/>
    <cellStyle name="Currency 7 2 3 2" xfId="41125" xr:uid="{00000000-0005-0000-0000-000014970000}"/>
    <cellStyle name="Currency 7 2 4" xfId="41126" xr:uid="{00000000-0005-0000-0000-000015970000}"/>
    <cellStyle name="Currency 7 3" xfId="41127" xr:uid="{00000000-0005-0000-0000-000016970000}"/>
    <cellStyle name="Currency 7 3 2" xfId="41128" xr:uid="{00000000-0005-0000-0000-000017970000}"/>
    <cellStyle name="Currency 7 3 2 2" xfId="41129" xr:uid="{00000000-0005-0000-0000-000018970000}"/>
    <cellStyle name="Currency 7 3 2 2 2" xfId="41130" xr:uid="{00000000-0005-0000-0000-000019970000}"/>
    <cellStyle name="Currency 7 3 2 3" xfId="41131" xr:uid="{00000000-0005-0000-0000-00001A970000}"/>
    <cellStyle name="Currency 7 3 3" xfId="41132" xr:uid="{00000000-0005-0000-0000-00001B970000}"/>
    <cellStyle name="Currency 7 3 3 2" xfId="41133" xr:uid="{00000000-0005-0000-0000-00001C970000}"/>
    <cellStyle name="Currency 7 3 4" xfId="41134" xr:uid="{00000000-0005-0000-0000-00001D970000}"/>
    <cellStyle name="Currency 7 4" xfId="41135" xr:uid="{00000000-0005-0000-0000-00001E970000}"/>
    <cellStyle name="Currency 7 4 2" xfId="41136" xr:uid="{00000000-0005-0000-0000-00001F970000}"/>
    <cellStyle name="Currency 7 4 2 2" xfId="41137" xr:uid="{00000000-0005-0000-0000-000020970000}"/>
    <cellStyle name="Currency 7 4 2 2 2" xfId="41138" xr:uid="{00000000-0005-0000-0000-000021970000}"/>
    <cellStyle name="Currency 7 4 2 3" xfId="41139" xr:uid="{00000000-0005-0000-0000-000022970000}"/>
    <cellStyle name="Currency 7 4 3" xfId="41140" xr:uid="{00000000-0005-0000-0000-000023970000}"/>
    <cellStyle name="Currency 7 4 3 2" xfId="41141" xr:uid="{00000000-0005-0000-0000-000024970000}"/>
    <cellStyle name="Currency 7 4 4" xfId="41142" xr:uid="{00000000-0005-0000-0000-000025970000}"/>
    <cellStyle name="Currency 7 5" xfId="41143" xr:uid="{00000000-0005-0000-0000-000026970000}"/>
    <cellStyle name="Currency 8" xfId="41144" xr:uid="{00000000-0005-0000-0000-000027970000}"/>
    <cellStyle name="Currency 8 2" xfId="41145" xr:uid="{00000000-0005-0000-0000-000028970000}"/>
    <cellStyle name="Currency 8 2 2" xfId="41146" xr:uid="{00000000-0005-0000-0000-000029970000}"/>
    <cellStyle name="Currency 8 2 2 2" xfId="41147" xr:uid="{00000000-0005-0000-0000-00002A970000}"/>
    <cellStyle name="Currency 8 2 2 2 2" xfId="41148" xr:uid="{00000000-0005-0000-0000-00002B970000}"/>
    <cellStyle name="Currency 8 2 2 3" xfId="41149" xr:uid="{00000000-0005-0000-0000-00002C970000}"/>
    <cellStyle name="Currency 8 2 3" xfId="41150" xr:uid="{00000000-0005-0000-0000-00002D970000}"/>
    <cellStyle name="Currency 8 2 3 2" xfId="41151" xr:uid="{00000000-0005-0000-0000-00002E970000}"/>
    <cellStyle name="Currency 8 2 4" xfId="41152" xr:uid="{00000000-0005-0000-0000-00002F970000}"/>
    <cellStyle name="Currency 8 3" xfId="41153" xr:uid="{00000000-0005-0000-0000-000030970000}"/>
    <cellStyle name="Currency 8 3 2" xfId="41154" xr:uid="{00000000-0005-0000-0000-000031970000}"/>
    <cellStyle name="Currency 8 3 2 2" xfId="41155" xr:uid="{00000000-0005-0000-0000-000032970000}"/>
    <cellStyle name="Currency 8 3 2 2 2" xfId="41156" xr:uid="{00000000-0005-0000-0000-000033970000}"/>
    <cellStyle name="Currency 8 3 2 3" xfId="41157" xr:uid="{00000000-0005-0000-0000-000034970000}"/>
    <cellStyle name="Currency 8 3 3" xfId="41158" xr:uid="{00000000-0005-0000-0000-000035970000}"/>
    <cellStyle name="Currency 8 3 3 2" xfId="41159" xr:uid="{00000000-0005-0000-0000-000036970000}"/>
    <cellStyle name="Currency 8 3 4" xfId="41160" xr:uid="{00000000-0005-0000-0000-000037970000}"/>
    <cellStyle name="Currency 8 4" xfId="41161" xr:uid="{00000000-0005-0000-0000-000038970000}"/>
    <cellStyle name="Currency 8 4 2" xfId="41162" xr:uid="{00000000-0005-0000-0000-000039970000}"/>
    <cellStyle name="Currency 8 4 2 2" xfId="41163" xr:uid="{00000000-0005-0000-0000-00003A970000}"/>
    <cellStyle name="Currency 8 4 2 2 2" xfId="41164" xr:uid="{00000000-0005-0000-0000-00003B970000}"/>
    <cellStyle name="Currency 8 4 2 3" xfId="41165" xr:uid="{00000000-0005-0000-0000-00003C970000}"/>
    <cellStyle name="Currency 8 4 3" xfId="41166" xr:uid="{00000000-0005-0000-0000-00003D970000}"/>
    <cellStyle name="Currency 8 4 3 2" xfId="41167" xr:uid="{00000000-0005-0000-0000-00003E970000}"/>
    <cellStyle name="Currency 8 4 4" xfId="41168" xr:uid="{00000000-0005-0000-0000-00003F970000}"/>
    <cellStyle name="Currency 8 5" xfId="41169" xr:uid="{00000000-0005-0000-0000-000040970000}"/>
    <cellStyle name="Currency 9" xfId="41170" xr:uid="{00000000-0005-0000-0000-000041970000}"/>
    <cellStyle name="Currency 9 2" xfId="41171" xr:uid="{00000000-0005-0000-0000-000042970000}"/>
    <cellStyle name="Currency 9 3" xfId="41172" xr:uid="{00000000-0005-0000-0000-000043970000}"/>
    <cellStyle name="Currency0" xfId="36" xr:uid="{00000000-0005-0000-0000-00003F000000}"/>
    <cellStyle name="Currency0 10" xfId="41173" xr:uid="{00000000-0005-0000-0000-000045970000}"/>
    <cellStyle name="Currency0 11" xfId="41174" xr:uid="{00000000-0005-0000-0000-000046970000}"/>
    <cellStyle name="Currency0 2" xfId="1255" xr:uid="{00000000-0005-0000-0000-000047970000}"/>
    <cellStyle name="Currency0 2 2" xfId="41175" xr:uid="{00000000-0005-0000-0000-000048970000}"/>
    <cellStyle name="Currency0 2 2 2" xfId="41176" xr:uid="{00000000-0005-0000-0000-000049970000}"/>
    <cellStyle name="Currency0 2 3" xfId="41177" xr:uid="{00000000-0005-0000-0000-00004A970000}"/>
    <cellStyle name="Currency0 3" xfId="1256" xr:uid="{00000000-0005-0000-0000-00004B970000}"/>
    <cellStyle name="Currency0 3 2" xfId="41178" xr:uid="{00000000-0005-0000-0000-00004C970000}"/>
    <cellStyle name="Currency0 4" xfId="1257" xr:uid="{00000000-0005-0000-0000-00004D970000}"/>
    <cellStyle name="Currency0 4 2" xfId="41179" xr:uid="{00000000-0005-0000-0000-00004E970000}"/>
    <cellStyle name="Currency0 5" xfId="1258" xr:uid="{00000000-0005-0000-0000-00004F970000}"/>
    <cellStyle name="Currency0 5 2" xfId="41180" xr:uid="{00000000-0005-0000-0000-000050970000}"/>
    <cellStyle name="Currency0 6" xfId="1259" xr:uid="{00000000-0005-0000-0000-000051970000}"/>
    <cellStyle name="Currency0 6 2" xfId="41181" xr:uid="{00000000-0005-0000-0000-000052970000}"/>
    <cellStyle name="Currency0 7" xfId="1260" xr:uid="{00000000-0005-0000-0000-000053970000}"/>
    <cellStyle name="Currency0 7 2" xfId="41182" xr:uid="{00000000-0005-0000-0000-000054970000}"/>
    <cellStyle name="Currency0 8" xfId="1261" xr:uid="{00000000-0005-0000-0000-000055970000}"/>
    <cellStyle name="Currency0 8 2" xfId="41183" xr:uid="{00000000-0005-0000-0000-000056970000}"/>
    <cellStyle name="Currency0 9" xfId="1262" xr:uid="{00000000-0005-0000-0000-000057970000}"/>
    <cellStyle name="Currency4" xfId="37" xr:uid="{00000000-0005-0000-0000-000040000000}"/>
    <cellStyle name="Currency4 2" xfId="41184" xr:uid="{00000000-0005-0000-0000-000059970000}"/>
    <cellStyle name="Currency4 3" xfId="41185" xr:uid="{00000000-0005-0000-0000-00005A970000}"/>
    <cellStyle name="Currency4 4" xfId="1263" xr:uid="{00000000-0005-0000-0000-000058970000}"/>
    <cellStyle name="Data Field" xfId="41186" xr:uid="{00000000-0005-0000-0000-00005B970000}"/>
    <cellStyle name="Data Name" xfId="41187" xr:uid="{00000000-0005-0000-0000-00005C970000}"/>
    <cellStyle name="Date" xfId="38" xr:uid="{00000000-0005-0000-0000-000041000000}"/>
    <cellStyle name="Date 10" xfId="41188" xr:uid="{00000000-0005-0000-0000-00005E970000}"/>
    <cellStyle name="Date 10 2" xfId="41189" xr:uid="{00000000-0005-0000-0000-00005F970000}"/>
    <cellStyle name="Date 11" xfId="41190" xr:uid="{00000000-0005-0000-0000-000060970000}"/>
    <cellStyle name="Date 11 2" xfId="41191" xr:uid="{00000000-0005-0000-0000-000061970000}"/>
    <cellStyle name="Date 12" xfId="41192" xr:uid="{00000000-0005-0000-0000-000062970000}"/>
    <cellStyle name="Date 13" xfId="41193" xr:uid="{00000000-0005-0000-0000-000063970000}"/>
    <cellStyle name="Date 2" xfId="1264" xr:uid="{00000000-0005-0000-0000-000064970000}"/>
    <cellStyle name="Date 2 2" xfId="1265" xr:uid="{00000000-0005-0000-0000-000065970000}"/>
    <cellStyle name="Date 2 2 2" xfId="1266" xr:uid="{00000000-0005-0000-0000-000066970000}"/>
    <cellStyle name="Date 2 2 2 2" xfId="41194" xr:uid="{00000000-0005-0000-0000-000067970000}"/>
    <cellStyle name="Date 2 2 3" xfId="1267" xr:uid="{00000000-0005-0000-0000-000068970000}"/>
    <cellStyle name="Date 2 2 3 2" xfId="41195" xr:uid="{00000000-0005-0000-0000-000069970000}"/>
    <cellStyle name="Date 2 2 4" xfId="1268" xr:uid="{00000000-0005-0000-0000-00006A970000}"/>
    <cellStyle name="Date 2 2 4 2" xfId="41196" xr:uid="{00000000-0005-0000-0000-00006B970000}"/>
    <cellStyle name="Date 2 2 5" xfId="1269" xr:uid="{00000000-0005-0000-0000-00006C970000}"/>
    <cellStyle name="Date 2 2 5 2" xfId="41197" xr:uid="{00000000-0005-0000-0000-00006D970000}"/>
    <cellStyle name="Date 2 2 6" xfId="1270" xr:uid="{00000000-0005-0000-0000-00006E970000}"/>
    <cellStyle name="Date 2 2 6 2" xfId="41198" xr:uid="{00000000-0005-0000-0000-00006F970000}"/>
    <cellStyle name="Date 2 2 7" xfId="1271" xr:uid="{00000000-0005-0000-0000-000070970000}"/>
    <cellStyle name="Date 2 2 7 2" xfId="41199" xr:uid="{00000000-0005-0000-0000-000071970000}"/>
    <cellStyle name="Date 2 2 8" xfId="41200" xr:uid="{00000000-0005-0000-0000-000072970000}"/>
    <cellStyle name="Date 2 3" xfId="1272" xr:uid="{00000000-0005-0000-0000-000073970000}"/>
    <cellStyle name="Date 2 3 2" xfId="41201" xr:uid="{00000000-0005-0000-0000-000074970000}"/>
    <cellStyle name="Date 2 4" xfId="1273" xr:uid="{00000000-0005-0000-0000-000075970000}"/>
    <cellStyle name="Date 2 4 2" xfId="41202" xr:uid="{00000000-0005-0000-0000-000076970000}"/>
    <cellStyle name="Date 2 5" xfId="1274" xr:uid="{00000000-0005-0000-0000-000077970000}"/>
    <cellStyle name="Date 2 5 2" xfId="41203" xr:uid="{00000000-0005-0000-0000-000078970000}"/>
    <cellStyle name="Date 2 6" xfId="1275" xr:uid="{00000000-0005-0000-0000-000079970000}"/>
    <cellStyle name="Date 2 6 2" xfId="41204" xr:uid="{00000000-0005-0000-0000-00007A970000}"/>
    <cellStyle name="Date 2 7" xfId="1276" xr:uid="{00000000-0005-0000-0000-00007B970000}"/>
    <cellStyle name="Date 2 7 2" xfId="41205" xr:uid="{00000000-0005-0000-0000-00007C970000}"/>
    <cellStyle name="Date 2 8" xfId="41206" xr:uid="{00000000-0005-0000-0000-00007D970000}"/>
    <cellStyle name="Date 2 9" xfId="41207" xr:uid="{00000000-0005-0000-0000-00007E970000}"/>
    <cellStyle name="Date 3" xfId="1277" xr:uid="{00000000-0005-0000-0000-00007F970000}"/>
    <cellStyle name="Date 3 2" xfId="41208" xr:uid="{00000000-0005-0000-0000-000080970000}"/>
    <cellStyle name="Date 4" xfId="1278" xr:uid="{00000000-0005-0000-0000-000081970000}"/>
    <cellStyle name="Date 4 2" xfId="41209" xr:uid="{00000000-0005-0000-0000-000082970000}"/>
    <cellStyle name="Date 5" xfId="1279" xr:uid="{00000000-0005-0000-0000-000083970000}"/>
    <cellStyle name="Date 5 2" xfId="41210" xr:uid="{00000000-0005-0000-0000-000084970000}"/>
    <cellStyle name="Date 6" xfId="1280" xr:uid="{00000000-0005-0000-0000-000085970000}"/>
    <cellStyle name="Date 6 2" xfId="41211" xr:uid="{00000000-0005-0000-0000-000086970000}"/>
    <cellStyle name="Date 7" xfId="1281" xr:uid="{00000000-0005-0000-0000-000087970000}"/>
    <cellStyle name="Date 7 2" xfId="41212" xr:uid="{00000000-0005-0000-0000-000088970000}"/>
    <cellStyle name="Date 8" xfId="1282" xr:uid="{00000000-0005-0000-0000-000089970000}"/>
    <cellStyle name="Date 8 2" xfId="41213" xr:uid="{00000000-0005-0000-0000-00008A970000}"/>
    <cellStyle name="Date 9" xfId="1283" xr:uid="{00000000-0005-0000-0000-00008B970000}"/>
    <cellStyle name="Date 9 2" xfId="41214" xr:uid="{00000000-0005-0000-0000-00008C970000}"/>
    <cellStyle name="Date 9 2 2" xfId="41215" xr:uid="{00000000-0005-0000-0000-00008D970000}"/>
    <cellStyle name="Date 9 2 3" xfId="41216" xr:uid="{00000000-0005-0000-0000-00008E970000}"/>
    <cellStyle name="Debit" xfId="41217" xr:uid="{00000000-0005-0000-0000-00008F970000}"/>
    <cellStyle name="Debit subtotal" xfId="41218" xr:uid="{00000000-0005-0000-0000-000090970000}"/>
    <cellStyle name="Debit Total" xfId="41219" xr:uid="{00000000-0005-0000-0000-000091970000}"/>
    <cellStyle name="dth/day" xfId="41220" xr:uid="{00000000-0005-0000-0000-000092970000}"/>
    <cellStyle name="Emphasis 1" xfId="39" xr:uid="{00000000-0005-0000-0000-000042000000}"/>
    <cellStyle name="Emphasis 1 10" xfId="1284" xr:uid="{00000000-0005-0000-0000-000094970000}"/>
    <cellStyle name="Emphasis 1 10 2" xfId="41221" xr:uid="{00000000-0005-0000-0000-000095970000}"/>
    <cellStyle name="Emphasis 1 11" xfId="1285" xr:uid="{00000000-0005-0000-0000-000096970000}"/>
    <cellStyle name="Emphasis 1 11 2" xfId="41222" xr:uid="{00000000-0005-0000-0000-000097970000}"/>
    <cellStyle name="Emphasis 1 12" xfId="1286" xr:uid="{00000000-0005-0000-0000-000098970000}"/>
    <cellStyle name="Emphasis 1 12 2" xfId="41223" xr:uid="{00000000-0005-0000-0000-000099970000}"/>
    <cellStyle name="Emphasis 1 13" xfId="1287" xr:uid="{00000000-0005-0000-0000-00009A970000}"/>
    <cellStyle name="Emphasis 1 13 2" xfId="41224" xr:uid="{00000000-0005-0000-0000-00009B970000}"/>
    <cellStyle name="Emphasis 1 14" xfId="1288" xr:uid="{00000000-0005-0000-0000-00009C970000}"/>
    <cellStyle name="Emphasis 1 14 2" xfId="41225" xr:uid="{00000000-0005-0000-0000-00009D970000}"/>
    <cellStyle name="Emphasis 1 15" xfId="1289" xr:uid="{00000000-0005-0000-0000-00009E970000}"/>
    <cellStyle name="Emphasis 1 15 2" xfId="41226" xr:uid="{00000000-0005-0000-0000-00009F970000}"/>
    <cellStyle name="Emphasis 1 16" xfId="1290" xr:uid="{00000000-0005-0000-0000-0000A0970000}"/>
    <cellStyle name="Emphasis 1 16 2" xfId="41227" xr:uid="{00000000-0005-0000-0000-0000A1970000}"/>
    <cellStyle name="Emphasis 1 17" xfId="1291" xr:uid="{00000000-0005-0000-0000-0000A2970000}"/>
    <cellStyle name="Emphasis 1 17 2" xfId="41228" xr:uid="{00000000-0005-0000-0000-0000A3970000}"/>
    <cellStyle name="Emphasis 1 18" xfId="1292" xr:uid="{00000000-0005-0000-0000-0000A4970000}"/>
    <cellStyle name="Emphasis 1 18 2" xfId="41229" xr:uid="{00000000-0005-0000-0000-0000A5970000}"/>
    <cellStyle name="Emphasis 1 19" xfId="1293" xr:uid="{00000000-0005-0000-0000-0000A6970000}"/>
    <cellStyle name="Emphasis 1 19 2" xfId="41230" xr:uid="{00000000-0005-0000-0000-0000A7970000}"/>
    <cellStyle name="Emphasis 1 2" xfId="1294" xr:uid="{00000000-0005-0000-0000-0000A8970000}"/>
    <cellStyle name="Emphasis 1 2 2" xfId="41231" xr:uid="{00000000-0005-0000-0000-0000A9970000}"/>
    <cellStyle name="Emphasis 1 2 3" xfId="41232" xr:uid="{00000000-0005-0000-0000-0000AA970000}"/>
    <cellStyle name="Emphasis 1 20" xfId="1295" xr:uid="{00000000-0005-0000-0000-0000AB970000}"/>
    <cellStyle name="Emphasis 1 20 2" xfId="41233" xr:uid="{00000000-0005-0000-0000-0000AC970000}"/>
    <cellStyle name="Emphasis 1 21" xfId="1296" xr:uid="{00000000-0005-0000-0000-0000AD970000}"/>
    <cellStyle name="Emphasis 1 21 2" xfId="41234" xr:uid="{00000000-0005-0000-0000-0000AE970000}"/>
    <cellStyle name="Emphasis 1 22" xfId="1297" xr:uid="{00000000-0005-0000-0000-0000AF970000}"/>
    <cellStyle name="Emphasis 1 22 2" xfId="41235" xr:uid="{00000000-0005-0000-0000-0000B0970000}"/>
    <cellStyle name="Emphasis 1 23" xfId="1298" xr:uid="{00000000-0005-0000-0000-0000B1970000}"/>
    <cellStyle name="Emphasis 1 23 2" xfId="41236" xr:uid="{00000000-0005-0000-0000-0000B2970000}"/>
    <cellStyle name="Emphasis 1 24" xfId="1299" xr:uid="{00000000-0005-0000-0000-0000B3970000}"/>
    <cellStyle name="Emphasis 1 24 2" xfId="41237" xr:uid="{00000000-0005-0000-0000-0000B4970000}"/>
    <cellStyle name="Emphasis 1 25" xfId="1300" xr:uid="{00000000-0005-0000-0000-0000B5970000}"/>
    <cellStyle name="Emphasis 1 25 2" xfId="41238" xr:uid="{00000000-0005-0000-0000-0000B6970000}"/>
    <cellStyle name="Emphasis 1 26" xfId="1301" xr:uid="{00000000-0005-0000-0000-0000B7970000}"/>
    <cellStyle name="Emphasis 1 26 2" xfId="41239" xr:uid="{00000000-0005-0000-0000-0000B8970000}"/>
    <cellStyle name="Emphasis 1 27" xfId="1302" xr:uid="{00000000-0005-0000-0000-0000B9970000}"/>
    <cellStyle name="Emphasis 1 27 2" xfId="41240" xr:uid="{00000000-0005-0000-0000-0000BA970000}"/>
    <cellStyle name="Emphasis 1 28" xfId="1303" xr:uid="{00000000-0005-0000-0000-0000BB970000}"/>
    <cellStyle name="Emphasis 1 28 2" xfId="41241" xr:uid="{00000000-0005-0000-0000-0000BC970000}"/>
    <cellStyle name="Emphasis 1 29" xfId="1304" xr:uid="{00000000-0005-0000-0000-0000BD970000}"/>
    <cellStyle name="Emphasis 1 29 2" xfId="41242" xr:uid="{00000000-0005-0000-0000-0000BE970000}"/>
    <cellStyle name="Emphasis 1 3" xfId="1305" xr:uid="{00000000-0005-0000-0000-0000BF970000}"/>
    <cellStyle name="Emphasis 1 3 2" xfId="41243" xr:uid="{00000000-0005-0000-0000-0000C0970000}"/>
    <cellStyle name="Emphasis 1 30" xfId="1306" xr:uid="{00000000-0005-0000-0000-0000C1970000}"/>
    <cellStyle name="Emphasis 1 30 2" xfId="41244" xr:uid="{00000000-0005-0000-0000-0000C2970000}"/>
    <cellStyle name="Emphasis 1 31" xfId="1307" xr:uid="{00000000-0005-0000-0000-0000C3970000}"/>
    <cellStyle name="Emphasis 1 31 2" xfId="41245" xr:uid="{00000000-0005-0000-0000-0000C4970000}"/>
    <cellStyle name="Emphasis 1 32" xfId="1308" xr:uid="{00000000-0005-0000-0000-0000C5970000}"/>
    <cellStyle name="Emphasis 1 32 2" xfId="41246" xr:uid="{00000000-0005-0000-0000-0000C6970000}"/>
    <cellStyle name="Emphasis 1 33" xfId="1309" xr:uid="{00000000-0005-0000-0000-0000C7970000}"/>
    <cellStyle name="Emphasis 1 33 2" xfId="41247" xr:uid="{00000000-0005-0000-0000-0000C8970000}"/>
    <cellStyle name="Emphasis 1 34" xfId="1310" xr:uid="{00000000-0005-0000-0000-0000C9970000}"/>
    <cellStyle name="Emphasis 1 34 2" xfId="41248" xr:uid="{00000000-0005-0000-0000-0000CA970000}"/>
    <cellStyle name="Emphasis 1 35" xfId="1311" xr:uid="{00000000-0005-0000-0000-0000CB970000}"/>
    <cellStyle name="Emphasis 1 35 2" xfId="41249" xr:uid="{00000000-0005-0000-0000-0000CC970000}"/>
    <cellStyle name="Emphasis 1 36" xfId="1312" xr:uid="{00000000-0005-0000-0000-0000CD970000}"/>
    <cellStyle name="Emphasis 1 36 2" xfId="41250" xr:uid="{00000000-0005-0000-0000-0000CE970000}"/>
    <cellStyle name="Emphasis 1 37" xfId="1313" xr:uid="{00000000-0005-0000-0000-0000CF970000}"/>
    <cellStyle name="Emphasis 1 37 2" xfId="41251" xr:uid="{00000000-0005-0000-0000-0000D0970000}"/>
    <cellStyle name="Emphasis 1 38" xfId="1314" xr:uid="{00000000-0005-0000-0000-0000D1970000}"/>
    <cellStyle name="Emphasis 1 38 2" xfId="41252" xr:uid="{00000000-0005-0000-0000-0000D2970000}"/>
    <cellStyle name="Emphasis 1 39" xfId="1315" xr:uid="{00000000-0005-0000-0000-0000D3970000}"/>
    <cellStyle name="Emphasis 1 39 2" xfId="41253" xr:uid="{00000000-0005-0000-0000-0000D4970000}"/>
    <cellStyle name="Emphasis 1 4" xfId="1316" xr:uid="{00000000-0005-0000-0000-0000D5970000}"/>
    <cellStyle name="Emphasis 1 4 2" xfId="41254" xr:uid="{00000000-0005-0000-0000-0000D6970000}"/>
    <cellStyle name="Emphasis 1 40" xfId="1317" xr:uid="{00000000-0005-0000-0000-0000D7970000}"/>
    <cellStyle name="Emphasis 1 40 2" xfId="41255" xr:uid="{00000000-0005-0000-0000-0000D8970000}"/>
    <cellStyle name="Emphasis 1 41" xfId="1318" xr:uid="{00000000-0005-0000-0000-0000D9970000}"/>
    <cellStyle name="Emphasis 1 41 2" xfId="41256" xr:uid="{00000000-0005-0000-0000-0000DA970000}"/>
    <cellStyle name="Emphasis 1 42" xfId="1319" xr:uid="{00000000-0005-0000-0000-0000DB970000}"/>
    <cellStyle name="Emphasis 1 42 2" xfId="41257" xr:uid="{00000000-0005-0000-0000-0000DC970000}"/>
    <cellStyle name="Emphasis 1 43" xfId="1320" xr:uid="{00000000-0005-0000-0000-0000DD970000}"/>
    <cellStyle name="Emphasis 1 43 2" xfId="41258" xr:uid="{00000000-0005-0000-0000-0000DE970000}"/>
    <cellStyle name="Emphasis 1 44" xfId="1321" xr:uid="{00000000-0005-0000-0000-0000DF970000}"/>
    <cellStyle name="Emphasis 1 44 2" xfId="41259" xr:uid="{00000000-0005-0000-0000-0000E0970000}"/>
    <cellStyle name="Emphasis 1 45" xfId="1322" xr:uid="{00000000-0005-0000-0000-0000E1970000}"/>
    <cellStyle name="Emphasis 1 45 2" xfId="41260" xr:uid="{00000000-0005-0000-0000-0000E2970000}"/>
    <cellStyle name="Emphasis 1 46" xfId="41261" xr:uid="{00000000-0005-0000-0000-0000E3970000}"/>
    <cellStyle name="Emphasis 1 46 2" xfId="41262" xr:uid="{00000000-0005-0000-0000-0000E4970000}"/>
    <cellStyle name="Emphasis 1 46 3" xfId="41263" xr:uid="{00000000-0005-0000-0000-0000E5970000}"/>
    <cellStyle name="Emphasis 1 47" xfId="41264" xr:uid="{00000000-0005-0000-0000-0000E6970000}"/>
    <cellStyle name="Emphasis 1 48" xfId="41265" xr:uid="{00000000-0005-0000-0000-0000E7970000}"/>
    <cellStyle name="Emphasis 1 49" xfId="41266" xr:uid="{00000000-0005-0000-0000-0000E8970000}"/>
    <cellStyle name="Emphasis 1 5" xfId="1323" xr:uid="{00000000-0005-0000-0000-0000E9970000}"/>
    <cellStyle name="Emphasis 1 5 2" xfId="41267" xr:uid="{00000000-0005-0000-0000-0000EA970000}"/>
    <cellStyle name="Emphasis 1 50" xfId="41268" xr:uid="{00000000-0005-0000-0000-0000EB970000}"/>
    <cellStyle name="Emphasis 1 6" xfId="1324" xr:uid="{00000000-0005-0000-0000-0000EC970000}"/>
    <cellStyle name="Emphasis 1 6 2" xfId="41269" xr:uid="{00000000-0005-0000-0000-0000ED970000}"/>
    <cellStyle name="Emphasis 1 7" xfId="1325" xr:uid="{00000000-0005-0000-0000-0000EE970000}"/>
    <cellStyle name="Emphasis 1 7 2" xfId="41270" xr:uid="{00000000-0005-0000-0000-0000EF970000}"/>
    <cellStyle name="Emphasis 1 8" xfId="1326" xr:uid="{00000000-0005-0000-0000-0000F0970000}"/>
    <cellStyle name="Emphasis 1 8 2" xfId="41271" xr:uid="{00000000-0005-0000-0000-0000F1970000}"/>
    <cellStyle name="Emphasis 1 9" xfId="1327" xr:uid="{00000000-0005-0000-0000-0000F2970000}"/>
    <cellStyle name="Emphasis 1 9 2" xfId="41272" xr:uid="{00000000-0005-0000-0000-0000F3970000}"/>
    <cellStyle name="Emphasis 2" xfId="40" xr:uid="{00000000-0005-0000-0000-000043000000}"/>
    <cellStyle name="Emphasis 2 10" xfId="1328" xr:uid="{00000000-0005-0000-0000-0000F5970000}"/>
    <cellStyle name="Emphasis 2 10 2" xfId="41273" xr:uid="{00000000-0005-0000-0000-0000F6970000}"/>
    <cellStyle name="Emphasis 2 11" xfId="1329" xr:uid="{00000000-0005-0000-0000-0000F7970000}"/>
    <cellStyle name="Emphasis 2 11 2" xfId="41274" xr:uid="{00000000-0005-0000-0000-0000F8970000}"/>
    <cellStyle name="Emphasis 2 12" xfId="1330" xr:uid="{00000000-0005-0000-0000-0000F9970000}"/>
    <cellStyle name="Emphasis 2 12 2" xfId="41275" xr:uid="{00000000-0005-0000-0000-0000FA970000}"/>
    <cellStyle name="Emphasis 2 13" xfId="1331" xr:uid="{00000000-0005-0000-0000-0000FB970000}"/>
    <cellStyle name="Emphasis 2 13 2" xfId="41276" xr:uid="{00000000-0005-0000-0000-0000FC970000}"/>
    <cellStyle name="Emphasis 2 14" xfId="1332" xr:uid="{00000000-0005-0000-0000-0000FD970000}"/>
    <cellStyle name="Emphasis 2 14 2" xfId="41277" xr:uid="{00000000-0005-0000-0000-0000FE970000}"/>
    <cellStyle name="Emphasis 2 15" xfId="1333" xr:uid="{00000000-0005-0000-0000-0000FF970000}"/>
    <cellStyle name="Emphasis 2 15 2" xfId="41278" xr:uid="{00000000-0005-0000-0000-000000980000}"/>
    <cellStyle name="Emphasis 2 16" xfId="1334" xr:uid="{00000000-0005-0000-0000-000001980000}"/>
    <cellStyle name="Emphasis 2 16 2" xfId="41279" xr:uid="{00000000-0005-0000-0000-000002980000}"/>
    <cellStyle name="Emphasis 2 17" xfId="1335" xr:uid="{00000000-0005-0000-0000-000003980000}"/>
    <cellStyle name="Emphasis 2 17 2" xfId="41280" xr:uid="{00000000-0005-0000-0000-000004980000}"/>
    <cellStyle name="Emphasis 2 18" xfId="1336" xr:uid="{00000000-0005-0000-0000-000005980000}"/>
    <cellStyle name="Emphasis 2 18 2" xfId="41281" xr:uid="{00000000-0005-0000-0000-000006980000}"/>
    <cellStyle name="Emphasis 2 19" xfId="1337" xr:uid="{00000000-0005-0000-0000-000007980000}"/>
    <cellStyle name="Emphasis 2 19 2" xfId="41282" xr:uid="{00000000-0005-0000-0000-000008980000}"/>
    <cellStyle name="Emphasis 2 2" xfId="1338" xr:uid="{00000000-0005-0000-0000-000009980000}"/>
    <cellStyle name="Emphasis 2 2 2" xfId="41283" xr:uid="{00000000-0005-0000-0000-00000A980000}"/>
    <cellStyle name="Emphasis 2 2 3" xfId="41284" xr:uid="{00000000-0005-0000-0000-00000B980000}"/>
    <cellStyle name="Emphasis 2 20" xfId="1339" xr:uid="{00000000-0005-0000-0000-00000C980000}"/>
    <cellStyle name="Emphasis 2 20 2" xfId="41285" xr:uid="{00000000-0005-0000-0000-00000D980000}"/>
    <cellStyle name="Emphasis 2 21" xfId="1340" xr:uid="{00000000-0005-0000-0000-00000E980000}"/>
    <cellStyle name="Emphasis 2 21 2" xfId="41286" xr:uid="{00000000-0005-0000-0000-00000F980000}"/>
    <cellStyle name="Emphasis 2 22" xfId="1341" xr:uid="{00000000-0005-0000-0000-000010980000}"/>
    <cellStyle name="Emphasis 2 22 2" xfId="41287" xr:uid="{00000000-0005-0000-0000-000011980000}"/>
    <cellStyle name="Emphasis 2 23" xfId="1342" xr:uid="{00000000-0005-0000-0000-000012980000}"/>
    <cellStyle name="Emphasis 2 23 2" xfId="41288" xr:uid="{00000000-0005-0000-0000-000013980000}"/>
    <cellStyle name="Emphasis 2 24" xfId="1343" xr:uid="{00000000-0005-0000-0000-000014980000}"/>
    <cellStyle name="Emphasis 2 24 2" xfId="41289" xr:uid="{00000000-0005-0000-0000-000015980000}"/>
    <cellStyle name="Emphasis 2 25" xfId="1344" xr:uid="{00000000-0005-0000-0000-000016980000}"/>
    <cellStyle name="Emphasis 2 25 2" xfId="41290" xr:uid="{00000000-0005-0000-0000-000017980000}"/>
    <cellStyle name="Emphasis 2 26" xfId="1345" xr:uid="{00000000-0005-0000-0000-000018980000}"/>
    <cellStyle name="Emphasis 2 26 2" xfId="41291" xr:uid="{00000000-0005-0000-0000-000019980000}"/>
    <cellStyle name="Emphasis 2 27" xfId="1346" xr:uid="{00000000-0005-0000-0000-00001A980000}"/>
    <cellStyle name="Emphasis 2 27 2" xfId="41292" xr:uid="{00000000-0005-0000-0000-00001B980000}"/>
    <cellStyle name="Emphasis 2 28" xfId="1347" xr:uid="{00000000-0005-0000-0000-00001C980000}"/>
    <cellStyle name="Emphasis 2 28 2" xfId="41293" xr:uid="{00000000-0005-0000-0000-00001D980000}"/>
    <cellStyle name="Emphasis 2 29" xfId="1348" xr:uid="{00000000-0005-0000-0000-00001E980000}"/>
    <cellStyle name="Emphasis 2 29 2" xfId="41294" xr:uid="{00000000-0005-0000-0000-00001F980000}"/>
    <cellStyle name="Emphasis 2 3" xfId="1349" xr:uid="{00000000-0005-0000-0000-000020980000}"/>
    <cellStyle name="Emphasis 2 3 2" xfId="41295" xr:uid="{00000000-0005-0000-0000-000021980000}"/>
    <cellStyle name="Emphasis 2 30" xfId="1350" xr:uid="{00000000-0005-0000-0000-000022980000}"/>
    <cellStyle name="Emphasis 2 30 2" xfId="41296" xr:uid="{00000000-0005-0000-0000-000023980000}"/>
    <cellStyle name="Emphasis 2 31" xfId="1351" xr:uid="{00000000-0005-0000-0000-000024980000}"/>
    <cellStyle name="Emphasis 2 31 2" xfId="41297" xr:uid="{00000000-0005-0000-0000-000025980000}"/>
    <cellStyle name="Emphasis 2 32" xfId="1352" xr:uid="{00000000-0005-0000-0000-000026980000}"/>
    <cellStyle name="Emphasis 2 32 2" xfId="41298" xr:uid="{00000000-0005-0000-0000-000027980000}"/>
    <cellStyle name="Emphasis 2 33" xfId="1353" xr:uid="{00000000-0005-0000-0000-000028980000}"/>
    <cellStyle name="Emphasis 2 33 2" xfId="41299" xr:uid="{00000000-0005-0000-0000-000029980000}"/>
    <cellStyle name="Emphasis 2 34" xfId="1354" xr:uid="{00000000-0005-0000-0000-00002A980000}"/>
    <cellStyle name="Emphasis 2 34 2" xfId="41300" xr:uid="{00000000-0005-0000-0000-00002B980000}"/>
    <cellStyle name="Emphasis 2 35" xfId="1355" xr:uid="{00000000-0005-0000-0000-00002C980000}"/>
    <cellStyle name="Emphasis 2 35 2" xfId="41301" xr:uid="{00000000-0005-0000-0000-00002D980000}"/>
    <cellStyle name="Emphasis 2 36" xfId="1356" xr:uid="{00000000-0005-0000-0000-00002E980000}"/>
    <cellStyle name="Emphasis 2 36 2" xfId="41302" xr:uid="{00000000-0005-0000-0000-00002F980000}"/>
    <cellStyle name="Emphasis 2 37" xfId="1357" xr:uid="{00000000-0005-0000-0000-000030980000}"/>
    <cellStyle name="Emphasis 2 37 2" xfId="41303" xr:uid="{00000000-0005-0000-0000-000031980000}"/>
    <cellStyle name="Emphasis 2 38" xfId="1358" xr:uid="{00000000-0005-0000-0000-000032980000}"/>
    <cellStyle name="Emphasis 2 38 2" xfId="41304" xr:uid="{00000000-0005-0000-0000-000033980000}"/>
    <cellStyle name="Emphasis 2 39" xfId="1359" xr:uid="{00000000-0005-0000-0000-000034980000}"/>
    <cellStyle name="Emphasis 2 39 2" xfId="41305" xr:uid="{00000000-0005-0000-0000-000035980000}"/>
    <cellStyle name="Emphasis 2 4" xfId="1360" xr:uid="{00000000-0005-0000-0000-000036980000}"/>
    <cellStyle name="Emphasis 2 4 2" xfId="41306" xr:uid="{00000000-0005-0000-0000-000037980000}"/>
    <cellStyle name="Emphasis 2 40" xfId="1361" xr:uid="{00000000-0005-0000-0000-000038980000}"/>
    <cellStyle name="Emphasis 2 40 2" xfId="41307" xr:uid="{00000000-0005-0000-0000-000039980000}"/>
    <cellStyle name="Emphasis 2 41" xfId="1362" xr:uid="{00000000-0005-0000-0000-00003A980000}"/>
    <cellStyle name="Emphasis 2 41 2" xfId="41308" xr:uid="{00000000-0005-0000-0000-00003B980000}"/>
    <cellStyle name="Emphasis 2 42" xfId="1363" xr:uid="{00000000-0005-0000-0000-00003C980000}"/>
    <cellStyle name="Emphasis 2 42 2" xfId="41309" xr:uid="{00000000-0005-0000-0000-00003D980000}"/>
    <cellStyle name="Emphasis 2 43" xfId="1364" xr:uid="{00000000-0005-0000-0000-00003E980000}"/>
    <cellStyle name="Emphasis 2 43 2" xfId="41310" xr:uid="{00000000-0005-0000-0000-00003F980000}"/>
    <cellStyle name="Emphasis 2 44" xfId="1365" xr:uid="{00000000-0005-0000-0000-000040980000}"/>
    <cellStyle name="Emphasis 2 44 2" xfId="41311" xr:uid="{00000000-0005-0000-0000-000041980000}"/>
    <cellStyle name="Emphasis 2 45" xfId="1366" xr:uid="{00000000-0005-0000-0000-000042980000}"/>
    <cellStyle name="Emphasis 2 45 2" xfId="41312" xr:uid="{00000000-0005-0000-0000-000043980000}"/>
    <cellStyle name="Emphasis 2 46" xfId="41313" xr:uid="{00000000-0005-0000-0000-000044980000}"/>
    <cellStyle name="Emphasis 2 46 2" xfId="41314" xr:uid="{00000000-0005-0000-0000-000045980000}"/>
    <cellStyle name="Emphasis 2 46 3" xfId="41315" xr:uid="{00000000-0005-0000-0000-000046980000}"/>
    <cellStyle name="Emphasis 2 47" xfId="41316" xr:uid="{00000000-0005-0000-0000-000047980000}"/>
    <cellStyle name="Emphasis 2 48" xfId="41317" xr:uid="{00000000-0005-0000-0000-000048980000}"/>
    <cellStyle name="Emphasis 2 49" xfId="41318" xr:uid="{00000000-0005-0000-0000-000049980000}"/>
    <cellStyle name="Emphasis 2 5" xfId="1367" xr:uid="{00000000-0005-0000-0000-00004A980000}"/>
    <cellStyle name="Emphasis 2 5 2" xfId="41319" xr:uid="{00000000-0005-0000-0000-00004B980000}"/>
    <cellStyle name="Emphasis 2 50" xfId="41320" xr:uid="{00000000-0005-0000-0000-00004C980000}"/>
    <cellStyle name="Emphasis 2 6" xfId="1368" xr:uid="{00000000-0005-0000-0000-00004D980000}"/>
    <cellStyle name="Emphasis 2 6 2" xfId="41321" xr:uid="{00000000-0005-0000-0000-00004E980000}"/>
    <cellStyle name="Emphasis 2 7" xfId="1369" xr:uid="{00000000-0005-0000-0000-00004F980000}"/>
    <cellStyle name="Emphasis 2 7 2" xfId="41322" xr:uid="{00000000-0005-0000-0000-000050980000}"/>
    <cellStyle name="Emphasis 2 8" xfId="1370" xr:uid="{00000000-0005-0000-0000-000051980000}"/>
    <cellStyle name="Emphasis 2 8 2" xfId="41323" xr:uid="{00000000-0005-0000-0000-000052980000}"/>
    <cellStyle name="Emphasis 2 9" xfId="1371" xr:uid="{00000000-0005-0000-0000-000053980000}"/>
    <cellStyle name="Emphasis 2 9 2" xfId="41324" xr:uid="{00000000-0005-0000-0000-000054980000}"/>
    <cellStyle name="Emphasis 3" xfId="41" xr:uid="{00000000-0005-0000-0000-000044000000}"/>
    <cellStyle name="Emphasis 3 2" xfId="41325" xr:uid="{00000000-0005-0000-0000-000056980000}"/>
    <cellStyle name="Emphasis 3 2 2" xfId="41326" xr:uid="{00000000-0005-0000-0000-000057980000}"/>
    <cellStyle name="Emphasis 3 2 3" xfId="41327" xr:uid="{00000000-0005-0000-0000-000058980000}"/>
    <cellStyle name="Emphasis 3 3" xfId="41328" xr:uid="{00000000-0005-0000-0000-000059980000}"/>
    <cellStyle name="Emphasis 3 4" xfId="41329" xr:uid="{00000000-0005-0000-0000-00005A980000}"/>
    <cellStyle name="Emphasis 3 5" xfId="41330" xr:uid="{00000000-0005-0000-0000-00005B980000}"/>
    <cellStyle name="Excel Built-in Normal" xfId="41331" xr:uid="{00000000-0005-0000-0000-00005C980000}"/>
    <cellStyle name="Explanatory Text" xfId="116" builtinId="53" customBuiltin="1"/>
    <cellStyle name="Explanatory Text 10" xfId="41332" xr:uid="{00000000-0005-0000-0000-00005D980000}"/>
    <cellStyle name="Explanatory Text 10 2" xfId="41333" xr:uid="{00000000-0005-0000-0000-00005E980000}"/>
    <cellStyle name="Explanatory Text 11" xfId="41334" xr:uid="{00000000-0005-0000-0000-00005F980000}"/>
    <cellStyle name="Explanatory Text 11 2" xfId="41335" xr:uid="{00000000-0005-0000-0000-000060980000}"/>
    <cellStyle name="Explanatory Text 12" xfId="41336" xr:uid="{00000000-0005-0000-0000-000061980000}"/>
    <cellStyle name="Explanatory Text 12 2" xfId="41337" xr:uid="{00000000-0005-0000-0000-000062980000}"/>
    <cellStyle name="Explanatory Text 13" xfId="41338" xr:uid="{00000000-0005-0000-0000-000063980000}"/>
    <cellStyle name="Explanatory Text 13 2" xfId="41339" xr:uid="{00000000-0005-0000-0000-000064980000}"/>
    <cellStyle name="Explanatory Text 14" xfId="41340" xr:uid="{00000000-0005-0000-0000-000065980000}"/>
    <cellStyle name="Explanatory Text 2" xfId="1372" xr:uid="{00000000-0005-0000-0000-000066980000}"/>
    <cellStyle name="Explanatory Text 2 2" xfId="41341" xr:uid="{00000000-0005-0000-0000-000067980000}"/>
    <cellStyle name="Explanatory Text 2 2 2" xfId="41342" xr:uid="{00000000-0005-0000-0000-000068980000}"/>
    <cellStyle name="Explanatory Text 2 2 2 2" xfId="41343" xr:uid="{00000000-0005-0000-0000-000069980000}"/>
    <cellStyle name="Explanatory Text 2 2 3" xfId="41344" xr:uid="{00000000-0005-0000-0000-00006A980000}"/>
    <cellStyle name="Explanatory Text 2 2 3 2" xfId="41345" xr:uid="{00000000-0005-0000-0000-00006B980000}"/>
    <cellStyle name="Explanatory Text 2 2 4" xfId="41346" xr:uid="{00000000-0005-0000-0000-00006C980000}"/>
    <cellStyle name="Explanatory Text 2 2 4 2" xfId="41347" xr:uid="{00000000-0005-0000-0000-00006D980000}"/>
    <cellStyle name="Explanatory Text 2 2 5" xfId="41348" xr:uid="{00000000-0005-0000-0000-00006E980000}"/>
    <cellStyle name="Explanatory Text 2 2 5 2" xfId="41349" xr:uid="{00000000-0005-0000-0000-00006F980000}"/>
    <cellStyle name="Explanatory Text 2 2 6" xfId="41350" xr:uid="{00000000-0005-0000-0000-000070980000}"/>
    <cellStyle name="Explanatory Text 2 2 6 2" xfId="41351" xr:uid="{00000000-0005-0000-0000-000071980000}"/>
    <cellStyle name="Explanatory Text 2 2 7" xfId="41352" xr:uid="{00000000-0005-0000-0000-000072980000}"/>
    <cellStyle name="Explanatory Text 2 2 7 2" xfId="41353" xr:uid="{00000000-0005-0000-0000-000073980000}"/>
    <cellStyle name="Explanatory Text 2 2 8" xfId="41354" xr:uid="{00000000-0005-0000-0000-000074980000}"/>
    <cellStyle name="Explanatory Text 2 2 8 2" xfId="41355" xr:uid="{00000000-0005-0000-0000-000075980000}"/>
    <cellStyle name="Explanatory Text 2 2 9" xfId="41356" xr:uid="{00000000-0005-0000-0000-000076980000}"/>
    <cellStyle name="Explanatory Text 2 3" xfId="41357" xr:uid="{00000000-0005-0000-0000-000077980000}"/>
    <cellStyle name="Explanatory Text 2 3 2" xfId="41358" xr:uid="{00000000-0005-0000-0000-000078980000}"/>
    <cellStyle name="Explanatory Text 2 4" xfId="41359" xr:uid="{00000000-0005-0000-0000-000079980000}"/>
    <cellStyle name="Explanatory Text 2 4 2" xfId="41360" xr:uid="{00000000-0005-0000-0000-00007A980000}"/>
    <cellStyle name="Explanatory Text 2 5" xfId="41361" xr:uid="{00000000-0005-0000-0000-00007B980000}"/>
    <cellStyle name="Explanatory Text 2 5 2" xfId="41362" xr:uid="{00000000-0005-0000-0000-00007C980000}"/>
    <cellStyle name="Explanatory Text 2 6" xfId="41363" xr:uid="{00000000-0005-0000-0000-00007D980000}"/>
    <cellStyle name="Explanatory Text 2 7" xfId="41364" xr:uid="{00000000-0005-0000-0000-00007E980000}"/>
    <cellStyle name="Explanatory Text 3" xfId="41365" xr:uid="{00000000-0005-0000-0000-00007F980000}"/>
    <cellStyle name="Explanatory Text 3 10" xfId="41366" xr:uid="{00000000-0005-0000-0000-000080980000}"/>
    <cellStyle name="Explanatory Text 3 11" xfId="41367" xr:uid="{00000000-0005-0000-0000-000081980000}"/>
    <cellStyle name="Explanatory Text 3 2" xfId="41368" xr:uid="{00000000-0005-0000-0000-000082980000}"/>
    <cellStyle name="Explanatory Text 3 2 2" xfId="41369" xr:uid="{00000000-0005-0000-0000-000083980000}"/>
    <cellStyle name="Explanatory Text 3 3" xfId="41370" xr:uid="{00000000-0005-0000-0000-000084980000}"/>
    <cellStyle name="Explanatory Text 3 3 2" xfId="41371" xr:uid="{00000000-0005-0000-0000-000085980000}"/>
    <cellStyle name="Explanatory Text 3 4" xfId="41372" xr:uid="{00000000-0005-0000-0000-000086980000}"/>
    <cellStyle name="Explanatory Text 3 4 2" xfId="41373" xr:uid="{00000000-0005-0000-0000-000087980000}"/>
    <cellStyle name="Explanatory Text 3 5" xfId="41374" xr:uid="{00000000-0005-0000-0000-000088980000}"/>
    <cellStyle name="Explanatory Text 3 5 2" xfId="41375" xr:uid="{00000000-0005-0000-0000-000089980000}"/>
    <cellStyle name="Explanatory Text 3 6" xfId="41376" xr:uid="{00000000-0005-0000-0000-00008A980000}"/>
    <cellStyle name="Explanatory Text 3 6 2" xfId="41377" xr:uid="{00000000-0005-0000-0000-00008B980000}"/>
    <cellStyle name="Explanatory Text 3 7" xfId="41378" xr:uid="{00000000-0005-0000-0000-00008C980000}"/>
    <cellStyle name="Explanatory Text 3 7 2" xfId="41379" xr:uid="{00000000-0005-0000-0000-00008D980000}"/>
    <cellStyle name="Explanatory Text 3 8" xfId="41380" xr:uid="{00000000-0005-0000-0000-00008E980000}"/>
    <cellStyle name="Explanatory Text 3 8 2" xfId="41381" xr:uid="{00000000-0005-0000-0000-00008F980000}"/>
    <cellStyle name="Explanatory Text 3 9" xfId="41382" xr:uid="{00000000-0005-0000-0000-000090980000}"/>
    <cellStyle name="Explanatory Text 4" xfId="41383" xr:uid="{00000000-0005-0000-0000-000091980000}"/>
    <cellStyle name="Explanatory Text 4 10" xfId="41384" xr:uid="{00000000-0005-0000-0000-000092980000}"/>
    <cellStyle name="Explanatory Text 4 2" xfId="41385" xr:uid="{00000000-0005-0000-0000-000093980000}"/>
    <cellStyle name="Explanatory Text 4 2 2" xfId="41386" xr:uid="{00000000-0005-0000-0000-000094980000}"/>
    <cellStyle name="Explanatory Text 4 3" xfId="41387" xr:uid="{00000000-0005-0000-0000-000095980000}"/>
    <cellStyle name="Explanatory Text 4 3 2" xfId="41388" xr:uid="{00000000-0005-0000-0000-000096980000}"/>
    <cellStyle name="Explanatory Text 4 4" xfId="41389" xr:uid="{00000000-0005-0000-0000-000097980000}"/>
    <cellStyle name="Explanatory Text 4 4 2" xfId="41390" xr:uid="{00000000-0005-0000-0000-000098980000}"/>
    <cellStyle name="Explanatory Text 4 5" xfId="41391" xr:uid="{00000000-0005-0000-0000-000099980000}"/>
    <cellStyle name="Explanatory Text 4 5 2" xfId="41392" xr:uid="{00000000-0005-0000-0000-00009A980000}"/>
    <cellStyle name="Explanatory Text 4 6" xfId="41393" xr:uid="{00000000-0005-0000-0000-00009B980000}"/>
    <cellStyle name="Explanatory Text 4 6 2" xfId="41394" xr:uid="{00000000-0005-0000-0000-00009C980000}"/>
    <cellStyle name="Explanatory Text 4 7" xfId="41395" xr:uid="{00000000-0005-0000-0000-00009D980000}"/>
    <cellStyle name="Explanatory Text 4 7 2" xfId="41396" xr:uid="{00000000-0005-0000-0000-00009E980000}"/>
    <cellStyle name="Explanatory Text 4 8" xfId="41397" xr:uid="{00000000-0005-0000-0000-00009F980000}"/>
    <cellStyle name="Explanatory Text 4 8 2" xfId="41398" xr:uid="{00000000-0005-0000-0000-0000A0980000}"/>
    <cellStyle name="Explanatory Text 4 9" xfId="41399" xr:uid="{00000000-0005-0000-0000-0000A1980000}"/>
    <cellStyle name="Explanatory Text 5" xfId="41400" xr:uid="{00000000-0005-0000-0000-0000A2980000}"/>
    <cellStyle name="Explanatory Text 5 2" xfId="41401" xr:uid="{00000000-0005-0000-0000-0000A3980000}"/>
    <cellStyle name="Explanatory Text 5 2 2" xfId="41402" xr:uid="{00000000-0005-0000-0000-0000A4980000}"/>
    <cellStyle name="Explanatory Text 5 3" xfId="41403" xr:uid="{00000000-0005-0000-0000-0000A5980000}"/>
    <cellStyle name="Explanatory Text 5 3 2" xfId="41404" xr:uid="{00000000-0005-0000-0000-0000A6980000}"/>
    <cellStyle name="Explanatory Text 5 4" xfId="41405" xr:uid="{00000000-0005-0000-0000-0000A7980000}"/>
    <cellStyle name="Explanatory Text 5 4 2" xfId="41406" xr:uid="{00000000-0005-0000-0000-0000A8980000}"/>
    <cellStyle name="Explanatory Text 5 5" xfId="41407" xr:uid="{00000000-0005-0000-0000-0000A9980000}"/>
    <cellStyle name="Explanatory Text 5 5 2" xfId="41408" xr:uid="{00000000-0005-0000-0000-0000AA980000}"/>
    <cellStyle name="Explanatory Text 5 6" xfId="41409" xr:uid="{00000000-0005-0000-0000-0000AB980000}"/>
    <cellStyle name="Explanatory Text 5 6 2" xfId="41410" xr:uid="{00000000-0005-0000-0000-0000AC980000}"/>
    <cellStyle name="Explanatory Text 5 7" xfId="41411" xr:uid="{00000000-0005-0000-0000-0000AD980000}"/>
    <cellStyle name="Explanatory Text 5 7 2" xfId="41412" xr:uid="{00000000-0005-0000-0000-0000AE980000}"/>
    <cellStyle name="Explanatory Text 5 8" xfId="41413" xr:uid="{00000000-0005-0000-0000-0000AF980000}"/>
    <cellStyle name="Explanatory Text 5 8 2" xfId="41414" xr:uid="{00000000-0005-0000-0000-0000B0980000}"/>
    <cellStyle name="Explanatory Text 5 9" xfId="41415" xr:uid="{00000000-0005-0000-0000-0000B1980000}"/>
    <cellStyle name="Explanatory Text 6" xfId="41416" xr:uid="{00000000-0005-0000-0000-0000B2980000}"/>
    <cellStyle name="Explanatory Text 6 2" xfId="41417" xr:uid="{00000000-0005-0000-0000-0000B3980000}"/>
    <cellStyle name="Explanatory Text 7" xfId="41418" xr:uid="{00000000-0005-0000-0000-0000B4980000}"/>
    <cellStyle name="Explanatory Text 7 2" xfId="41419" xr:uid="{00000000-0005-0000-0000-0000B5980000}"/>
    <cellStyle name="Explanatory Text 8" xfId="41420" xr:uid="{00000000-0005-0000-0000-0000B6980000}"/>
    <cellStyle name="Explanatory Text 8 2" xfId="41421" xr:uid="{00000000-0005-0000-0000-0000B7980000}"/>
    <cellStyle name="Explanatory Text 9" xfId="41422" xr:uid="{00000000-0005-0000-0000-0000B8980000}"/>
    <cellStyle name="Explanatory Text 9 2" xfId="41423" xr:uid="{00000000-0005-0000-0000-0000B9980000}"/>
    <cellStyle name="Fixed" xfId="42" xr:uid="{00000000-0005-0000-0000-000046000000}"/>
    <cellStyle name="Fixed 2" xfId="41424" xr:uid="{00000000-0005-0000-0000-0000BB980000}"/>
    <cellStyle name="Fixed 2 2" xfId="41425" xr:uid="{00000000-0005-0000-0000-0000BC980000}"/>
    <cellStyle name="Fixed 2 3" xfId="41426" xr:uid="{00000000-0005-0000-0000-0000BD980000}"/>
    <cellStyle name="Fixed 3" xfId="41427" xr:uid="{00000000-0005-0000-0000-0000BE980000}"/>
    <cellStyle name="Fixed 3 2" xfId="41428" xr:uid="{00000000-0005-0000-0000-0000BF980000}"/>
    <cellStyle name="Fixed 3 3" xfId="41429" xr:uid="{00000000-0005-0000-0000-0000C0980000}"/>
    <cellStyle name="Fixed 4" xfId="41430" xr:uid="{00000000-0005-0000-0000-0000C1980000}"/>
    <cellStyle name="Fixed 5" xfId="41431" xr:uid="{00000000-0005-0000-0000-0000C2980000}"/>
    <cellStyle name="Fixed 6" xfId="1373" xr:uid="{00000000-0005-0000-0000-0000BA980000}"/>
    <cellStyle name="Fixed1 - Style1" xfId="1374" xr:uid="{00000000-0005-0000-0000-0000C3980000}"/>
    <cellStyle name="Footnote" xfId="43" xr:uid="{00000000-0005-0000-0000-000047000000}"/>
    <cellStyle name="Footnote 2" xfId="1375" xr:uid="{00000000-0005-0000-0000-0000C5980000}"/>
    <cellStyle name="Footnote 3" xfId="1376" xr:uid="{00000000-0005-0000-0000-0000C6980000}"/>
    <cellStyle name="Footnote 4" xfId="1377" xr:uid="{00000000-0005-0000-0000-0000C7980000}"/>
    <cellStyle name="Footnote 5" xfId="1378" xr:uid="{00000000-0005-0000-0000-0000C8980000}"/>
    <cellStyle name="Footnote 6" xfId="1379" xr:uid="{00000000-0005-0000-0000-0000C9980000}"/>
    <cellStyle name="Footnote 7" xfId="1380" xr:uid="{00000000-0005-0000-0000-0000CA980000}"/>
    <cellStyle name="FRxAmtStyle" xfId="41432" xr:uid="{00000000-0005-0000-0000-0000CB980000}"/>
    <cellStyle name="FRxAmtStyle 10" xfId="41433" xr:uid="{00000000-0005-0000-0000-0000CC980000}"/>
    <cellStyle name="FRxAmtStyle 11" xfId="41434" xr:uid="{00000000-0005-0000-0000-0000CD980000}"/>
    <cellStyle name="FRxAmtStyle 12" xfId="41435" xr:uid="{00000000-0005-0000-0000-0000CE980000}"/>
    <cellStyle name="FRxAmtStyle 13" xfId="41436" xr:uid="{00000000-0005-0000-0000-0000CF980000}"/>
    <cellStyle name="FRxAmtStyle 14" xfId="41437" xr:uid="{00000000-0005-0000-0000-0000D0980000}"/>
    <cellStyle name="FRxAmtStyle 15" xfId="41438" xr:uid="{00000000-0005-0000-0000-0000D1980000}"/>
    <cellStyle name="FRxAmtStyle 16" xfId="41439" xr:uid="{00000000-0005-0000-0000-0000D2980000}"/>
    <cellStyle name="FRxAmtStyle 17" xfId="41440" xr:uid="{00000000-0005-0000-0000-0000D3980000}"/>
    <cellStyle name="FRxAmtStyle 17 2" xfId="41441" xr:uid="{00000000-0005-0000-0000-0000D4980000}"/>
    <cellStyle name="FRxAmtStyle 18" xfId="41442" xr:uid="{00000000-0005-0000-0000-0000D5980000}"/>
    <cellStyle name="FRxAmtStyle 19" xfId="41443" xr:uid="{00000000-0005-0000-0000-0000D6980000}"/>
    <cellStyle name="FRxAmtStyle 19 2" xfId="41444" xr:uid="{00000000-0005-0000-0000-0000D7980000}"/>
    <cellStyle name="FRxAmtStyle 2" xfId="41445" xr:uid="{00000000-0005-0000-0000-0000D8980000}"/>
    <cellStyle name="FRxAmtStyle 2 2" xfId="41446" xr:uid="{00000000-0005-0000-0000-0000D9980000}"/>
    <cellStyle name="FRxAmtStyle 2 3" xfId="41447" xr:uid="{00000000-0005-0000-0000-0000DA980000}"/>
    <cellStyle name="FRxAmtStyle 2 4" xfId="41448" xr:uid="{00000000-0005-0000-0000-0000DB980000}"/>
    <cellStyle name="FRxAmtStyle 2 5" xfId="41449" xr:uid="{00000000-0005-0000-0000-0000DC980000}"/>
    <cellStyle name="FRxAmtStyle 2 6" xfId="41450" xr:uid="{00000000-0005-0000-0000-0000DD980000}"/>
    <cellStyle name="FRxAmtStyle 2 7" xfId="41451" xr:uid="{00000000-0005-0000-0000-0000DE980000}"/>
    <cellStyle name="FRxAmtStyle 2 8" xfId="41452" xr:uid="{00000000-0005-0000-0000-0000DF980000}"/>
    <cellStyle name="FRxAmtStyle 2 9" xfId="41453" xr:uid="{00000000-0005-0000-0000-0000E0980000}"/>
    <cellStyle name="FRxAmtStyle 20" xfId="41454" xr:uid="{00000000-0005-0000-0000-0000E1980000}"/>
    <cellStyle name="FRxAmtStyle 21" xfId="41455" xr:uid="{00000000-0005-0000-0000-0000E2980000}"/>
    <cellStyle name="FRxAmtStyle 22" xfId="41456" xr:uid="{00000000-0005-0000-0000-0000E3980000}"/>
    <cellStyle name="FRxAmtStyle 23" xfId="41457" xr:uid="{00000000-0005-0000-0000-0000E4980000}"/>
    <cellStyle name="FRxAmtStyle 24" xfId="41458" xr:uid="{00000000-0005-0000-0000-0000E5980000}"/>
    <cellStyle name="FRxAmtStyle 25" xfId="41459" xr:uid="{00000000-0005-0000-0000-0000E6980000}"/>
    <cellStyle name="FRxAmtStyle 26" xfId="41460" xr:uid="{00000000-0005-0000-0000-0000E7980000}"/>
    <cellStyle name="FRxAmtStyle 27" xfId="41461" xr:uid="{00000000-0005-0000-0000-0000E8980000}"/>
    <cellStyle name="FRxAmtStyle 28" xfId="41462" xr:uid="{00000000-0005-0000-0000-0000E9980000}"/>
    <cellStyle name="FRxAmtStyle 3" xfId="41463" xr:uid="{00000000-0005-0000-0000-0000EA980000}"/>
    <cellStyle name="FRxAmtStyle 3 2" xfId="41464" xr:uid="{00000000-0005-0000-0000-0000EB980000}"/>
    <cellStyle name="FRxAmtStyle 3 3" xfId="41465" xr:uid="{00000000-0005-0000-0000-0000EC980000}"/>
    <cellStyle name="FRxAmtStyle 3 4" xfId="41466" xr:uid="{00000000-0005-0000-0000-0000ED980000}"/>
    <cellStyle name="FRxAmtStyle 3 5" xfId="41467" xr:uid="{00000000-0005-0000-0000-0000EE980000}"/>
    <cellStyle name="FRxAmtStyle 4" xfId="41468" xr:uid="{00000000-0005-0000-0000-0000EF980000}"/>
    <cellStyle name="FRxAmtStyle 5" xfId="41469" xr:uid="{00000000-0005-0000-0000-0000F0980000}"/>
    <cellStyle name="FRxAmtStyle 6" xfId="41470" xr:uid="{00000000-0005-0000-0000-0000F1980000}"/>
    <cellStyle name="FRxAmtStyle 7" xfId="41471" xr:uid="{00000000-0005-0000-0000-0000F2980000}"/>
    <cellStyle name="FRxAmtStyle 8" xfId="41472" xr:uid="{00000000-0005-0000-0000-0000F3980000}"/>
    <cellStyle name="FRxAmtStyle 9" xfId="41473" xr:uid="{00000000-0005-0000-0000-0000F4980000}"/>
    <cellStyle name="FRxAmtStyle_Admin Exp Mar10" xfId="41474" xr:uid="{00000000-0005-0000-0000-0000F5980000}"/>
    <cellStyle name="FRxCurrStyle" xfId="41475" xr:uid="{00000000-0005-0000-0000-0000F6980000}"/>
    <cellStyle name="FRxCurrStyle 2" xfId="41476" xr:uid="{00000000-0005-0000-0000-0000F7980000}"/>
    <cellStyle name="FRxCurrStyle 2 2" xfId="41477" xr:uid="{00000000-0005-0000-0000-0000F8980000}"/>
    <cellStyle name="FRxCurrStyle 2 3" xfId="41478" xr:uid="{00000000-0005-0000-0000-0000F9980000}"/>
    <cellStyle name="FRxCurrStyle 2 4" xfId="41479" xr:uid="{00000000-0005-0000-0000-0000FA980000}"/>
    <cellStyle name="FRxCurrStyle 2 5" xfId="41480" xr:uid="{00000000-0005-0000-0000-0000FB980000}"/>
    <cellStyle name="FRxCurrStyle 2 6" xfId="41481" xr:uid="{00000000-0005-0000-0000-0000FC980000}"/>
    <cellStyle name="FRxCurrStyle 3" xfId="41482" xr:uid="{00000000-0005-0000-0000-0000FD980000}"/>
    <cellStyle name="FRxCurrStyle 4" xfId="41483" xr:uid="{00000000-0005-0000-0000-0000FE980000}"/>
    <cellStyle name="FRxCurrStyle 5" xfId="41484" xr:uid="{00000000-0005-0000-0000-0000FF980000}"/>
    <cellStyle name="FRxCurrStyle 6" xfId="41485" xr:uid="{00000000-0005-0000-0000-000000990000}"/>
    <cellStyle name="FRxCurrStyle 7" xfId="41486" xr:uid="{00000000-0005-0000-0000-000001990000}"/>
    <cellStyle name="FRxCurrStyle 8" xfId="41487" xr:uid="{00000000-0005-0000-0000-000002990000}"/>
    <cellStyle name="FRxPcntStyle" xfId="41488" xr:uid="{00000000-0005-0000-0000-000003990000}"/>
    <cellStyle name="FRxPcntStyle 10" xfId="41489" xr:uid="{00000000-0005-0000-0000-000004990000}"/>
    <cellStyle name="FRxPcntStyle 10 2" xfId="41490" xr:uid="{00000000-0005-0000-0000-000005990000}"/>
    <cellStyle name="FRxPcntStyle 11" xfId="41491" xr:uid="{00000000-0005-0000-0000-000006990000}"/>
    <cellStyle name="FRxPcntStyle 12" xfId="41492" xr:uid="{00000000-0005-0000-0000-000007990000}"/>
    <cellStyle name="FRxPcntStyle 13" xfId="41493" xr:uid="{00000000-0005-0000-0000-000008990000}"/>
    <cellStyle name="FRxPcntStyle 14" xfId="41494" xr:uid="{00000000-0005-0000-0000-000009990000}"/>
    <cellStyle name="FRxPcntStyle 2" xfId="41495" xr:uid="{00000000-0005-0000-0000-00000A990000}"/>
    <cellStyle name="FRxPcntStyle 2 2" xfId="41496" xr:uid="{00000000-0005-0000-0000-00000B990000}"/>
    <cellStyle name="FRxPcntStyle 2 3" xfId="41497" xr:uid="{00000000-0005-0000-0000-00000C990000}"/>
    <cellStyle name="FRxPcntStyle 2 4" xfId="41498" xr:uid="{00000000-0005-0000-0000-00000D990000}"/>
    <cellStyle name="FRxPcntStyle 2 5" xfId="41499" xr:uid="{00000000-0005-0000-0000-00000E990000}"/>
    <cellStyle name="FRxPcntStyle 2 6" xfId="41500" xr:uid="{00000000-0005-0000-0000-00000F990000}"/>
    <cellStyle name="FRxPcntStyle 3" xfId="41501" xr:uid="{00000000-0005-0000-0000-000010990000}"/>
    <cellStyle name="FRxPcntStyle 3 2" xfId="41502" xr:uid="{00000000-0005-0000-0000-000011990000}"/>
    <cellStyle name="FRxPcntStyle 3 3" xfId="41503" xr:uid="{00000000-0005-0000-0000-000012990000}"/>
    <cellStyle name="FRxPcntStyle 3 4" xfId="41504" xr:uid="{00000000-0005-0000-0000-000013990000}"/>
    <cellStyle name="FRxPcntStyle 3 5" xfId="41505" xr:uid="{00000000-0005-0000-0000-000014990000}"/>
    <cellStyle name="FRxPcntStyle 4" xfId="41506" xr:uid="{00000000-0005-0000-0000-000015990000}"/>
    <cellStyle name="FRxPcntStyle 5" xfId="41507" xr:uid="{00000000-0005-0000-0000-000016990000}"/>
    <cellStyle name="FRxPcntStyle 6" xfId="41508" xr:uid="{00000000-0005-0000-0000-000017990000}"/>
    <cellStyle name="FRxPcntStyle 7" xfId="41509" xr:uid="{00000000-0005-0000-0000-000018990000}"/>
    <cellStyle name="FRxPcntStyle 8" xfId="41510" xr:uid="{00000000-0005-0000-0000-000019990000}"/>
    <cellStyle name="FRxPcntStyle 9" xfId="41511" xr:uid="{00000000-0005-0000-0000-00001A990000}"/>
    <cellStyle name="FRxPcntStyle 9 2" xfId="41512" xr:uid="{00000000-0005-0000-0000-00001B990000}"/>
    <cellStyle name="Good" xfId="107" builtinId="26" customBuiltin="1"/>
    <cellStyle name="Good 10" xfId="1381" xr:uid="{00000000-0005-0000-0000-00001C990000}"/>
    <cellStyle name="Good 10 10" xfId="41513" xr:uid="{00000000-0005-0000-0000-00001D990000}"/>
    <cellStyle name="Good 10 2" xfId="41514" xr:uid="{00000000-0005-0000-0000-00001E990000}"/>
    <cellStyle name="Good 10 2 2" xfId="41515" xr:uid="{00000000-0005-0000-0000-00001F990000}"/>
    <cellStyle name="Good 10 3" xfId="41516" xr:uid="{00000000-0005-0000-0000-000020990000}"/>
    <cellStyle name="Good 10 3 2" xfId="41517" xr:uid="{00000000-0005-0000-0000-000021990000}"/>
    <cellStyle name="Good 10 4" xfId="41518" xr:uid="{00000000-0005-0000-0000-000022990000}"/>
    <cellStyle name="Good 10 4 2" xfId="41519" xr:uid="{00000000-0005-0000-0000-000023990000}"/>
    <cellStyle name="Good 10 5" xfId="41520" xr:uid="{00000000-0005-0000-0000-000024990000}"/>
    <cellStyle name="Good 10 5 2" xfId="41521" xr:uid="{00000000-0005-0000-0000-000025990000}"/>
    <cellStyle name="Good 10 6" xfId="41522" xr:uid="{00000000-0005-0000-0000-000026990000}"/>
    <cellStyle name="Good 10 6 2" xfId="41523" xr:uid="{00000000-0005-0000-0000-000027990000}"/>
    <cellStyle name="Good 10 7" xfId="41524" xr:uid="{00000000-0005-0000-0000-000028990000}"/>
    <cellStyle name="Good 10 7 2" xfId="41525" xr:uid="{00000000-0005-0000-0000-000029990000}"/>
    <cellStyle name="Good 10 8" xfId="41526" xr:uid="{00000000-0005-0000-0000-00002A990000}"/>
    <cellStyle name="Good 10 8 2" xfId="41527" xr:uid="{00000000-0005-0000-0000-00002B990000}"/>
    <cellStyle name="Good 10 9" xfId="41528" xr:uid="{00000000-0005-0000-0000-00002C990000}"/>
    <cellStyle name="Good 10 9 2" xfId="41529" xr:uid="{00000000-0005-0000-0000-00002D990000}"/>
    <cellStyle name="Good 11" xfId="1382" xr:uid="{00000000-0005-0000-0000-00002E990000}"/>
    <cellStyle name="Good 11 10" xfId="41530" xr:uid="{00000000-0005-0000-0000-00002F990000}"/>
    <cellStyle name="Good 11 2" xfId="41531" xr:uid="{00000000-0005-0000-0000-000030990000}"/>
    <cellStyle name="Good 11 2 2" xfId="41532" xr:uid="{00000000-0005-0000-0000-000031990000}"/>
    <cellStyle name="Good 11 3" xfId="41533" xr:uid="{00000000-0005-0000-0000-000032990000}"/>
    <cellStyle name="Good 11 3 2" xfId="41534" xr:uid="{00000000-0005-0000-0000-000033990000}"/>
    <cellStyle name="Good 11 4" xfId="41535" xr:uid="{00000000-0005-0000-0000-000034990000}"/>
    <cellStyle name="Good 11 4 2" xfId="41536" xr:uid="{00000000-0005-0000-0000-000035990000}"/>
    <cellStyle name="Good 11 5" xfId="41537" xr:uid="{00000000-0005-0000-0000-000036990000}"/>
    <cellStyle name="Good 11 5 2" xfId="41538" xr:uid="{00000000-0005-0000-0000-000037990000}"/>
    <cellStyle name="Good 11 6" xfId="41539" xr:uid="{00000000-0005-0000-0000-000038990000}"/>
    <cellStyle name="Good 11 6 2" xfId="41540" xr:uid="{00000000-0005-0000-0000-000039990000}"/>
    <cellStyle name="Good 11 7" xfId="41541" xr:uid="{00000000-0005-0000-0000-00003A990000}"/>
    <cellStyle name="Good 11 7 2" xfId="41542" xr:uid="{00000000-0005-0000-0000-00003B990000}"/>
    <cellStyle name="Good 11 8" xfId="41543" xr:uid="{00000000-0005-0000-0000-00003C990000}"/>
    <cellStyle name="Good 11 8 2" xfId="41544" xr:uid="{00000000-0005-0000-0000-00003D990000}"/>
    <cellStyle name="Good 11 9" xfId="41545" xr:uid="{00000000-0005-0000-0000-00003E990000}"/>
    <cellStyle name="Good 11 9 2" xfId="41546" xr:uid="{00000000-0005-0000-0000-00003F990000}"/>
    <cellStyle name="Good 12" xfId="1383" xr:uid="{00000000-0005-0000-0000-000040990000}"/>
    <cellStyle name="Good 12 2" xfId="41547" xr:uid="{00000000-0005-0000-0000-000041990000}"/>
    <cellStyle name="Good 12 2 2" xfId="41548" xr:uid="{00000000-0005-0000-0000-000042990000}"/>
    <cellStyle name="Good 12 3" xfId="41549" xr:uid="{00000000-0005-0000-0000-000043990000}"/>
    <cellStyle name="Good 13" xfId="1384" xr:uid="{00000000-0005-0000-0000-000044990000}"/>
    <cellStyle name="Good 13 2" xfId="41550" xr:uid="{00000000-0005-0000-0000-000045990000}"/>
    <cellStyle name="Good 14" xfId="1385" xr:uid="{00000000-0005-0000-0000-000046990000}"/>
    <cellStyle name="Good 14 2" xfId="41551" xr:uid="{00000000-0005-0000-0000-000047990000}"/>
    <cellStyle name="Good 15" xfId="1386" xr:uid="{00000000-0005-0000-0000-000048990000}"/>
    <cellStyle name="Good 15 2" xfId="41552" xr:uid="{00000000-0005-0000-0000-000049990000}"/>
    <cellStyle name="Good 16" xfId="1387" xr:uid="{00000000-0005-0000-0000-00004A990000}"/>
    <cellStyle name="Good 16 2" xfId="41553" xr:uid="{00000000-0005-0000-0000-00004B990000}"/>
    <cellStyle name="Good 17" xfId="1388" xr:uid="{00000000-0005-0000-0000-00004C990000}"/>
    <cellStyle name="Good 17 2" xfId="41554" xr:uid="{00000000-0005-0000-0000-00004D990000}"/>
    <cellStyle name="Good 18" xfId="1389" xr:uid="{00000000-0005-0000-0000-00004E990000}"/>
    <cellStyle name="Good 18 2" xfId="41555" xr:uid="{00000000-0005-0000-0000-00004F990000}"/>
    <cellStyle name="Good 19" xfId="1390" xr:uid="{00000000-0005-0000-0000-000050990000}"/>
    <cellStyle name="Good 19 2" xfId="41556" xr:uid="{00000000-0005-0000-0000-000051990000}"/>
    <cellStyle name="Good 2" xfId="1391" xr:uid="{00000000-0005-0000-0000-000052990000}"/>
    <cellStyle name="Good 2 10" xfId="1392" xr:uid="{00000000-0005-0000-0000-000053990000}"/>
    <cellStyle name="Good 2 10 2" xfId="41557" xr:uid="{00000000-0005-0000-0000-000054990000}"/>
    <cellStyle name="Good 2 11" xfId="1393" xr:uid="{00000000-0005-0000-0000-000055990000}"/>
    <cellStyle name="Good 2 11 2" xfId="41558" xr:uid="{00000000-0005-0000-0000-000056990000}"/>
    <cellStyle name="Good 2 12" xfId="1394" xr:uid="{00000000-0005-0000-0000-000057990000}"/>
    <cellStyle name="Good 2 12 2" xfId="41559" xr:uid="{00000000-0005-0000-0000-000058990000}"/>
    <cellStyle name="Good 2 13" xfId="1395" xr:uid="{00000000-0005-0000-0000-000059990000}"/>
    <cellStyle name="Good 2 13 2" xfId="41560" xr:uid="{00000000-0005-0000-0000-00005A990000}"/>
    <cellStyle name="Good 2 14" xfId="1396" xr:uid="{00000000-0005-0000-0000-00005B990000}"/>
    <cellStyle name="Good 2 14 2" xfId="41561" xr:uid="{00000000-0005-0000-0000-00005C990000}"/>
    <cellStyle name="Good 2 15" xfId="1397" xr:uid="{00000000-0005-0000-0000-00005D990000}"/>
    <cellStyle name="Good 2 15 2" xfId="41562" xr:uid="{00000000-0005-0000-0000-00005E990000}"/>
    <cellStyle name="Good 2 16" xfId="1398" xr:uid="{00000000-0005-0000-0000-00005F990000}"/>
    <cellStyle name="Good 2 16 2" xfId="41563" xr:uid="{00000000-0005-0000-0000-000060990000}"/>
    <cellStyle name="Good 2 17" xfId="1399" xr:uid="{00000000-0005-0000-0000-000061990000}"/>
    <cellStyle name="Good 2 17 2" xfId="41564" xr:uid="{00000000-0005-0000-0000-000062990000}"/>
    <cellStyle name="Good 2 18" xfId="1400" xr:uid="{00000000-0005-0000-0000-000063990000}"/>
    <cellStyle name="Good 2 18 2" xfId="41565" xr:uid="{00000000-0005-0000-0000-000064990000}"/>
    <cellStyle name="Good 2 19" xfId="1401" xr:uid="{00000000-0005-0000-0000-000065990000}"/>
    <cellStyle name="Good 2 19 2" xfId="41566" xr:uid="{00000000-0005-0000-0000-000066990000}"/>
    <cellStyle name="Good 2 2" xfId="1402" xr:uid="{00000000-0005-0000-0000-000067990000}"/>
    <cellStyle name="Good 2 2 2" xfId="41567" xr:uid="{00000000-0005-0000-0000-000068990000}"/>
    <cellStyle name="Good 2 2 2 2" xfId="41568" xr:uid="{00000000-0005-0000-0000-000069990000}"/>
    <cellStyle name="Good 2 2 3" xfId="41569" xr:uid="{00000000-0005-0000-0000-00006A990000}"/>
    <cellStyle name="Good 2 20" xfId="1403" xr:uid="{00000000-0005-0000-0000-00006B990000}"/>
    <cellStyle name="Good 2 20 2" xfId="41570" xr:uid="{00000000-0005-0000-0000-00006C990000}"/>
    <cellStyle name="Good 2 21" xfId="1404" xr:uid="{00000000-0005-0000-0000-00006D990000}"/>
    <cellStyle name="Good 2 21 2" xfId="41571" xr:uid="{00000000-0005-0000-0000-00006E990000}"/>
    <cellStyle name="Good 2 22" xfId="1405" xr:uid="{00000000-0005-0000-0000-00006F990000}"/>
    <cellStyle name="Good 2 22 2" xfId="41572" xr:uid="{00000000-0005-0000-0000-000070990000}"/>
    <cellStyle name="Good 2 23" xfId="1406" xr:uid="{00000000-0005-0000-0000-000071990000}"/>
    <cellStyle name="Good 2 23 2" xfId="41573" xr:uid="{00000000-0005-0000-0000-000072990000}"/>
    <cellStyle name="Good 2 24" xfId="1407" xr:uid="{00000000-0005-0000-0000-000073990000}"/>
    <cellStyle name="Good 2 24 2" xfId="41574" xr:uid="{00000000-0005-0000-0000-000074990000}"/>
    <cellStyle name="Good 2 25" xfId="1408" xr:uid="{00000000-0005-0000-0000-000075990000}"/>
    <cellStyle name="Good 2 25 2" xfId="41575" xr:uid="{00000000-0005-0000-0000-000076990000}"/>
    <cellStyle name="Good 2 26" xfId="41576" xr:uid="{00000000-0005-0000-0000-000077990000}"/>
    <cellStyle name="Good 2 26 2" xfId="41577" xr:uid="{00000000-0005-0000-0000-000078990000}"/>
    <cellStyle name="Good 2 27" xfId="41578" xr:uid="{00000000-0005-0000-0000-000079990000}"/>
    <cellStyle name="Good 2 28" xfId="41579" xr:uid="{00000000-0005-0000-0000-00007A990000}"/>
    <cellStyle name="Good 2 3" xfId="1409" xr:uid="{00000000-0005-0000-0000-00007B990000}"/>
    <cellStyle name="Good 2 3 2" xfId="41580" xr:uid="{00000000-0005-0000-0000-00007C990000}"/>
    <cellStyle name="Good 2 3 2 2" xfId="41581" xr:uid="{00000000-0005-0000-0000-00007D990000}"/>
    <cellStyle name="Good 2 3 3" xfId="41582" xr:uid="{00000000-0005-0000-0000-00007E990000}"/>
    <cellStyle name="Good 2 4" xfId="1410" xr:uid="{00000000-0005-0000-0000-00007F990000}"/>
    <cellStyle name="Good 2 4 2" xfId="41583" xr:uid="{00000000-0005-0000-0000-000080990000}"/>
    <cellStyle name="Good 2 4 2 2" xfId="41584" xr:uid="{00000000-0005-0000-0000-000081990000}"/>
    <cellStyle name="Good 2 4 3" xfId="41585" xr:uid="{00000000-0005-0000-0000-000082990000}"/>
    <cellStyle name="Good 2 5" xfId="1411" xr:uid="{00000000-0005-0000-0000-000083990000}"/>
    <cellStyle name="Good 2 5 2" xfId="41586" xr:uid="{00000000-0005-0000-0000-000084990000}"/>
    <cellStyle name="Good 2 6" xfId="1412" xr:uid="{00000000-0005-0000-0000-000085990000}"/>
    <cellStyle name="Good 2 6 2" xfId="41587" xr:uid="{00000000-0005-0000-0000-000086990000}"/>
    <cellStyle name="Good 2 7" xfId="1413" xr:uid="{00000000-0005-0000-0000-000087990000}"/>
    <cellStyle name="Good 2 7 2" xfId="41588" xr:uid="{00000000-0005-0000-0000-000088990000}"/>
    <cellStyle name="Good 2 8" xfId="1414" xr:uid="{00000000-0005-0000-0000-000089990000}"/>
    <cellStyle name="Good 2 8 2" xfId="41589" xr:uid="{00000000-0005-0000-0000-00008A990000}"/>
    <cellStyle name="Good 2 9" xfId="1415" xr:uid="{00000000-0005-0000-0000-00008B990000}"/>
    <cellStyle name="Good 2 9 2" xfId="41590" xr:uid="{00000000-0005-0000-0000-00008C990000}"/>
    <cellStyle name="Good 20" xfId="1416" xr:uid="{00000000-0005-0000-0000-00008D990000}"/>
    <cellStyle name="Good 20 2" xfId="41591" xr:uid="{00000000-0005-0000-0000-00008E990000}"/>
    <cellStyle name="Good 21" xfId="1417" xr:uid="{00000000-0005-0000-0000-00008F990000}"/>
    <cellStyle name="Good 21 2" xfId="41592" xr:uid="{00000000-0005-0000-0000-000090990000}"/>
    <cellStyle name="Good 22" xfId="1418" xr:uid="{00000000-0005-0000-0000-000091990000}"/>
    <cellStyle name="Good 22 2" xfId="41593" xr:uid="{00000000-0005-0000-0000-000092990000}"/>
    <cellStyle name="Good 23" xfId="1419" xr:uid="{00000000-0005-0000-0000-000093990000}"/>
    <cellStyle name="Good 23 2" xfId="41594" xr:uid="{00000000-0005-0000-0000-000094990000}"/>
    <cellStyle name="Good 24" xfId="1420" xr:uid="{00000000-0005-0000-0000-000095990000}"/>
    <cellStyle name="Good 24 2" xfId="1421" xr:uid="{00000000-0005-0000-0000-000096990000}"/>
    <cellStyle name="Good 24 2 2" xfId="41595" xr:uid="{00000000-0005-0000-0000-000097990000}"/>
    <cellStyle name="Good 24 3" xfId="41596" xr:uid="{00000000-0005-0000-0000-000098990000}"/>
    <cellStyle name="Good 25" xfId="1422" xr:uid="{00000000-0005-0000-0000-000099990000}"/>
    <cellStyle name="Good 25 2" xfId="41597" xr:uid="{00000000-0005-0000-0000-00009A990000}"/>
    <cellStyle name="Good 26" xfId="41598" xr:uid="{00000000-0005-0000-0000-00009B990000}"/>
    <cellStyle name="Good 26 2" xfId="41599" xr:uid="{00000000-0005-0000-0000-00009C990000}"/>
    <cellStyle name="Good 27" xfId="41600" xr:uid="{00000000-0005-0000-0000-00009D990000}"/>
    <cellStyle name="Good 27 2" xfId="41601" xr:uid="{00000000-0005-0000-0000-00009E990000}"/>
    <cellStyle name="Good 28" xfId="41602" xr:uid="{00000000-0005-0000-0000-00009F990000}"/>
    <cellStyle name="Good 29" xfId="41603" xr:uid="{00000000-0005-0000-0000-0000A0990000}"/>
    <cellStyle name="Good 29 2" xfId="41604" xr:uid="{00000000-0005-0000-0000-0000A1990000}"/>
    <cellStyle name="Good 3" xfId="1423" xr:uid="{00000000-0005-0000-0000-0000A2990000}"/>
    <cellStyle name="Good 3 2" xfId="41605" xr:uid="{00000000-0005-0000-0000-0000A3990000}"/>
    <cellStyle name="Good 3 2 2" xfId="41606" xr:uid="{00000000-0005-0000-0000-0000A4990000}"/>
    <cellStyle name="Good 3 3" xfId="41607" xr:uid="{00000000-0005-0000-0000-0000A5990000}"/>
    <cellStyle name="Good 3 3 2" xfId="41608" xr:uid="{00000000-0005-0000-0000-0000A6990000}"/>
    <cellStyle name="Good 3 4" xfId="41609" xr:uid="{00000000-0005-0000-0000-0000A7990000}"/>
    <cellStyle name="Good 3 4 2" xfId="41610" xr:uid="{00000000-0005-0000-0000-0000A8990000}"/>
    <cellStyle name="Good 3 5" xfId="41611" xr:uid="{00000000-0005-0000-0000-0000A9990000}"/>
    <cellStyle name="Good 3 5 2" xfId="41612" xr:uid="{00000000-0005-0000-0000-0000AA990000}"/>
    <cellStyle name="Good 3 6" xfId="41613" xr:uid="{00000000-0005-0000-0000-0000AB990000}"/>
    <cellStyle name="Good 3 7" xfId="41614" xr:uid="{00000000-0005-0000-0000-0000AC990000}"/>
    <cellStyle name="Good 4" xfId="1424" xr:uid="{00000000-0005-0000-0000-0000AD990000}"/>
    <cellStyle name="Good 4 2" xfId="41615" xr:uid="{00000000-0005-0000-0000-0000AE990000}"/>
    <cellStyle name="Good 4 2 2" xfId="41616" xr:uid="{00000000-0005-0000-0000-0000AF990000}"/>
    <cellStyle name="Good 4 3" xfId="41617" xr:uid="{00000000-0005-0000-0000-0000B0990000}"/>
    <cellStyle name="Good 4 3 2" xfId="41618" xr:uid="{00000000-0005-0000-0000-0000B1990000}"/>
    <cellStyle name="Good 4 4" xfId="41619" xr:uid="{00000000-0005-0000-0000-0000B2990000}"/>
    <cellStyle name="Good 4 4 2" xfId="41620" xr:uid="{00000000-0005-0000-0000-0000B3990000}"/>
    <cellStyle name="Good 4 5" xfId="41621" xr:uid="{00000000-0005-0000-0000-0000B4990000}"/>
    <cellStyle name="Good 4 5 2" xfId="41622" xr:uid="{00000000-0005-0000-0000-0000B5990000}"/>
    <cellStyle name="Good 4 6" xfId="41623" xr:uid="{00000000-0005-0000-0000-0000B6990000}"/>
    <cellStyle name="Good 5" xfId="1425" xr:uid="{00000000-0005-0000-0000-0000B7990000}"/>
    <cellStyle name="Good 5 2" xfId="41624" xr:uid="{00000000-0005-0000-0000-0000B8990000}"/>
    <cellStyle name="Good 5 2 2" xfId="41625" xr:uid="{00000000-0005-0000-0000-0000B9990000}"/>
    <cellStyle name="Good 5 3" xfId="41626" xr:uid="{00000000-0005-0000-0000-0000BA990000}"/>
    <cellStyle name="Good 5 3 2" xfId="41627" xr:uid="{00000000-0005-0000-0000-0000BB990000}"/>
    <cellStyle name="Good 5 4" xfId="41628" xr:uid="{00000000-0005-0000-0000-0000BC990000}"/>
    <cellStyle name="Good 5 4 2" xfId="41629" xr:uid="{00000000-0005-0000-0000-0000BD990000}"/>
    <cellStyle name="Good 5 5" xfId="41630" xr:uid="{00000000-0005-0000-0000-0000BE990000}"/>
    <cellStyle name="Good 5 5 2" xfId="41631" xr:uid="{00000000-0005-0000-0000-0000BF990000}"/>
    <cellStyle name="Good 5 6" xfId="41632" xr:uid="{00000000-0005-0000-0000-0000C0990000}"/>
    <cellStyle name="Good 6" xfId="1426" xr:uid="{00000000-0005-0000-0000-0000C1990000}"/>
    <cellStyle name="Good 6 2" xfId="41633" xr:uid="{00000000-0005-0000-0000-0000C2990000}"/>
    <cellStyle name="Good 6 2 2" xfId="41634" xr:uid="{00000000-0005-0000-0000-0000C3990000}"/>
    <cellStyle name="Good 6 3" xfId="41635" xr:uid="{00000000-0005-0000-0000-0000C4990000}"/>
    <cellStyle name="Good 6 3 2" xfId="41636" xr:uid="{00000000-0005-0000-0000-0000C5990000}"/>
    <cellStyle name="Good 6 4" xfId="41637" xr:uid="{00000000-0005-0000-0000-0000C6990000}"/>
    <cellStyle name="Good 6 4 2" xfId="41638" xr:uid="{00000000-0005-0000-0000-0000C7990000}"/>
    <cellStyle name="Good 6 5" xfId="41639" xr:uid="{00000000-0005-0000-0000-0000C8990000}"/>
    <cellStyle name="Good 6 5 2" xfId="41640" xr:uid="{00000000-0005-0000-0000-0000C9990000}"/>
    <cellStyle name="Good 6 6" xfId="41641" xr:uid="{00000000-0005-0000-0000-0000CA990000}"/>
    <cellStyle name="Good 7" xfId="1427" xr:uid="{00000000-0005-0000-0000-0000CB990000}"/>
    <cellStyle name="Good 7 2" xfId="41642" xr:uid="{00000000-0005-0000-0000-0000CC990000}"/>
    <cellStyle name="Good 7 2 2" xfId="41643" xr:uid="{00000000-0005-0000-0000-0000CD990000}"/>
    <cellStyle name="Good 7 3" xfId="41644" xr:uid="{00000000-0005-0000-0000-0000CE990000}"/>
    <cellStyle name="Good 7 3 2" xfId="41645" xr:uid="{00000000-0005-0000-0000-0000CF990000}"/>
    <cellStyle name="Good 7 4" xfId="41646" xr:uid="{00000000-0005-0000-0000-0000D0990000}"/>
    <cellStyle name="Good 7 4 2" xfId="41647" xr:uid="{00000000-0005-0000-0000-0000D1990000}"/>
    <cellStyle name="Good 7 5" xfId="41648" xr:uid="{00000000-0005-0000-0000-0000D2990000}"/>
    <cellStyle name="Good 7 5 2" xfId="41649" xr:uid="{00000000-0005-0000-0000-0000D3990000}"/>
    <cellStyle name="Good 7 6" xfId="41650" xr:uid="{00000000-0005-0000-0000-0000D4990000}"/>
    <cellStyle name="Good 8" xfId="1428" xr:uid="{00000000-0005-0000-0000-0000D5990000}"/>
    <cellStyle name="Good 8 2" xfId="41651" xr:uid="{00000000-0005-0000-0000-0000D6990000}"/>
    <cellStyle name="Good 8 2 2" xfId="41652" xr:uid="{00000000-0005-0000-0000-0000D7990000}"/>
    <cellStyle name="Good 8 3" xfId="41653" xr:uid="{00000000-0005-0000-0000-0000D8990000}"/>
    <cellStyle name="Good 8 3 2" xfId="41654" xr:uid="{00000000-0005-0000-0000-0000D9990000}"/>
    <cellStyle name="Good 8 4" xfId="41655" xr:uid="{00000000-0005-0000-0000-0000DA990000}"/>
    <cellStyle name="Good 8 4 2" xfId="41656" xr:uid="{00000000-0005-0000-0000-0000DB990000}"/>
    <cellStyle name="Good 8 5" xfId="41657" xr:uid="{00000000-0005-0000-0000-0000DC990000}"/>
    <cellStyle name="Good 9" xfId="1429" xr:uid="{00000000-0005-0000-0000-0000DD990000}"/>
    <cellStyle name="Good 9 10" xfId="41658" xr:uid="{00000000-0005-0000-0000-0000DE990000}"/>
    <cellStyle name="Good 9 2" xfId="41659" xr:uid="{00000000-0005-0000-0000-0000DF990000}"/>
    <cellStyle name="Good 9 2 2" xfId="41660" xr:uid="{00000000-0005-0000-0000-0000E0990000}"/>
    <cellStyle name="Good 9 3" xfId="41661" xr:uid="{00000000-0005-0000-0000-0000E1990000}"/>
    <cellStyle name="Good 9 3 2" xfId="41662" xr:uid="{00000000-0005-0000-0000-0000E2990000}"/>
    <cellStyle name="Good 9 4" xfId="41663" xr:uid="{00000000-0005-0000-0000-0000E3990000}"/>
    <cellStyle name="Good 9 4 2" xfId="41664" xr:uid="{00000000-0005-0000-0000-0000E4990000}"/>
    <cellStyle name="Good 9 5" xfId="41665" xr:uid="{00000000-0005-0000-0000-0000E5990000}"/>
    <cellStyle name="Good 9 5 2" xfId="41666" xr:uid="{00000000-0005-0000-0000-0000E6990000}"/>
    <cellStyle name="Good 9 6" xfId="41667" xr:uid="{00000000-0005-0000-0000-0000E7990000}"/>
    <cellStyle name="Good 9 6 2" xfId="41668" xr:uid="{00000000-0005-0000-0000-0000E8990000}"/>
    <cellStyle name="Good 9 7" xfId="41669" xr:uid="{00000000-0005-0000-0000-0000E9990000}"/>
    <cellStyle name="Good 9 7 2" xfId="41670" xr:uid="{00000000-0005-0000-0000-0000EA990000}"/>
    <cellStyle name="Good 9 8" xfId="41671" xr:uid="{00000000-0005-0000-0000-0000EB990000}"/>
    <cellStyle name="Good 9 8 2" xfId="41672" xr:uid="{00000000-0005-0000-0000-0000EC990000}"/>
    <cellStyle name="Good 9 9" xfId="41673" xr:uid="{00000000-0005-0000-0000-0000ED990000}"/>
    <cellStyle name="Good 9 9 2" xfId="41674" xr:uid="{00000000-0005-0000-0000-0000EE990000}"/>
    <cellStyle name="Grey" xfId="1430" xr:uid="{00000000-0005-0000-0000-0000EF990000}"/>
    <cellStyle name="HEADER" xfId="1431" xr:uid="{00000000-0005-0000-0000-0000F0990000}"/>
    <cellStyle name="Header1" xfId="1432" xr:uid="{00000000-0005-0000-0000-0000F1990000}"/>
    <cellStyle name="Header2" xfId="1433" xr:uid="{00000000-0005-0000-0000-0000F2990000}"/>
    <cellStyle name="Heading" xfId="41675" xr:uid="{00000000-0005-0000-0000-0000F3990000}"/>
    <cellStyle name="Heading 1" xfId="103" builtinId="16" customBuiltin="1"/>
    <cellStyle name="Heading 1 10" xfId="41676" xr:uid="{00000000-0005-0000-0000-0000F4990000}"/>
    <cellStyle name="Heading 1 10 2" xfId="41677" xr:uid="{00000000-0005-0000-0000-0000F5990000}"/>
    <cellStyle name="Heading 1 10 2 2" xfId="41678" xr:uid="{00000000-0005-0000-0000-0000F6990000}"/>
    <cellStyle name="Heading 1 10 3" xfId="41679" xr:uid="{00000000-0005-0000-0000-0000F7990000}"/>
    <cellStyle name="Heading 1 10 3 2" xfId="41680" xr:uid="{00000000-0005-0000-0000-0000F8990000}"/>
    <cellStyle name="Heading 1 10 4" xfId="41681" xr:uid="{00000000-0005-0000-0000-0000F9990000}"/>
    <cellStyle name="Heading 1 10 4 2" xfId="41682" xr:uid="{00000000-0005-0000-0000-0000FA990000}"/>
    <cellStyle name="Heading 1 10 5" xfId="41683" xr:uid="{00000000-0005-0000-0000-0000FB990000}"/>
    <cellStyle name="Heading 1 10 5 2" xfId="41684" xr:uid="{00000000-0005-0000-0000-0000FC990000}"/>
    <cellStyle name="Heading 1 10 6" xfId="41685" xr:uid="{00000000-0005-0000-0000-0000FD990000}"/>
    <cellStyle name="Heading 1 10 6 2" xfId="41686" xr:uid="{00000000-0005-0000-0000-0000FE990000}"/>
    <cellStyle name="Heading 1 10 7" xfId="41687" xr:uid="{00000000-0005-0000-0000-0000FF990000}"/>
    <cellStyle name="Heading 1 10 7 2" xfId="41688" xr:uid="{00000000-0005-0000-0000-0000009A0000}"/>
    <cellStyle name="Heading 1 10 8" xfId="41689" xr:uid="{00000000-0005-0000-0000-0000019A0000}"/>
    <cellStyle name="Heading 1 10 8 2" xfId="41690" xr:uid="{00000000-0005-0000-0000-0000029A0000}"/>
    <cellStyle name="Heading 1 10 9" xfId="41691" xr:uid="{00000000-0005-0000-0000-0000039A0000}"/>
    <cellStyle name="Heading 1 11" xfId="41692" xr:uid="{00000000-0005-0000-0000-0000049A0000}"/>
    <cellStyle name="Heading 1 11 2" xfId="41693" xr:uid="{00000000-0005-0000-0000-0000059A0000}"/>
    <cellStyle name="Heading 1 12" xfId="41694" xr:uid="{00000000-0005-0000-0000-0000069A0000}"/>
    <cellStyle name="Heading 1 12 2" xfId="41695" xr:uid="{00000000-0005-0000-0000-0000079A0000}"/>
    <cellStyle name="Heading 1 13" xfId="41696" xr:uid="{00000000-0005-0000-0000-0000089A0000}"/>
    <cellStyle name="Heading 1 14" xfId="41697" xr:uid="{00000000-0005-0000-0000-0000099A0000}"/>
    <cellStyle name="Heading 1 2" xfId="1434" xr:uid="{00000000-0005-0000-0000-00000A9A0000}"/>
    <cellStyle name="Heading 1 2 2" xfId="1435" xr:uid="{00000000-0005-0000-0000-00000B9A0000}"/>
    <cellStyle name="Heading 1 2 2 2" xfId="41698" xr:uid="{00000000-0005-0000-0000-00000C9A0000}"/>
    <cellStyle name="Heading 1 2 2 2 2" xfId="41699" xr:uid="{00000000-0005-0000-0000-00000D9A0000}"/>
    <cellStyle name="Heading 1 2 2 3" xfId="41700" xr:uid="{00000000-0005-0000-0000-00000E9A0000}"/>
    <cellStyle name="Heading 1 2 2 4" xfId="41701" xr:uid="{00000000-0005-0000-0000-00000F9A0000}"/>
    <cellStyle name="Heading 1 2 2 5" xfId="41702" xr:uid="{00000000-0005-0000-0000-0000109A0000}"/>
    <cellStyle name="Heading 1 2 3" xfId="1436" xr:uid="{00000000-0005-0000-0000-0000119A0000}"/>
    <cellStyle name="Heading 1 2 3 2" xfId="41703" xr:uid="{00000000-0005-0000-0000-0000129A0000}"/>
    <cellStyle name="Heading 1 2 3 2 2" xfId="41704" xr:uid="{00000000-0005-0000-0000-0000139A0000}"/>
    <cellStyle name="Heading 1 2 3 3" xfId="41705" xr:uid="{00000000-0005-0000-0000-0000149A0000}"/>
    <cellStyle name="Heading 1 2 4" xfId="1437" xr:uid="{00000000-0005-0000-0000-0000159A0000}"/>
    <cellStyle name="Heading 1 2 4 2" xfId="41706" xr:uid="{00000000-0005-0000-0000-0000169A0000}"/>
    <cellStyle name="Heading 1 2 4 2 2" xfId="41707" xr:uid="{00000000-0005-0000-0000-0000179A0000}"/>
    <cellStyle name="Heading 1 2 4 3" xfId="41708" xr:uid="{00000000-0005-0000-0000-0000189A0000}"/>
    <cellStyle name="Heading 1 2 5" xfId="41709" xr:uid="{00000000-0005-0000-0000-0000199A0000}"/>
    <cellStyle name="Heading 1 2 5 2" xfId="41710" xr:uid="{00000000-0005-0000-0000-00001A9A0000}"/>
    <cellStyle name="Heading 1 2 5 3" xfId="41711" xr:uid="{00000000-0005-0000-0000-00001B9A0000}"/>
    <cellStyle name="Heading 1 2 5 4" xfId="41712" xr:uid="{00000000-0005-0000-0000-00001C9A0000}"/>
    <cellStyle name="Heading 1 2 6" xfId="41713" xr:uid="{00000000-0005-0000-0000-00001D9A0000}"/>
    <cellStyle name="Heading 1 2 6 2" xfId="41714" xr:uid="{00000000-0005-0000-0000-00001E9A0000}"/>
    <cellStyle name="Heading 1 2 7" xfId="41715" xr:uid="{00000000-0005-0000-0000-00001F9A0000}"/>
    <cellStyle name="Heading 1 2 8" xfId="41716" xr:uid="{00000000-0005-0000-0000-0000209A0000}"/>
    <cellStyle name="Heading 1 3" xfId="1438" xr:uid="{00000000-0005-0000-0000-0000219A0000}"/>
    <cellStyle name="Heading 1 3 2" xfId="1439" xr:uid="{00000000-0005-0000-0000-0000229A0000}"/>
    <cellStyle name="Heading 1 3 2 2" xfId="41717" xr:uid="{00000000-0005-0000-0000-0000239A0000}"/>
    <cellStyle name="Heading 1 3 2 2 2" xfId="41718" xr:uid="{00000000-0005-0000-0000-0000249A0000}"/>
    <cellStyle name="Heading 1 3 2 3" xfId="41719" xr:uid="{00000000-0005-0000-0000-0000259A0000}"/>
    <cellStyle name="Heading 1 3 3" xfId="41720" xr:uid="{00000000-0005-0000-0000-0000269A0000}"/>
    <cellStyle name="Heading 1 3 3 2" xfId="41721" xr:uid="{00000000-0005-0000-0000-0000279A0000}"/>
    <cellStyle name="Heading 1 3 4" xfId="41722" xr:uid="{00000000-0005-0000-0000-0000289A0000}"/>
    <cellStyle name="Heading 1 3 4 2" xfId="41723" xr:uid="{00000000-0005-0000-0000-0000299A0000}"/>
    <cellStyle name="Heading 1 3 5" xfId="41724" xr:uid="{00000000-0005-0000-0000-00002A9A0000}"/>
    <cellStyle name="Heading 1 3 5 2" xfId="41725" xr:uid="{00000000-0005-0000-0000-00002B9A0000}"/>
    <cellStyle name="Heading 1 3 6" xfId="41726" xr:uid="{00000000-0005-0000-0000-00002C9A0000}"/>
    <cellStyle name="Heading 1 3 7" xfId="41727" xr:uid="{00000000-0005-0000-0000-00002D9A0000}"/>
    <cellStyle name="Heading 1 4" xfId="1440" xr:uid="{00000000-0005-0000-0000-00002E9A0000}"/>
    <cellStyle name="Heading 1 4 2" xfId="41728" xr:uid="{00000000-0005-0000-0000-00002F9A0000}"/>
    <cellStyle name="Heading 1 4 2 2" xfId="41729" xr:uid="{00000000-0005-0000-0000-0000309A0000}"/>
    <cellStyle name="Heading 1 4 3" xfId="41730" xr:uid="{00000000-0005-0000-0000-0000319A0000}"/>
    <cellStyle name="Heading 1 4 3 2" xfId="41731" xr:uid="{00000000-0005-0000-0000-0000329A0000}"/>
    <cellStyle name="Heading 1 4 4" xfId="41732" xr:uid="{00000000-0005-0000-0000-0000339A0000}"/>
    <cellStyle name="Heading 1 4 4 2" xfId="41733" xr:uid="{00000000-0005-0000-0000-0000349A0000}"/>
    <cellStyle name="Heading 1 4 5" xfId="41734" xr:uid="{00000000-0005-0000-0000-0000359A0000}"/>
    <cellStyle name="Heading 1 4 5 2" xfId="41735" xr:uid="{00000000-0005-0000-0000-0000369A0000}"/>
    <cellStyle name="Heading 1 4 6" xfId="41736" xr:uid="{00000000-0005-0000-0000-0000379A0000}"/>
    <cellStyle name="Heading 1 5" xfId="1441" xr:uid="{00000000-0005-0000-0000-0000389A0000}"/>
    <cellStyle name="Heading 1 5 2" xfId="41737" xr:uid="{00000000-0005-0000-0000-0000399A0000}"/>
    <cellStyle name="Heading 1 5 2 2" xfId="41738" xr:uid="{00000000-0005-0000-0000-00003A9A0000}"/>
    <cellStyle name="Heading 1 5 3" xfId="41739" xr:uid="{00000000-0005-0000-0000-00003B9A0000}"/>
    <cellStyle name="Heading 1 5 3 2" xfId="41740" xr:uid="{00000000-0005-0000-0000-00003C9A0000}"/>
    <cellStyle name="Heading 1 5 4" xfId="41741" xr:uid="{00000000-0005-0000-0000-00003D9A0000}"/>
    <cellStyle name="Heading 1 5 4 2" xfId="41742" xr:uid="{00000000-0005-0000-0000-00003E9A0000}"/>
    <cellStyle name="Heading 1 5 5" xfId="41743" xr:uid="{00000000-0005-0000-0000-00003F9A0000}"/>
    <cellStyle name="Heading 1 6" xfId="41744" xr:uid="{00000000-0005-0000-0000-0000409A0000}"/>
    <cellStyle name="Heading 1 6 2" xfId="41745" xr:uid="{00000000-0005-0000-0000-0000419A0000}"/>
    <cellStyle name="Heading 1 6 2 2" xfId="41746" xr:uid="{00000000-0005-0000-0000-0000429A0000}"/>
    <cellStyle name="Heading 1 6 3" xfId="41747" xr:uid="{00000000-0005-0000-0000-0000439A0000}"/>
    <cellStyle name="Heading 1 6 3 2" xfId="41748" xr:uid="{00000000-0005-0000-0000-0000449A0000}"/>
    <cellStyle name="Heading 1 6 4" xfId="41749" xr:uid="{00000000-0005-0000-0000-0000459A0000}"/>
    <cellStyle name="Heading 1 6 4 2" xfId="41750" xr:uid="{00000000-0005-0000-0000-0000469A0000}"/>
    <cellStyle name="Heading 1 6 5" xfId="41751" xr:uid="{00000000-0005-0000-0000-0000479A0000}"/>
    <cellStyle name="Heading 1 6 6" xfId="41752" xr:uid="{00000000-0005-0000-0000-0000489A0000}"/>
    <cellStyle name="Heading 1 7" xfId="41753" xr:uid="{00000000-0005-0000-0000-0000499A0000}"/>
    <cellStyle name="Heading 1 7 2" xfId="41754" xr:uid="{00000000-0005-0000-0000-00004A9A0000}"/>
    <cellStyle name="Heading 1 7 2 2" xfId="41755" xr:uid="{00000000-0005-0000-0000-00004B9A0000}"/>
    <cellStyle name="Heading 1 7 3" xfId="41756" xr:uid="{00000000-0005-0000-0000-00004C9A0000}"/>
    <cellStyle name="Heading 1 7 3 2" xfId="41757" xr:uid="{00000000-0005-0000-0000-00004D9A0000}"/>
    <cellStyle name="Heading 1 7 4" xfId="41758" xr:uid="{00000000-0005-0000-0000-00004E9A0000}"/>
    <cellStyle name="Heading 1 7 4 2" xfId="41759" xr:uid="{00000000-0005-0000-0000-00004F9A0000}"/>
    <cellStyle name="Heading 1 7 5" xfId="41760" xr:uid="{00000000-0005-0000-0000-0000509A0000}"/>
    <cellStyle name="Heading 1 7 6" xfId="41761" xr:uid="{00000000-0005-0000-0000-0000519A0000}"/>
    <cellStyle name="Heading 1 8" xfId="41762" xr:uid="{00000000-0005-0000-0000-0000529A0000}"/>
    <cellStyle name="Heading 1 8 2" xfId="41763" xr:uid="{00000000-0005-0000-0000-0000539A0000}"/>
    <cellStyle name="Heading 1 8 2 2" xfId="41764" xr:uid="{00000000-0005-0000-0000-0000549A0000}"/>
    <cellStyle name="Heading 1 8 3" xfId="41765" xr:uid="{00000000-0005-0000-0000-0000559A0000}"/>
    <cellStyle name="Heading 1 8 3 2" xfId="41766" xr:uid="{00000000-0005-0000-0000-0000569A0000}"/>
    <cellStyle name="Heading 1 8 4" xfId="41767" xr:uid="{00000000-0005-0000-0000-0000579A0000}"/>
    <cellStyle name="Heading 1 8 4 2" xfId="41768" xr:uid="{00000000-0005-0000-0000-0000589A0000}"/>
    <cellStyle name="Heading 1 8 5" xfId="41769" xr:uid="{00000000-0005-0000-0000-0000599A0000}"/>
    <cellStyle name="Heading 1 8 5 2" xfId="41770" xr:uid="{00000000-0005-0000-0000-00005A9A0000}"/>
    <cellStyle name="Heading 1 8 6" xfId="41771" xr:uid="{00000000-0005-0000-0000-00005B9A0000}"/>
    <cellStyle name="Heading 1 8 6 2" xfId="41772" xr:uid="{00000000-0005-0000-0000-00005C9A0000}"/>
    <cellStyle name="Heading 1 8 7" xfId="41773" xr:uid="{00000000-0005-0000-0000-00005D9A0000}"/>
    <cellStyle name="Heading 1 8 7 2" xfId="41774" xr:uid="{00000000-0005-0000-0000-00005E9A0000}"/>
    <cellStyle name="Heading 1 8 8" xfId="41775" xr:uid="{00000000-0005-0000-0000-00005F9A0000}"/>
    <cellStyle name="Heading 1 8 8 2" xfId="41776" xr:uid="{00000000-0005-0000-0000-0000609A0000}"/>
    <cellStyle name="Heading 1 8 9" xfId="41777" xr:uid="{00000000-0005-0000-0000-0000619A0000}"/>
    <cellStyle name="Heading 1 9" xfId="41778" xr:uid="{00000000-0005-0000-0000-0000629A0000}"/>
    <cellStyle name="Heading 1 9 2" xfId="41779" xr:uid="{00000000-0005-0000-0000-0000639A0000}"/>
    <cellStyle name="Heading 1 9 2 2" xfId="41780" xr:uid="{00000000-0005-0000-0000-0000649A0000}"/>
    <cellStyle name="Heading 1 9 3" xfId="41781" xr:uid="{00000000-0005-0000-0000-0000659A0000}"/>
    <cellStyle name="Heading 1 9 3 2" xfId="41782" xr:uid="{00000000-0005-0000-0000-0000669A0000}"/>
    <cellStyle name="Heading 1 9 4" xfId="41783" xr:uid="{00000000-0005-0000-0000-0000679A0000}"/>
    <cellStyle name="Heading 1 9 4 2" xfId="41784" xr:uid="{00000000-0005-0000-0000-0000689A0000}"/>
    <cellStyle name="Heading 1 9 5" xfId="41785" xr:uid="{00000000-0005-0000-0000-0000699A0000}"/>
    <cellStyle name="Heading 1 9 5 2" xfId="41786" xr:uid="{00000000-0005-0000-0000-00006A9A0000}"/>
    <cellStyle name="Heading 1 9 6" xfId="41787" xr:uid="{00000000-0005-0000-0000-00006B9A0000}"/>
    <cellStyle name="Heading 1 9 6 2" xfId="41788" xr:uid="{00000000-0005-0000-0000-00006C9A0000}"/>
    <cellStyle name="Heading 1 9 7" xfId="41789" xr:uid="{00000000-0005-0000-0000-00006D9A0000}"/>
    <cellStyle name="Heading 1 9 7 2" xfId="41790" xr:uid="{00000000-0005-0000-0000-00006E9A0000}"/>
    <cellStyle name="Heading 1 9 8" xfId="41791" xr:uid="{00000000-0005-0000-0000-00006F9A0000}"/>
    <cellStyle name="Heading 1 9 8 2" xfId="41792" xr:uid="{00000000-0005-0000-0000-0000709A0000}"/>
    <cellStyle name="Heading 1 9 9" xfId="41793" xr:uid="{00000000-0005-0000-0000-0000719A0000}"/>
    <cellStyle name="Heading 2" xfId="104" builtinId="17" customBuiltin="1"/>
    <cellStyle name="Heading 2 10" xfId="1442" xr:uid="{00000000-0005-0000-0000-0000729A0000}"/>
    <cellStyle name="Heading 2 10 10" xfId="41794" xr:uid="{00000000-0005-0000-0000-0000739A0000}"/>
    <cellStyle name="Heading 2 10 2" xfId="41795" xr:uid="{00000000-0005-0000-0000-0000749A0000}"/>
    <cellStyle name="Heading 2 10 2 2" xfId="41796" xr:uid="{00000000-0005-0000-0000-0000759A0000}"/>
    <cellStyle name="Heading 2 10 3" xfId="41797" xr:uid="{00000000-0005-0000-0000-0000769A0000}"/>
    <cellStyle name="Heading 2 10 3 2" xfId="41798" xr:uid="{00000000-0005-0000-0000-0000779A0000}"/>
    <cellStyle name="Heading 2 10 4" xfId="41799" xr:uid="{00000000-0005-0000-0000-0000789A0000}"/>
    <cellStyle name="Heading 2 10 4 2" xfId="41800" xr:uid="{00000000-0005-0000-0000-0000799A0000}"/>
    <cellStyle name="Heading 2 10 5" xfId="41801" xr:uid="{00000000-0005-0000-0000-00007A9A0000}"/>
    <cellStyle name="Heading 2 10 5 2" xfId="41802" xr:uid="{00000000-0005-0000-0000-00007B9A0000}"/>
    <cellStyle name="Heading 2 10 6" xfId="41803" xr:uid="{00000000-0005-0000-0000-00007C9A0000}"/>
    <cellStyle name="Heading 2 10 6 2" xfId="41804" xr:uid="{00000000-0005-0000-0000-00007D9A0000}"/>
    <cellStyle name="Heading 2 10 7" xfId="41805" xr:uid="{00000000-0005-0000-0000-00007E9A0000}"/>
    <cellStyle name="Heading 2 10 7 2" xfId="41806" xr:uid="{00000000-0005-0000-0000-00007F9A0000}"/>
    <cellStyle name="Heading 2 10 8" xfId="41807" xr:uid="{00000000-0005-0000-0000-0000809A0000}"/>
    <cellStyle name="Heading 2 10 8 2" xfId="41808" xr:uid="{00000000-0005-0000-0000-0000819A0000}"/>
    <cellStyle name="Heading 2 10 9" xfId="41809" xr:uid="{00000000-0005-0000-0000-0000829A0000}"/>
    <cellStyle name="Heading 2 10 9 2" xfId="41810" xr:uid="{00000000-0005-0000-0000-0000839A0000}"/>
    <cellStyle name="Heading 2 11" xfId="1443" xr:uid="{00000000-0005-0000-0000-0000849A0000}"/>
    <cellStyle name="Heading 2 11 2" xfId="41811" xr:uid="{00000000-0005-0000-0000-0000859A0000}"/>
    <cellStyle name="Heading 2 11 2 2" xfId="41812" xr:uid="{00000000-0005-0000-0000-0000869A0000}"/>
    <cellStyle name="Heading 2 11 3" xfId="41813" xr:uid="{00000000-0005-0000-0000-0000879A0000}"/>
    <cellStyle name="Heading 2 12" xfId="1444" xr:uid="{00000000-0005-0000-0000-0000889A0000}"/>
    <cellStyle name="Heading 2 12 2" xfId="41814" xr:uid="{00000000-0005-0000-0000-0000899A0000}"/>
    <cellStyle name="Heading 2 13" xfId="1445" xr:uid="{00000000-0005-0000-0000-00008A9A0000}"/>
    <cellStyle name="Heading 2 13 2" xfId="41815" xr:uid="{00000000-0005-0000-0000-00008B9A0000}"/>
    <cellStyle name="Heading 2 14" xfId="1446" xr:uid="{00000000-0005-0000-0000-00008C9A0000}"/>
    <cellStyle name="Heading 2 14 2" xfId="41816" xr:uid="{00000000-0005-0000-0000-00008D9A0000}"/>
    <cellStyle name="Heading 2 15" xfId="1447" xr:uid="{00000000-0005-0000-0000-00008E9A0000}"/>
    <cellStyle name="Heading 2 15 2" xfId="41817" xr:uid="{00000000-0005-0000-0000-00008F9A0000}"/>
    <cellStyle name="Heading 2 16" xfId="1448" xr:uid="{00000000-0005-0000-0000-0000909A0000}"/>
    <cellStyle name="Heading 2 16 2" xfId="41818" xr:uid="{00000000-0005-0000-0000-0000919A0000}"/>
    <cellStyle name="Heading 2 17" xfId="1449" xr:uid="{00000000-0005-0000-0000-0000929A0000}"/>
    <cellStyle name="Heading 2 17 2" xfId="41819" xr:uid="{00000000-0005-0000-0000-0000939A0000}"/>
    <cellStyle name="Heading 2 18" xfId="1450" xr:uid="{00000000-0005-0000-0000-0000949A0000}"/>
    <cellStyle name="Heading 2 18 2" xfId="41820" xr:uid="{00000000-0005-0000-0000-0000959A0000}"/>
    <cellStyle name="Heading 2 19" xfId="1451" xr:uid="{00000000-0005-0000-0000-0000969A0000}"/>
    <cellStyle name="Heading 2 19 2" xfId="41821" xr:uid="{00000000-0005-0000-0000-0000979A0000}"/>
    <cellStyle name="Heading 2 2" xfId="1452" xr:uid="{00000000-0005-0000-0000-0000989A0000}"/>
    <cellStyle name="Heading 2 2 2" xfId="1453" xr:uid="{00000000-0005-0000-0000-0000999A0000}"/>
    <cellStyle name="Heading 2 2 2 2" xfId="41822" xr:uid="{00000000-0005-0000-0000-00009A9A0000}"/>
    <cellStyle name="Heading 2 2 2 2 2" xfId="41823" xr:uid="{00000000-0005-0000-0000-00009B9A0000}"/>
    <cellStyle name="Heading 2 2 2 3" xfId="41824" xr:uid="{00000000-0005-0000-0000-00009C9A0000}"/>
    <cellStyle name="Heading 2 2 2 4" xfId="41825" xr:uid="{00000000-0005-0000-0000-00009D9A0000}"/>
    <cellStyle name="Heading 2 2 2 5" xfId="41826" xr:uid="{00000000-0005-0000-0000-00009E9A0000}"/>
    <cellStyle name="Heading 2 2 3" xfId="1454" xr:uid="{00000000-0005-0000-0000-00009F9A0000}"/>
    <cellStyle name="Heading 2 2 3 2" xfId="41827" xr:uid="{00000000-0005-0000-0000-0000A09A0000}"/>
    <cellStyle name="Heading 2 2 3 2 2" xfId="41828" xr:uid="{00000000-0005-0000-0000-0000A19A0000}"/>
    <cellStyle name="Heading 2 2 3 3" xfId="41829" xr:uid="{00000000-0005-0000-0000-0000A29A0000}"/>
    <cellStyle name="Heading 2 2 4" xfId="1455" xr:uid="{00000000-0005-0000-0000-0000A39A0000}"/>
    <cellStyle name="Heading 2 2 4 2" xfId="41830" xr:uid="{00000000-0005-0000-0000-0000A49A0000}"/>
    <cellStyle name="Heading 2 2 4 2 2" xfId="41831" xr:uid="{00000000-0005-0000-0000-0000A59A0000}"/>
    <cellStyle name="Heading 2 2 4 3" xfId="41832" xr:uid="{00000000-0005-0000-0000-0000A69A0000}"/>
    <cellStyle name="Heading 2 2 5" xfId="41833" xr:uid="{00000000-0005-0000-0000-0000A79A0000}"/>
    <cellStyle name="Heading 2 2 5 2" xfId="41834" xr:uid="{00000000-0005-0000-0000-0000A89A0000}"/>
    <cellStyle name="Heading 2 2 5 3" xfId="41835" xr:uid="{00000000-0005-0000-0000-0000A99A0000}"/>
    <cellStyle name="Heading 2 2 5 4" xfId="41836" xr:uid="{00000000-0005-0000-0000-0000AA9A0000}"/>
    <cellStyle name="Heading 2 2 6" xfId="41837" xr:uid="{00000000-0005-0000-0000-0000AB9A0000}"/>
    <cellStyle name="Heading 2 2 6 2" xfId="41838" xr:uid="{00000000-0005-0000-0000-0000AC9A0000}"/>
    <cellStyle name="Heading 2 2 7" xfId="41839" xr:uid="{00000000-0005-0000-0000-0000AD9A0000}"/>
    <cellStyle name="Heading 2 2 8" xfId="41840" xr:uid="{00000000-0005-0000-0000-0000AE9A0000}"/>
    <cellStyle name="Heading 2 20" xfId="1456" xr:uid="{00000000-0005-0000-0000-0000AF9A0000}"/>
    <cellStyle name="Heading 2 20 2" xfId="41841" xr:uid="{00000000-0005-0000-0000-0000B09A0000}"/>
    <cellStyle name="Heading 2 21" xfId="1457" xr:uid="{00000000-0005-0000-0000-0000B19A0000}"/>
    <cellStyle name="Heading 2 21 2" xfId="41842" xr:uid="{00000000-0005-0000-0000-0000B29A0000}"/>
    <cellStyle name="Heading 2 22" xfId="1458" xr:uid="{00000000-0005-0000-0000-0000B39A0000}"/>
    <cellStyle name="Heading 2 22 2" xfId="41843" xr:uid="{00000000-0005-0000-0000-0000B49A0000}"/>
    <cellStyle name="Heading 2 23" xfId="1459" xr:uid="{00000000-0005-0000-0000-0000B59A0000}"/>
    <cellStyle name="Heading 2 23 2" xfId="41844" xr:uid="{00000000-0005-0000-0000-0000B69A0000}"/>
    <cellStyle name="Heading 2 24" xfId="1460" xr:uid="{00000000-0005-0000-0000-0000B79A0000}"/>
    <cellStyle name="Heading 2 24 2" xfId="1461" xr:uid="{00000000-0005-0000-0000-0000B89A0000}"/>
    <cellStyle name="Heading 2 24 2 2" xfId="41845" xr:uid="{00000000-0005-0000-0000-0000B99A0000}"/>
    <cellStyle name="Heading 2 24 3" xfId="41846" xr:uid="{00000000-0005-0000-0000-0000BA9A0000}"/>
    <cellStyle name="Heading 2 25" xfId="1462" xr:uid="{00000000-0005-0000-0000-0000BB9A0000}"/>
    <cellStyle name="Heading 2 25 2" xfId="41847" xr:uid="{00000000-0005-0000-0000-0000BC9A0000}"/>
    <cellStyle name="Heading 2 26" xfId="41848" xr:uid="{00000000-0005-0000-0000-0000BD9A0000}"/>
    <cellStyle name="Heading 2 26 2" xfId="41849" xr:uid="{00000000-0005-0000-0000-0000BE9A0000}"/>
    <cellStyle name="Heading 2 27" xfId="41850" xr:uid="{00000000-0005-0000-0000-0000BF9A0000}"/>
    <cellStyle name="Heading 2 27 2" xfId="41851" xr:uid="{00000000-0005-0000-0000-0000C09A0000}"/>
    <cellStyle name="Heading 2 28" xfId="41852" xr:uid="{00000000-0005-0000-0000-0000C19A0000}"/>
    <cellStyle name="Heading 2 28 2" xfId="41853" xr:uid="{00000000-0005-0000-0000-0000C29A0000}"/>
    <cellStyle name="Heading 2 29" xfId="41854" xr:uid="{00000000-0005-0000-0000-0000C39A0000}"/>
    <cellStyle name="Heading 2 29 2" xfId="41855" xr:uid="{00000000-0005-0000-0000-0000C49A0000}"/>
    <cellStyle name="Heading 2 3" xfId="1463" xr:uid="{00000000-0005-0000-0000-0000C59A0000}"/>
    <cellStyle name="Heading 2 3 2" xfId="41856" xr:uid="{00000000-0005-0000-0000-0000C69A0000}"/>
    <cellStyle name="Heading 2 3 2 2" xfId="41857" xr:uid="{00000000-0005-0000-0000-0000C79A0000}"/>
    <cellStyle name="Heading 2 3 3" xfId="41858" xr:uid="{00000000-0005-0000-0000-0000C89A0000}"/>
    <cellStyle name="Heading 2 3 3 2" xfId="41859" xr:uid="{00000000-0005-0000-0000-0000C99A0000}"/>
    <cellStyle name="Heading 2 3 4" xfId="41860" xr:uid="{00000000-0005-0000-0000-0000CA9A0000}"/>
    <cellStyle name="Heading 2 3 4 2" xfId="41861" xr:uid="{00000000-0005-0000-0000-0000CB9A0000}"/>
    <cellStyle name="Heading 2 3 5" xfId="41862" xr:uid="{00000000-0005-0000-0000-0000CC9A0000}"/>
    <cellStyle name="Heading 2 3 5 2" xfId="41863" xr:uid="{00000000-0005-0000-0000-0000CD9A0000}"/>
    <cellStyle name="Heading 2 3 6" xfId="41864" xr:uid="{00000000-0005-0000-0000-0000CE9A0000}"/>
    <cellStyle name="Heading 2 3 7" xfId="41865" xr:uid="{00000000-0005-0000-0000-0000CF9A0000}"/>
    <cellStyle name="Heading 2 30" xfId="41866" xr:uid="{00000000-0005-0000-0000-0000D09A0000}"/>
    <cellStyle name="Heading 2 4" xfId="1464" xr:uid="{00000000-0005-0000-0000-0000D19A0000}"/>
    <cellStyle name="Heading 2 4 2" xfId="41867" xr:uid="{00000000-0005-0000-0000-0000D29A0000}"/>
    <cellStyle name="Heading 2 4 2 2" xfId="41868" xr:uid="{00000000-0005-0000-0000-0000D39A0000}"/>
    <cellStyle name="Heading 2 4 3" xfId="41869" xr:uid="{00000000-0005-0000-0000-0000D49A0000}"/>
    <cellStyle name="Heading 2 4 3 2" xfId="41870" xr:uid="{00000000-0005-0000-0000-0000D59A0000}"/>
    <cellStyle name="Heading 2 4 4" xfId="41871" xr:uid="{00000000-0005-0000-0000-0000D69A0000}"/>
    <cellStyle name="Heading 2 4 4 2" xfId="41872" xr:uid="{00000000-0005-0000-0000-0000D79A0000}"/>
    <cellStyle name="Heading 2 4 5" xfId="41873" xr:uid="{00000000-0005-0000-0000-0000D89A0000}"/>
    <cellStyle name="Heading 2 4 5 2" xfId="41874" xr:uid="{00000000-0005-0000-0000-0000D99A0000}"/>
    <cellStyle name="Heading 2 4 6" xfId="41875" xr:uid="{00000000-0005-0000-0000-0000DA9A0000}"/>
    <cellStyle name="Heading 2 5" xfId="1465" xr:uid="{00000000-0005-0000-0000-0000DB9A0000}"/>
    <cellStyle name="Heading 2 5 2" xfId="41876" xr:uid="{00000000-0005-0000-0000-0000DC9A0000}"/>
    <cellStyle name="Heading 2 5 2 2" xfId="41877" xr:uid="{00000000-0005-0000-0000-0000DD9A0000}"/>
    <cellStyle name="Heading 2 5 3" xfId="41878" xr:uid="{00000000-0005-0000-0000-0000DE9A0000}"/>
    <cellStyle name="Heading 2 5 3 2" xfId="41879" xr:uid="{00000000-0005-0000-0000-0000DF9A0000}"/>
    <cellStyle name="Heading 2 5 4" xfId="41880" xr:uid="{00000000-0005-0000-0000-0000E09A0000}"/>
    <cellStyle name="Heading 2 5 4 2" xfId="41881" xr:uid="{00000000-0005-0000-0000-0000E19A0000}"/>
    <cellStyle name="Heading 2 5 5" xfId="41882" xr:uid="{00000000-0005-0000-0000-0000E29A0000}"/>
    <cellStyle name="Heading 2 5 5 2" xfId="41883" xr:uid="{00000000-0005-0000-0000-0000E39A0000}"/>
    <cellStyle name="Heading 2 5 6" xfId="41884" xr:uid="{00000000-0005-0000-0000-0000E49A0000}"/>
    <cellStyle name="Heading 2 6" xfId="1466" xr:uid="{00000000-0005-0000-0000-0000E59A0000}"/>
    <cellStyle name="Heading 2 6 2" xfId="41885" xr:uid="{00000000-0005-0000-0000-0000E69A0000}"/>
    <cellStyle name="Heading 2 6 2 2" xfId="41886" xr:uid="{00000000-0005-0000-0000-0000E79A0000}"/>
    <cellStyle name="Heading 2 6 3" xfId="41887" xr:uid="{00000000-0005-0000-0000-0000E89A0000}"/>
    <cellStyle name="Heading 2 6 3 2" xfId="41888" xr:uid="{00000000-0005-0000-0000-0000E99A0000}"/>
    <cellStyle name="Heading 2 6 4" xfId="41889" xr:uid="{00000000-0005-0000-0000-0000EA9A0000}"/>
    <cellStyle name="Heading 2 6 4 2" xfId="41890" xr:uid="{00000000-0005-0000-0000-0000EB9A0000}"/>
    <cellStyle name="Heading 2 6 5" xfId="41891" xr:uid="{00000000-0005-0000-0000-0000EC9A0000}"/>
    <cellStyle name="Heading 2 6 5 2" xfId="41892" xr:uid="{00000000-0005-0000-0000-0000ED9A0000}"/>
    <cellStyle name="Heading 2 6 6" xfId="41893" xr:uid="{00000000-0005-0000-0000-0000EE9A0000}"/>
    <cellStyle name="Heading 2 7" xfId="1467" xr:uid="{00000000-0005-0000-0000-0000EF9A0000}"/>
    <cellStyle name="Heading 2 7 2" xfId="41894" xr:uid="{00000000-0005-0000-0000-0000F09A0000}"/>
    <cellStyle name="Heading 2 7 2 2" xfId="41895" xr:uid="{00000000-0005-0000-0000-0000F19A0000}"/>
    <cellStyle name="Heading 2 7 3" xfId="41896" xr:uid="{00000000-0005-0000-0000-0000F29A0000}"/>
    <cellStyle name="Heading 2 7 3 2" xfId="41897" xr:uid="{00000000-0005-0000-0000-0000F39A0000}"/>
    <cellStyle name="Heading 2 7 4" xfId="41898" xr:uid="{00000000-0005-0000-0000-0000F49A0000}"/>
    <cellStyle name="Heading 2 7 4 2" xfId="41899" xr:uid="{00000000-0005-0000-0000-0000F59A0000}"/>
    <cellStyle name="Heading 2 7 5" xfId="41900" xr:uid="{00000000-0005-0000-0000-0000F69A0000}"/>
    <cellStyle name="Heading 2 7 5 2" xfId="41901" xr:uid="{00000000-0005-0000-0000-0000F79A0000}"/>
    <cellStyle name="Heading 2 7 6" xfId="41902" xr:uid="{00000000-0005-0000-0000-0000F89A0000}"/>
    <cellStyle name="Heading 2 8" xfId="1468" xr:uid="{00000000-0005-0000-0000-0000F99A0000}"/>
    <cellStyle name="Heading 2 8 10" xfId="41903" xr:uid="{00000000-0005-0000-0000-0000FA9A0000}"/>
    <cellStyle name="Heading 2 8 2" xfId="41904" xr:uid="{00000000-0005-0000-0000-0000FB9A0000}"/>
    <cellStyle name="Heading 2 8 2 2" xfId="41905" xr:uid="{00000000-0005-0000-0000-0000FC9A0000}"/>
    <cellStyle name="Heading 2 8 3" xfId="41906" xr:uid="{00000000-0005-0000-0000-0000FD9A0000}"/>
    <cellStyle name="Heading 2 8 3 2" xfId="41907" xr:uid="{00000000-0005-0000-0000-0000FE9A0000}"/>
    <cellStyle name="Heading 2 8 4" xfId="41908" xr:uid="{00000000-0005-0000-0000-0000FF9A0000}"/>
    <cellStyle name="Heading 2 8 4 2" xfId="41909" xr:uid="{00000000-0005-0000-0000-0000009B0000}"/>
    <cellStyle name="Heading 2 8 5" xfId="41910" xr:uid="{00000000-0005-0000-0000-0000019B0000}"/>
    <cellStyle name="Heading 2 8 5 2" xfId="41911" xr:uid="{00000000-0005-0000-0000-0000029B0000}"/>
    <cellStyle name="Heading 2 8 6" xfId="41912" xr:uid="{00000000-0005-0000-0000-0000039B0000}"/>
    <cellStyle name="Heading 2 8 6 2" xfId="41913" xr:uid="{00000000-0005-0000-0000-0000049B0000}"/>
    <cellStyle name="Heading 2 8 7" xfId="41914" xr:uid="{00000000-0005-0000-0000-0000059B0000}"/>
    <cellStyle name="Heading 2 8 7 2" xfId="41915" xr:uid="{00000000-0005-0000-0000-0000069B0000}"/>
    <cellStyle name="Heading 2 8 8" xfId="41916" xr:uid="{00000000-0005-0000-0000-0000079B0000}"/>
    <cellStyle name="Heading 2 8 8 2" xfId="41917" xr:uid="{00000000-0005-0000-0000-0000089B0000}"/>
    <cellStyle name="Heading 2 8 9" xfId="41918" xr:uid="{00000000-0005-0000-0000-0000099B0000}"/>
    <cellStyle name="Heading 2 8 9 2" xfId="41919" xr:uid="{00000000-0005-0000-0000-00000A9B0000}"/>
    <cellStyle name="Heading 2 9" xfId="1469" xr:uid="{00000000-0005-0000-0000-00000B9B0000}"/>
    <cellStyle name="Heading 2 9 10" xfId="41920" xr:uid="{00000000-0005-0000-0000-00000C9B0000}"/>
    <cellStyle name="Heading 2 9 2" xfId="41921" xr:uid="{00000000-0005-0000-0000-00000D9B0000}"/>
    <cellStyle name="Heading 2 9 2 2" xfId="41922" xr:uid="{00000000-0005-0000-0000-00000E9B0000}"/>
    <cellStyle name="Heading 2 9 3" xfId="41923" xr:uid="{00000000-0005-0000-0000-00000F9B0000}"/>
    <cellStyle name="Heading 2 9 3 2" xfId="41924" xr:uid="{00000000-0005-0000-0000-0000109B0000}"/>
    <cellStyle name="Heading 2 9 4" xfId="41925" xr:uid="{00000000-0005-0000-0000-0000119B0000}"/>
    <cellStyle name="Heading 2 9 4 2" xfId="41926" xr:uid="{00000000-0005-0000-0000-0000129B0000}"/>
    <cellStyle name="Heading 2 9 5" xfId="41927" xr:uid="{00000000-0005-0000-0000-0000139B0000}"/>
    <cellStyle name="Heading 2 9 5 2" xfId="41928" xr:uid="{00000000-0005-0000-0000-0000149B0000}"/>
    <cellStyle name="Heading 2 9 6" xfId="41929" xr:uid="{00000000-0005-0000-0000-0000159B0000}"/>
    <cellStyle name="Heading 2 9 6 2" xfId="41930" xr:uid="{00000000-0005-0000-0000-0000169B0000}"/>
    <cellStyle name="Heading 2 9 7" xfId="41931" xr:uid="{00000000-0005-0000-0000-0000179B0000}"/>
    <cellStyle name="Heading 2 9 7 2" xfId="41932" xr:uid="{00000000-0005-0000-0000-0000189B0000}"/>
    <cellStyle name="Heading 2 9 8" xfId="41933" xr:uid="{00000000-0005-0000-0000-0000199B0000}"/>
    <cellStyle name="Heading 2 9 8 2" xfId="41934" xr:uid="{00000000-0005-0000-0000-00001A9B0000}"/>
    <cellStyle name="Heading 2 9 9" xfId="41935" xr:uid="{00000000-0005-0000-0000-00001B9B0000}"/>
    <cellStyle name="Heading 2 9 9 2" xfId="41936" xr:uid="{00000000-0005-0000-0000-00001C9B0000}"/>
    <cellStyle name="Heading 3" xfId="105" builtinId="18" customBuiltin="1"/>
    <cellStyle name="Heading 3 10" xfId="1470" xr:uid="{00000000-0005-0000-0000-00001D9B0000}"/>
    <cellStyle name="Heading 3 10 2" xfId="41937" xr:uid="{00000000-0005-0000-0000-00001E9B0000}"/>
    <cellStyle name="Heading 3 10 2 2" xfId="41938" xr:uid="{00000000-0005-0000-0000-00001F9B0000}"/>
    <cellStyle name="Heading 3 10 3" xfId="41939" xr:uid="{00000000-0005-0000-0000-0000209B0000}"/>
    <cellStyle name="Heading 3 10 3 2" xfId="41940" xr:uid="{00000000-0005-0000-0000-0000219B0000}"/>
    <cellStyle name="Heading 3 10 4" xfId="41941" xr:uid="{00000000-0005-0000-0000-0000229B0000}"/>
    <cellStyle name="Heading 3 10 4 2" xfId="41942" xr:uid="{00000000-0005-0000-0000-0000239B0000}"/>
    <cellStyle name="Heading 3 10 5" xfId="41943" xr:uid="{00000000-0005-0000-0000-0000249B0000}"/>
    <cellStyle name="Heading 3 10 5 2" xfId="41944" xr:uid="{00000000-0005-0000-0000-0000259B0000}"/>
    <cellStyle name="Heading 3 10 6" xfId="41945" xr:uid="{00000000-0005-0000-0000-0000269B0000}"/>
    <cellStyle name="Heading 3 10 6 2" xfId="41946" xr:uid="{00000000-0005-0000-0000-0000279B0000}"/>
    <cellStyle name="Heading 3 10 7" xfId="41947" xr:uid="{00000000-0005-0000-0000-0000289B0000}"/>
    <cellStyle name="Heading 3 10 7 2" xfId="41948" xr:uid="{00000000-0005-0000-0000-0000299B0000}"/>
    <cellStyle name="Heading 3 10 8" xfId="41949" xr:uid="{00000000-0005-0000-0000-00002A9B0000}"/>
    <cellStyle name="Heading 3 10 8 2" xfId="41950" xr:uid="{00000000-0005-0000-0000-00002B9B0000}"/>
    <cellStyle name="Heading 3 10 9" xfId="41951" xr:uid="{00000000-0005-0000-0000-00002C9B0000}"/>
    <cellStyle name="Heading 3 11" xfId="1471" xr:uid="{00000000-0005-0000-0000-00002D9B0000}"/>
    <cellStyle name="Heading 3 11 2" xfId="41952" xr:uid="{00000000-0005-0000-0000-00002E9B0000}"/>
    <cellStyle name="Heading 3 11 2 2" xfId="41953" xr:uid="{00000000-0005-0000-0000-00002F9B0000}"/>
    <cellStyle name="Heading 3 11 3" xfId="41954" xr:uid="{00000000-0005-0000-0000-0000309B0000}"/>
    <cellStyle name="Heading 3 12" xfId="1472" xr:uid="{00000000-0005-0000-0000-0000319B0000}"/>
    <cellStyle name="Heading 3 12 2" xfId="41955" xr:uid="{00000000-0005-0000-0000-0000329B0000}"/>
    <cellStyle name="Heading 3 13" xfId="1473" xr:uid="{00000000-0005-0000-0000-0000339B0000}"/>
    <cellStyle name="Heading 3 13 2" xfId="41956" xr:uid="{00000000-0005-0000-0000-0000349B0000}"/>
    <cellStyle name="Heading 3 14" xfId="1474" xr:uid="{00000000-0005-0000-0000-0000359B0000}"/>
    <cellStyle name="Heading 3 14 2" xfId="41957" xr:uid="{00000000-0005-0000-0000-0000369B0000}"/>
    <cellStyle name="Heading 3 15" xfId="1475" xr:uid="{00000000-0005-0000-0000-0000379B0000}"/>
    <cellStyle name="Heading 3 15 2" xfId="41958" xr:uid="{00000000-0005-0000-0000-0000389B0000}"/>
    <cellStyle name="Heading 3 16" xfId="1476" xr:uid="{00000000-0005-0000-0000-0000399B0000}"/>
    <cellStyle name="Heading 3 16 2" xfId="41959" xr:uid="{00000000-0005-0000-0000-00003A9B0000}"/>
    <cellStyle name="Heading 3 17" xfId="1477" xr:uid="{00000000-0005-0000-0000-00003B9B0000}"/>
    <cellStyle name="Heading 3 17 2" xfId="41960" xr:uid="{00000000-0005-0000-0000-00003C9B0000}"/>
    <cellStyle name="Heading 3 18" xfId="1478" xr:uid="{00000000-0005-0000-0000-00003D9B0000}"/>
    <cellStyle name="Heading 3 18 2" xfId="41961" xr:uid="{00000000-0005-0000-0000-00003E9B0000}"/>
    <cellStyle name="Heading 3 19" xfId="1479" xr:uid="{00000000-0005-0000-0000-00003F9B0000}"/>
    <cellStyle name="Heading 3 19 2" xfId="41962" xr:uid="{00000000-0005-0000-0000-0000409B0000}"/>
    <cellStyle name="Heading 3 2" xfId="1480" xr:uid="{00000000-0005-0000-0000-0000419B0000}"/>
    <cellStyle name="Heading 3 2 10" xfId="41963" xr:uid="{00000000-0005-0000-0000-0000429B0000}"/>
    <cellStyle name="Heading 3 2 10 2" xfId="41964" xr:uid="{00000000-0005-0000-0000-0000439B0000}"/>
    <cellStyle name="Heading 3 2 11" xfId="41965" xr:uid="{00000000-0005-0000-0000-0000449B0000}"/>
    <cellStyle name="Heading 3 2 12" xfId="41966" xr:uid="{00000000-0005-0000-0000-0000459B0000}"/>
    <cellStyle name="Heading 3 2 2" xfId="1481" xr:uid="{00000000-0005-0000-0000-0000469B0000}"/>
    <cellStyle name="Heading 3 2 2 2" xfId="41967" xr:uid="{00000000-0005-0000-0000-0000479B0000}"/>
    <cellStyle name="Heading 3 2 2 2 2" xfId="41968" xr:uid="{00000000-0005-0000-0000-0000489B0000}"/>
    <cellStyle name="Heading 3 2 2 3" xfId="41969" xr:uid="{00000000-0005-0000-0000-0000499B0000}"/>
    <cellStyle name="Heading 3 2 2 3 2" xfId="41970" xr:uid="{00000000-0005-0000-0000-00004A9B0000}"/>
    <cellStyle name="Heading 3 2 2 4" xfId="41971" xr:uid="{00000000-0005-0000-0000-00004B9B0000}"/>
    <cellStyle name="Heading 3 2 2 4 2" xfId="41972" xr:uid="{00000000-0005-0000-0000-00004C9B0000}"/>
    <cellStyle name="Heading 3 2 2 5" xfId="41973" xr:uid="{00000000-0005-0000-0000-00004D9B0000}"/>
    <cellStyle name="Heading 3 2 2 5 2" xfId="41974" xr:uid="{00000000-0005-0000-0000-00004E9B0000}"/>
    <cellStyle name="Heading 3 2 2 6" xfId="41975" xr:uid="{00000000-0005-0000-0000-00004F9B0000}"/>
    <cellStyle name="Heading 3 2 2 6 2" xfId="41976" xr:uid="{00000000-0005-0000-0000-0000509B0000}"/>
    <cellStyle name="Heading 3 2 2 7" xfId="41977" xr:uid="{00000000-0005-0000-0000-0000519B0000}"/>
    <cellStyle name="Heading 3 2 2 7 2" xfId="41978" xr:uid="{00000000-0005-0000-0000-0000529B0000}"/>
    <cellStyle name="Heading 3 2 2 8" xfId="41979" xr:uid="{00000000-0005-0000-0000-0000539B0000}"/>
    <cellStyle name="Heading 3 2 2 8 2" xfId="41980" xr:uid="{00000000-0005-0000-0000-0000549B0000}"/>
    <cellStyle name="Heading 3 2 2 9" xfId="41981" xr:uid="{00000000-0005-0000-0000-0000559B0000}"/>
    <cellStyle name="Heading 3 2 3" xfId="1482" xr:uid="{00000000-0005-0000-0000-0000569B0000}"/>
    <cellStyle name="Heading 3 2 3 2" xfId="41982" xr:uid="{00000000-0005-0000-0000-0000579B0000}"/>
    <cellStyle name="Heading 3 2 4" xfId="1483" xr:uid="{00000000-0005-0000-0000-0000589B0000}"/>
    <cellStyle name="Heading 3 2 4 2" xfId="41983" xr:uid="{00000000-0005-0000-0000-0000599B0000}"/>
    <cellStyle name="Heading 3 2 4 2 2" xfId="41984" xr:uid="{00000000-0005-0000-0000-00005A9B0000}"/>
    <cellStyle name="Heading 3 2 4 3" xfId="41985" xr:uid="{00000000-0005-0000-0000-00005B9B0000}"/>
    <cellStyle name="Heading 3 2 5" xfId="41986" xr:uid="{00000000-0005-0000-0000-00005C9B0000}"/>
    <cellStyle name="Heading 3 2 5 2" xfId="41987" xr:uid="{00000000-0005-0000-0000-00005D9B0000}"/>
    <cellStyle name="Heading 3 2 6" xfId="41988" xr:uid="{00000000-0005-0000-0000-00005E9B0000}"/>
    <cellStyle name="Heading 3 2 6 2" xfId="41989" xr:uid="{00000000-0005-0000-0000-00005F9B0000}"/>
    <cellStyle name="Heading 3 2 7" xfId="41990" xr:uid="{00000000-0005-0000-0000-0000609B0000}"/>
    <cellStyle name="Heading 3 2 7 2" xfId="41991" xr:uid="{00000000-0005-0000-0000-0000619B0000}"/>
    <cellStyle name="Heading 3 2 8" xfId="41992" xr:uid="{00000000-0005-0000-0000-0000629B0000}"/>
    <cellStyle name="Heading 3 2 8 2" xfId="41993" xr:uid="{00000000-0005-0000-0000-0000639B0000}"/>
    <cellStyle name="Heading 3 2 9" xfId="41994" xr:uid="{00000000-0005-0000-0000-0000649B0000}"/>
    <cellStyle name="Heading 3 2 9 2" xfId="41995" xr:uid="{00000000-0005-0000-0000-0000659B0000}"/>
    <cellStyle name="Heading 3 20" xfId="1484" xr:uid="{00000000-0005-0000-0000-0000669B0000}"/>
    <cellStyle name="Heading 3 20 2" xfId="41996" xr:uid="{00000000-0005-0000-0000-0000679B0000}"/>
    <cellStyle name="Heading 3 21" xfId="1485" xr:uid="{00000000-0005-0000-0000-0000689B0000}"/>
    <cellStyle name="Heading 3 21 2" xfId="41997" xr:uid="{00000000-0005-0000-0000-0000699B0000}"/>
    <cellStyle name="Heading 3 22" xfId="1486" xr:uid="{00000000-0005-0000-0000-00006A9B0000}"/>
    <cellStyle name="Heading 3 22 2" xfId="41998" xr:uid="{00000000-0005-0000-0000-00006B9B0000}"/>
    <cellStyle name="Heading 3 23" xfId="1487" xr:uid="{00000000-0005-0000-0000-00006C9B0000}"/>
    <cellStyle name="Heading 3 23 2" xfId="41999" xr:uid="{00000000-0005-0000-0000-00006D9B0000}"/>
    <cellStyle name="Heading 3 24" xfId="1488" xr:uid="{00000000-0005-0000-0000-00006E9B0000}"/>
    <cellStyle name="Heading 3 24 2" xfId="1489" xr:uid="{00000000-0005-0000-0000-00006F9B0000}"/>
    <cellStyle name="Heading 3 24 2 2" xfId="42000" xr:uid="{00000000-0005-0000-0000-0000709B0000}"/>
    <cellStyle name="Heading 3 24 3" xfId="42001" xr:uid="{00000000-0005-0000-0000-0000719B0000}"/>
    <cellStyle name="Heading 3 25" xfId="1490" xr:uid="{00000000-0005-0000-0000-0000729B0000}"/>
    <cellStyle name="Heading 3 25 2" xfId="42002" xr:uid="{00000000-0005-0000-0000-0000739B0000}"/>
    <cellStyle name="Heading 3 26" xfId="42003" xr:uid="{00000000-0005-0000-0000-0000749B0000}"/>
    <cellStyle name="Heading 3 26 2" xfId="42004" xr:uid="{00000000-0005-0000-0000-0000759B0000}"/>
    <cellStyle name="Heading 3 27" xfId="42005" xr:uid="{00000000-0005-0000-0000-0000769B0000}"/>
    <cellStyle name="Heading 3 27 2" xfId="42006" xr:uid="{00000000-0005-0000-0000-0000779B0000}"/>
    <cellStyle name="Heading 3 28" xfId="42007" xr:uid="{00000000-0005-0000-0000-0000789B0000}"/>
    <cellStyle name="Heading 3 29" xfId="42008" xr:uid="{00000000-0005-0000-0000-0000799B0000}"/>
    <cellStyle name="Heading 3 29 2" xfId="42009" xr:uid="{00000000-0005-0000-0000-00007A9B0000}"/>
    <cellStyle name="Heading 3 3" xfId="1491" xr:uid="{00000000-0005-0000-0000-00007B9B0000}"/>
    <cellStyle name="Heading 3 3 10" xfId="42010" xr:uid="{00000000-0005-0000-0000-00007C9B0000}"/>
    <cellStyle name="Heading 3 3 11" xfId="42011" xr:uid="{00000000-0005-0000-0000-00007D9B0000}"/>
    <cellStyle name="Heading 3 3 2" xfId="42012" xr:uid="{00000000-0005-0000-0000-00007E9B0000}"/>
    <cellStyle name="Heading 3 3 2 2" xfId="42013" xr:uid="{00000000-0005-0000-0000-00007F9B0000}"/>
    <cellStyle name="Heading 3 3 2 2 2" xfId="42014" xr:uid="{00000000-0005-0000-0000-0000809B0000}"/>
    <cellStyle name="Heading 3 3 2 3" xfId="42015" xr:uid="{00000000-0005-0000-0000-0000819B0000}"/>
    <cellStyle name="Heading 3 3 2 3 2" xfId="42016" xr:uid="{00000000-0005-0000-0000-0000829B0000}"/>
    <cellStyle name="Heading 3 3 2 4" xfId="42017" xr:uid="{00000000-0005-0000-0000-0000839B0000}"/>
    <cellStyle name="Heading 3 3 2 4 2" xfId="42018" xr:uid="{00000000-0005-0000-0000-0000849B0000}"/>
    <cellStyle name="Heading 3 3 2 5" xfId="42019" xr:uid="{00000000-0005-0000-0000-0000859B0000}"/>
    <cellStyle name="Heading 3 3 2 5 2" xfId="42020" xr:uid="{00000000-0005-0000-0000-0000869B0000}"/>
    <cellStyle name="Heading 3 3 2 6" xfId="42021" xr:uid="{00000000-0005-0000-0000-0000879B0000}"/>
    <cellStyle name="Heading 3 3 2 6 2" xfId="42022" xr:uid="{00000000-0005-0000-0000-0000889B0000}"/>
    <cellStyle name="Heading 3 3 2 7" xfId="42023" xr:uid="{00000000-0005-0000-0000-0000899B0000}"/>
    <cellStyle name="Heading 3 3 2 7 2" xfId="42024" xr:uid="{00000000-0005-0000-0000-00008A9B0000}"/>
    <cellStyle name="Heading 3 3 2 8" xfId="42025" xr:uid="{00000000-0005-0000-0000-00008B9B0000}"/>
    <cellStyle name="Heading 3 3 2 8 2" xfId="42026" xr:uid="{00000000-0005-0000-0000-00008C9B0000}"/>
    <cellStyle name="Heading 3 3 2 9" xfId="42027" xr:uid="{00000000-0005-0000-0000-00008D9B0000}"/>
    <cellStyle name="Heading 3 3 3" xfId="42028" xr:uid="{00000000-0005-0000-0000-00008E9B0000}"/>
    <cellStyle name="Heading 3 3 3 2" xfId="42029" xr:uid="{00000000-0005-0000-0000-00008F9B0000}"/>
    <cellStyle name="Heading 3 3 4" xfId="42030" xr:uid="{00000000-0005-0000-0000-0000909B0000}"/>
    <cellStyle name="Heading 3 3 4 2" xfId="42031" xr:uid="{00000000-0005-0000-0000-0000919B0000}"/>
    <cellStyle name="Heading 3 3 5" xfId="42032" xr:uid="{00000000-0005-0000-0000-0000929B0000}"/>
    <cellStyle name="Heading 3 3 5 2" xfId="42033" xr:uid="{00000000-0005-0000-0000-0000939B0000}"/>
    <cellStyle name="Heading 3 3 6" xfId="42034" xr:uid="{00000000-0005-0000-0000-0000949B0000}"/>
    <cellStyle name="Heading 3 3 6 2" xfId="42035" xr:uid="{00000000-0005-0000-0000-0000959B0000}"/>
    <cellStyle name="Heading 3 3 7" xfId="42036" xr:uid="{00000000-0005-0000-0000-0000969B0000}"/>
    <cellStyle name="Heading 3 3 7 2" xfId="42037" xr:uid="{00000000-0005-0000-0000-0000979B0000}"/>
    <cellStyle name="Heading 3 3 8" xfId="42038" xr:uid="{00000000-0005-0000-0000-0000989B0000}"/>
    <cellStyle name="Heading 3 3 8 2" xfId="42039" xr:uid="{00000000-0005-0000-0000-0000999B0000}"/>
    <cellStyle name="Heading 3 3 9" xfId="42040" xr:uid="{00000000-0005-0000-0000-00009A9B0000}"/>
    <cellStyle name="Heading 3 3 9 2" xfId="42041" xr:uid="{00000000-0005-0000-0000-00009B9B0000}"/>
    <cellStyle name="Heading 3 4" xfId="1492" xr:uid="{00000000-0005-0000-0000-00009C9B0000}"/>
    <cellStyle name="Heading 3 4 10" xfId="42042" xr:uid="{00000000-0005-0000-0000-00009D9B0000}"/>
    <cellStyle name="Heading 3 4 2" xfId="42043" xr:uid="{00000000-0005-0000-0000-00009E9B0000}"/>
    <cellStyle name="Heading 3 4 2 2" xfId="42044" xr:uid="{00000000-0005-0000-0000-00009F9B0000}"/>
    <cellStyle name="Heading 3 4 2 2 2" xfId="42045" xr:uid="{00000000-0005-0000-0000-0000A09B0000}"/>
    <cellStyle name="Heading 3 4 2 3" xfId="42046" xr:uid="{00000000-0005-0000-0000-0000A19B0000}"/>
    <cellStyle name="Heading 3 4 2 3 2" xfId="42047" xr:uid="{00000000-0005-0000-0000-0000A29B0000}"/>
    <cellStyle name="Heading 3 4 2 4" xfId="42048" xr:uid="{00000000-0005-0000-0000-0000A39B0000}"/>
    <cellStyle name="Heading 3 4 2 4 2" xfId="42049" xr:uid="{00000000-0005-0000-0000-0000A49B0000}"/>
    <cellStyle name="Heading 3 4 2 5" xfId="42050" xr:uid="{00000000-0005-0000-0000-0000A59B0000}"/>
    <cellStyle name="Heading 3 4 2 5 2" xfId="42051" xr:uid="{00000000-0005-0000-0000-0000A69B0000}"/>
    <cellStyle name="Heading 3 4 2 6" xfId="42052" xr:uid="{00000000-0005-0000-0000-0000A79B0000}"/>
    <cellStyle name="Heading 3 4 2 6 2" xfId="42053" xr:uid="{00000000-0005-0000-0000-0000A89B0000}"/>
    <cellStyle name="Heading 3 4 2 7" xfId="42054" xr:uid="{00000000-0005-0000-0000-0000A99B0000}"/>
    <cellStyle name="Heading 3 4 2 7 2" xfId="42055" xr:uid="{00000000-0005-0000-0000-0000AA9B0000}"/>
    <cellStyle name="Heading 3 4 2 8" xfId="42056" xr:uid="{00000000-0005-0000-0000-0000AB9B0000}"/>
    <cellStyle name="Heading 3 4 2 8 2" xfId="42057" xr:uid="{00000000-0005-0000-0000-0000AC9B0000}"/>
    <cellStyle name="Heading 3 4 2 9" xfId="42058" xr:uid="{00000000-0005-0000-0000-0000AD9B0000}"/>
    <cellStyle name="Heading 3 4 3" xfId="42059" xr:uid="{00000000-0005-0000-0000-0000AE9B0000}"/>
    <cellStyle name="Heading 3 4 3 2" xfId="42060" xr:uid="{00000000-0005-0000-0000-0000AF9B0000}"/>
    <cellStyle name="Heading 3 4 4" xfId="42061" xr:uid="{00000000-0005-0000-0000-0000B09B0000}"/>
    <cellStyle name="Heading 3 4 4 2" xfId="42062" xr:uid="{00000000-0005-0000-0000-0000B19B0000}"/>
    <cellStyle name="Heading 3 4 5" xfId="42063" xr:uid="{00000000-0005-0000-0000-0000B29B0000}"/>
    <cellStyle name="Heading 3 4 5 2" xfId="42064" xr:uid="{00000000-0005-0000-0000-0000B39B0000}"/>
    <cellStyle name="Heading 3 4 6" xfId="42065" xr:uid="{00000000-0005-0000-0000-0000B49B0000}"/>
    <cellStyle name="Heading 3 4 6 2" xfId="42066" xr:uid="{00000000-0005-0000-0000-0000B59B0000}"/>
    <cellStyle name="Heading 3 4 7" xfId="42067" xr:uid="{00000000-0005-0000-0000-0000B69B0000}"/>
    <cellStyle name="Heading 3 4 7 2" xfId="42068" xr:uid="{00000000-0005-0000-0000-0000B79B0000}"/>
    <cellStyle name="Heading 3 4 8" xfId="42069" xr:uid="{00000000-0005-0000-0000-0000B89B0000}"/>
    <cellStyle name="Heading 3 4 8 2" xfId="42070" xr:uid="{00000000-0005-0000-0000-0000B99B0000}"/>
    <cellStyle name="Heading 3 4 9" xfId="42071" xr:uid="{00000000-0005-0000-0000-0000BA9B0000}"/>
    <cellStyle name="Heading 3 4 9 2" xfId="42072" xr:uid="{00000000-0005-0000-0000-0000BB9B0000}"/>
    <cellStyle name="Heading 3 5" xfId="1493" xr:uid="{00000000-0005-0000-0000-0000BC9B0000}"/>
    <cellStyle name="Heading 3 5 10" xfId="42073" xr:uid="{00000000-0005-0000-0000-0000BD9B0000}"/>
    <cellStyle name="Heading 3 5 2" xfId="42074" xr:uid="{00000000-0005-0000-0000-0000BE9B0000}"/>
    <cellStyle name="Heading 3 5 2 2" xfId="42075" xr:uid="{00000000-0005-0000-0000-0000BF9B0000}"/>
    <cellStyle name="Heading 3 5 2 2 2" xfId="42076" xr:uid="{00000000-0005-0000-0000-0000C09B0000}"/>
    <cellStyle name="Heading 3 5 2 3" xfId="42077" xr:uid="{00000000-0005-0000-0000-0000C19B0000}"/>
    <cellStyle name="Heading 3 5 2 3 2" xfId="42078" xr:uid="{00000000-0005-0000-0000-0000C29B0000}"/>
    <cellStyle name="Heading 3 5 2 4" xfId="42079" xr:uid="{00000000-0005-0000-0000-0000C39B0000}"/>
    <cellStyle name="Heading 3 5 2 4 2" xfId="42080" xr:uid="{00000000-0005-0000-0000-0000C49B0000}"/>
    <cellStyle name="Heading 3 5 2 5" xfId="42081" xr:uid="{00000000-0005-0000-0000-0000C59B0000}"/>
    <cellStyle name="Heading 3 5 2 5 2" xfId="42082" xr:uid="{00000000-0005-0000-0000-0000C69B0000}"/>
    <cellStyle name="Heading 3 5 2 6" xfId="42083" xr:uid="{00000000-0005-0000-0000-0000C79B0000}"/>
    <cellStyle name="Heading 3 5 2 6 2" xfId="42084" xr:uid="{00000000-0005-0000-0000-0000C89B0000}"/>
    <cellStyle name="Heading 3 5 2 7" xfId="42085" xr:uid="{00000000-0005-0000-0000-0000C99B0000}"/>
    <cellStyle name="Heading 3 5 2 7 2" xfId="42086" xr:uid="{00000000-0005-0000-0000-0000CA9B0000}"/>
    <cellStyle name="Heading 3 5 2 8" xfId="42087" xr:uid="{00000000-0005-0000-0000-0000CB9B0000}"/>
    <cellStyle name="Heading 3 5 2 8 2" xfId="42088" xr:uid="{00000000-0005-0000-0000-0000CC9B0000}"/>
    <cellStyle name="Heading 3 5 2 9" xfId="42089" xr:uid="{00000000-0005-0000-0000-0000CD9B0000}"/>
    <cellStyle name="Heading 3 5 3" xfId="42090" xr:uid="{00000000-0005-0000-0000-0000CE9B0000}"/>
    <cellStyle name="Heading 3 5 3 2" xfId="42091" xr:uid="{00000000-0005-0000-0000-0000CF9B0000}"/>
    <cellStyle name="Heading 3 5 4" xfId="42092" xr:uid="{00000000-0005-0000-0000-0000D09B0000}"/>
    <cellStyle name="Heading 3 5 4 2" xfId="42093" xr:uid="{00000000-0005-0000-0000-0000D19B0000}"/>
    <cellStyle name="Heading 3 5 5" xfId="42094" xr:uid="{00000000-0005-0000-0000-0000D29B0000}"/>
    <cellStyle name="Heading 3 5 5 2" xfId="42095" xr:uid="{00000000-0005-0000-0000-0000D39B0000}"/>
    <cellStyle name="Heading 3 5 6" xfId="42096" xr:uid="{00000000-0005-0000-0000-0000D49B0000}"/>
    <cellStyle name="Heading 3 5 6 2" xfId="42097" xr:uid="{00000000-0005-0000-0000-0000D59B0000}"/>
    <cellStyle name="Heading 3 5 7" xfId="42098" xr:uid="{00000000-0005-0000-0000-0000D69B0000}"/>
    <cellStyle name="Heading 3 5 7 2" xfId="42099" xr:uid="{00000000-0005-0000-0000-0000D79B0000}"/>
    <cellStyle name="Heading 3 5 8" xfId="42100" xr:uid="{00000000-0005-0000-0000-0000D89B0000}"/>
    <cellStyle name="Heading 3 5 8 2" xfId="42101" xr:uid="{00000000-0005-0000-0000-0000D99B0000}"/>
    <cellStyle name="Heading 3 5 9" xfId="42102" xr:uid="{00000000-0005-0000-0000-0000DA9B0000}"/>
    <cellStyle name="Heading 3 5 9 2" xfId="42103" xr:uid="{00000000-0005-0000-0000-0000DB9B0000}"/>
    <cellStyle name="Heading 3 6" xfId="1494" xr:uid="{00000000-0005-0000-0000-0000DC9B0000}"/>
    <cellStyle name="Heading 3 6 10" xfId="42104" xr:uid="{00000000-0005-0000-0000-0000DD9B0000}"/>
    <cellStyle name="Heading 3 6 2" xfId="42105" xr:uid="{00000000-0005-0000-0000-0000DE9B0000}"/>
    <cellStyle name="Heading 3 6 2 2" xfId="42106" xr:uid="{00000000-0005-0000-0000-0000DF9B0000}"/>
    <cellStyle name="Heading 3 6 2 2 2" xfId="42107" xr:uid="{00000000-0005-0000-0000-0000E09B0000}"/>
    <cellStyle name="Heading 3 6 2 3" xfId="42108" xr:uid="{00000000-0005-0000-0000-0000E19B0000}"/>
    <cellStyle name="Heading 3 6 2 3 2" xfId="42109" xr:uid="{00000000-0005-0000-0000-0000E29B0000}"/>
    <cellStyle name="Heading 3 6 2 4" xfId="42110" xr:uid="{00000000-0005-0000-0000-0000E39B0000}"/>
    <cellStyle name="Heading 3 6 2 4 2" xfId="42111" xr:uid="{00000000-0005-0000-0000-0000E49B0000}"/>
    <cellStyle name="Heading 3 6 2 5" xfId="42112" xr:uid="{00000000-0005-0000-0000-0000E59B0000}"/>
    <cellStyle name="Heading 3 6 2 5 2" xfId="42113" xr:uid="{00000000-0005-0000-0000-0000E69B0000}"/>
    <cellStyle name="Heading 3 6 2 6" xfId="42114" xr:uid="{00000000-0005-0000-0000-0000E79B0000}"/>
    <cellStyle name="Heading 3 6 2 6 2" xfId="42115" xr:uid="{00000000-0005-0000-0000-0000E89B0000}"/>
    <cellStyle name="Heading 3 6 2 7" xfId="42116" xr:uid="{00000000-0005-0000-0000-0000E99B0000}"/>
    <cellStyle name="Heading 3 6 2 7 2" xfId="42117" xr:uid="{00000000-0005-0000-0000-0000EA9B0000}"/>
    <cellStyle name="Heading 3 6 2 8" xfId="42118" xr:uid="{00000000-0005-0000-0000-0000EB9B0000}"/>
    <cellStyle name="Heading 3 6 2 8 2" xfId="42119" xr:uid="{00000000-0005-0000-0000-0000EC9B0000}"/>
    <cellStyle name="Heading 3 6 2 9" xfId="42120" xr:uid="{00000000-0005-0000-0000-0000ED9B0000}"/>
    <cellStyle name="Heading 3 6 3" xfId="42121" xr:uid="{00000000-0005-0000-0000-0000EE9B0000}"/>
    <cellStyle name="Heading 3 6 3 2" xfId="42122" xr:uid="{00000000-0005-0000-0000-0000EF9B0000}"/>
    <cellStyle name="Heading 3 6 4" xfId="42123" xr:uid="{00000000-0005-0000-0000-0000F09B0000}"/>
    <cellStyle name="Heading 3 6 4 2" xfId="42124" xr:uid="{00000000-0005-0000-0000-0000F19B0000}"/>
    <cellStyle name="Heading 3 6 5" xfId="42125" xr:uid="{00000000-0005-0000-0000-0000F29B0000}"/>
    <cellStyle name="Heading 3 6 5 2" xfId="42126" xr:uid="{00000000-0005-0000-0000-0000F39B0000}"/>
    <cellStyle name="Heading 3 6 6" xfId="42127" xr:uid="{00000000-0005-0000-0000-0000F49B0000}"/>
    <cellStyle name="Heading 3 6 6 2" xfId="42128" xr:uid="{00000000-0005-0000-0000-0000F59B0000}"/>
    <cellStyle name="Heading 3 6 7" xfId="42129" xr:uid="{00000000-0005-0000-0000-0000F69B0000}"/>
    <cellStyle name="Heading 3 6 7 2" xfId="42130" xr:uid="{00000000-0005-0000-0000-0000F79B0000}"/>
    <cellStyle name="Heading 3 6 8" xfId="42131" xr:uid="{00000000-0005-0000-0000-0000F89B0000}"/>
    <cellStyle name="Heading 3 6 8 2" xfId="42132" xr:uid="{00000000-0005-0000-0000-0000F99B0000}"/>
    <cellStyle name="Heading 3 6 9" xfId="42133" xr:uid="{00000000-0005-0000-0000-0000FA9B0000}"/>
    <cellStyle name="Heading 3 6 9 2" xfId="42134" xr:uid="{00000000-0005-0000-0000-0000FB9B0000}"/>
    <cellStyle name="Heading 3 7" xfId="1495" xr:uid="{00000000-0005-0000-0000-0000FC9B0000}"/>
    <cellStyle name="Heading 3 7 10" xfId="42135" xr:uid="{00000000-0005-0000-0000-0000FD9B0000}"/>
    <cellStyle name="Heading 3 7 2" xfId="42136" xr:uid="{00000000-0005-0000-0000-0000FE9B0000}"/>
    <cellStyle name="Heading 3 7 2 2" xfId="42137" xr:uid="{00000000-0005-0000-0000-0000FF9B0000}"/>
    <cellStyle name="Heading 3 7 2 2 2" xfId="42138" xr:uid="{00000000-0005-0000-0000-0000009C0000}"/>
    <cellStyle name="Heading 3 7 2 3" xfId="42139" xr:uid="{00000000-0005-0000-0000-0000019C0000}"/>
    <cellStyle name="Heading 3 7 2 3 2" xfId="42140" xr:uid="{00000000-0005-0000-0000-0000029C0000}"/>
    <cellStyle name="Heading 3 7 2 4" xfId="42141" xr:uid="{00000000-0005-0000-0000-0000039C0000}"/>
    <cellStyle name="Heading 3 7 2 4 2" xfId="42142" xr:uid="{00000000-0005-0000-0000-0000049C0000}"/>
    <cellStyle name="Heading 3 7 2 5" xfId="42143" xr:uid="{00000000-0005-0000-0000-0000059C0000}"/>
    <cellStyle name="Heading 3 7 2 5 2" xfId="42144" xr:uid="{00000000-0005-0000-0000-0000069C0000}"/>
    <cellStyle name="Heading 3 7 2 6" xfId="42145" xr:uid="{00000000-0005-0000-0000-0000079C0000}"/>
    <cellStyle name="Heading 3 7 2 6 2" xfId="42146" xr:uid="{00000000-0005-0000-0000-0000089C0000}"/>
    <cellStyle name="Heading 3 7 2 7" xfId="42147" xr:uid="{00000000-0005-0000-0000-0000099C0000}"/>
    <cellStyle name="Heading 3 7 2 7 2" xfId="42148" xr:uid="{00000000-0005-0000-0000-00000A9C0000}"/>
    <cellStyle name="Heading 3 7 2 8" xfId="42149" xr:uid="{00000000-0005-0000-0000-00000B9C0000}"/>
    <cellStyle name="Heading 3 7 2 8 2" xfId="42150" xr:uid="{00000000-0005-0000-0000-00000C9C0000}"/>
    <cellStyle name="Heading 3 7 2 9" xfId="42151" xr:uid="{00000000-0005-0000-0000-00000D9C0000}"/>
    <cellStyle name="Heading 3 7 3" xfId="42152" xr:uid="{00000000-0005-0000-0000-00000E9C0000}"/>
    <cellStyle name="Heading 3 7 3 2" xfId="42153" xr:uid="{00000000-0005-0000-0000-00000F9C0000}"/>
    <cellStyle name="Heading 3 7 4" xfId="42154" xr:uid="{00000000-0005-0000-0000-0000109C0000}"/>
    <cellStyle name="Heading 3 7 4 2" xfId="42155" xr:uid="{00000000-0005-0000-0000-0000119C0000}"/>
    <cellStyle name="Heading 3 7 5" xfId="42156" xr:uid="{00000000-0005-0000-0000-0000129C0000}"/>
    <cellStyle name="Heading 3 7 5 2" xfId="42157" xr:uid="{00000000-0005-0000-0000-0000139C0000}"/>
    <cellStyle name="Heading 3 7 6" xfId="42158" xr:uid="{00000000-0005-0000-0000-0000149C0000}"/>
    <cellStyle name="Heading 3 7 6 2" xfId="42159" xr:uid="{00000000-0005-0000-0000-0000159C0000}"/>
    <cellStyle name="Heading 3 7 7" xfId="42160" xr:uid="{00000000-0005-0000-0000-0000169C0000}"/>
    <cellStyle name="Heading 3 7 7 2" xfId="42161" xr:uid="{00000000-0005-0000-0000-0000179C0000}"/>
    <cellStyle name="Heading 3 7 8" xfId="42162" xr:uid="{00000000-0005-0000-0000-0000189C0000}"/>
    <cellStyle name="Heading 3 7 8 2" xfId="42163" xr:uid="{00000000-0005-0000-0000-0000199C0000}"/>
    <cellStyle name="Heading 3 7 9" xfId="42164" xr:uid="{00000000-0005-0000-0000-00001A9C0000}"/>
    <cellStyle name="Heading 3 7 9 2" xfId="42165" xr:uid="{00000000-0005-0000-0000-00001B9C0000}"/>
    <cellStyle name="Heading 3 8" xfId="1496" xr:uid="{00000000-0005-0000-0000-00001C9C0000}"/>
    <cellStyle name="Heading 3 8 2" xfId="42166" xr:uid="{00000000-0005-0000-0000-00001D9C0000}"/>
    <cellStyle name="Heading 3 8 2 2" xfId="42167" xr:uid="{00000000-0005-0000-0000-00001E9C0000}"/>
    <cellStyle name="Heading 3 8 3" xfId="42168" xr:uid="{00000000-0005-0000-0000-00001F9C0000}"/>
    <cellStyle name="Heading 3 8 3 2" xfId="42169" xr:uid="{00000000-0005-0000-0000-0000209C0000}"/>
    <cellStyle name="Heading 3 8 4" xfId="42170" xr:uid="{00000000-0005-0000-0000-0000219C0000}"/>
    <cellStyle name="Heading 3 8 4 2" xfId="42171" xr:uid="{00000000-0005-0000-0000-0000229C0000}"/>
    <cellStyle name="Heading 3 8 5" xfId="42172" xr:uid="{00000000-0005-0000-0000-0000239C0000}"/>
    <cellStyle name="Heading 3 8 5 2" xfId="42173" xr:uid="{00000000-0005-0000-0000-0000249C0000}"/>
    <cellStyle name="Heading 3 8 6" xfId="42174" xr:uid="{00000000-0005-0000-0000-0000259C0000}"/>
    <cellStyle name="Heading 3 8 6 2" xfId="42175" xr:uid="{00000000-0005-0000-0000-0000269C0000}"/>
    <cellStyle name="Heading 3 8 7" xfId="42176" xr:uid="{00000000-0005-0000-0000-0000279C0000}"/>
    <cellStyle name="Heading 3 8 7 2" xfId="42177" xr:uid="{00000000-0005-0000-0000-0000289C0000}"/>
    <cellStyle name="Heading 3 8 8" xfId="42178" xr:uid="{00000000-0005-0000-0000-0000299C0000}"/>
    <cellStyle name="Heading 3 8 8 2" xfId="42179" xr:uid="{00000000-0005-0000-0000-00002A9C0000}"/>
    <cellStyle name="Heading 3 8 9" xfId="42180" xr:uid="{00000000-0005-0000-0000-00002B9C0000}"/>
    <cellStyle name="Heading 3 9" xfId="1497" xr:uid="{00000000-0005-0000-0000-00002C9C0000}"/>
    <cellStyle name="Heading 3 9 2" xfId="42181" xr:uid="{00000000-0005-0000-0000-00002D9C0000}"/>
    <cellStyle name="Heading 3 9 2 2" xfId="42182" xr:uid="{00000000-0005-0000-0000-00002E9C0000}"/>
    <cellStyle name="Heading 3 9 3" xfId="42183" xr:uid="{00000000-0005-0000-0000-00002F9C0000}"/>
    <cellStyle name="Heading 3 9 3 2" xfId="42184" xr:uid="{00000000-0005-0000-0000-0000309C0000}"/>
    <cellStyle name="Heading 3 9 4" xfId="42185" xr:uid="{00000000-0005-0000-0000-0000319C0000}"/>
    <cellStyle name="Heading 3 9 4 2" xfId="42186" xr:uid="{00000000-0005-0000-0000-0000329C0000}"/>
    <cellStyle name="Heading 3 9 5" xfId="42187" xr:uid="{00000000-0005-0000-0000-0000339C0000}"/>
    <cellStyle name="Heading 3 9 5 2" xfId="42188" xr:uid="{00000000-0005-0000-0000-0000349C0000}"/>
    <cellStyle name="Heading 3 9 6" xfId="42189" xr:uid="{00000000-0005-0000-0000-0000359C0000}"/>
    <cellStyle name="Heading 3 9 6 2" xfId="42190" xr:uid="{00000000-0005-0000-0000-0000369C0000}"/>
    <cellStyle name="Heading 3 9 7" xfId="42191" xr:uid="{00000000-0005-0000-0000-0000379C0000}"/>
    <cellStyle name="Heading 3 9 7 2" xfId="42192" xr:uid="{00000000-0005-0000-0000-0000389C0000}"/>
    <cellStyle name="Heading 3 9 8" xfId="42193" xr:uid="{00000000-0005-0000-0000-0000399C0000}"/>
    <cellStyle name="Heading 3 9 8 2" xfId="42194" xr:uid="{00000000-0005-0000-0000-00003A9C0000}"/>
    <cellStyle name="Heading 3 9 9" xfId="42195" xr:uid="{00000000-0005-0000-0000-00003B9C0000}"/>
    <cellStyle name="Heading 4" xfId="106" builtinId="19" customBuiltin="1"/>
    <cellStyle name="Heading 4 10" xfId="42196" xr:uid="{00000000-0005-0000-0000-00003C9C0000}"/>
    <cellStyle name="Heading 4 10 2" xfId="42197" xr:uid="{00000000-0005-0000-0000-00003D9C0000}"/>
    <cellStyle name="Heading 4 10 2 2" xfId="42198" xr:uid="{00000000-0005-0000-0000-00003E9C0000}"/>
    <cellStyle name="Heading 4 10 3" xfId="42199" xr:uid="{00000000-0005-0000-0000-00003F9C0000}"/>
    <cellStyle name="Heading 4 10 3 2" xfId="42200" xr:uid="{00000000-0005-0000-0000-0000409C0000}"/>
    <cellStyle name="Heading 4 10 4" xfId="42201" xr:uid="{00000000-0005-0000-0000-0000419C0000}"/>
    <cellStyle name="Heading 4 10 4 2" xfId="42202" xr:uid="{00000000-0005-0000-0000-0000429C0000}"/>
    <cellStyle name="Heading 4 10 5" xfId="42203" xr:uid="{00000000-0005-0000-0000-0000439C0000}"/>
    <cellStyle name="Heading 4 10 5 2" xfId="42204" xr:uid="{00000000-0005-0000-0000-0000449C0000}"/>
    <cellStyle name="Heading 4 10 6" xfId="42205" xr:uid="{00000000-0005-0000-0000-0000459C0000}"/>
    <cellStyle name="Heading 4 10 6 2" xfId="42206" xr:uid="{00000000-0005-0000-0000-0000469C0000}"/>
    <cellStyle name="Heading 4 10 7" xfId="42207" xr:uid="{00000000-0005-0000-0000-0000479C0000}"/>
    <cellStyle name="Heading 4 10 7 2" xfId="42208" xr:uid="{00000000-0005-0000-0000-0000489C0000}"/>
    <cellStyle name="Heading 4 10 8" xfId="42209" xr:uid="{00000000-0005-0000-0000-0000499C0000}"/>
    <cellStyle name="Heading 4 10 8 2" xfId="42210" xr:uid="{00000000-0005-0000-0000-00004A9C0000}"/>
    <cellStyle name="Heading 4 10 9" xfId="42211" xr:uid="{00000000-0005-0000-0000-00004B9C0000}"/>
    <cellStyle name="Heading 4 11" xfId="42212" xr:uid="{00000000-0005-0000-0000-00004C9C0000}"/>
    <cellStyle name="Heading 4 11 2" xfId="42213" xr:uid="{00000000-0005-0000-0000-00004D9C0000}"/>
    <cellStyle name="Heading 4 12" xfId="42214" xr:uid="{00000000-0005-0000-0000-00004E9C0000}"/>
    <cellStyle name="Heading 4 2" xfId="1498" xr:uid="{00000000-0005-0000-0000-00004F9C0000}"/>
    <cellStyle name="Heading 4 2 10" xfId="42215" xr:uid="{00000000-0005-0000-0000-0000509C0000}"/>
    <cellStyle name="Heading 4 2 11" xfId="42216" xr:uid="{00000000-0005-0000-0000-0000519C0000}"/>
    <cellStyle name="Heading 4 2 2" xfId="1499" xr:uid="{00000000-0005-0000-0000-0000529C0000}"/>
    <cellStyle name="Heading 4 2 2 2" xfId="42217" xr:uid="{00000000-0005-0000-0000-0000539C0000}"/>
    <cellStyle name="Heading 4 2 2 2 2" xfId="42218" xr:uid="{00000000-0005-0000-0000-0000549C0000}"/>
    <cellStyle name="Heading 4 2 2 3" xfId="42219" xr:uid="{00000000-0005-0000-0000-0000559C0000}"/>
    <cellStyle name="Heading 4 2 2 3 2" xfId="42220" xr:uid="{00000000-0005-0000-0000-0000569C0000}"/>
    <cellStyle name="Heading 4 2 2 4" xfId="42221" xr:uid="{00000000-0005-0000-0000-0000579C0000}"/>
    <cellStyle name="Heading 4 2 2 4 2" xfId="42222" xr:uid="{00000000-0005-0000-0000-0000589C0000}"/>
    <cellStyle name="Heading 4 2 2 5" xfId="42223" xr:uid="{00000000-0005-0000-0000-0000599C0000}"/>
    <cellStyle name="Heading 4 2 2 5 2" xfId="42224" xr:uid="{00000000-0005-0000-0000-00005A9C0000}"/>
    <cellStyle name="Heading 4 2 2 6" xfId="42225" xr:uid="{00000000-0005-0000-0000-00005B9C0000}"/>
    <cellStyle name="Heading 4 2 2 6 2" xfId="42226" xr:uid="{00000000-0005-0000-0000-00005C9C0000}"/>
    <cellStyle name="Heading 4 2 2 7" xfId="42227" xr:uid="{00000000-0005-0000-0000-00005D9C0000}"/>
    <cellStyle name="Heading 4 2 2 7 2" xfId="42228" xr:uid="{00000000-0005-0000-0000-00005E9C0000}"/>
    <cellStyle name="Heading 4 2 2 8" xfId="42229" xr:uid="{00000000-0005-0000-0000-00005F9C0000}"/>
    <cellStyle name="Heading 4 2 2 8 2" xfId="42230" xr:uid="{00000000-0005-0000-0000-0000609C0000}"/>
    <cellStyle name="Heading 4 2 2 9" xfId="42231" xr:uid="{00000000-0005-0000-0000-0000619C0000}"/>
    <cellStyle name="Heading 4 2 3" xfId="1500" xr:uid="{00000000-0005-0000-0000-0000629C0000}"/>
    <cellStyle name="Heading 4 2 3 2" xfId="42232" xr:uid="{00000000-0005-0000-0000-0000639C0000}"/>
    <cellStyle name="Heading 4 2 4" xfId="1501" xr:uid="{00000000-0005-0000-0000-0000649C0000}"/>
    <cellStyle name="Heading 4 2 4 2" xfId="42233" xr:uid="{00000000-0005-0000-0000-0000659C0000}"/>
    <cellStyle name="Heading 4 2 5" xfId="42234" xr:uid="{00000000-0005-0000-0000-0000669C0000}"/>
    <cellStyle name="Heading 4 2 5 2" xfId="42235" xr:uid="{00000000-0005-0000-0000-0000679C0000}"/>
    <cellStyle name="Heading 4 2 6" xfId="42236" xr:uid="{00000000-0005-0000-0000-0000689C0000}"/>
    <cellStyle name="Heading 4 2 6 2" xfId="42237" xr:uid="{00000000-0005-0000-0000-0000699C0000}"/>
    <cellStyle name="Heading 4 2 7" xfId="42238" xr:uid="{00000000-0005-0000-0000-00006A9C0000}"/>
    <cellStyle name="Heading 4 2 7 2" xfId="42239" xr:uid="{00000000-0005-0000-0000-00006B9C0000}"/>
    <cellStyle name="Heading 4 2 8" xfId="42240" xr:uid="{00000000-0005-0000-0000-00006C9C0000}"/>
    <cellStyle name="Heading 4 2 8 2" xfId="42241" xr:uid="{00000000-0005-0000-0000-00006D9C0000}"/>
    <cellStyle name="Heading 4 2 9" xfId="42242" xr:uid="{00000000-0005-0000-0000-00006E9C0000}"/>
    <cellStyle name="Heading 4 2 9 2" xfId="42243" xr:uid="{00000000-0005-0000-0000-00006F9C0000}"/>
    <cellStyle name="Heading 4 3" xfId="1502" xr:uid="{00000000-0005-0000-0000-0000709C0000}"/>
    <cellStyle name="Heading 4 3 10" xfId="42244" xr:uid="{00000000-0005-0000-0000-0000719C0000}"/>
    <cellStyle name="Heading 4 3 11" xfId="42245" xr:uid="{00000000-0005-0000-0000-0000729C0000}"/>
    <cellStyle name="Heading 4 3 2" xfId="1503" xr:uid="{00000000-0005-0000-0000-0000739C0000}"/>
    <cellStyle name="Heading 4 3 2 2" xfId="42246" xr:uid="{00000000-0005-0000-0000-0000749C0000}"/>
    <cellStyle name="Heading 4 3 2 2 2" xfId="42247" xr:uid="{00000000-0005-0000-0000-0000759C0000}"/>
    <cellStyle name="Heading 4 3 2 3" xfId="42248" xr:uid="{00000000-0005-0000-0000-0000769C0000}"/>
    <cellStyle name="Heading 4 3 2 3 2" xfId="42249" xr:uid="{00000000-0005-0000-0000-0000779C0000}"/>
    <cellStyle name="Heading 4 3 2 4" xfId="42250" xr:uid="{00000000-0005-0000-0000-0000789C0000}"/>
    <cellStyle name="Heading 4 3 2 4 2" xfId="42251" xr:uid="{00000000-0005-0000-0000-0000799C0000}"/>
    <cellStyle name="Heading 4 3 2 5" xfId="42252" xr:uid="{00000000-0005-0000-0000-00007A9C0000}"/>
    <cellStyle name="Heading 4 3 2 5 2" xfId="42253" xr:uid="{00000000-0005-0000-0000-00007B9C0000}"/>
    <cellStyle name="Heading 4 3 2 6" xfId="42254" xr:uid="{00000000-0005-0000-0000-00007C9C0000}"/>
    <cellStyle name="Heading 4 3 2 6 2" xfId="42255" xr:uid="{00000000-0005-0000-0000-00007D9C0000}"/>
    <cellStyle name="Heading 4 3 2 7" xfId="42256" xr:uid="{00000000-0005-0000-0000-00007E9C0000}"/>
    <cellStyle name="Heading 4 3 2 7 2" xfId="42257" xr:uid="{00000000-0005-0000-0000-00007F9C0000}"/>
    <cellStyle name="Heading 4 3 2 8" xfId="42258" xr:uid="{00000000-0005-0000-0000-0000809C0000}"/>
    <cellStyle name="Heading 4 3 2 8 2" xfId="42259" xr:uid="{00000000-0005-0000-0000-0000819C0000}"/>
    <cellStyle name="Heading 4 3 2 9" xfId="42260" xr:uid="{00000000-0005-0000-0000-0000829C0000}"/>
    <cellStyle name="Heading 4 3 3" xfId="42261" xr:uid="{00000000-0005-0000-0000-0000839C0000}"/>
    <cellStyle name="Heading 4 3 3 2" xfId="42262" xr:uid="{00000000-0005-0000-0000-0000849C0000}"/>
    <cellStyle name="Heading 4 3 4" xfId="42263" xr:uid="{00000000-0005-0000-0000-0000859C0000}"/>
    <cellStyle name="Heading 4 3 4 2" xfId="42264" xr:uid="{00000000-0005-0000-0000-0000869C0000}"/>
    <cellStyle name="Heading 4 3 5" xfId="42265" xr:uid="{00000000-0005-0000-0000-0000879C0000}"/>
    <cellStyle name="Heading 4 3 5 2" xfId="42266" xr:uid="{00000000-0005-0000-0000-0000889C0000}"/>
    <cellStyle name="Heading 4 3 6" xfId="42267" xr:uid="{00000000-0005-0000-0000-0000899C0000}"/>
    <cellStyle name="Heading 4 3 6 2" xfId="42268" xr:uid="{00000000-0005-0000-0000-00008A9C0000}"/>
    <cellStyle name="Heading 4 3 7" xfId="42269" xr:uid="{00000000-0005-0000-0000-00008B9C0000}"/>
    <cellStyle name="Heading 4 3 7 2" xfId="42270" xr:uid="{00000000-0005-0000-0000-00008C9C0000}"/>
    <cellStyle name="Heading 4 3 8" xfId="42271" xr:uid="{00000000-0005-0000-0000-00008D9C0000}"/>
    <cellStyle name="Heading 4 3 8 2" xfId="42272" xr:uid="{00000000-0005-0000-0000-00008E9C0000}"/>
    <cellStyle name="Heading 4 3 9" xfId="42273" xr:uid="{00000000-0005-0000-0000-00008F9C0000}"/>
    <cellStyle name="Heading 4 3 9 2" xfId="42274" xr:uid="{00000000-0005-0000-0000-0000909C0000}"/>
    <cellStyle name="Heading 4 4" xfId="1504" xr:uid="{00000000-0005-0000-0000-0000919C0000}"/>
    <cellStyle name="Heading 4 4 10" xfId="42275" xr:uid="{00000000-0005-0000-0000-0000929C0000}"/>
    <cellStyle name="Heading 4 4 2" xfId="42276" xr:uid="{00000000-0005-0000-0000-0000939C0000}"/>
    <cellStyle name="Heading 4 4 2 2" xfId="42277" xr:uid="{00000000-0005-0000-0000-0000949C0000}"/>
    <cellStyle name="Heading 4 4 2 2 2" xfId="42278" xr:uid="{00000000-0005-0000-0000-0000959C0000}"/>
    <cellStyle name="Heading 4 4 2 3" xfId="42279" xr:uid="{00000000-0005-0000-0000-0000969C0000}"/>
    <cellStyle name="Heading 4 4 2 3 2" xfId="42280" xr:uid="{00000000-0005-0000-0000-0000979C0000}"/>
    <cellStyle name="Heading 4 4 2 4" xfId="42281" xr:uid="{00000000-0005-0000-0000-0000989C0000}"/>
    <cellStyle name="Heading 4 4 2 4 2" xfId="42282" xr:uid="{00000000-0005-0000-0000-0000999C0000}"/>
    <cellStyle name="Heading 4 4 2 5" xfId="42283" xr:uid="{00000000-0005-0000-0000-00009A9C0000}"/>
    <cellStyle name="Heading 4 4 2 5 2" xfId="42284" xr:uid="{00000000-0005-0000-0000-00009B9C0000}"/>
    <cellStyle name="Heading 4 4 2 6" xfId="42285" xr:uid="{00000000-0005-0000-0000-00009C9C0000}"/>
    <cellStyle name="Heading 4 4 2 6 2" xfId="42286" xr:uid="{00000000-0005-0000-0000-00009D9C0000}"/>
    <cellStyle name="Heading 4 4 2 7" xfId="42287" xr:uid="{00000000-0005-0000-0000-00009E9C0000}"/>
    <cellStyle name="Heading 4 4 2 7 2" xfId="42288" xr:uid="{00000000-0005-0000-0000-00009F9C0000}"/>
    <cellStyle name="Heading 4 4 2 8" xfId="42289" xr:uid="{00000000-0005-0000-0000-0000A09C0000}"/>
    <cellStyle name="Heading 4 4 2 8 2" xfId="42290" xr:uid="{00000000-0005-0000-0000-0000A19C0000}"/>
    <cellStyle name="Heading 4 4 2 9" xfId="42291" xr:uid="{00000000-0005-0000-0000-0000A29C0000}"/>
    <cellStyle name="Heading 4 4 3" xfId="42292" xr:uid="{00000000-0005-0000-0000-0000A39C0000}"/>
    <cellStyle name="Heading 4 4 3 2" xfId="42293" xr:uid="{00000000-0005-0000-0000-0000A49C0000}"/>
    <cellStyle name="Heading 4 4 4" xfId="42294" xr:uid="{00000000-0005-0000-0000-0000A59C0000}"/>
    <cellStyle name="Heading 4 4 4 2" xfId="42295" xr:uid="{00000000-0005-0000-0000-0000A69C0000}"/>
    <cellStyle name="Heading 4 4 5" xfId="42296" xr:uid="{00000000-0005-0000-0000-0000A79C0000}"/>
    <cellStyle name="Heading 4 4 5 2" xfId="42297" xr:uid="{00000000-0005-0000-0000-0000A89C0000}"/>
    <cellStyle name="Heading 4 4 6" xfId="42298" xr:uid="{00000000-0005-0000-0000-0000A99C0000}"/>
    <cellStyle name="Heading 4 4 6 2" xfId="42299" xr:uid="{00000000-0005-0000-0000-0000AA9C0000}"/>
    <cellStyle name="Heading 4 4 7" xfId="42300" xr:uid="{00000000-0005-0000-0000-0000AB9C0000}"/>
    <cellStyle name="Heading 4 4 7 2" xfId="42301" xr:uid="{00000000-0005-0000-0000-0000AC9C0000}"/>
    <cellStyle name="Heading 4 4 8" xfId="42302" xr:uid="{00000000-0005-0000-0000-0000AD9C0000}"/>
    <cellStyle name="Heading 4 4 8 2" xfId="42303" xr:uid="{00000000-0005-0000-0000-0000AE9C0000}"/>
    <cellStyle name="Heading 4 4 9" xfId="42304" xr:uid="{00000000-0005-0000-0000-0000AF9C0000}"/>
    <cellStyle name="Heading 4 4 9 2" xfId="42305" xr:uid="{00000000-0005-0000-0000-0000B09C0000}"/>
    <cellStyle name="Heading 4 5" xfId="1505" xr:uid="{00000000-0005-0000-0000-0000B19C0000}"/>
    <cellStyle name="Heading 4 5 10" xfId="42306" xr:uid="{00000000-0005-0000-0000-0000B29C0000}"/>
    <cellStyle name="Heading 4 5 11" xfId="42307" xr:uid="{00000000-0005-0000-0000-0000B39C0000}"/>
    <cellStyle name="Heading 4 5 2" xfId="42308" xr:uid="{00000000-0005-0000-0000-0000B49C0000}"/>
    <cellStyle name="Heading 4 5 2 2" xfId="42309" xr:uid="{00000000-0005-0000-0000-0000B59C0000}"/>
    <cellStyle name="Heading 4 5 2 2 2" xfId="42310" xr:uid="{00000000-0005-0000-0000-0000B69C0000}"/>
    <cellStyle name="Heading 4 5 2 3" xfId="42311" xr:uid="{00000000-0005-0000-0000-0000B79C0000}"/>
    <cellStyle name="Heading 4 5 2 3 2" xfId="42312" xr:uid="{00000000-0005-0000-0000-0000B89C0000}"/>
    <cellStyle name="Heading 4 5 2 4" xfId="42313" xr:uid="{00000000-0005-0000-0000-0000B99C0000}"/>
    <cellStyle name="Heading 4 5 2 4 2" xfId="42314" xr:uid="{00000000-0005-0000-0000-0000BA9C0000}"/>
    <cellStyle name="Heading 4 5 2 5" xfId="42315" xr:uid="{00000000-0005-0000-0000-0000BB9C0000}"/>
    <cellStyle name="Heading 4 5 2 5 2" xfId="42316" xr:uid="{00000000-0005-0000-0000-0000BC9C0000}"/>
    <cellStyle name="Heading 4 5 2 6" xfId="42317" xr:uid="{00000000-0005-0000-0000-0000BD9C0000}"/>
    <cellStyle name="Heading 4 5 2 6 2" xfId="42318" xr:uid="{00000000-0005-0000-0000-0000BE9C0000}"/>
    <cellStyle name="Heading 4 5 2 7" xfId="42319" xr:uid="{00000000-0005-0000-0000-0000BF9C0000}"/>
    <cellStyle name="Heading 4 5 2 7 2" xfId="42320" xr:uid="{00000000-0005-0000-0000-0000C09C0000}"/>
    <cellStyle name="Heading 4 5 2 8" xfId="42321" xr:uid="{00000000-0005-0000-0000-0000C19C0000}"/>
    <cellStyle name="Heading 4 5 2 8 2" xfId="42322" xr:uid="{00000000-0005-0000-0000-0000C29C0000}"/>
    <cellStyle name="Heading 4 5 2 9" xfId="42323" xr:uid="{00000000-0005-0000-0000-0000C39C0000}"/>
    <cellStyle name="Heading 4 5 3" xfId="42324" xr:uid="{00000000-0005-0000-0000-0000C49C0000}"/>
    <cellStyle name="Heading 4 5 3 2" xfId="42325" xr:uid="{00000000-0005-0000-0000-0000C59C0000}"/>
    <cellStyle name="Heading 4 5 4" xfId="42326" xr:uid="{00000000-0005-0000-0000-0000C69C0000}"/>
    <cellStyle name="Heading 4 5 4 2" xfId="42327" xr:uid="{00000000-0005-0000-0000-0000C79C0000}"/>
    <cellStyle name="Heading 4 5 5" xfId="42328" xr:uid="{00000000-0005-0000-0000-0000C89C0000}"/>
    <cellStyle name="Heading 4 5 5 2" xfId="42329" xr:uid="{00000000-0005-0000-0000-0000C99C0000}"/>
    <cellStyle name="Heading 4 5 6" xfId="42330" xr:uid="{00000000-0005-0000-0000-0000CA9C0000}"/>
    <cellStyle name="Heading 4 5 6 2" xfId="42331" xr:uid="{00000000-0005-0000-0000-0000CB9C0000}"/>
    <cellStyle name="Heading 4 5 7" xfId="42332" xr:uid="{00000000-0005-0000-0000-0000CC9C0000}"/>
    <cellStyle name="Heading 4 5 7 2" xfId="42333" xr:uid="{00000000-0005-0000-0000-0000CD9C0000}"/>
    <cellStyle name="Heading 4 5 8" xfId="42334" xr:uid="{00000000-0005-0000-0000-0000CE9C0000}"/>
    <cellStyle name="Heading 4 5 8 2" xfId="42335" xr:uid="{00000000-0005-0000-0000-0000CF9C0000}"/>
    <cellStyle name="Heading 4 5 9" xfId="42336" xr:uid="{00000000-0005-0000-0000-0000D09C0000}"/>
    <cellStyle name="Heading 4 5 9 2" xfId="42337" xr:uid="{00000000-0005-0000-0000-0000D19C0000}"/>
    <cellStyle name="Heading 4 6" xfId="42338" xr:uid="{00000000-0005-0000-0000-0000D29C0000}"/>
    <cellStyle name="Heading 4 6 10" xfId="42339" xr:uid="{00000000-0005-0000-0000-0000D39C0000}"/>
    <cellStyle name="Heading 4 6 11" xfId="42340" xr:uid="{00000000-0005-0000-0000-0000D49C0000}"/>
    <cellStyle name="Heading 4 6 2" xfId="42341" xr:uid="{00000000-0005-0000-0000-0000D59C0000}"/>
    <cellStyle name="Heading 4 6 2 2" xfId="42342" xr:uid="{00000000-0005-0000-0000-0000D69C0000}"/>
    <cellStyle name="Heading 4 6 2 2 2" xfId="42343" xr:uid="{00000000-0005-0000-0000-0000D79C0000}"/>
    <cellStyle name="Heading 4 6 2 3" xfId="42344" xr:uid="{00000000-0005-0000-0000-0000D89C0000}"/>
    <cellStyle name="Heading 4 6 2 3 2" xfId="42345" xr:uid="{00000000-0005-0000-0000-0000D99C0000}"/>
    <cellStyle name="Heading 4 6 2 4" xfId="42346" xr:uid="{00000000-0005-0000-0000-0000DA9C0000}"/>
    <cellStyle name="Heading 4 6 2 4 2" xfId="42347" xr:uid="{00000000-0005-0000-0000-0000DB9C0000}"/>
    <cellStyle name="Heading 4 6 2 5" xfId="42348" xr:uid="{00000000-0005-0000-0000-0000DC9C0000}"/>
    <cellStyle name="Heading 4 6 2 5 2" xfId="42349" xr:uid="{00000000-0005-0000-0000-0000DD9C0000}"/>
    <cellStyle name="Heading 4 6 2 6" xfId="42350" xr:uid="{00000000-0005-0000-0000-0000DE9C0000}"/>
    <cellStyle name="Heading 4 6 2 6 2" xfId="42351" xr:uid="{00000000-0005-0000-0000-0000DF9C0000}"/>
    <cellStyle name="Heading 4 6 2 7" xfId="42352" xr:uid="{00000000-0005-0000-0000-0000E09C0000}"/>
    <cellStyle name="Heading 4 6 2 7 2" xfId="42353" xr:uid="{00000000-0005-0000-0000-0000E19C0000}"/>
    <cellStyle name="Heading 4 6 2 8" xfId="42354" xr:uid="{00000000-0005-0000-0000-0000E29C0000}"/>
    <cellStyle name="Heading 4 6 2 8 2" xfId="42355" xr:uid="{00000000-0005-0000-0000-0000E39C0000}"/>
    <cellStyle name="Heading 4 6 2 9" xfId="42356" xr:uid="{00000000-0005-0000-0000-0000E49C0000}"/>
    <cellStyle name="Heading 4 6 3" xfId="42357" xr:uid="{00000000-0005-0000-0000-0000E59C0000}"/>
    <cellStyle name="Heading 4 6 3 2" xfId="42358" xr:uid="{00000000-0005-0000-0000-0000E69C0000}"/>
    <cellStyle name="Heading 4 6 4" xfId="42359" xr:uid="{00000000-0005-0000-0000-0000E79C0000}"/>
    <cellStyle name="Heading 4 6 4 2" xfId="42360" xr:uid="{00000000-0005-0000-0000-0000E89C0000}"/>
    <cellStyle name="Heading 4 6 5" xfId="42361" xr:uid="{00000000-0005-0000-0000-0000E99C0000}"/>
    <cellStyle name="Heading 4 6 5 2" xfId="42362" xr:uid="{00000000-0005-0000-0000-0000EA9C0000}"/>
    <cellStyle name="Heading 4 6 6" xfId="42363" xr:uid="{00000000-0005-0000-0000-0000EB9C0000}"/>
    <cellStyle name="Heading 4 6 6 2" xfId="42364" xr:uid="{00000000-0005-0000-0000-0000EC9C0000}"/>
    <cellStyle name="Heading 4 6 7" xfId="42365" xr:uid="{00000000-0005-0000-0000-0000ED9C0000}"/>
    <cellStyle name="Heading 4 6 7 2" xfId="42366" xr:uid="{00000000-0005-0000-0000-0000EE9C0000}"/>
    <cellStyle name="Heading 4 6 8" xfId="42367" xr:uid="{00000000-0005-0000-0000-0000EF9C0000}"/>
    <cellStyle name="Heading 4 6 8 2" xfId="42368" xr:uid="{00000000-0005-0000-0000-0000F09C0000}"/>
    <cellStyle name="Heading 4 6 9" xfId="42369" xr:uid="{00000000-0005-0000-0000-0000F19C0000}"/>
    <cellStyle name="Heading 4 6 9 2" xfId="42370" xr:uid="{00000000-0005-0000-0000-0000F29C0000}"/>
    <cellStyle name="Heading 4 7" xfId="42371" xr:uid="{00000000-0005-0000-0000-0000F39C0000}"/>
    <cellStyle name="Heading 4 7 10" xfId="42372" xr:uid="{00000000-0005-0000-0000-0000F49C0000}"/>
    <cellStyle name="Heading 4 7 11" xfId="42373" xr:uid="{00000000-0005-0000-0000-0000F59C0000}"/>
    <cellStyle name="Heading 4 7 2" xfId="42374" xr:uid="{00000000-0005-0000-0000-0000F69C0000}"/>
    <cellStyle name="Heading 4 7 2 2" xfId="42375" xr:uid="{00000000-0005-0000-0000-0000F79C0000}"/>
    <cellStyle name="Heading 4 7 2 2 2" xfId="42376" xr:uid="{00000000-0005-0000-0000-0000F89C0000}"/>
    <cellStyle name="Heading 4 7 2 3" xfId="42377" xr:uid="{00000000-0005-0000-0000-0000F99C0000}"/>
    <cellStyle name="Heading 4 7 2 3 2" xfId="42378" xr:uid="{00000000-0005-0000-0000-0000FA9C0000}"/>
    <cellStyle name="Heading 4 7 2 4" xfId="42379" xr:uid="{00000000-0005-0000-0000-0000FB9C0000}"/>
    <cellStyle name="Heading 4 7 2 4 2" xfId="42380" xr:uid="{00000000-0005-0000-0000-0000FC9C0000}"/>
    <cellStyle name="Heading 4 7 2 5" xfId="42381" xr:uid="{00000000-0005-0000-0000-0000FD9C0000}"/>
    <cellStyle name="Heading 4 7 2 5 2" xfId="42382" xr:uid="{00000000-0005-0000-0000-0000FE9C0000}"/>
    <cellStyle name="Heading 4 7 2 6" xfId="42383" xr:uid="{00000000-0005-0000-0000-0000FF9C0000}"/>
    <cellStyle name="Heading 4 7 2 6 2" xfId="42384" xr:uid="{00000000-0005-0000-0000-0000009D0000}"/>
    <cellStyle name="Heading 4 7 2 7" xfId="42385" xr:uid="{00000000-0005-0000-0000-0000019D0000}"/>
    <cellStyle name="Heading 4 7 2 7 2" xfId="42386" xr:uid="{00000000-0005-0000-0000-0000029D0000}"/>
    <cellStyle name="Heading 4 7 2 8" xfId="42387" xr:uid="{00000000-0005-0000-0000-0000039D0000}"/>
    <cellStyle name="Heading 4 7 2 8 2" xfId="42388" xr:uid="{00000000-0005-0000-0000-0000049D0000}"/>
    <cellStyle name="Heading 4 7 2 9" xfId="42389" xr:uid="{00000000-0005-0000-0000-0000059D0000}"/>
    <cellStyle name="Heading 4 7 3" xfId="42390" xr:uid="{00000000-0005-0000-0000-0000069D0000}"/>
    <cellStyle name="Heading 4 7 3 2" xfId="42391" xr:uid="{00000000-0005-0000-0000-0000079D0000}"/>
    <cellStyle name="Heading 4 7 4" xfId="42392" xr:uid="{00000000-0005-0000-0000-0000089D0000}"/>
    <cellStyle name="Heading 4 7 4 2" xfId="42393" xr:uid="{00000000-0005-0000-0000-0000099D0000}"/>
    <cellStyle name="Heading 4 7 5" xfId="42394" xr:uid="{00000000-0005-0000-0000-00000A9D0000}"/>
    <cellStyle name="Heading 4 7 5 2" xfId="42395" xr:uid="{00000000-0005-0000-0000-00000B9D0000}"/>
    <cellStyle name="Heading 4 7 6" xfId="42396" xr:uid="{00000000-0005-0000-0000-00000C9D0000}"/>
    <cellStyle name="Heading 4 7 6 2" xfId="42397" xr:uid="{00000000-0005-0000-0000-00000D9D0000}"/>
    <cellStyle name="Heading 4 7 7" xfId="42398" xr:uid="{00000000-0005-0000-0000-00000E9D0000}"/>
    <cellStyle name="Heading 4 7 7 2" xfId="42399" xr:uid="{00000000-0005-0000-0000-00000F9D0000}"/>
    <cellStyle name="Heading 4 7 8" xfId="42400" xr:uid="{00000000-0005-0000-0000-0000109D0000}"/>
    <cellStyle name="Heading 4 7 8 2" xfId="42401" xr:uid="{00000000-0005-0000-0000-0000119D0000}"/>
    <cellStyle name="Heading 4 7 9" xfId="42402" xr:uid="{00000000-0005-0000-0000-0000129D0000}"/>
    <cellStyle name="Heading 4 7 9 2" xfId="42403" xr:uid="{00000000-0005-0000-0000-0000139D0000}"/>
    <cellStyle name="Heading 4 8" xfId="42404" xr:uid="{00000000-0005-0000-0000-0000149D0000}"/>
    <cellStyle name="Heading 4 8 2" xfId="42405" xr:uid="{00000000-0005-0000-0000-0000159D0000}"/>
    <cellStyle name="Heading 4 8 2 2" xfId="42406" xr:uid="{00000000-0005-0000-0000-0000169D0000}"/>
    <cellStyle name="Heading 4 8 3" xfId="42407" xr:uid="{00000000-0005-0000-0000-0000179D0000}"/>
    <cellStyle name="Heading 4 8 3 2" xfId="42408" xr:uid="{00000000-0005-0000-0000-0000189D0000}"/>
    <cellStyle name="Heading 4 8 4" xfId="42409" xr:uid="{00000000-0005-0000-0000-0000199D0000}"/>
    <cellStyle name="Heading 4 8 4 2" xfId="42410" xr:uid="{00000000-0005-0000-0000-00001A9D0000}"/>
    <cellStyle name="Heading 4 8 5" xfId="42411" xr:uid="{00000000-0005-0000-0000-00001B9D0000}"/>
    <cellStyle name="Heading 4 8 5 2" xfId="42412" xr:uid="{00000000-0005-0000-0000-00001C9D0000}"/>
    <cellStyle name="Heading 4 8 6" xfId="42413" xr:uid="{00000000-0005-0000-0000-00001D9D0000}"/>
    <cellStyle name="Heading 4 8 6 2" xfId="42414" xr:uid="{00000000-0005-0000-0000-00001E9D0000}"/>
    <cellStyle name="Heading 4 8 7" xfId="42415" xr:uid="{00000000-0005-0000-0000-00001F9D0000}"/>
    <cellStyle name="Heading 4 8 7 2" xfId="42416" xr:uid="{00000000-0005-0000-0000-0000209D0000}"/>
    <cellStyle name="Heading 4 8 8" xfId="42417" xr:uid="{00000000-0005-0000-0000-0000219D0000}"/>
    <cellStyle name="Heading 4 8 8 2" xfId="42418" xr:uid="{00000000-0005-0000-0000-0000229D0000}"/>
    <cellStyle name="Heading 4 8 9" xfId="42419" xr:uid="{00000000-0005-0000-0000-0000239D0000}"/>
    <cellStyle name="Heading 4 9" xfId="42420" xr:uid="{00000000-0005-0000-0000-0000249D0000}"/>
    <cellStyle name="Heading 4 9 2" xfId="42421" xr:uid="{00000000-0005-0000-0000-0000259D0000}"/>
    <cellStyle name="Heading 4 9 2 2" xfId="42422" xr:uid="{00000000-0005-0000-0000-0000269D0000}"/>
    <cellStyle name="Heading 4 9 3" xfId="42423" xr:uid="{00000000-0005-0000-0000-0000279D0000}"/>
    <cellStyle name="Heading 4 9 3 2" xfId="42424" xr:uid="{00000000-0005-0000-0000-0000289D0000}"/>
    <cellStyle name="Heading 4 9 4" xfId="42425" xr:uid="{00000000-0005-0000-0000-0000299D0000}"/>
    <cellStyle name="Heading 4 9 4 2" xfId="42426" xr:uid="{00000000-0005-0000-0000-00002A9D0000}"/>
    <cellStyle name="Heading 4 9 5" xfId="42427" xr:uid="{00000000-0005-0000-0000-00002B9D0000}"/>
    <cellStyle name="Heading 4 9 5 2" xfId="42428" xr:uid="{00000000-0005-0000-0000-00002C9D0000}"/>
    <cellStyle name="Heading 4 9 6" xfId="42429" xr:uid="{00000000-0005-0000-0000-00002D9D0000}"/>
    <cellStyle name="Heading 4 9 6 2" xfId="42430" xr:uid="{00000000-0005-0000-0000-00002E9D0000}"/>
    <cellStyle name="Heading 4 9 7" xfId="42431" xr:uid="{00000000-0005-0000-0000-00002F9D0000}"/>
    <cellStyle name="Heading 4 9 7 2" xfId="42432" xr:uid="{00000000-0005-0000-0000-0000309D0000}"/>
    <cellStyle name="Heading 4 9 8" xfId="42433" xr:uid="{00000000-0005-0000-0000-0000319D0000}"/>
    <cellStyle name="Heading 4 9 8 2" xfId="42434" xr:uid="{00000000-0005-0000-0000-0000329D0000}"/>
    <cellStyle name="Heading 4 9 9" xfId="42435" xr:uid="{00000000-0005-0000-0000-0000339D0000}"/>
    <cellStyle name="Heading No Underline" xfId="42436" xr:uid="{00000000-0005-0000-0000-0000349D0000}"/>
    <cellStyle name="Heading With Underline" xfId="42437" xr:uid="{00000000-0005-0000-0000-0000359D0000}"/>
    <cellStyle name="Heading1" xfId="44" xr:uid="{00000000-0005-0000-0000-00004D000000}"/>
    <cellStyle name="Heading1 2" xfId="42438" xr:uid="{00000000-0005-0000-0000-0000379D0000}"/>
    <cellStyle name="Heading1 3" xfId="42439" xr:uid="{00000000-0005-0000-0000-0000389D0000}"/>
    <cellStyle name="Heading1 4" xfId="42440" xr:uid="{00000000-0005-0000-0000-0000399D0000}"/>
    <cellStyle name="Heading1 5" xfId="42441" xr:uid="{00000000-0005-0000-0000-00003A9D0000}"/>
    <cellStyle name="Heading1 6" xfId="1506" xr:uid="{00000000-0005-0000-0000-0000369D0000}"/>
    <cellStyle name="Heading2" xfId="45" xr:uid="{00000000-0005-0000-0000-00004E000000}"/>
    <cellStyle name="Heading2 2" xfId="42442" xr:uid="{00000000-0005-0000-0000-00003C9D0000}"/>
    <cellStyle name="Heading2 3" xfId="42443" xr:uid="{00000000-0005-0000-0000-00003D9D0000}"/>
    <cellStyle name="Heading2 4" xfId="42444" xr:uid="{00000000-0005-0000-0000-00003E9D0000}"/>
    <cellStyle name="Heading2 5" xfId="42445" xr:uid="{00000000-0005-0000-0000-00003F9D0000}"/>
    <cellStyle name="Heading2 6" xfId="1507" xr:uid="{00000000-0005-0000-0000-00003B9D0000}"/>
    <cellStyle name="hidden" xfId="1508" xr:uid="{00000000-0005-0000-0000-0000409D0000}"/>
    <cellStyle name="hide" xfId="1509" xr:uid="{00000000-0005-0000-0000-0000419D0000}"/>
    <cellStyle name="HIGHLIGHT" xfId="1510" xr:uid="{00000000-0005-0000-0000-0000429D0000}"/>
    <cellStyle name="Hyperlink 2" xfId="42446" xr:uid="{00000000-0005-0000-0000-0000439D0000}"/>
    <cellStyle name="Hyperlink 3" xfId="42447" xr:uid="{00000000-0005-0000-0000-0000449D0000}"/>
    <cellStyle name="Input" xfId="110" builtinId="20" customBuiltin="1"/>
    <cellStyle name="Input [yellow]" xfId="1511" xr:uid="{00000000-0005-0000-0000-0000459D0000}"/>
    <cellStyle name="Input 10" xfId="1512" xr:uid="{00000000-0005-0000-0000-0000469D0000}"/>
    <cellStyle name="Input 10 10" xfId="42448" xr:uid="{00000000-0005-0000-0000-0000479D0000}"/>
    <cellStyle name="Input 10 2" xfId="42449" xr:uid="{00000000-0005-0000-0000-0000489D0000}"/>
    <cellStyle name="Input 10 2 2" xfId="42450" xr:uid="{00000000-0005-0000-0000-0000499D0000}"/>
    <cellStyle name="Input 10 3" xfId="42451" xr:uid="{00000000-0005-0000-0000-00004A9D0000}"/>
    <cellStyle name="Input 10 3 2" xfId="42452" xr:uid="{00000000-0005-0000-0000-00004B9D0000}"/>
    <cellStyle name="Input 10 4" xfId="42453" xr:uid="{00000000-0005-0000-0000-00004C9D0000}"/>
    <cellStyle name="Input 10 4 2" xfId="42454" xr:uid="{00000000-0005-0000-0000-00004D9D0000}"/>
    <cellStyle name="Input 10 5" xfId="42455" xr:uid="{00000000-0005-0000-0000-00004E9D0000}"/>
    <cellStyle name="Input 10 5 2" xfId="42456" xr:uid="{00000000-0005-0000-0000-00004F9D0000}"/>
    <cellStyle name="Input 10 6" xfId="42457" xr:uid="{00000000-0005-0000-0000-0000509D0000}"/>
    <cellStyle name="Input 10 6 2" xfId="42458" xr:uid="{00000000-0005-0000-0000-0000519D0000}"/>
    <cellStyle name="Input 10 7" xfId="42459" xr:uid="{00000000-0005-0000-0000-0000529D0000}"/>
    <cellStyle name="Input 10 7 2" xfId="42460" xr:uid="{00000000-0005-0000-0000-0000539D0000}"/>
    <cellStyle name="Input 10 8" xfId="42461" xr:uid="{00000000-0005-0000-0000-0000549D0000}"/>
    <cellStyle name="Input 10 8 2" xfId="42462" xr:uid="{00000000-0005-0000-0000-0000559D0000}"/>
    <cellStyle name="Input 10 9" xfId="42463" xr:uid="{00000000-0005-0000-0000-0000569D0000}"/>
    <cellStyle name="Input 10 9 2" xfId="42464" xr:uid="{00000000-0005-0000-0000-0000579D0000}"/>
    <cellStyle name="Input 11" xfId="1513" xr:uid="{00000000-0005-0000-0000-0000589D0000}"/>
    <cellStyle name="Input 11 10" xfId="42465" xr:uid="{00000000-0005-0000-0000-0000599D0000}"/>
    <cellStyle name="Input 11 2" xfId="42466" xr:uid="{00000000-0005-0000-0000-00005A9D0000}"/>
    <cellStyle name="Input 11 2 2" xfId="42467" xr:uid="{00000000-0005-0000-0000-00005B9D0000}"/>
    <cellStyle name="Input 11 3" xfId="42468" xr:uid="{00000000-0005-0000-0000-00005C9D0000}"/>
    <cellStyle name="Input 11 3 2" xfId="42469" xr:uid="{00000000-0005-0000-0000-00005D9D0000}"/>
    <cellStyle name="Input 11 4" xfId="42470" xr:uid="{00000000-0005-0000-0000-00005E9D0000}"/>
    <cellStyle name="Input 11 4 2" xfId="42471" xr:uid="{00000000-0005-0000-0000-00005F9D0000}"/>
    <cellStyle name="Input 11 5" xfId="42472" xr:uid="{00000000-0005-0000-0000-0000609D0000}"/>
    <cellStyle name="Input 11 5 2" xfId="42473" xr:uid="{00000000-0005-0000-0000-0000619D0000}"/>
    <cellStyle name="Input 11 6" xfId="42474" xr:uid="{00000000-0005-0000-0000-0000629D0000}"/>
    <cellStyle name="Input 11 6 2" xfId="42475" xr:uid="{00000000-0005-0000-0000-0000639D0000}"/>
    <cellStyle name="Input 11 7" xfId="42476" xr:uid="{00000000-0005-0000-0000-0000649D0000}"/>
    <cellStyle name="Input 11 7 2" xfId="42477" xr:uid="{00000000-0005-0000-0000-0000659D0000}"/>
    <cellStyle name="Input 11 8" xfId="42478" xr:uid="{00000000-0005-0000-0000-0000669D0000}"/>
    <cellStyle name="Input 11 8 2" xfId="42479" xr:uid="{00000000-0005-0000-0000-0000679D0000}"/>
    <cellStyle name="Input 11 9" xfId="42480" xr:uid="{00000000-0005-0000-0000-0000689D0000}"/>
    <cellStyle name="Input 11 9 2" xfId="42481" xr:uid="{00000000-0005-0000-0000-0000699D0000}"/>
    <cellStyle name="Input 12" xfId="1514" xr:uid="{00000000-0005-0000-0000-00006A9D0000}"/>
    <cellStyle name="Input 12 2" xfId="42482" xr:uid="{00000000-0005-0000-0000-00006B9D0000}"/>
    <cellStyle name="Input 12 2 2" xfId="42483" xr:uid="{00000000-0005-0000-0000-00006C9D0000}"/>
    <cellStyle name="Input 12 3" xfId="42484" xr:uid="{00000000-0005-0000-0000-00006D9D0000}"/>
    <cellStyle name="Input 13" xfId="1515" xr:uid="{00000000-0005-0000-0000-00006E9D0000}"/>
    <cellStyle name="Input 13 2" xfId="42485" xr:uid="{00000000-0005-0000-0000-00006F9D0000}"/>
    <cellStyle name="Input 14" xfId="1516" xr:uid="{00000000-0005-0000-0000-0000709D0000}"/>
    <cellStyle name="Input 14 2" xfId="42486" xr:uid="{00000000-0005-0000-0000-0000719D0000}"/>
    <cellStyle name="Input 15" xfId="1517" xr:uid="{00000000-0005-0000-0000-0000729D0000}"/>
    <cellStyle name="Input 15 2" xfId="42487" xr:uid="{00000000-0005-0000-0000-0000739D0000}"/>
    <cellStyle name="Input 16" xfId="1518" xr:uid="{00000000-0005-0000-0000-0000749D0000}"/>
    <cellStyle name="Input 16 2" xfId="42488" xr:uid="{00000000-0005-0000-0000-0000759D0000}"/>
    <cellStyle name="Input 17" xfId="1519" xr:uid="{00000000-0005-0000-0000-0000769D0000}"/>
    <cellStyle name="Input 17 2" xfId="42489" xr:uid="{00000000-0005-0000-0000-0000779D0000}"/>
    <cellStyle name="Input 18" xfId="1520" xr:uid="{00000000-0005-0000-0000-0000789D0000}"/>
    <cellStyle name="Input 18 2" xfId="42490" xr:uid="{00000000-0005-0000-0000-0000799D0000}"/>
    <cellStyle name="Input 19" xfId="1521" xr:uid="{00000000-0005-0000-0000-00007A9D0000}"/>
    <cellStyle name="Input 19 2" xfId="42491" xr:uid="{00000000-0005-0000-0000-00007B9D0000}"/>
    <cellStyle name="Input 2" xfId="1522" xr:uid="{00000000-0005-0000-0000-00007C9D0000}"/>
    <cellStyle name="Input 2 2" xfId="1523" xr:uid="{00000000-0005-0000-0000-00007D9D0000}"/>
    <cellStyle name="Input 2 2 2" xfId="42492" xr:uid="{00000000-0005-0000-0000-00007E9D0000}"/>
    <cellStyle name="Input 2 2 2 2" xfId="42493" xr:uid="{00000000-0005-0000-0000-00007F9D0000}"/>
    <cellStyle name="Input 2 2 3" xfId="42494" xr:uid="{00000000-0005-0000-0000-0000809D0000}"/>
    <cellStyle name="Input 2 3" xfId="1524" xr:uid="{00000000-0005-0000-0000-0000819D0000}"/>
    <cellStyle name="Input 2 3 2" xfId="42495" xr:uid="{00000000-0005-0000-0000-0000829D0000}"/>
    <cellStyle name="Input 2 3 2 2" xfId="42496" xr:uid="{00000000-0005-0000-0000-0000839D0000}"/>
    <cellStyle name="Input 2 3 3" xfId="42497" xr:uid="{00000000-0005-0000-0000-0000849D0000}"/>
    <cellStyle name="Input 2 4" xfId="1525" xr:uid="{00000000-0005-0000-0000-0000859D0000}"/>
    <cellStyle name="Input 2 4 2" xfId="42498" xr:uid="{00000000-0005-0000-0000-0000869D0000}"/>
    <cellStyle name="Input 2 4 2 2" xfId="42499" xr:uid="{00000000-0005-0000-0000-0000879D0000}"/>
    <cellStyle name="Input 2 4 3" xfId="42500" xr:uid="{00000000-0005-0000-0000-0000889D0000}"/>
    <cellStyle name="Input 2 5" xfId="42501" xr:uid="{00000000-0005-0000-0000-0000899D0000}"/>
    <cellStyle name="Input 2 5 2" xfId="42502" xr:uid="{00000000-0005-0000-0000-00008A9D0000}"/>
    <cellStyle name="Input 2 6" xfId="42503" xr:uid="{00000000-0005-0000-0000-00008B9D0000}"/>
    <cellStyle name="Input 2 7" xfId="42504" xr:uid="{00000000-0005-0000-0000-00008C9D0000}"/>
    <cellStyle name="Input 2 8" xfId="42505" xr:uid="{00000000-0005-0000-0000-00008D9D0000}"/>
    <cellStyle name="Input 20" xfId="1526" xr:uid="{00000000-0005-0000-0000-00008E9D0000}"/>
    <cellStyle name="Input 20 2" xfId="42506" xr:uid="{00000000-0005-0000-0000-00008F9D0000}"/>
    <cellStyle name="Input 21" xfId="1527" xr:uid="{00000000-0005-0000-0000-0000909D0000}"/>
    <cellStyle name="Input 21 2" xfId="42507" xr:uid="{00000000-0005-0000-0000-0000919D0000}"/>
    <cellStyle name="Input 22" xfId="1528" xr:uid="{00000000-0005-0000-0000-0000929D0000}"/>
    <cellStyle name="Input 22 2" xfId="42508" xr:uid="{00000000-0005-0000-0000-0000939D0000}"/>
    <cellStyle name="Input 23" xfId="1529" xr:uid="{00000000-0005-0000-0000-0000949D0000}"/>
    <cellStyle name="Input 23 2" xfId="42509" xr:uid="{00000000-0005-0000-0000-0000959D0000}"/>
    <cellStyle name="Input 24" xfId="1530" xr:uid="{00000000-0005-0000-0000-0000969D0000}"/>
    <cellStyle name="Input 24 2" xfId="1531" xr:uid="{00000000-0005-0000-0000-0000979D0000}"/>
    <cellStyle name="Input 24 2 2" xfId="42510" xr:uid="{00000000-0005-0000-0000-0000989D0000}"/>
    <cellStyle name="Input 24 3" xfId="42511" xr:uid="{00000000-0005-0000-0000-0000999D0000}"/>
    <cellStyle name="Input 25" xfId="1532" xr:uid="{00000000-0005-0000-0000-00009A9D0000}"/>
    <cellStyle name="Input 25 2" xfId="42512" xr:uid="{00000000-0005-0000-0000-00009B9D0000}"/>
    <cellStyle name="Input 26" xfId="42513" xr:uid="{00000000-0005-0000-0000-00009C9D0000}"/>
    <cellStyle name="Input 26 2" xfId="42514" xr:uid="{00000000-0005-0000-0000-00009D9D0000}"/>
    <cellStyle name="Input 27" xfId="42515" xr:uid="{00000000-0005-0000-0000-00009E9D0000}"/>
    <cellStyle name="Input 27 2" xfId="42516" xr:uid="{00000000-0005-0000-0000-00009F9D0000}"/>
    <cellStyle name="Input 28" xfId="42517" xr:uid="{00000000-0005-0000-0000-0000A09D0000}"/>
    <cellStyle name="Input 29" xfId="42518" xr:uid="{00000000-0005-0000-0000-0000A19D0000}"/>
    <cellStyle name="Input 29 2" xfId="42519" xr:uid="{00000000-0005-0000-0000-0000A29D0000}"/>
    <cellStyle name="Input 3" xfId="1533" xr:uid="{00000000-0005-0000-0000-0000A39D0000}"/>
    <cellStyle name="Input 3 2" xfId="42520" xr:uid="{00000000-0005-0000-0000-0000A49D0000}"/>
    <cellStyle name="Input 3 2 2" xfId="42521" xr:uid="{00000000-0005-0000-0000-0000A59D0000}"/>
    <cellStyle name="Input 3 3" xfId="42522" xr:uid="{00000000-0005-0000-0000-0000A69D0000}"/>
    <cellStyle name="Input 3 3 2" xfId="42523" xr:uid="{00000000-0005-0000-0000-0000A79D0000}"/>
    <cellStyle name="Input 3 4" xfId="42524" xr:uid="{00000000-0005-0000-0000-0000A89D0000}"/>
    <cellStyle name="Input 3 4 2" xfId="42525" xr:uid="{00000000-0005-0000-0000-0000A99D0000}"/>
    <cellStyle name="Input 3 5" xfId="42526" xr:uid="{00000000-0005-0000-0000-0000AA9D0000}"/>
    <cellStyle name="Input 3 5 2" xfId="42527" xr:uid="{00000000-0005-0000-0000-0000AB9D0000}"/>
    <cellStyle name="Input 3 6" xfId="42528" xr:uid="{00000000-0005-0000-0000-0000AC9D0000}"/>
    <cellStyle name="Input 3 7" xfId="42529" xr:uid="{00000000-0005-0000-0000-0000AD9D0000}"/>
    <cellStyle name="Input 4" xfId="1534" xr:uid="{00000000-0005-0000-0000-0000AE9D0000}"/>
    <cellStyle name="Input 4 2" xfId="42530" xr:uid="{00000000-0005-0000-0000-0000AF9D0000}"/>
    <cellStyle name="Input 4 2 2" xfId="42531" xr:uid="{00000000-0005-0000-0000-0000B09D0000}"/>
    <cellStyle name="Input 4 3" xfId="42532" xr:uid="{00000000-0005-0000-0000-0000B19D0000}"/>
    <cellStyle name="Input 4 3 2" xfId="42533" xr:uid="{00000000-0005-0000-0000-0000B29D0000}"/>
    <cellStyle name="Input 4 4" xfId="42534" xr:uid="{00000000-0005-0000-0000-0000B39D0000}"/>
    <cellStyle name="Input 4 4 2" xfId="42535" xr:uid="{00000000-0005-0000-0000-0000B49D0000}"/>
    <cellStyle name="Input 4 5" xfId="42536" xr:uid="{00000000-0005-0000-0000-0000B59D0000}"/>
    <cellStyle name="Input 4 5 2" xfId="42537" xr:uid="{00000000-0005-0000-0000-0000B69D0000}"/>
    <cellStyle name="Input 4 6" xfId="42538" xr:uid="{00000000-0005-0000-0000-0000B79D0000}"/>
    <cellStyle name="Input 5" xfId="1535" xr:uid="{00000000-0005-0000-0000-0000B89D0000}"/>
    <cellStyle name="Input 5 2" xfId="42539" xr:uid="{00000000-0005-0000-0000-0000B99D0000}"/>
    <cellStyle name="Input 5 2 2" xfId="42540" xr:uid="{00000000-0005-0000-0000-0000BA9D0000}"/>
    <cellStyle name="Input 5 3" xfId="42541" xr:uid="{00000000-0005-0000-0000-0000BB9D0000}"/>
    <cellStyle name="Input 5 3 2" xfId="42542" xr:uid="{00000000-0005-0000-0000-0000BC9D0000}"/>
    <cellStyle name="Input 5 4" xfId="42543" xr:uid="{00000000-0005-0000-0000-0000BD9D0000}"/>
    <cellStyle name="Input 5 4 2" xfId="42544" xr:uid="{00000000-0005-0000-0000-0000BE9D0000}"/>
    <cellStyle name="Input 5 5" xfId="42545" xr:uid="{00000000-0005-0000-0000-0000BF9D0000}"/>
    <cellStyle name="Input 5 5 2" xfId="42546" xr:uid="{00000000-0005-0000-0000-0000C09D0000}"/>
    <cellStyle name="Input 5 6" xfId="42547" xr:uid="{00000000-0005-0000-0000-0000C19D0000}"/>
    <cellStyle name="Input 6" xfId="1536" xr:uid="{00000000-0005-0000-0000-0000C29D0000}"/>
    <cellStyle name="Input 6 2" xfId="42548" xr:uid="{00000000-0005-0000-0000-0000C39D0000}"/>
    <cellStyle name="Input 6 2 2" xfId="42549" xr:uid="{00000000-0005-0000-0000-0000C49D0000}"/>
    <cellStyle name="Input 6 3" xfId="42550" xr:uid="{00000000-0005-0000-0000-0000C59D0000}"/>
    <cellStyle name="Input 6 3 2" xfId="42551" xr:uid="{00000000-0005-0000-0000-0000C69D0000}"/>
    <cellStyle name="Input 6 4" xfId="42552" xr:uid="{00000000-0005-0000-0000-0000C79D0000}"/>
    <cellStyle name="Input 6 4 2" xfId="42553" xr:uid="{00000000-0005-0000-0000-0000C89D0000}"/>
    <cellStyle name="Input 6 5" xfId="42554" xr:uid="{00000000-0005-0000-0000-0000C99D0000}"/>
    <cellStyle name="Input 6 5 2" xfId="42555" xr:uid="{00000000-0005-0000-0000-0000CA9D0000}"/>
    <cellStyle name="Input 6 6" xfId="42556" xr:uid="{00000000-0005-0000-0000-0000CB9D0000}"/>
    <cellStyle name="Input 7" xfId="1537" xr:uid="{00000000-0005-0000-0000-0000CC9D0000}"/>
    <cellStyle name="Input 7 2" xfId="42557" xr:uid="{00000000-0005-0000-0000-0000CD9D0000}"/>
    <cellStyle name="Input 7 2 2" xfId="42558" xr:uid="{00000000-0005-0000-0000-0000CE9D0000}"/>
    <cellStyle name="Input 7 3" xfId="42559" xr:uid="{00000000-0005-0000-0000-0000CF9D0000}"/>
    <cellStyle name="Input 7 3 2" xfId="42560" xr:uid="{00000000-0005-0000-0000-0000D09D0000}"/>
    <cellStyle name="Input 7 4" xfId="42561" xr:uid="{00000000-0005-0000-0000-0000D19D0000}"/>
    <cellStyle name="Input 7 4 2" xfId="42562" xr:uid="{00000000-0005-0000-0000-0000D29D0000}"/>
    <cellStyle name="Input 7 5" xfId="42563" xr:uid="{00000000-0005-0000-0000-0000D39D0000}"/>
    <cellStyle name="Input 7 5 2" xfId="42564" xr:uid="{00000000-0005-0000-0000-0000D49D0000}"/>
    <cellStyle name="Input 7 6" xfId="42565" xr:uid="{00000000-0005-0000-0000-0000D59D0000}"/>
    <cellStyle name="Input 8" xfId="1538" xr:uid="{00000000-0005-0000-0000-0000D69D0000}"/>
    <cellStyle name="Input 8 2" xfId="42566" xr:uid="{00000000-0005-0000-0000-0000D79D0000}"/>
    <cellStyle name="Input 8 2 2" xfId="42567" xr:uid="{00000000-0005-0000-0000-0000D89D0000}"/>
    <cellStyle name="Input 8 3" xfId="42568" xr:uid="{00000000-0005-0000-0000-0000D99D0000}"/>
    <cellStyle name="Input 8 3 2" xfId="42569" xr:uid="{00000000-0005-0000-0000-0000DA9D0000}"/>
    <cellStyle name="Input 8 4" xfId="42570" xr:uid="{00000000-0005-0000-0000-0000DB9D0000}"/>
    <cellStyle name="Input 8 4 2" xfId="42571" xr:uid="{00000000-0005-0000-0000-0000DC9D0000}"/>
    <cellStyle name="Input 8 5" xfId="42572" xr:uid="{00000000-0005-0000-0000-0000DD9D0000}"/>
    <cellStyle name="Input 9" xfId="1539" xr:uid="{00000000-0005-0000-0000-0000DE9D0000}"/>
    <cellStyle name="Input 9 10" xfId="42573" xr:uid="{00000000-0005-0000-0000-0000DF9D0000}"/>
    <cellStyle name="Input 9 2" xfId="42574" xr:uid="{00000000-0005-0000-0000-0000E09D0000}"/>
    <cellStyle name="Input 9 2 2" xfId="42575" xr:uid="{00000000-0005-0000-0000-0000E19D0000}"/>
    <cellStyle name="Input 9 3" xfId="42576" xr:uid="{00000000-0005-0000-0000-0000E29D0000}"/>
    <cellStyle name="Input 9 3 2" xfId="42577" xr:uid="{00000000-0005-0000-0000-0000E39D0000}"/>
    <cellStyle name="Input 9 4" xfId="42578" xr:uid="{00000000-0005-0000-0000-0000E49D0000}"/>
    <cellStyle name="Input 9 4 2" xfId="42579" xr:uid="{00000000-0005-0000-0000-0000E59D0000}"/>
    <cellStyle name="Input 9 5" xfId="42580" xr:uid="{00000000-0005-0000-0000-0000E69D0000}"/>
    <cellStyle name="Input 9 5 2" xfId="42581" xr:uid="{00000000-0005-0000-0000-0000E79D0000}"/>
    <cellStyle name="Input 9 6" xfId="42582" xr:uid="{00000000-0005-0000-0000-0000E89D0000}"/>
    <cellStyle name="Input 9 6 2" xfId="42583" xr:uid="{00000000-0005-0000-0000-0000E99D0000}"/>
    <cellStyle name="Input 9 7" xfId="42584" xr:uid="{00000000-0005-0000-0000-0000EA9D0000}"/>
    <cellStyle name="Input 9 7 2" xfId="42585" xr:uid="{00000000-0005-0000-0000-0000EB9D0000}"/>
    <cellStyle name="Input 9 8" xfId="42586" xr:uid="{00000000-0005-0000-0000-0000EC9D0000}"/>
    <cellStyle name="Input 9 8 2" xfId="42587" xr:uid="{00000000-0005-0000-0000-0000ED9D0000}"/>
    <cellStyle name="Input 9 9" xfId="42588" xr:uid="{00000000-0005-0000-0000-0000EE9D0000}"/>
    <cellStyle name="Input 9 9 2" xfId="42589" xr:uid="{00000000-0005-0000-0000-0000EF9D0000}"/>
    <cellStyle name="Left:" xfId="42590" xr:uid="{00000000-0005-0000-0000-0000F09D0000}"/>
    <cellStyle name="Linked Cell" xfId="113" builtinId="24" customBuiltin="1"/>
    <cellStyle name="Linked Cell 10" xfId="1540" xr:uid="{00000000-0005-0000-0000-0000F19D0000}"/>
    <cellStyle name="Linked Cell 10 2" xfId="42591" xr:uid="{00000000-0005-0000-0000-0000F29D0000}"/>
    <cellStyle name="Linked Cell 10 2 2" xfId="42592" xr:uid="{00000000-0005-0000-0000-0000F39D0000}"/>
    <cellStyle name="Linked Cell 10 3" xfId="42593" xr:uid="{00000000-0005-0000-0000-0000F49D0000}"/>
    <cellStyle name="Linked Cell 10 3 2" xfId="42594" xr:uid="{00000000-0005-0000-0000-0000F59D0000}"/>
    <cellStyle name="Linked Cell 10 4" xfId="42595" xr:uid="{00000000-0005-0000-0000-0000F69D0000}"/>
    <cellStyle name="Linked Cell 10 4 2" xfId="42596" xr:uid="{00000000-0005-0000-0000-0000F79D0000}"/>
    <cellStyle name="Linked Cell 10 5" xfId="42597" xr:uid="{00000000-0005-0000-0000-0000F89D0000}"/>
    <cellStyle name="Linked Cell 10 5 2" xfId="42598" xr:uid="{00000000-0005-0000-0000-0000F99D0000}"/>
    <cellStyle name="Linked Cell 10 6" xfId="42599" xr:uid="{00000000-0005-0000-0000-0000FA9D0000}"/>
    <cellStyle name="Linked Cell 10 6 2" xfId="42600" xr:uid="{00000000-0005-0000-0000-0000FB9D0000}"/>
    <cellStyle name="Linked Cell 10 7" xfId="42601" xr:uid="{00000000-0005-0000-0000-0000FC9D0000}"/>
    <cellStyle name="Linked Cell 10 7 2" xfId="42602" xr:uid="{00000000-0005-0000-0000-0000FD9D0000}"/>
    <cellStyle name="Linked Cell 10 8" xfId="42603" xr:uid="{00000000-0005-0000-0000-0000FE9D0000}"/>
    <cellStyle name="Linked Cell 10 8 2" xfId="42604" xr:uid="{00000000-0005-0000-0000-0000FF9D0000}"/>
    <cellStyle name="Linked Cell 10 9" xfId="42605" xr:uid="{00000000-0005-0000-0000-0000009E0000}"/>
    <cellStyle name="Linked Cell 11" xfId="1541" xr:uid="{00000000-0005-0000-0000-0000019E0000}"/>
    <cellStyle name="Linked Cell 11 2" xfId="42606" xr:uid="{00000000-0005-0000-0000-0000029E0000}"/>
    <cellStyle name="Linked Cell 11 2 2" xfId="42607" xr:uid="{00000000-0005-0000-0000-0000039E0000}"/>
    <cellStyle name="Linked Cell 11 3" xfId="42608" xr:uid="{00000000-0005-0000-0000-0000049E0000}"/>
    <cellStyle name="Linked Cell 12" xfId="1542" xr:uid="{00000000-0005-0000-0000-0000059E0000}"/>
    <cellStyle name="Linked Cell 12 2" xfId="42609" xr:uid="{00000000-0005-0000-0000-0000069E0000}"/>
    <cellStyle name="Linked Cell 13" xfId="1543" xr:uid="{00000000-0005-0000-0000-0000079E0000}"/>
    <cellStyle name="Linked Cell 13 2" xfId="42610" xr:uid="{00000000-0005-0000-0000-0000089E0000}"/>
    <cellStyle name="Linked Cell 14" xfId="1544" xr:uid="{00000000-0005-0000-0000-0000099E0000}"/>
    <cellStyle name="Linked Cell 14 2" xfId="42611" xr:uid="{00000000-0005-0000-0000-00000A9E0000}"/>
    <cellStyle name="Linked Cell 15" xfId="1545" xr:uid="{00000000-0005-0000-0000-00000B9E0000}"/>
    <cellStyle name="Linked Cell 15 2" xfId="42612" xr:uid="{00000000-0005-0000-0000-00000C9E0000}"/>
    <cellStyle name="Linked Cell 16" xfId="1546" xr:uid="{00000000-0005-0000-0000-00000D9E0000}"/>
    <cellStyle name="Linked Cell 16 2" xfId="42613" xr:uid="{00000000-0005-0000-0000-00000E9E0000}"/>
    <cellStyle name="Linked Cell 17" xfId="1547" xr:uid="{00000000-0005-0000-0000-00000F9E0000}"/>
    <cellStyle name="Linked Cell 17 2" xfId="42614" xr:uid="{00000000-0005-0000-0000-0000109E0000}"/>
    <cellStyle name="Linked Cell 18" xfId="1548" xr:uid="{00000000-0005-0000-0000-0000119E0000}"/>
    <cellStyle name="Linked Cell 18 2" xfId="42615" xr:uid="{00000000-0005-0000-0000-0000129E0000}"/>
    <cellStyle name="Linked Cell 19" xfId="1549" xr:uid="{00000000-0005-0000-0000-0000139E0000}"/>
    <cellStyle name="Linked Cell 19 2" xfId="42616" xr:uid="{00000000-0005-0000-0000-0000149E0000}"/>
    <cellStyle name="Linked Cell 2" xfId="1550" xr:uid="{00000000-0005-0000-0000-0000159E0000}"/>
    <cellStyle name="Linked Cell 2 10" xfId="42617" xr:uid="{00000000-0005-0000-0000-0000169E0000}"/>
    <cellStyle name="Linked Cell 2 10 2" xfId="42618" xr:uid="{00000000-0005-0000-0000-0000179E0000}"/>
    <cellStyle name="Linked Cell 2 11" xfId="42619" xr:uid="{00000000-0005-0000-0000-0000189E0000}"/>
    <cellStyle name="Linked Cell 2 12" xfId="42620" xr:uid="{00000000-0005-0000-0000-0000199E0000}"/>
    <cellStyle name="Linked Cell 2 2" xfId="1551" xr:uid="{00000000-0005-0000-0000-00001A9E0000}"/>
    <cellStyle name="Linked Cell 2 2 2" xfId="42621" xr:uid="{00000000-0005-0000-0000-00001B9E0000}"/>
    <cellStyle name="Linked Cell 2 2 2 2" xfId="42622" xr:uid="{00000000-0005-0000-0000-00001C9E0000}"/>
    <cellStyle name="Linked Cell 2 2 3" xfId="42623" xr:uid="{00000000-0005-0000-0000-00001D9E0000}"/>
    <cellStyle name="Linked Cell 2 2 3 2" xfId="42624" xr:uid="{00000000-0005-0000-0000-00001E9E0000}"/>
    <cellStyle name="Linked Cell 2 2 4" xfId="42625" xr:uid="{00000000-0005-0000-0000-00001F9E0000}"/>
    <cellStyle name="Linked Cell 2 2 4 2" xfId="42626" xr:uid="{00000000-0005-0000-0000-0000209E0000}"/>
    <cellStyle name="Linked Cell 2 2 5" xfId="42627" xr:uid="{00000000-0005-0000-0000-0000219E0000}"/>
    <cellStyle name="Linked Cell 2 2 5 2" xfId="42628" xr:uid="{00000000-0005-0000-0000-0000229E0000}"/>
    <cellStyle name="Linked Cell 2 2 6" xfId="42629" xr:uid="{00000000-0005-0000-0000-0000239E0000}"/>
    <cellStyle name="Linked Cell 2 2 6 2" xfId="42630" xr:uid="{00000000-0005-0000-0000-0000249E0000}"/>
    <cellStyle name="Linked Cell 2 2 7" xfId="42631" xr:uid="{00000000-0005-0000-0000-0000259E0000}"/>
    <cellStyle name="Linked Cell 2 2 7 2" xfId="42632" xr:uid="{00000000-0005-0000-0000-0000269E0000}"/>
    <cellStyle name="Linked Cell 2 2 8" xfId="42633" xr:uid="{00000000-0005-0000-0000-0000279E0000}"/>
    <cellStyle name="Linked Cell 2 2 8 2" xfId="42634" xr:uid="{00000000-0005-0000-0000-0000289E0000}"/>
    <cellStyle name="Linked Cell 2 2 9" xfId="42635" xr:uid="{00000000-0005-0000-0000-0000299E0000}"/>
    <cellStyle name="Linked Cell 2 3" xfId="1552" xr:uid="{00000000-0005-0000-0000-00002A9E0000}"/>
    <cellStyle name="Linked Cell 2 3 2" xfId="42636" xr:uid="{00000000-0005-0000-0000-00002B9E0000}"/>
    <cellStyle name="Linked Cell 2 4" xfId="1553" xr:uid="{00000000-0005-0000-0000-00002C9E0000}"/>
    <cellStyle name="Linked Cell 2 4 2" xfId="42637" xr:uid="{00000000-0005-0000-0000-00002D9E0000}"/>
    <cellStyle name="Linked Cell 2 4 2 2" xfId="42638" xr:uid="{00000000-0005-0000-0000-00002E9E0000}"/>
    <cellStyle name="Linked Cell 2 4 3" xfId="42639" xr:uid="{00000000-0005-0000-0000-00002F9E0000}"/>
    <cellStyle name="Linked Cell 2 5" xfId="42640" xr:uid="{00000000-0005-0000-0000-0000309E0000}"/>
    <cellStyle name="Linked Cell 2 5 2" xfId="42641" xr:uid="{00000000-0005-0000-0000-0000319E0000}"/>
    <cellStyle name="Linked Cell 2 6" xfId="42642" xr:uid="{00000000-0005-0000-0000-0000329E0000}"/>
    <cellStyle name="Linked Cell 2 6 2" xfId="42643" xr:uid="{00000000-0005-0000-0000-0000339E0000}"/>
    <cellStyle name="Linked Cell 2 7" xfId="42644" xr:uid="{00000000-0005-0000-0000-0000349E0000}"/>
    <cellStyle name="Linked Cell 2 7 2" xfId="42645" xr:uid="{00000000-0005-0000-0000-0000359E0000}"/>
    <cellStyle name="Linked Cell 2 8" xfId="42646" xr:uid="{00000000-0005-0000-0000-0000369E0000}"/>
    <cellStyle name="Linked Cell 2 8 2" xfId="42647" xr:uid="{00000000-0005-0000-0000-0000379E0000}"/>
    <cellStyle name="Linked Cell 2 9" xfId="42648" xr:uid="{00000000-0005-0000-0000-0000389E0000}"/>
    <cellStyle name="Linked Cell 2 9 2" xfId="42649" xr:uid="{00000000-0005-0000-0000-0000399E0000}"/>
    <cellStyle name="Linked Cell 20" xfId="1554" xr:uid="{00000000-0005-0000-0000-00003A9E0000}"/>
    <cellStyle name="Linked Cell 20 2" xfId="42650" xr:uid="{00000000-0005-0000-0000-00003B9E0000}"/>
    <cellStyle name="Linked Cell 21" xfId="1555" xr:uid="{00000000-0005-0000-0000-00003C9E0000}"/>
    <cellStyle name="Linked Cell 21 2" xfId="42651" xr:uid="{00000000-0005-0000-0000-00003D9E0000}"/>
    <cellStyle name="Linked Cell 22" xfId="1556" xr:uid="{00000000-0005-0000-0000-00003E9E0000}"/>
    <cellStyle name="Linked Cell 22 2" xfId="42652" xr:uid="{00000000-0005-0000-0000-00003F9E0000}"/>
    <cellStyle name="Linked Cell 23" xfId="1557" xr:uid="{00000000-0005-0000-0000-0000409E0000}"/>
    <cellStyle name="Linked Cell 23 2" xfId="42653" xr:uid="{00000000-0005-0000-0000-0000419E0000}"/>
    <cellStyle name="Linked Cell 24" xfId="1558" xr:uid="{00000000-0005-0000-0000-0000429E0000}"/>
    <cellStyle name="Linked Cell 24 2" xfId="1559" xr:uid="{00000000-0005-0000-0000-0000439E0000}"/>
    <cellStyle name="Linked Cell 24 2 2" xfId="42654" xr:uid="{00000000-0005-0000-0000-0000449E0000}"/>
    <cellStyle name="Linked Cell 24 3" xfId="42655" xr:uid="{00000000-0005-0000-0000-0000459E0000}"/>
    <cellStyle name="Linked Cell 25" xfId="1560" xr:uid="{00000000-0005-0000-0000-0000469E0000}"/>
    <cellStyle name="Linked Cell 25 2" xfId="42656" xr:uid="{00000000-0005-0000-0000-0000479E0000}"/>
    <cellStyle name="Linked Cell 26" xfId="42657" xr:uid="{00000000-0005-0000-0000-0000489E0000}"/>
    <cellStyle name="Linked Cell 26 2" xfId="42658" xr:uid="{00000000-0005-0000-0000-0000499E0000}"/>
    <cellStyle name="Linked Cell 27" xfId="42659" xr:uid="{00000000-0005-0000-0000-00004A9E0000}"/>
    <cellStyle name="Linked Cell 27 2" xfId="42660" xr:uid="{00000000-0005-0000-0000-00004B9E0000}"/>
    <cellStyle name="Linked Cell 28" xfId="42661" xr:uid="{00000000-0005-0000-0000-00004C9E0000}"/>
    <cellStyle name="Linked Cell 29" xfId="42662" xr:uid="{00000000-0005-0000-0000-00004D9E0000}"/>
    <cellStyle name="Linked Cell 29 2" xfId="42663" xr:uid="{00000000-0005-0000-0000-00004E9E0000}"/>
    <cellStyle name="Linked Cell 3" xfId="1561" xr:uid="{00000000-0005-0000-0000-00004F9E0000}"/>
    <cellStyle name="Linked Cell 3 10" xfId="42664" xr:uid="{00000000-0005-0000-0000-0000509E0000}"/>
    <cellStyle name="Linked Cell 3 11" xfId="42665" xr:uid="{00000000-0005-0000-0000-0000519E0000}"/>
    <cellStyle name="Linked Cell 3 2" xfId="42666" xr:uid="{00000000-0005-0000-0000-0000529E0000}"/>
    <cellStyle name="Linked Cell 3 2 2" xfId="42667" xr:uid="{00000000-0005-0000-0000-0000539E0000}"/>
    <cellStyle name="Linked Cell 3 2 2 2" xfId="42668" xr:uid="{00000000-0005-0000-0000-0000549E0000}"/>
    <cellStyle name="Linked Cell 3 2 3" xfId="42669" xr:uid="{00000000-0005-0000-0000-0000559E0000}"/>
    <cellStyle name="Linked Cell 3 2 3 2" xfId="42670" xr:uid="{00000000-0005-0000-0000-0000569E0000}"/>
    <cellStyle name="Linked Cell 3 2 4" xfId="42671" xr:uid="{00000000-0005-0000-0000-0000579E0000}"/>
    <cellStyle name="Linked Cell 3 2 4 2" xfId="42672" xr:uid="{00000000-0005-0000-0000-0000589E0000}"/>
    <cellStyle name="Linked Cell 3 2 5" xfId="42673" xr:uid="{00000000-0005-0000-0000-0000599E0000}"/>
    <cellStyle name="Linked Cell 3 2 5 2" xfId="42674" xr:uid="{00000000-0005-0000-0000-00005A9E0000}"/>
    <cellStyle name="Linked Cell 3 2 6" xfId="42675" xr:uid="{00000000-0005-0000-0000-00005B9E0000}"/>
    <cellStyle name="Linked Cell 3 2 6 2" xfId="42676" xr:uid="{00000000-0005-0000-0000-00005C9E0000}"/>
    <cellStyle name="Linked Cell 3 2 7" xfId="42677" xr:uid="{00000000-0005-0000-0000-00005D9E0000}"/>
    <cellStyle name="Linked Cell 3 2 7 2" xfId="42678" xr:uid="{00000000-0005-0000-0000-00005E9E0000}"/>
    <cellStyle name="Linked Cell 3 2 8" xfId="42679" xr:uid="{00000000-0005-0000-0000-00005F9E0000}"/>
    <cellStyle name="Linked Cell 3 2 8 2" xfId="42680" xr:uid="{00000000-0005-0000-0000-0000609E0000}"/>
    <cellStyle name="Linked Cell 3 2 9" xfId="42681" xr:uid="{00000000-0005-0000-0000-0000619E0000}"/>
    <cellStyle name="Linked Cell 3 3" xfId="42682" xr:uid="{00000000-0005-0000-0000-0000629E0000}"/>
    <cellStyle name="Linked Cell 3 3 2" xfId="42683" xr:uid="{00000000-0005-0000-0000-0000639E0000}"/>
    <cellStyle name="Linked Cell 3 4" xfId="42684" xr:uid="{00000000-0005-0000-0000-0000649E0000}"/>
    <cellStyle name="Linked Cell 3 4 2" xfId="42685" xr:uid="{00000000-0005-0000-0000-0000659E0000}"/>
    <cellStyle name="Linked Cell 3 5" xfId="42686" xr:uid="{00000000-0005-0000-0000-0000669E0000}"/>
    <cellStyle name="Linked Cell 3 5 2" xfId="42687" xr:uid="{00000000-0005-0000-0000-0000679E0000}"/>
    <cellStyle name="Linked Cell 3 6" xfId="42688" xr:uid="{00000000-0005-0000-0000-0000689E0000}"/>
    <cellStyle name="Linked Cell 3 6 2" xfId="42689" xr:uid="{00000000-0005-0000-0000-0000699E0000}"/>
    <cellStyle name="Linked Cell 3 7" xfId="42690" xr:uid="{00000000-0005-0000-0000-00006A9E0000}"/>
    <cellStyle name="Linked Cell 3 7 2" xfId="42691" xr:uid="{00000000-0005-0000-0000-00006B9E0000}"/>
    <cellStyle name="Linked Cell 3 8" xfId="42692" xr:uid="{00000000-0005-0000-0000-00006C9E0000}"/>
    <cellStyle name="Linked Cell 3 8 2" xfId="42693" xr:uid="{00000000-0005-0000-0000-00006D9E0000}"/>
    <cellStyle name="Linked Cell 3 9" xfId="42694" xr:uid="{00000000-0005-0000-0000-00006E9E0000}"/>
    <cellStyle name="Linked Cell 3 9 2" xfId="42695" xr:uid="{00000000-0005-0000-0000-00006F9E0000}"/>
    <cellStyle name="Linked Cell 4" xfId="1562" xr:uid="{00000000-0005-0000-0000-0000709E0000}"/>
    <cellStyle name="Linked Cell 4 10" xfId="42696" xr:uid="{00000000-0005-0000-0000-0000719E0000}"/>
    <cellStyle name="Linked Cell 4 2" xfId="42697" xr:uid="{00000000-0005-0000-0000-0000729E0000}"/>
    <cellStyle name="Linked Cell 4 2 2" xfId="42698" xr:uid="{00000000-0005-0000-0000-0000739E0000}"/>
    <cellStyle name="Linked Cell 4 2 2 2" xfId="42699" xr:uid="{00000000-0005-0000-0000-0000749E0000}"/>
    <cellStyle name="Linked Cell 4 2 3" xfId="42700" xr:uid="{00000000-0005-0000-0000-0000759E0000}"/>
    <cellStyle name="Linked Cell 4 2 3 2" xfId="42701" xr:uid="{00000000-0005-0000-0000-0000769E0000}"/>
    <cellStyle name="Linked Cell 4 2 4" xfId="42702" xr:uid="{00000000-0005-0000-0000-0000779E0000}"/>
    <cellStyle name="Linked Cell 4 2 4 2" xfId="42703" xr:uid="{00000000-0005-0000-0000-0000789E0000}"/>
    <cellStyle name="Linked Cell 4 2 5" xfId="42704" xr:uid="{00000000-0005-0000-0000-0000799E0000}"/>
    <cellStyle name="Linked Cell 4 2 5 2" xfId="42705" xr:uid="{00000000-0005-0000-0000-00007A9E0000}"/>
    <cellStyle name="Linked Cell 4 2 6" xfId="42706" xr:uid="{00000000-0005-0000-0000-00007B9E0000}"/>
    <cellStyle name="Linked Cell 4 2 6 2" xfId="42707" xr:uid="{00000000-0005-0000-0000-00007C9E0000}"/>
    <cellStyle name="Linked Cell 4 2 7" xfId="42708" xr:uid="{00000000-0005-0000-0000-00007D9E0000}"/>
    <cellStyle name="Linked Cell 4 2 7 2" xfId="42709" xr:uid="{00000000-0005-0000-0000-00007E9E0000}"/>
    <cellStyle name="Linked Cell 4 2 8" xfId="42710" xr:uid="{00000000-0005-0000-0000-00007F9E0000}"/>
    <cellStyle name="Linked Cell 4 2 8 2" xfId="42711" xr:uid="{00000000-0005-0000-0000-0000809E0000}"/>
    <cellStyle name="Linked Cell 4 2 9" xfId="42712" xr:uid="{00000000-0005-0000-0000-0000819E0000}"/>
    <cellStyle name="Linked Cell 4 3" xfId="42713" xr:uid="{00000000-0005-0000-0000-0000829E0000}"/>
    <cellStyle name="Linked Cell 4 3 2" xfId="42714" xr:uid="{00000000-0005-0000-0000-0000839E0000}"/>
    <cellStyle name="Linked Cell 4 4" xfId="42715" xr:uid="{00000000-0005-0000-0000-0000849E0000}"/>
    <cellStyle name="Linked Cell 4 4 2" xfId="42716" xr:uid="{00000000-0005-0000-0000-0000859E0000}"/>
    <cellStyle name="Linked Cell 4 5" xfId="42717" xr:uid="{00000000-0005-0000-0000-0000869E0000}"/>
    <cellStyle name="Linked Cell 4 5 2" xfId="42718" xr:uid="{00000000-0005-0000-0000-0000879E0000}"/>
    <cellStyle name="Linked Cell 4 6" xfId="42719" xr:uid="{00000000-0005-0000-0000-0000889E0000}"/>
    <cellStyle name="Linked Cell 4 6 2" xfId="42720" xr:uid="{00000000-0005-0000-0000-0000899E0000}"/>
    <cellStyle name="Linked Cell 4 7" xfId="42721" xr:uid="{00000000-0005-0000-0000-00008A9E0000}"/>
    <cellStyle name="Linked Cell 4 7 2" xfId="42722" xr:uid="{00000000-0005-0000-0000-00008B9E0000}"/>
    <cellStyle name="Linked Cell 4 8" xfId="42723" xr:uid="{00000000-0005-0000-0000-00008C9E0000}"/>
    <cellStyle name="Linked Cell 4 8 2" xfId="42724" xr:uid="{00000000-0005-0000-0000-00008D9E0000}"/>
    <cellStyle name="Linked Cell 4 9" xfId="42725" xr:uid="{00000000-0005-0000-0000-00008E9E0000}"/>
    <cellStyle name="Linked Cell 4 9 2" xfId="42726" xr:uid="{00000000-0005-0000-0000-00008F9E0000}"/>
    <cellStyle name="Linked Cell 5" xfId="1563" xr:uid="{00000000-0005-0000-0000-0000909E0000}"/>
    <cellStyle name="Linked Cell 5 10" xfId="42727" xr:uid="{00000000-0005-0000-0000-0000919E0000}"/>
    <cellStyle name="Linked Cell 5 2" xfId="42728" xr:uid="{00000000-0005-0000-0000-0000929E0000}"/>
    <cellStyle name="Linked Cell 5 2 2" xfId="42729" xr:uid="{00000000-0005-0000-0000-0000939E0000}"/>
    <cellStyle name="Linked Cell 5 2 2 2" xfId="42730" xr:uid="{00000000-0005-0000-0000-0000949E0000}"/>
    <cellStyle name="Linked Cell 5 2 3" xfId="42731" xr:uid="{00000000-0005-0000-0000-0000959E0000}"/>
    <cellStyle name="Linked Cell 5 2 3 2" xfId="42732" xr:uid="{00000000-0005-0000-0000-0000969E0000}"/>
    <cellStyle name="Linked Cell 5 2 4" xfId="42733" xr:uid="{00000000-0005-0000-0000-0000979E0000}"/>
    <cellStyle name="Linked Cell 5 2 4 2" xfId="42734" xr:uid="{00000000-0005-0000-0000-0000989E0000}"/>
    <cellStyle name="Linked Cell 5 2 5" xfId="42735" xr:uid="{00000000-0005-0000-0000-0000999E0000}"/>
    <cellStyle name="Linked Cell 5 2 5 2" xfId="42736" xr:uid="{00000000-0005-0000-0000-00009A9E0000}"/>
    <cellStyle name="Linked Cell 5 2 6" xfId="42737" xr:uid="{00000000-0005-0000-0000-00009B9E0000}"/>
    <cellStyle name="Linked Cell 5 2 6 2" xfId="42738" xr:uid="{00000000-0005-0000-0000-00009C9E0000}"/>
    <cellStyle name="Linked Cell 5 2 7" xfId="42739" xr:uid="{00000000-0005-0000-0000-00009D9E0000}"/>
    <cellStyle name="Linked Cell 5 2 7 2" xfId="42740" xr:uid="{00000000-0005-0000-0000-00009E9E0000}"/>
    <cellStyle name="Linked Cell 5 2 8" xfId="42741" xr:uid="{00000000-0005-0000-0000-00009F9E0000}"/>
    <cellStyle name="Linked Cell 5 2 8 2" xfId="42742" xr:uid="{00000000-0005-0000-0000-0000A09E0000}"/>
    <cellStyle name="Linked Cell 5 2 9" xfId="42743" xr:uid="{00000000-0005-0000-0000-0000A19E0000}"/>
    <cellStyle name="Linked Cell 5 3" xfId="42744" xr:uid="{00000000-0005-0000-0000-0000A29E0000}"/>
    <cellStyle name="Linked Cell 5 3 2" xfId="42745" xr:uid="{00000000-0005-0000-0000-0000A39E0000}"/>
    <cellStyle name="Linked Cell 5 4" xfId="42746" xr:uid="{00000000-0005-0000-0000-0000A49E0000}"/>
    <cellStyle name="Linked Cell 5 4 2" xfId="42747" xr:uid="{00000000-0005-0000-0000-0000A59E0000}"/>
    <cellStyle name="Linked Cell 5 5" xfId="42748" xr:uid="{00000000-0005-0000-0000-0000A69E0000}"/>
    <cellStyle name="Linked Cell 5 5 2" xfId="42749" xr:uid="{00000000-0005-0000-0000-0000A79E0000}"/>
    <cellStyle name="Linked Cell 5 6" xfId="42750" xr:uid="{00000000-0005-0000-0000-0000A89E0000}"/>
    <cellStyle name="Linked Cell 5 6 2" xfId="42751" xr:uid="{00000000-0005-0000-0000-0000A99E0000}"/>
    <cellStyle name="Linked Cell 5 7" xfId="42752" xr:uid="{00000000-0005-0000-0000-0000AA9E0000}"/>
    <cellStyle name="Linked Cell 5 7 2" xfId="42753" xr:uid="{00000000-0005-0000-0000-0000AB9E0000}"/>
    <cellStyle name="Linked Cell 5 8" xfId="42754" xr:uid="{00000000-0005-0000-0000-0000AC9E0000}"/>
    <cellStyle name="Linked Cell 5 8 2" xfId="42755" xr:uid="{00000000-0005-0000-0000-0000AD9E0000}"/>
    <cellStyle name="Linked Cell 5 9" xfId="42756" xr:uid="{00000000-0005-0000-0000-0000AE9E0000}"/>
    <cellStyle name="Linked Cell 5 9 2" xfId="42757" xr:uid="{00000000-0005-0000-0000-0000AF9E0000}"/>
    <cellStyle name="Linked Cell 6" xfId="1564" xr:uid="{00000000-0005-0000-0000-0000B09E0000}"/>
    <cellStyle name="Linked Cell 6 10" xfId="42758" xr:uid="{00000000-0005-0000-0000-0000B19E0000}"/>
    <cellStyle name="Linked Cell 6 2" xfId="42759" xr:uid="{00000000-0005-0000-0000-0000B29E0000}"/>
    <cellStyle name="Linked Cell 6 2 2" xfId="42760" xr:uid="{00000000-0005-0000-0000-0000B39E0000}"/>
    <cellStyle name="Linked Cell 6 2 2 2" xfId="42761" xr:uid="{00000000-0005-0000-0000-0000B49E0000}"/>
    <cellStyle name="Linked Cell 6 2 3" xfId="42762" xr:uid="{00000000-0005-0000-0000-0000B59E0000}"/>
    <cellStyle name="Linked Cell 6 2 3 2" xfId="42763" xr:uid="{00000000-0005-0000-0000-0000B69E0000}"/>
    <cellStyle name="Linked Cell 6 2 4" xfId="42764" xr:uid="{00000000-0005-0000-0000-0000B79E0000}"/>
    <cellStyle name="Linked Cell 6 2 4 2" xfId="42765" xr:uid="{00000000-0005-0000-0000-0000B89E0000}"/>
    <cellStyle name="Linked Cell 6 2 5" xfId="42766" xr:uid="{00000000-0005-0000-0000-0000B99E0000}"/>
    <cellStyle name="Linked Cell 6 2 5 2" xfId="42767" xr:uid="{00000000-0005-0000-0000-0000BA9E0000}"/>
    <cellStyle name="Linked Cell 6 2 6" xfId="42768" xr:uid="{00000000-0005-0000-0000-0000BB9E0000}"/>
    <cellStyle name="Linked Cell 6 2 6 2" xfId="42769" xr:uid="{00000000-0005-0000-0000-0000BC9E0000}"/>
    <cellStyle name="Linked Cell 6 2 7" xfId="42770" xr:uid="{00000000-0005-0000-0000-0000BD9E0000}"/>
    <cellStyle name="Linked Cell 6 2 7 2" xfId="42771" xr:uid="{00000000-0005-0000-0000-0000BE9E0000}"/>
    <cellStyle name="Linked Cell 6 2 8" xfId="42772" xr:uid="{00000000-0005-0000-0000-0000BF9E0000}"/>
    <cellStyle name="Linked Cell 6 2 8 2" xfId="42773" xr:uid="{00000000-0005-0000-0000-0000C09E0000}"/>
    <cellStyle name="Linked Cell 6 2 9" xfId="42774" xr:uid="{00000000-0005-0000-0000-0000C19E0000}"/>
    <cellStyle name="Linked Cell 6 3" xfId="42775" xr:uid="{00000000-0005-0000-0000-0000C29E0000}"/>
    <cellStyle name="Linked Cell 6 3 2" xfId="42776" xr:uid="{00000000-0005-0000-0000-0000C39E0000}"/>
    <cellStyle name="Linked Cell 6 4" xfId="42777" xr:uid="{00000000-0005-0000-0000-0000C49E0000}"/>
    <cellStyle name="Linked Cell 6 4 2" xfId="42778" xr:uid="{00000000-0005-0000-0000-0000C59E0000}"/>
    <cellStyle name="Linked Cell 6 5" xfId="42779" xr:uid="{00000000-0005-0000-0000-0000C69E0000}"/>
    <cellStyle name="Linked Cell 6 5 2" xfId="42780" xr:uid="{00000000-0005-0000-0000-0000C79E0000}"/>
    <cellStyle name="Linked Cell 6 6" xfId="42781" xr:uid="{00000000-0005-0000-0000-0000C89E0000}"/>
    <cellStyle name="Linked Cell 6 6 2" xfId="42782" xr:uid="{00000000-0005-0000-0000-0000C99E0000}"/>
    <cellStyle name="Linked Cell 6 7" xfId="42783" xr:uid="{00000000-0005-0000-0000-0000CA9E0000}"/>
    <cellStyle name="Linked Cell 6 7 2" xfId="42784" xr:uid="{00000000-0005-0000-0000-0000CB9E0000}"/>
    <cellStyle name="Linked Cell 6 8" xfId="42785" xr:uid="{00000000-0005-0000-0000-0000CC9E0000}"/>
    <cellStyle name="Linked Cell 6 8 2" xfId="42786" xr:uid="{00000000-0005-0000-0000-0000CD9E0000}"/>
    <cellStyle name="Linked Cell 6 9" xfId="42787" xr:uid="{00000000-0005-0000-0000-0000CE9E0000}"/>
    <cellStyle name="Linked Cell 6 9 2" xfId="42788" xr:uid="{00000000-0005-0000-0000-0000CF9E0000}"/>
    <cellStyle name="Linked Cell 7" xfId="1565" xr:uid="{00000000-0005-0000-0000-0000D09E0000}"/>
    <cellStyle name="Linked Cell 7 10" xfId="42789" xr:uid="{00000000-0005-0000-0000-0000D19E0000}"/>
    <cellStyle name="Linked Cell 7 2" xfId="42790" xr:uid="{00000000-0005-0000-0000-0000D29E0000}"/>
    <cellStyle name="Linked Cell 7 2 2" xfId="42791" xr:uid="{00000000-0005-0000-0000-0000D39E0000}"/>
    <cellStyle name="Linked Cell 7 2 2 2" xfId="42792" xr:uid="{00000000-0005-0000-0000-0000D49E0000}"/>
    <cellStyle name="Linked Cell 7 2 3" xfId="42793" xr:uid="{00000000-0005-0000-0000-0000D59E0000}"/>
    <cellStyle name="Linked Cell 7 2 3 2" xfId="42794" xr:uid="{00000000-0005-0000-0000-0000D69E0000}"/>
    <cellStyle name="Linked Cell 7 2 4" xfId="42795" xr:uid="{00000000-0005-0000-0000-0000D79E0000}"/>
    <cellStyle name="Linked Cell 7 2 4 2" xfId="42796" xr:uid="{00000000-0005-0000-0000-0000D89E0000}"/>
    <cellStyle name="Linked Cell 7 2 5" xfId="42797" xr:uid="{00000000-0005-0000-0000-0000D99E0000}"/>
    <cellStyle name="Linked Cell 7 2 5 2" xfId="42798" xr:uid="{00000000-0005-0000-0000-0000DA9E0000}"/>
    <cellStyle name="Linked Cell 7 2 6" xfId="42799" xr:uid="{00000000-0005-0000-0000-0000DB9E0000}"/>
    <cellStyle name="Linked Cell 7 2 6 2" xfId="42800" xr:uid="{00000000-0005-0000-0000-0000DC9E0000}"/>
    <cellStyle name="Linked Cell 7 2 7" xfId="42801" xr:uid="{00000000-0005-0000-0000-0000DD9E0000}"/>
    <cellStyle name="Linked Cell 7 2 7 2" xfId="42802" xr:uid="{00000000-0005-0000-0000-0000DE9E0000}"/>
    <cellStyle name="Linked Cell 7 2 8" xfId="42803" xr:uid="{00000000-0005-0000-0000-0000DF9E0000}"/>
    <cellStyle name="Linked Cell 7 2 8 2" xfId="42804" xr:uid="{00000000-0005-0000-0000-0000E09E0000}"/>
    <cellStyle name="Linked Cell 7 2 9" xfId="42805" xr:uid="{00000000-0005-0000-0000-0000E19E0000}"/>
    <cellStyle name="Linked Cell 7 3" xfId="42806" xr:uid="{00000000-0005-0000-0000-0000E29E0000}"/>
    <cellStyle name="Linked Cell 7 3 2" xfId="42807" xr:uid="{00000000-0005-0000-0000-0000E39E0000}"/>
    <cellStyle name="Linked Cell 7 4" xfId="42808" xr:uid="{00000000-0005-0000-0000-0000E49E0000}"/>
    <cellStyle name="Linked Cell 7 4 2" xfId="42809" xr:uid="{00000000-0005-0000-0000-0000E59E0000}"/>
    <cellStyle name="Linked Cell 7 5" xfId="42810" xr:uid="{00000000-0005-0000-0000-0000E69E0000}"/>
    <cellStyle name="Linked Cell 7 5 2" xfId="42811" xr:uid="{00000000-0005-0000-0000-0000E79E0000}"/>
    <cellStyle name="Linked Cell 7 6" xfId="42812" xr:uid="{00000000-0005-0000-0000-0000E89E0000}"/>
    <cellStyle name="Linked Cell 7 6 2" xfId="42813" xr:uid="{00000000-0005-0000-0000-0000E99E0000}"/>
    <cellStyle name="Linked Cell 7 7" xfId="42814" xr:uid="{00000000-0005-0000-0000-0000EA9E0000}"/>
    <cellStyle name="Linked Cell 7 7 2" xfId="42815" xr:uid="{00000000-0005-0000-0000-0000EB9E0000}"/>
    <cellStyle name="Linked Cell 7 8" xfId="42816" xr:uid="{00000000-0005-0000-0000-0000EC9E0000}"/>
    <cellStyle name="Linked Cell 7 8 2" xfId="42817" xr:uid="{00000000-0005-0000-0000-0000ED9E0000}"/>
    <cellStyle name="Linked Cell 7 9" xfId="42818" xr:uid="{00000000-0005-0000-0000-0000EE9E0000}"/>
    <cellStyle name="Linked Cell 7 9 2" xfId="42819" xr:uid="{00000000-0005-0000-0000-0000EF9E0000}"/>
    <cellStyle name="Linked Cell 8" xfId="1566" xr:uid="{00000000-0005-0000-0000-0000F09E0000}"/>
    <cellStyle name="Linked Cell 8 2" xfId="42820" xr:uid="{00000000-0005-0000-0000-0000F19E0000}"/>
    <cellStyle name="Linked Cell 8 2 2" xfId="42821" xr:uid="{00000000-0005-0000-0000-0000F29E0000}"/>
    <cellStyle name="Linked Cell 8 3" xfId="42822" xr:uid="{00000000-0005-0000-0000-0000F39E0000}"/>
    <cellStyle name="Linked Cell 8 3 2" xfId="42823" xr:uid="{00000000-0005-0000-0000-0000F49E0000}"/>
    <cellStyle name="Linked Cell 8 4" xfId="42824" xr:uid="{00000000-0005-0000-0000-0000F59E0000}"/>
    <cellStyle name="Linked Cell 8 4 2" xfId="42825" xr:uid="{00000000-0005-0000-0000-0000F69E0000}"/>
    <cellStyle name="Linked Cell 8 5" xfId="42826" xr:uid="{00000000-0005-0000-0000-0000F79E0000}"/>
    <cellStyle name="Linked Cell 8 5 2" xfId="42827" xr:uid="{00000000-0005-0000-0000-0000F89E0000}"/>
    <cellStyle name="Linked Cell 8 6" xfId="42828" xr:uid="{00000000-0005-0000-0000-0000F99E0000}"/>
    <cellStyle name="Linked Cell 8 6 2" xfId="42829" xr:uid="{00000000-0005-0000-0000-0000FA9E0000}"/>
    <cellStyle name="Linked Cell 8 7" xfId="42830" xr:uid="{00000000-0005-0000-0000-0000FB9E0000}"/>
    <cellStyle name="Linked Cell 8 7 2" xfId="42831" xr:uid="{00000000-0005-0000-0000-0000FC9E0000}"/>
    <cellStyle name="Linked Cell 8 8" xfId="42832" xr:uid="{00000000-0005-0000-0000-0000FD9E0000}"/>
    <cellStyle name="Linked Cell 8 8 2" xfId="42833" xr:uid="{00000000-0005-0000-0000-0000FE9E0000}"/>
    <cellStyle name="Linked Cell 8 9" xfId="42834" xr:uid="{00000000-0005-0000-0000-0000FF9E0000}"/>
    <cellStyle name="Linked Cell 9" xfId="1567" xr:uid="{00000000-0005-0000-0000-0000009F0000}"/>
    <cellStyle name="Linked Cell 9 2" xfId="42835" xr:uid="{00000000-0005-0000-0000-0000019F0000}"/>
    <cellStyle name="Linked Cell 9 2 2" xfId="42836" xr:uid="{00000000-0005-0000-0000-0000029F0000}"/>
    <cellStyle name="Linked Cell 9 3" xfId="42837" xr:uid="{00000000-0005-0000-0000-0000039F0000}"/>
    <cellStyle name="Linked Cell 9 3 2" xfId="42838" xr:uid="{00000000-0005-0000-0000-0000049F0000}"/>
    <cellStyle name="Linked Cell 9 4" xfId="42839" xr:uid="{00000000-0005-0000-0000-0000059F0000}"/>
    <cellStyle name="Linked Cell 9 4 2" xfId="42840" xr:uid="{00000000-0005-0000-0000-0000069F0000}"/>
    <cellStyle name="Linked Cell 9 5" xfId="42841" xr:uid="{00000000-0005-0000-0000-0000079F0000}"/>
    <cellStyle name="Linked Cell 9 5 2" xfId="42842" xr:uid="{00000000-0005-0000-0000-0000089F0000}"/>
    <cellStyle name="Linked Cell 9 6" xfId="42843" xr:uid="{00000000-0005-0000-0000-0000099F0000}"/>
    <cellStyle name="Linked Cell 9 6 2" xfId="42844" xr:uid="{00000000-0005-0000-0000-00000A9F0000}"/>
    <cellStyle name="Linked Cell 9 7" xfId="42845" xr:uid="{00000000-0005-0000-0000-00000B9F0000}"/>
    <cellStyle name="Linked Cell 9 7 2" xfId="42846" xr:uid="{00000000-0005-0000-0000-00000C9F0000}"/>
    <cellStyle name="Linked Cell 9 8" xfId="42847" xr:uid="{00000000-0005-0000-0000-00000D9F0000}"/>
    <cellStyle name="Linked Cell 9 8 2" xfId="42848" xr:uid="{00000000-0005-0000-0000-00000E9F0000}"/>
    <cellStyle name="Linked Cell 9 9" xfId="42849" xr:uid="{00000000-0005-0000-0000-00000F9F0000}"/>
    <cellStyle name="M2" xfId="42850" xr:uid="{00000000-0005-0000-0000-0000109F0000}"/>
    <cellStyle name="M3" xfId="42851" xr:uid="{00000000-0005-0000-0000-0000119F0000}"/>
    <cellStyle name="Neutral" xfId="109" builtinId="28" customBuiltin="1"/>
    <cellStyle name="Neutral 10" xfId="1568" xr:uid="{00000000-0005-0000-0000-0000129F0000}"/>
    <cellStyle name="Neutral 10 10" xfId="42852" xr:uid="{00000000-0005-0000-0000-0000139F0000}"/>
    <cellStyle name="Neutral 10 2" xfId="42853" xr:uid="{00000000-0005-0000-0000-0000149F0000}"/>
    <cellStyle name="Neutral 10 2 2" xfId="42854" xr:uid="{00000000-0005-0000-0000-0000159F0000}"/>
    <cellStyle name="Neutral 10 3" xfId="42855" xr:uid="{00000000-0005-0000-0000-0000169F0000}"/>
    <cellStyle name="Neutral 10 3 2" xfId="42856" xr:uid="{00000000-0005-0000-0000-0000179F0000}"/>
    <cellStyle name="Neutral 10 4" xfId="42857" xr:uid="{00000000-0005-0000-0000-0000189F0000}"/>
    <cellStyle name="Neutral 10 4 2" xfId="42858" xr:uid="{00000000-0005-0000-0000-0000199F0000}"/>
    <cellStyle name="Neutral 10 5" xfId="42859" xr:uid="{00000000-0005-0000-0000-00001A9F0000}"/>
    <cellStyle name="Neutral 10 5 2" xfId="42860" xr:uid="{00000000-0005-0000-0000-00001B9F0000}"/>
    <cellStyle name="Neutral 10 6" xfId="42861" xr:uid="{00000000-0005-0000-0000-00001C9F0000}"/>
    <cellStyle name="Neutral 10 6 2" xfId="42862" xr:uid="{00000000-0005-0000-0000-00001D9F0000}"/>
    <cellStyle name="Neutral 10 7" xfId="42863" xr:uid="{00000000-0005-0000-0000-00001E9F0000}"/>
    <cellStyle name="Neutral 10 7 2" xfId="42864" xr:uid="{00000000-0005-0000-0000-00001F9F0000}"/>
    <cellStyle name="Neutral 10 8" xfId="42865" xr:uid="{00000000-0005-0000-0000-0000209F0000}"/>
    <cellStyle name="Neutral 10 8 2" xfId="42866" xr:uid="{00000000-0005-0000-0000-0000219F0000}"/>
    <cellStyle name="Neutral 10 9" xfId="42867" xr:uid="{00000000-0005-0000-0000-0000229F0000}"/>
    <cellStyle name="Neutral 10 9 2" xfId="42868" xr:uid="{00000000-0005-0000-0000-0000239F0000}"/>
    <cellStyle name="Neutral 11" xfId="1569" xr:uid="{00000000-0005-0000-0000-0000249F0000}"/>
    <cellStyle name="Neutral 11 10" xfId="42869" xr:uid="{00000000-0005-0000-0000-0000259F0000}"/>
    <cellStyle name="Neutral 11 2" xfId="42870" xr:uid="{00000000-0005-0000-0000-0000269F0000}"/>
    <cellStyle name="Neutral 11 2 2" xfId="42871" xr:uid="{00000000-0005-0000-0000-0000279F0000}"/>
    <cellStyle name="Neutral 11 3" xfId="42872" xr:uid="{00000000-0005-0000-0000-0000289F0000}"/>
    <cellStyle name="Neutral 11 3 2" xfId="42873" xr:uid="{00000000-0005-0000-0000-0000299F0000}"/>
    <cellStyle name="Neutral 11 4" xfId="42874" xr:uid="{00000000-0005-0000-0000-00002A9F0000}"/>
    <cellStyle name="Neutral 11 4 2" xfId="42875" xr:uid="{00000000-0005-0000-0000-00002B9F0000}"/>
    <cellStyle name="Neutral 11 5" xfId="42876" xr:uid="{00000000-0005-0000-0000-00002C9F0000}"/>
    <cellStyle name="Neutral 11 5 2" xfId="42877" xr:uid="{00000000-0005-0000-0000-00002D9F0000}"/>
    <cellStyle name="Neutral 11 6" xfId="42878" xr:uid="{00000000-0005-0000-0000-00002E9F0000}"/>
    <cellStyle name="Neutral 11 6 2" xfId="42879" xr:uid="{00000000-0005-0000-0000-00002F9F0000}"/>
    <cellStyle name="Neutral 11 7" xfId="42880" xr:uid="{00000000-0005-0000-0000-0000309F0000}"/>
    <cellStyle name="Neutral 11 7 2" xfId="42881" xr:uid="{00000000-0005-0000-0000-0000319F0000}"/>
    <cellStyle name="Neutral 11 8" xfId="42882" xr:uid="{00000000-0005-0000-0000-0000329F0000}"/>
    <cellStyle name="Neutral 11 8 2" xfId="42883" xr:uid="{00000000-0005-0000-0000-0000339F0000}"/>
    <cellStyle name="Neutral 11 9" xfId="42884" xr:uid="{00000000-0005-0000-0000-0000349F0000}"/>
    <cellStyle name="Neutral 11 9 2" xfId="42885" xr:uid="{00000000-0005-0000-0000-0000359F0000}"/>
    <cellStyle name="Neutral 12" xfId="1570" xr:uid="{00000000-0005-0000-0000-0000369F0000}"/>
    <cellStyle name="Neutral 12 2" xfId="42886" xr:uid="{00000000-0005-0000-0000-0000379F0000}"/>
    <cellStyle name="Neutral 12 2 2" xfId="42887" xr:uid="{00000000-0005-0000-0000-0000389F0000}"/>
    <cellStyle name="Neutral 12 3" xfId="42888" xr:uid="{00000000-0005-0000-0000-0000399F0000}"/>
    <cellStyle name="Neutral 13" xfId="1571" xr:uid="{00000000-0005-0000-0000-00003A9F0000}"/>
    <cellStyle name="Neutral 13 2" xfId="42889" xr:uid="{00000000-0005-0000-0000-00003B9F0000}"/>
    <cellStyle name="Neutral 14" xfId="1572" xr:uid="{00000000-0005-0000-0000-00003C9F0000}"/>
    <cellStyle name="Neutral 14 2" xfId="42890" xr:uid="{00000000-0005-0000-0000-00003D9F0000}"/>
    <cellStyle name="Neutral 15" xfId="1573" xr:uid="{00000000-0005-0000-0000-00003E9F0000}"/>
    <cellStyle name="Neutral 15 2" xfId="42891" xr:uid="{00000000-0005-0000-0000-00003F9F0000}"/>
    <cellStyle name="Neutral 16" xfId="1574" xr:uid="{00000000-0005-0000-0000-0000409F0000}"/>
    <cellStyle name="Neutral 16 2" xfId="42892" xr:uid="{00000000-0005-0000-0000-0000419F0000}"/>
    <cellStyle name="Neutral 17" xfId="1575" xr:uid="{00000000-0005-0000-0000-0000429F0000}"/>
    <cellStyle name="Neutral 17 2" xfId="42893" xr:uid="{00000000-0005-0000-0000-0000439F0000}"/>
    <cellStyle name="Neutral 18" xfId="1576" xr:uid="{00000000-0005-0000-0000-0000449F0000}"/>
    <cellStyle name="Neutral 18 2" xfId="42894" xr:uid="{00000000-0005-0000-0000-0000459F0000}"/>
    <cellStyle name="Neutral 19" xfId="1577" xr:uid="{00000000-0005-0000-0000-0000469F0000}"/>
    <cellStyle name="Neutral 19 2" xfId="42895" xr:uid="{00000000-0005-0000-0000-0000479F0000}"/>
    <cellStyle name="Neutral 2" xfId="1578" xr:uid="{00000000-0005-0000-0000-0000489F0000}"/>
    <cellStyle name="Neutral 2 10" xfId="42896" xr:uid="{00000000-0005-0000-0000-0000499F0000}"/>
    <cellStyle name="Neutral 2 10 2" xfId="42897" xr:uid="{00000000-0005-0000-0000-00004A9F0000}"/>
    <cellStyle name="Neutral 2 11" xfId="42898" xr:uid="{00000000-0005-0000-0000-00004B9F0000}"/>
    <cellStyle name="Neutral 2 12" xfId="42899" xr:uid="{00000000-0005-0000-0000-00004C9F0000}"/>
    <cellStyle name="Neutral 2 2" xfId="1579" xr:uid="{00000000-0005-0000-0000-00004D9F0000}"/>
    <cellStyle name="Neutral 2 2 2" xfId="42900" xr:uid="{00000000-0005-0000-0000-00004E9F0000}"/>
    <cellStyle name="Neutral 2 2 2 2" xfId="42901" xr:uid="{00000000-0005-0000-0000-00004F9F0000}"/>
    <cellStyle name="Neutral 2 2 2 2 2" xfId="42902" xr:uid="{00000000-0005-0000-0000-0000509F0000}"/>
    <cellStyle name="Neutral 2 2 2 3" xfId="42903" xr:uid="{00000000-0005-0000-0000-0000519F0000}"/>
    <cellStyle name="Neutral 2 2 2 3 2" xfId="42904" xr:uid="{00000000-0005-0000-0000-0000529F0000}"/>
    <cellStyle name="Neutral 2 2 2 4" xfId="42905" xr:uid="{00000000-0005-0000-0000-0000539F0000}"/>
    <cellStyle name="Neutral 2 2 2 4 2" xfId="42906" xr:uid="{00000000-0005-0000-0000-0000549F0000}"/>
    <cellStyle name="Neutral 2 2 2 5" xfId="42907" xr:uid="{00000000-0005-0000-0000-0000559F0000}"/>
    <cellStyle name="Neutral 2 2 2 5 2" xfId="42908" xr:uid="{00000000-0005-0000-0000-0000569F0000}"/>
    <cellStyle name="Neutral 2 2 2 6" xfId="42909" xr:uid="{00000000-0005-0000-0000-0000579F0000}"/>
    <cellStyle name="Neutral 2 2 2 6 2" xfId="42910" xr:uid="{00000000-0005-0000-0000-0000589F0000}"/>
    <cellStyle name="Neutral 2 2 2 7" xfId="42911" xr:uid="{00000000-0005-0000-0000-0000599F0000}"/>
    <cellStyle name="Neutral 2 2 2 7 2" xfId="42912" xr:uid="{00000000-0005-0000-0000-00005A9F0000}"/>
    <cellStyle name="Neutral 2 2 2 8" xfId="42913" xr:uid="{00000000-0005-0000-0000-00005B9F0000}"/>
    <cellStyle name="Neutral 2 2 2 8 2" xfId="42914" xr:uid="{00000000-0005-0000-0000-00005C9F0000}"/>
    <cellStyle name="Neutral 2 2 2 9" xfId="42915" xr:uid="{00000000-0005-0000-0000-00005D9F0000}"/>
    <cellStyle name="Neutral 2 2 3" xfId="42916" xr:uid="{00000000-0005-0000-0000-00005E9F0000}"/>
    <cellStyle name="Neutral 2 3" xfId="1580" xr:uid="{00000000-0005-0000-0000-00005F9F0000}"/>
    <cellStyle name="Neutral 2 3 2" xfId="42917" xr:uid="{00000000-0005-0000-0000-0000609F0000}"/>
    <cellStyle name="Neutral 2 3 2 2" xfId="42918" xr:uid="{00000000-0005-0000-0000-0000619F0000}"/>
    <cellStyle name="Neutral 2 3 3" xfId="42919" xr:uid="{00000000-0005-0000-0000-0000629F0000}"/>
    <cellStyle name="Neutral 2 4" xfId="1581" xr:uid="{00000000-0005-0000-0000-0000639F0000}"/>
    <cellStyle name="Neutral 2 4 2" xfId="42920" xr:uid="{00000000-0005-0000-0000-0000649F0000}"/>
    <cellStyle name="Neutral 2 4 2 2" xfId="42921" xr:uid="{00000000-0005-0000-0000-0000659F0000}"/>
    <cellStyle name="Neutral 2 4 3" xfId="42922" xr:uid="{00000000-0005-0000-0000-0000669F0000}"/>
    <cellStyle name="Neutral 2 5" xfId="42923" xr:uid="{00000000-0005-0000-0000-0000679F0000}"/>
    <cellStyle name="Neutral 2 5 2" xfId="42924" xr:uid="{00000000-0005-0000-0000-0000689F0000}"/>
    <cellStyle name="Neutral 2 6" xfId="42925" xr:uid="{00000000-0005-0000-0000-0000699F0000}"/>
    <cellStyle name="Neutral 2 6 2" xfId="42926" xr:uid="{00000000-0005-0000-0000-00006A9F0000}"/>
    <cellStyle name="Neutral 2 7" xfId="42927" xr:uid="{00000000-0005-0000-0000-00006B9F0000}"/>
    <cellStyle name="Neutral 2 7 2" xfId="42928" xr:uid="{00000000-0005-0000-0000-00006C9F0000}"/>
    <cellStyle name="Neutral 2 8" xfId="42929" xr:uid="{00000000-0005-0000-0000-00006D9F0000}"/>
    <cellStyle name="Neutral 2 8 2" xfId="42930" xr:uid="{00000000-0005-0000-0000-00006E9F0000}"/>
    <cellStyle name="Neutral 2 9" xfId="42931" xr:uid="{00000000-0005-0000-0000-00006F9F0000}"/>
    <cellStyle name="Neutral 2 9 2" xfId="42932" xr:uid="{00000000-0005-0000-0000-0000709F0000}"/>
    <cellStyle name="Neutral 20" xfId="1582" xr:uid="{00000000-0005-0000-0000-0000719F0000}"/>
    <cellStyle name="Neutral 20 2" xfId="42933" xr:uid="{00000000-0005-0000-0000-0000729F0000}"/>
    <cellStyle name="Neutral 21" xfId="1583" xr:uid="{00000000-0005-0000-0000-0000739F0000}"/>
    <cellStyle name="Neutral 21 2" xfId="42934" xr:uid="{00000000-0005-0000-0000-0000749F0000}"/>
    <cellStyle name="Neutral 22" xfId="1584" xr:uid="{00000000-0005-0000-0000-0000759F0000}"/>
    <cellStyle name="Neutral 22 2" xfId="42935" xr:uid="{00000000-0005-0000-0000-0000769F0000}"/>
    <cellStyle name="Neutral 23" xfId="1585" xr:uid="{00000000-0005-0000-0000-0000779F0000}"/>
    <cellStyle name="Neutral 23 2" xfId="42936" xr:uid="{00000000-0005-0000-0000-0000789F0000}"/>
    <cellStyle name="Neutral 24" xfId="1586" xr:uid="{00000000-0005-0000-0000-0000799F0000}"/>
    <cellStyle name="Neutral 24 2" xfId="1587" xr:uid="{00000000-0005-0000-0000-00007A9F0000}"/>
    <cellStyle name="Neutral 24 2 2" xfId="42937" xr:uid="{00000000-0005-0000-0000-00007B9F0000}"/>
    <cellStyle name="Neutral 24 3" xfId="42938" xr:uid="{00000000-0005-0000-0000-00007C9F0000}"/>
    <cellStyle name="Neutral 25" xfId="1588" xr:uid="{00000000-0005-0000-0000-00007D9F0000}"/>
    <cellStyle name="Neutral 25 2" xfId="42939" xr:uid="{00000000-0005-0000-0000-00007E9F0000}"/>
    <cellStyle name="Neutral 26" xfId="42940" xr:uid="{00000000-0005-0000-0000-00007F9F0000}"/>
    <cellStyle name="Neutral 26 2" xfId="42941" xr:uid="{00000000-0005-0000-0000-0000809F0000}"/>
    <cellStyle name="Neutral 27" xfId="42942" xr:uid="{00000000-0005-0000-0000-0000819F0000}"/>
    <cellStyle name="Neutral 27 2" xfId="42943" xr:uid="{00000000-0005-0000-0000-0000829F0000}"/>
    <cellStyle name="Neutral 28" xfId="42944" xr:uid="{00000000-0005-0000-0000-0000839F0000}"/>
    <cellStyle name="Neutral 29" xfId="42945" xr:uid="{00000000-0005-0000-0000-0000849F0000}"/>
    <cellStyle name="Neutral 29 2" xfId="42946" xr:uid="{00000000-0005-0000-0000-0000859F0000}"/>
    <cellStyle name="Neutral 3" xfId="1589" xr:uid="{00000000-0005-0000-0000-0000869F0000}"/>
    <cellStyle name="Neutral 3 10" xfId="42947" xr:uid="{00000000-0005-0000-0000-0000879F0000}"/>
    <cellStyle name="Neutral 3 10 2" xfId="42948" xr:uid="{00000000-0005-0000-0000-0000889F0000}"/>
    <cellStyle name="Neutral 3 11" xfId="42949" xr:uid="{00000000-0005-0000-0000-0000899F0000}"/>
    <cellStyle name="Neutral 3 12" xfId="42950" xr:uid="{00000000-0005-0000-0000-00008A9F0000}"/>
    <cellStyle name="Neutral 3 2" xfId="42951" xr:uid="{00000000-0005-0000-0000-00008B9F0000}"/>
    <cellStyle name="Neutral 3 2 2" xfId="42952" xr:uid="{00000000-0005-0000-0000-00008C9F0000}"/>
    <cellStyle name="Neutral 3 2 2 2" xfId="42953" xr:uid="{00000000-0005-0000-0000-00008D9F0000}"/>
    <cellStyle name="Neutral 3 2 3" xfId="42954" xr:uid="{00000000-0005-0000-0000-00008E9F0000}"/>
    <cellStyle name="Neutral 3 2 3 2" xfId="42955" xr:uid="{00000000-0005-0000-0000-00008F9F0000}"/>
    <cellStyle name="Neutral 3 2 4" xfId="42956" xr:uid="{00000000-0005-0000-0000-0000909F0000}"/>
    <cellStyle name="Neutral 3 2 4 2" xfId="42957" xr:uid="{00000000-0005-0000-0000-0000919F0000}"/>
    <cellStyle name="Neutral 3 2 5" xfId="42958" xr:uid="{00000000-0005-0000-0000-0000929F0000}"/>
    <cellStyle name="Neutral 3 2 5 2" xfId="42959" xr:uid="{00000000-0005-0000-0000-0000939F0000}"/>
    <cellStyle name="Neutral 3 2 6" xfId="42960" xr:uid="{00000000-0005-0000-0000-0000949F0000}"/>
    <cellStyle name="Neutral 3 2 6 2" xfId="42961" xr:uid="{00000000-0005-0000-0000-0000959F0000}"/>
    <cellStyle name="Neutral 3 2 7" xfId="42962" xr:uid="{00000000-0005-0000-0000-0000969F0000}"/>
    <cellStyle name="Neutral 3 2 7 2" xfId="42963" xr:uid="{00000000-0005-0000-0000-0000979F0000}"/>
    <cellStyle name="Neutral 3 2 8" xfId="42964" xr:uid="{00000000-0005-0000-0000-0000989F0000}"/>
    <cellStyle name="Neutral 3 2 8 2" xfId="42965" xr:uid="{00000000-0005-0000-0000-0000999F0000}"/>
    <cellStyle name="Neutral 3 2 9" xfId="42966" xr:uid="{00000000-0005-0000-0000-00009A9F0000}"/>
    <cellStyle name="Neutral 3 3" xfId="42967" xr:uid="{00000000-0005-0000-0000-00009B9F0000}"/>
    <cellStyle name="Neutral 3 3 2" xfId="42968" xr:uid="{00000000-0005-0000-0000-00009C9F0000}"/>
    <cellStyle name="Neutral 3 4" xfId="42969" xr:uid="{00000000-0005-0000-0000-00009D9F0000}"/>
    <cellStyle name="Neutral 3 4 2" xfId="42970" xr:uid="{00000000-0005-0000-0000-00009E9F0000}"/>
    <cellStyle name="Neutral 3 5" xfId="42971" xr:uid="{00000000-0005-0000-0000-00009F9F0000}"/>
    <cellStyle name="Neutral 3 5 2" xfId="42972" xr:uid="{00000000-0005-0000-0000-0000A09F0000}"/>
    <cellStyle name="Neutral 3 6" xfId="42973" xr:uid="{00000000-0005-0000-0000-0000A19F0000}"/>
    <cellStyle name="Neutral 3 6 2" xfId="42974" xr:uid="{00000000-0005-0000-0000-0000A29F0000}"/>
    <cellStyle name="Neutral 3 7" xfId="42975" xr:uid="{00000000-0005-0000-0000-0000A39F0000}"/>
    <cellStyle name="Neutral 3 7 2" xfId="42976" xr:uid="{00000000-0005-0000-0000-0000A49F0000}"/>
    <cellStyle name="Neutral 3 8" xfId="42977" xr:uid="{00000000-0005-0000-0000-0000A59F0000}"/>
    <cellStyle name="Neutral 3 8 2" xfId="42978" xr:uid="{00000000-0005-0000-0000-0000A69F0000}"/>
    <cellStyle name="Neutral 3 9" xfId="42979" xr:uid="{00000000-0005-0000-0000-0000A79F0000}"/>
    <cellStyle name="Neutral 3 9 2" xfId="42980" xr:uid="{00000000-0005-0000-0000-0000A89F0000}"/>
    <cellStyle name="Neutral 4" xfId="1590" xr:uid="{00000000-0005-0000-0000-0000A99F0000}"/>
    <cellStyle name="Neutral 4 10" xfId="42981" xr:uid="{00000000-0005-0000-0000-0000AA9F0000}"/>
    <cellStyle name="Neutral 4 10 2" xfId="42982" xr:uid="{00000000-0005-0000-0000-0000AB9F0000}"/>
    <cellStyle name="Neutral 4 11" xfId="42983" xr:uid="{00000000-0005-0000-0000-0000AC9F0000}"/>
    <cellStyle name="Neutral 4 2" xfId="42984" xr:uid="{00000000-0005-0000-0000-0000AD9F0000}"/>
    <cellStyle name="Neutral 4 2 2" xfId="42985" xr:uid="{00000000-0005-0000-0000-0000AE9F0000}"/>
    <cellStyle name="Neutral 4 2 2 2" xfId="42986" xr:uid="{00000000-0005-0000-0000-0000AF9F0000}"/>
    <cellStyle name="Neutral 4 2 3" xfId="42987" xr:uid="{00000000-0005-0000-0000-0000B09F0000}"/>
    <cellStyle name="Neutral 4 2 3 2" xfId="42988" xr:uid="{00000000-0005-0000-0000-0000B19F0000}"/>
    <cellStyle name="Neutral 4 2 4" xfId="42989" xr:uid="{00000000-0005-0000-0000-0000B29F0000}"/>
    <cellStyle name="Neutral 4 2 4 2" xfId="42990" xr:uid="{00000000-0005-0000-0000-0000B39F0000}"/>
    <cellStyle name="Neutral 4 2 5" xfId="42991" xr:uid="{00000000-0005-0000-0000-0000B49F0000}"/>
    <cellStyle name="Neutral 4 2 5 2" xfId="42992" xr:uid="{00000000-0005-0000-0000-0000B59F0000}"/>
    <cellStyle name="Neutral 4 2 6" xfId="42993" xr:uid="{00000000-0005-0000-0000-0000B69F0000}"/>
    <cellStyle name="Neutral 4 2 6 2" xfId="42994" xr:uid="{00000000-0005-0000-0000-0000B79F0000}"/>
    <cellStyle name="Neutral 4 2 7" xfId="42995" xr:uid="{00000000-0005-0000-0000-0000B89F0000}"/>
    <cellStyle name="Neutral 4 2 7 2" xfId="42996" xr:uid="{00000000-0005-0000-0000-0000B99F0000}"/>
    <cellStyle name="Neutral 4 2 8" xfId="42997" xr:uid="{00000000-0005-0000-0000-0000BA9F0000}"/>
    <cellStyle name="Neutral 4 2 8 2" xfId="42998" xr:uid="{00000000-0005-0000-0000-0000BB9F0000}"/>
    <cellStyle name="Neutral 4 2 9" xfId="42999" xr:uid="{00000000-0005-0000-0000-0000BC9F0000}"/>
    <cellStyle name="Neutral 4 3" xfId="43000" xr:uid="{00000000-0005-0000-0000-0000BD9F0000}"/>
    <cellStyle name="Neutral 4 3 2" xfId="43001" xr:uid="{00000000-0005-0000-0000-0000BE9F0000}"/>
    <cellStyle name="Neutral 4 4" xfId="43002" xr:uid="{00000000-0005-0000-0000-0000BF9F0000}"/>
    <cellStyle name="Neutral 4 4 2" xfId="43003" xr:uid="{00000000-0005-0000-0000-0000C09F0000}"/>
    <cellStyle name="Neutral 4 5" xfId="43004" xr:uid="{00000000-0005-0000-0000-0000C19F0000}"/>
    <cellStyle name="Neutral 4 5 2" xfId="43005" xr:uid="{00000000-0005-0000-0000-0000C29F0000}"/>
    <cellStyle name="Neutral 4 6" xfId="43006" xr:uid="{00000000-0005-0000-0000-0000C39F0000}"/>
    <cellStyle name="Neutral 4 6 2" xfId="43007" xr:uid="{00000000-0005-0000-0000-0000C49F0000}"/>
    <cellStyle name="Neutral 4 7" xfId="43008" xr:uid="{00000000-0005-0000-0000-0000C59F0000}"/>
    <cellStyle name="Neutral 4 7 2" xfId="43009" xr:uid="{00000000-0005-0000-0000-0000C69F0000}"/>
    <cellStyle name="Neutral 4 8" xfId="43010" xr:uid="{00000000-0005-0000-0000-0000C79F0000}"/>
    <cellStyle name="Neutral 4 8 2" xfId="43011" xr:uid="{00000000-0005-0000-0000-0000C89F0000}"/>
    <cellStyle name="Neutral 4 9" xfId="43012" xr:uid="{00000000-0005-0000-0000-0000C99F0000}"/>
    <cellStyle name="Neutral 4 9 2" xfId="43013" xr:uid="{00000000-0005-0000-0000-0000CA9F0000}"/>
    <cellStyle name="Neutral 5" xfId="1591" xr:uid="{00000000-0005-0000-0000-0000CB9F0000}"/>
    <cellStyle name="Neutral 5 10" xfId="43014" xr:uid="{00000000-0005-0000-0000-0000CC9F0000}"/>
    <cellStyle name="Neutral 5 10 2" xfId="43015" xr:uid="{00000000-0005-0000-0000-0000CD9F0000}"/>
    <cellStyle name="Neutral 5 11" xfId="43016" xr:uid="{00000000-0005-0000-0000-0000CE9F0000}"/>
    <cellStyle name="Neutral 5 2" xfId="43017" xr:uid="{00000000-0005-0000-0000-0000CF9F0000}"/>
    <cellStyle name="Neutral 5 2 2" xfId="43018" xr:uid="{00000000-0005-0000-0000-0000D09F0000}"/>
    <cellStyle name="Neutral 5 2 2 2" xfId="43019" xr:uid="{00000000-0005-0000-0000-0000D19F0000}"/>
    <cellStyle name="Neutral 5 2 3" xfId="43020" xr:uid="{00000000-0005-0000-0000-0000D29F0000}"/>
    <cellStyle name="Neutral 5 2 3 2" xfId="43021" xr:uid="{00000000-0005-0000-0000-0000D39F0000}"/>
    <cellStyle name="Neutral 5 2 4" xfId="43022" xr:uid="{00000000-0005-0000-0000-0000D49F0000}"/>
    <cellStyle name="Neutral 5 2 4 2" xfId="43023" xr:uid="{00000000-0005-0000-0000-0000D59F0000}"/>
    <cellStyle name="Neutral 5 2 5" xfId="43024" xr:uid="{00000000-0005-0000-0000-0000D69F0000}"/>
    <cellStyle name="Neutral 5 2 5 2" xfId="43025" xr:uid="{00000000-0005-0000-0000-0000D79F0000}"/>
    <cellStyle name="Neutral 5 2 6" xfId="43026" xr:uid="{00000000-0005-0000-0000-0000D89F0000}"/>
    <cellStyle name="Neutral 5 2 6 2" xfId="43027" xr:uid="{00000000-0005-0000-0000-0000D99F0000}"/>
    <cellStyle name="Neutral 5 2 7" xfId="43028" xr:uid="{00000000-0005-0000-0000-0000DA9F0000}"/>
    <cellStyle name="Neutral 5 2 7 2" xfId="43029" xr:uid="{00000000-0005-0000-0000-0000DB9F0000}"/>
    <cellStyle name="Neutral 5 2 8" xfId="43030" xr:uid="{00000000-0005-0000-0000-0000DC9F0000}"/>
    <cellStyle name="Neutral 5 2 8 2" xfId="43031" xr:uid="{00000000-0005-0000-0000-0000DD9F0000}"/>
    <cellStyle name="Neutral 5 2 9" xfId="43032" xr:uid="{00000000-0005-0000-0000-0000DE9F0000}"/>
    <cellStyle name="Neutral 5 3" xfId="43033" xr:uid="{00000000-0005-0000-0000-0000DF9F0000}"/>
    <cellStyle name="Neutral 5 3 2" xfId="43034" xr:uid="{00000000-0005-0000-0000-0000E09F0000}"/>
    <cellStyle name="Neutral 5 4" xfId="43035" xr:uid="{00000000-0005-0000-0000-0000E19F0000}"/>
    <cellStyle name="Neutral 5 4 2" xfId="43036" xr:uid="{00000000-0005-0000-0000-0000E29F0000}"/>
    <cellStyle name="Neutral 5 5" xfId="43037" xr:uid="{00000000-0005-0000-0000-0000E39F0000}"/>
    <cellStyle name="Neutral 5 5 2" xfId="43038" xr:uid="{00000000-0005-0000-0000-0000E49F0000}"/>
    <cellStyle name="Neutral 5 6" xfId="43039" xr:uid="{00000000-0005-0000-0000-0000E59F0000}"/>
    <cellStyle name="Neutral 5 6 2" xfId="43040" xr:uid="{00000000-0005-0000-0000-0000E69F0000}"/>
    <cellStyle name="Neutral 5 7" xfId="43041" xr:uid="{00000000-0005-0000-0000-0000E79F0000}"/>
    <cellStyle name="Neutral 5 7 2" xfId="43042" xr:uid="{00000000-0005-0000-0000-0000E89F0000}"/>
    <cellStyle name="Neutral 5 8" xfId="43043" xr:uid="{00000000-0005-0000-0000-0000E99F0000}"/>
    <cellStyle name="Neutral 5 8 2" xfId="43044" xr:uid="{00000000-0005-0000-0000-0000EA9F0000}"/>
    <cellStyle name="Neutral 5 9" xfId="43045" xr:uid="{00000000-0005-0000-0000-0000EB9F0000}"/>
    <cellStyle name="Neutral 5 9 2" xfId="43046" xr:uid="{00000000-0005-0000-0000-0000EC9F0000}"/>
    <cellStyle name="Neutral 6" xfId="1592" xr:uid="{00000000-0005-0000-0000-0000ED9F0000}"/>
    <cellStyle name="Neutral 6 10" xfId="43047" xr:uid="{00000000-0005-0000-0000-0000EE9F0000}"/>
    <cellStyle name="Neutral 6 10 2" xfId="43048" xr:uid="{00000000-0005-0000-0000-0000EF9F0000}"/>
    <cellStyle name="Neutral 6 11" xfId="43049" xr:uid="{00000000-0005-0000-0000-0000F09F0000}"/>
    <cellStyle name="Neutral 6 2" xfId="43050" xr:uid="{00000000-0005-0000-0000-0000F19F0000}"/>
    <cellStyle name="Neutral 6 2 2" xfId="43051" xr:uid="{00000000-0005-0000-0000-0000F29F0000}"/>
    <cellStyle name="Neutral 6 2 2 2" xfId="43052" xr:uid="{00000000-0005-0000-0000-0000F39F0000}"/>
    <cellStyle name="Neutral 6 2 3" xfId="43053" xr:uid="{00000000-0005-0000-0000-0000F49F0000}"/>
    <cellStyle name="Neutral 6 2 3 2" xfId="43054" xr:uid="{00000000-0005-0000-0000-0000F59F0000}"/>
    <cellStyle name="Neutral 6 2 4" xfId="43055" xr:uid="{00000000-0005-0000-0000-0000F69F0000}"/>
    <cellStyle name="Neutral 6 2 4 2" xfId="43056" xr:uid="{00000000-0005-0000-0000-0000F79F0000}"/>
    <cellStyle name="Neutral 6 2 5" xfId="43057" xr:uid="{00000000-0005-0000-0000-0000F89F0000}"/>
    <cellStyle name="Neutral 6 2 5 2" xfId="43058" xr:uid="{00000000-0005-0000-0000-0000F99F0000}"/>
    <cellStyle name="Neutral 6 2 6" xfId="43059" xr:uid="{00000000-0005-0000-0000-0000FA9F0000}"/>
    <cellStyle name="Neutral 6 2 6 2" xfId="43060" xr:uid="{00000000-0005-0000-0000-0000FB9F0000}"/>
    <cellStyle name="Neutral 6 2 7" xfId="43061" xr:uid="{00000000-0005-0000-0000-0000FC9F0000}"/>
    <cellStyle name="Neutral 6 2 7 2" xfId="43062" xr:uid="{00000000-0005-0000-0000-0000FD9F0000}"/>
    <cellStyle name="Neutral 6 2 8" xfId="43063" xr:uid="{00000000-0005-0000-0000-0000FE9F0000}"/>
    <cellStyle name="Neutral 6 2 8 2" xfId="43064" xr:uid="{00000000-0005-0000-0000-0000FF9F0000}"/>
    <cellStyle name="Neutral 6 2 9" xfId="43065" xr:uid="{00000000-0005-0000-0000-000000A00000}"/>
    <cellStyle name="Neutral 6 3" xfId="43066" xr:uid="{00000000-0005-0000-0000-000001A00000}"/>
    <cellStyle name="Neutral 6 3 2" xfId="43067" xr:uid="{00000000-0005-0000-0000-000002A00000}"/>
    <cellStyle name="Neutral 6 4" xfId="43068" xr:uid="{00000000-0005-0000-0000-000003A00000}"/>
    <cellStyle name="Neutral 6 4 2" xfId="43069" xr:uid="{00000000-0005-0000-0000-000004A00000}"/>
    <cellStyle name="Neutral 6 5" xfId="43070" xr:uid="{00000000-0005-0000-0000-000005A00000}"/>
    <cellStyle name="Neutral 6 5 2" xfId="43071" xr:uid="{00000000-0005-0000-0000-000006A00000}"/>
    <cellStyle name="Neutral 6 6" xfId="43072" xr:uid="{00000000-0005-0000-0000-000007A00000}"/>
    <cellStyle name="Neutral 6 6 2" xfId="43073" xr:uid="{00000000-0005-0000-0000-000008A00000}"/>
    <cellStyle name="Neutral 6 7" xfId="43074" xr:uid="{00000000-0005-0000-0000-000009A00000}"/>
    <cellStyle name="Neutral 6 7 2" xfId="43075" xr:uid="{00000000-0005-0000-0000-00000AA00000}"/>
    <cellStyle name="Neutral 6 8" xfId="43076" xr:uid="{00000000-0005-0000-0000-00000BA00000}"/>
    <cellStyle name="Neutral 6 8 2" xfId="43077" xr:uid="{00000000-0005-0000-0000-00000CA00000}"/>
    <cellStyle name="Neutral 6 9" xfId="43078" xr:uid="{00000000-0005-0000-0000-00000DA00000}"/>
    <cellStyle name="Neutral 6 9 2" xfId="43079" xr:uid="{00000000-0005-0000-0000-00000EA00000}"/>
    <cellStyle name="Neutral 7" xfId="1593" xr:uid="{00000000-0005-0000-0000-00000FA00000}"/>
    <cellStyle name="Neutral 7 10" xfId="43080" xr:uid="{00000000-0005-0000-0000-000010A00000}"/>
    <cellStyle name="Neutral 7 10 2" xfId="43081" xr:uid="{00000000-0005-0000-0000-000011A00000}"/>
    <cellStyle name="Neutral 7 11" xfId="43082" xr:uid="{00000000-0005-0000-0000-000012A00000}"/>
    <cellStyle name="Neutral 7 2" xfId="43083" xr:uid="{00000000-0005-0000-0000-000013A00000}"/>
    <cellStyle name="Neutral 7 2 2" xfId="43084" xr:uid="{00000000-0005-0000-0000-000014A00000}"/>
    <cellStyle name="Neutral 7 2 2 2" xfId="43085" xr:uid="{00000000-0005-0000-0000-000015A00000}"/>
    <cellStyle name="Neutral 7 2 3" xfId="43086" xr:uid="{00000000-0005-0000-0000-000016A00000}"/>
    <cellStyle name="Neutral 7 2 3 2" xfId="43087" xr:uid="{00000000-0005-0000-0000-000017A00000}"/>
    <cellStyle name="Neutral 7 2 4" xfId="43088" xr:uid="{00000000-0005-0000-0000-000018A00000}"/>
    <cellStyle name="Neutral 7 2 4 2" xfId="43089" xr:uid="{00000000-0005-0000-0000-000019A00000}"/>
    <cellStyle name="Neutral 7 2 5" xfId="43090" xr:uid="{00000000-0005-0000-0000-00001AA00000}"/>
    <cellStyle name="Neutral 7 2 5 2" xfId="43091" xr:uid="{00000000-0005-0000-0000-00001BA00000}"/>
    <cellStyle name="Neutral 7 2 6" xfId="43092" xr:uid="{00000000-0005-0000-0000-00001CA00000}"/>
    <cellStyle name="Neutral 7 2 6 2" xfId="43093" xr:uid="{00000000-0005-0000-0000-00001DA00000}"/>
    <cellStyle name="Neutral 7 2 7" xfId="43094" xr:uid="{00000000-0005-0000-0000-00001EA00000}"/>
    <cellStyle name="Neutral 7 2 7 2" xfId="43095" xr:uid="{00000000-0005-0000-0000-00001FA00000}"/>
    <cellStyle name="Neutral 7 2 8" xfId="43096" xr:uid="{00000000-0005-0000-0000-000020A00000}"/>
    <cellStyle name="Neutral 7 2 8 2" xfId="43097" xr:uid="{00000000-0005-0000-0000-000021A00000}"/>
    <cellStyle name="Neutral 7 2 9" xfId="43098" xr:uid="{00000000-0005-0000-0000-000022A00000}"/>
    <cellStyle name="Neutral 7 3" xfId="43099" xr:uid="{00000000-0005-0000-0000-000023A00000}"/>
    <cellStyle name="Neutral 7 3 2" xfId="43100" xr:uid="{00000000-0005-0000-0000-000024A00000}"/>
    <cellStyle name="Neutral 7 4" xfId="43101" xr:uid="{00000000-0005-0000-0000-000025A00000}"/>
    <cellStyle name="Neutral 7 4 2" xfId="43102" xr:uid="{00000000-0005-0000-0000-000026A00000}"/>
    <cellStyle name="Neutral 7 5" xfId="43103" xr:uid="{00000000-0005-0000-0000-000027A00000}"/>
    <cellStyle name="Neutral 7 5 2" xfId="43104" xr:uid="{00000000-0005-0000-0000-000028A00000}"/>
    <cellStyle name="Neutral 7 6" xfId="43105" xr:uid="{00000000-0005-0000-0000-000029A00000}"/>
    <cellStyle name="Neutral 7 6 2" xfId="43106" xr:uid="{00000000-0005-0000-0000-00002AA00000}"/>
    <cellStyle name="Neutral 7 7" xfId="43107" xr:uid="{00000000-0005-0000-0000-00002BA00000}"/>
    <cellStyle name="Neutral 7 7 2" xfId="43108" xr:uid="{00000000-0005-0000-0000-00002CA00000}"/>
    <cellStyle name="Neutral 7 8" xfId="43109" xr:uid="{00000000-0005-0000-0000-00002DA00000}"/>
    <cellStyle name="Neutral 7 8 2" xfId="43110" xr:uid="{00000000-0005-0000-0000-00002EA00000}"/>
    <cellStyle name="Neutral 7 9" xfId="43111" xr:uid="{00000000-0005-0000-0000-00002FA00000}"/>
    <cellStyle name="Neutral 7 9 2" xfId="43112" xr:uid="{00000000-0005-0000-0000-000030A00000}"/>
    <cellStyle name="Neutral 8" xfId="1594" xr:uid="{00000000-0005-0000-0000-000031A00000}"/>
    <cellStyle name="Neutral 8 2" xfId="43113" xr:uid="{00000000-0005-0000-0000-000032A00000}"/>
    <cellStyle name="Neutral 8 2 2" xfId="43114" xr:uid="{00000000-0005-0000-0000-000033A00000}"/>
    <cellStyle name="Neutral 8 3" xfId="43115" xr:uid="{00000000-0005-0000-0000-000034A00000}"/>
    <cellStyle name="Neutral 8 3 2" xfId="43116" xr:uid="{00000000-0005-0000-0000-000035A00000}"/>
    <cellStyle name="Neutral 8 4" xfId="43117" xr:uid="{00000000-0005-0000-0000-000036A00000}"/>
    <cellStyle name="Neutral 8 4 2" xfId="43118" xr:uid="{00000000-0005-0000-0000-000037A00000}"/>
    <cellStyle name="Neutral 8 5" xfId="43119" xr:uid="{00000000-0005-0000-0000-000038A00000}"/>
    <cellStyle name="Neutral 9" xfId="1595" xr:uid="{00000000-0005-0000-0000-000039A00000}"/>
    <cellStyle name="Neutral 9 10" xfId="43120" xr:uid="{00000000-0005-0000-0000-00003AA00000}"/>
    <cellStyle name="Neutral 9 2" xfId="43121" xr:uid="{00000000-0005-0000-0000-00003BA00000}"/>
    <cellStyle name="Neutral 9 2 2" xfId="43122" xr:uid="{00000000-0005-0000-0000-00003CA00000}"/>
    <cellStyle name="Neutral 9 3" xfId="43123" xr:uid="{00000000-0005-0000-0000-00003DA00000}"/>
    <cellStyle name="Neutral 9 3 2" xfId="43124" xr:uid="{00000000-0005-0000-0000-00003EA00000}"/>
    <cellStyle name="Neutral 9 4" xfId="43125" xr:uid="{00000000-0005-0000-0000-00003FA00000}"/>
    <cellStyle name="Neutral 9 4 2" xfId="43126" xr:uid="{00000000-0005-0000-0000-000040A00000}"/>
    <cellStyle name="Neutral 9 5" xfId="43127" xr:uid="{00000000-0005-0000-0000-000041A00000}"/>
    <cellStyle name="Neutral 9 5 2" xfId="43128" xr:uid="{00000000-0005-0000-0000-000042A00000}"/>
    <cellStyle name="Neutral 9 6" xfId="43129" xr:uid="{00000000-0005-0000-0000-000043A00000}"/>
    <cellStyle name="Neutral 9 6 2" xfId="43130" xr:uid="{00000000-0005-0000-0000-000044A00000}"/>
    <cellStyle name="Neutral 9 7" xfId="43131" xr:uid="{00000000-0005-0000-0000-000045A00000}"/>
    <cellStyle name="Neutral 9 7 2" xfId="43132" xr:uid="{00000000-0005-0000-0000-000046A00000}"/>
    <cellStyle name="Neutral 9 8" xfId="43133" xr:uid="{00000000-0005-0000-0000-000047A00000}"/>
    <cellStyle name="Neutral 9 8 2" xfId="43134" xr:uid="{00000000-0005-0000-0000-000048A00000}"/>
    <cellStyle name="Neutral 9 9" xfId="43135" xr:uid="{00000000-0005-0000-0000-000049A00000}"/>
    <cellStyle name="Neutral 9 9 2" xfId="43136" xr:uid="{00000000-0005-0000-0000-00004AA00000}"/>
    <cellStyle name="no dec" xfId="1596" xr:uid="{00000000-0005-0000-0000-00004BA00000}"/>
    <cellStyle name="Normal" xfId="0" builtinId="0"/>
    <cellStyle name="Normal - Style1" xfId="1597" xr:uid="{00000000-0005-0000-0000-00004DA00000}"/>
    <cellStyle name="Normal [0]" xfId="46" xr:uid="{00000000-0005-0000-0000-000053000000}"/>
    <cellStyle name="Normal [0] 2" xfId="1598" xr:uid="{00000000-0005-0000-0000-00004FA00000}"/>
    <cellStyle name="Normal [0] 3" xfId="1599" xr:uid="{00000000-0005-0000-0000-000050A00000}"/>
    <cellStyle name="Normal [0] 4" xfId="1600" xr:uid="{00000000-0005-0000-0000-000051A00000}"/>
    <cellStyle name="Normal [0] 5" xfId="1601" xr:uid="{00000000-0005-0000-0000-000052A00000}"/>
    <cellStyle name="Normal [0] 6" xfId="1602" xr:uid="{00000000-0005-0000-0000-000053A00000}"/>
    <cellStyle name="Normal [0] 7" xfId="1603" xr:uid="{00000000-0005-0000-0000-000054A00000}"/>
    <cellStyle name="Normal [2]" xfId="47" xr:uid="{00000000-0005-0000-0000-000054000000}"/>
    <cellStyle name="Normal [2] 2" xfId="1604" xr:uid="{00000000-0005-0000-0000-000056A00000}"/>
    <cellStyle name="Normal [2] 3" xfId="1605" xr:uid="{00000000-0005-0000-0000-000057A00000}"/>
    <cellStyle name="Normal [2] 4" xfId="1606" xr:uid="{00000000-0005-0000-0000-000058A00000}"/>
    <cellStyle name="Normal [2] 5" xfId="1607" xr:uid="{00000000-0005-0000-0000-000059A00000}"/>
    <cellStyle name="Normal [2] 6" xfId="1608" xr:uid="{00000000-0005-0000-0000-00005AA00000}"/>
    <cellStyle name="Normal [2] 7" xfId="1609" xr:uid="{00000000-0005-0000-0000-00005BA00000}"/>
    <cellStyle name="Normal 10" xfId="1610" xr:uid="{00000000-0005-0000-0000-00005CA00000}"/>
    <cellStyle name="Normal 10 10" xfId="43137" xr:uid="{00000000-0005-0000-0000-00005DA00000}"/>
    <cellStyle name="Normal 10 10 2" xfId="43138" xr:uid="{00000000-0005-0000-0000-00005EA00000}"/>
    <cellStyle name="Normal 10 10 2 2" xfId="43139" xr:uid="{00000000-0005-0000-0000-00005FA00000}"/>
    <cellStyle name="Normal 10 10 2 2 2" xfId="43140" xr:uid="{00000000-0005-0000-0000-000060A00000}"/>
    <cellStyle name="Normal 10 10 2 3" xfId="43141" xr:uid="{00000000-0005-0000-0000-000061A00000}"/>
    <cellStyle name="Normal 10 10 3" xfId="43142" xr:uid="{00000000-0005-0000-0000-000062A00000}"/>
    <cellStyle name="Normal 10 10 3 2" xfId="43143" xr:uid="{00000000-0005-0000-0000-000063A00000}"/>
    <cellStyle name="Normal 10 10 4" xfId="43144" xr:uid="{00000000-0005-0000-0000-000064A00000}"/>
    <cellStyle name="Normal 10 11" xfId="43145" xr:uid="{00000000-0005-0000-0000-000065A00000}"/>
    <cellStyle name="Normal 10 11 2" xfId="43146" xr:uid="{00000000-0005-0000-0000-000066A00000}"/>
    <cellStyle name="Normal 10 11 2 2" xfId="43147" xr:uid="{00000000-0005-0000-0000-000067A00000}"/>
    <cellStyle name="Normal 10 11 2 2 2" xfId="43148" xr:uid="{00000000-0005-0000-0000-000068A00000}"/>
    <cellStyle name="Normal 10 11 2 3" xfId="43149" xr:uid="{00000000-0005-0000-0000-000069A00000}"/>
    <cellStyle name="Normal 10 11 3" xfId="43150" xr:uid="{00000000-0005-0000-0000-00006AA00000}"/>
    <cellStyle name="Normal 10 11 3 2" xfId="43151" xr:uid="{00000000-0005-0000-0000-00006BA00000}"/>
    <cellStyle name="Normal 10 11 4" xfId="43152" xr:uid="{00000000-0005-0000-0000-00006CA00000}"/>
    <cellStyle name="Normal 10 12" xfId="43153" xr:uid="{00000000-0005-0000-0000-00006DA00000}"/>
    <cellStyle name="Normal 10 12 2" xfId="43154" xr:uid="{00000000-0005-0000-0000-00006EA00000}"/>
    <cellStyle name="Normal 10 12 2 2" xfId="43155" xr:uid="{00000000-0005-0000-0000-00006FA00000}"/>
    <cellStyle name="Normal 10 12 3" xfId="43156" xr:uid="{00000000-0005-0000-0000-000070A00000}"/>
    <cellStyle name="Normal 10 13" xfId="43157" xr:uid="{00000000-0005-0000-0000-000071A00000}"/>
    <cellStyle name="Normal 10 13 2" xfId="43158" xr:uid="{00000000-0005-0000-0000-000072A00000}"/>
    <cellStyle name="Normal 10 14" xfId="43159" xr:uid="{00000000-0005-0000-0000-000073A00000}"/>
    <cellStyle name="Normal 10 15" xfId="43160" xr:uid="{00000000-0005-0000-0000-000074A00000}"/>
    <cellStyle name="Normal 10 16" xfId="43161" xr:uid="{00000000-0005-0000-0000-000075A00000}"/>
    <cellStyle name="Normal 10 2" xfId="3574" xr:uid="{00000000-0005-0000-0000-000076A00000}"/>
    <cellStyle name="Normal 10 2 10" xfId="43162" xr:uid="{00000000-0005-0000-0000-000077A00000}"/>
    <cellStyle name="Normal 10 2 11" xfId="43163" xr:uid="{00000000-0005-0000-0000-000078A00000}"/>
    <cellStyle name="Normal 10 2 12" xfId="43164" xr:uid="{00000000-0005-0000-0000-000079A00000}"/>
    <cellStyle name="Normal 10 2 13" xfId="43165" xr:uid="{00000000-0005-0000-0000-00007AA00000}"/>
    <cellStyle name="Normal 10 2 2" xfId="43166" xr:uid="{00000000-0005-0000-0000-00007BA00000}"/>
    <cellStyle name="Normal 10 2 2 10" xfId="43167" xr:uid="{00000000-0005-0000-0000-00007CA00000}"/>
    <cellStyle name="Normal 10 2 2 11" xfId="43168" xr:uid="{00000000-0005-0000-0000-00007DA00000}"/>
    <cellStyle name="Normal 10 2 2 2" xfId="43169" xr:uid="{00000000-0005-0000-0000-00007EA00000}"/>
    <cellStyle name="Normal 10 2 2 2 10" xfId="43170" xr:uid="{00000000-0005-0000-0000-00007FA00000}"/>
    <cellStyle name="Normal 10 2 2 2 2" xfId="43171" xr:uid="{00000000-0005-0000-0000-000080A00000}"/>
    <cellStyle name="Normal 10 2 2 2 2 2" xfId="43172" xr:uid="{00000000-0005-0000-0000-000081A00000}"/>
    <cellStyle name="Normal 10 2 2 2 2 2 2" xfId="43173" xr:uid="{00000000-0005-0000-0000-000082A00000}"/>
    <cellStyle name="Normal 10 2 2 2 2 2 2 2" xfId="43174" xr:uid="{00000000-0005-0000-0000-000083A00000}"/>
    <cellStyle name="Normal 10 2 2 2 2 2 2 2 2" xfId="43175" xr:uid="{00000000-0005-0000-0000-000084A00000}"/>
    <cellStyle name="Normal 10 2 2 2 2 2 2 3" xfId="43176" xr:uid="{00000000-0005-0000-0000-000085A00000}"/>
    <cellStyle name="Normal 10 2 2 2 2 2 3" xfId="43177" xr:uid="{00000000-0005-0000-0000-000086A00000}"/>
    <cellStyle name="Normal 10 2 2 2 2 2 3 2" xfId="43178" xr:uid="{00000000-0005-0000-0000-000087A00000}"/>
    <cellStyle name="Normal 10 2 2 2 2 2 4" xfId="43179" xr:uid="{00000000-0005-0000-0000-000088A00000}"/>
    <cellStyle name="Normal 10 2 2 2 2 2 5" xfId="43180" xr:uid="{00000000-0005-0000-0000-000089A00000}"/>
    <cellStyle name="Normal 10 2 2 2 2 2 6" xfId="43181" xr:uid="{00000000-0005-0000-0000-00008AA00000}"/>
    <cellStyle name="Normal 10 2 2 2 2 3" xfId="43182" xr:uid="{00000000-0005-0000-0000-00008BA00000}"/>
    <cellStyle name="Normal 10 2 2 2 2 3 2" xfId="43183" xr:uid="{00000000-0005-0000-0000-00008CA00000}"/>
    <cellStyle name="Normal 10 2 2 2 2 3 2 2" xfId="43184" xr:uid="{00000000-0005-0000-0000-00008DA00000}"/>
    <cellStyle name="Normal 10 2 2 2 2 3 3" xfId="43185" xr:uid="{00000000-0005-0000-0000-00008EA00000}"/>
    <cellStyle name="Normal 10 2 2 2 2 4" xfId="43186" xr:uid="{00000000-0005-0000-0000-00008FA00000}"/>
    <cellStyle name="Normal 10 2 2 2 2 4 2" xfId="43187" xr:uid="{00000000-0005-0000-0000-000090A00000}"/>
    <cellStyle name="Normal 10 2 2 2 2 4 2 2" xfId="43188" xr:uid="{00000000-0005-0000-0000-000091A00000}"/>
    <cellStyle name="Normal 10 2 2 2 2 4 3" xfId="43189" xr:uid="{00000000-0005-0000-0000-000092A00000}"/>
    <cellStyle name="Normal 10 2 2 2 2 5" xfId="43190" xr:uid="{00000000-0005-0000-0000-000093A00000}"/>
    <cellStyle name="Normal 10 2 2 2 2 5 2" xfId="43191" xr:uid="{00000000-0005-0000-0000-000094A00000}"/>
    <cellStyle name="Normal 10 2 2 2 2 6" xfId="43192" xr:uid="{00000000-0005-0000-0000-000095A00000}"/>
    <cellStyle name="Normal 10 2 2 2 2 7" xfId="43193" xr:uid="{00000000-0005-0000-0000-000096A00000}"/>
    <cellStyle name="Normal 10 2 2 2 2 8" xfId="43194" xr:uid="{00000000-0005-0000-0000-000097A00000}"/>
    <cellStyle name="Normal 10 2 2 2 3" xfId="43195" xr:uid="{00000000-0005-0000-0000-000098A00000}"/>
    <cellStyle name="Normal 10 2 2 2 3 2" xfId="43196" xr:uid="{00000000-0005-0000-0000-000099A00000}"/>
    <cellStyle name="Normal 10 2 2 2 3 2 2" xfId="43197" xr:uid="{00000000-0005-0000-0000-00009AA00000}"/>
    <cellStyle name="Normal 10 2 2 2 3 2 2 2" xfId="43198" xr:uid="{00000000-0005-0000-0000-00009BA00000}"/>
    <cellStyle name="Normal 10 2 2 2 3 2 2 2 2" xfId="43199" xr:uid="{00000000-0005-0000-0000-00009CA00000}"/>
    <cellStyle name="Normal 10 2 2 2 3 2 2 3" xfId="43200" xr:uid="{00000000-0005-0000-0000-00009DA00000}"/>
    <cellStyle name="Normal 10 2 2 2 3 2 3" xfId="43201" xr:uid="{00000000-0005-0000-0000-00009EA00000}"/>
    <cellStyle name="Normal 10 2 2 2 3 2 3 2" xfId="43202" xr:uid="{00000000-0005-0000-0000-00009FA00000}"/>
    <cellStyle name="Normal 10 2 2 2 3 2 4" xfId="43203" xr:uid="{00000000-0005-0000-0000-0000A0A00000}"/>
    <cellStyle name="Normal 10 2 2 2 3 2 5" xfId="43204" xr:uid="{00000000-0005-0000-0000-0000A1A00000}"/>
    <cellStyle name="Normal 10 2 2 2 3 2 6" xfId="43205" xr:uid="{00000000-0005-0000-0000-0000A2A00000}"/>
    <cellStyle name="Normal 10 2 2 2 3 3" xfId="43206" xr:uid="{00000000-0005-0000-0000-0000A3A00000}"/>
    <cellStyle name="Normal 10 2 2 2 3 3 2" xfId="43207" xr:uid="{00000000-0005-0000-0000-0000A4A00000}"/>
    <cellStyle name="Normal 10 2 2 2 3 3 2 2" xfId="43208" xr:uid="{00000000-0005-0000-0000-0000A5A00000}"/>
    <cellStyle name="Normal 10 2 2 2 3 3 3" xfId="43209" xr:uid="{00000000-0005-0000-0000-0000A6A00000}"/>
    <cellStyle name="Normal 10 2 2 2 3 4" xfId="43210" xr:uid="{00000000-0005-0000-0000-0000A7A00000}"/>
    <cellStyle name="Normal 10 2 2 2 3 4 2" xfId="43211" xr:uid="{00000000-0005-0000-0000-0000A8A00000}"/>
    <cellStyle name="Normal 10 2 2 2 3 5" xfId="43212" xr:uid="{00000000-0005-0000-0000-0000A9A00000}"/>
    <cellStyle name="Normal 10 2 2 2 3 6" xfId="43213" xr:uid="{00000000-0005-0000-0000-0000AAA00000}"/>
    <cellStyle name="Normal 10 2 2 2 3 7" xfId="43214" xr:uid="{00000000-0005-0000-0000-0000ABA00000}"/>
    <cellStyle name="Normal 10 2 2 2 4" xfId="43215" xr:uid="{00000000-0005-0000-0000-0000ACA00000}"/>
    <cellStyle name="Normal 10 2 2 2 4 2" xfId="43216" xr:uid="{00000000-0005-0000-0000-0000ADA00000}"/>
    <cellStyle name="Normal 10 2 2 2 4 2 2" xfId="43217" xr:uid="{00000000-0005-0000-0000-0000AEA00000}"/>
    <cellStyle name="Normal 10 2 2 2 4 2 2 2" xfId="43218" xr:uid="{00000000-0005-0000-0000-0000AFA00000}"/>
    <cellStyle name="Normal 10 2 2 2 4 2 3" xfId="43219" xr:uid="{00000000-0005-0000-0000-0000B0A00000}"/>
    <cellStyle name="Normal 10 2 2 2 4 3" xfId="43220" xr:uid="{00000000-0005-0000-0000-0000B1A00000}"/>
    <cellStyle name="Normal 10 2 2 2 4 3 2" xfId="43221" xr:uid="{00000000-0005-0000-0000-0000B2A00000}"/>
    <cellStyle name="Normal 10 2 2 2 4 4" xfId="43222" xr:uid="{00000000-0005-0000-0000-0000B3A00000}"/>
    <cellStyle name="Normal 10 2 2 2 4 5" xfId="43223" xr:uid="{00000000-0005-0000-0000-0000B4A00000}"/>
    <cellStyle name="Normal 10 2 2 2 4 6" xfId="43224" xr:uid="{00000000-0005-0000-0000-0000B5A00000}"/>
    <cellStyle name="Normal 10 2 2 2 5" xfId="43225" xr:uid="{00000000-0005-0000-0000-0000B6A00000}"/>
    <cellStyle name="Normal 10 2 2 2 5 2" xfId="43226" xr:uid="{00000000-0005-0000-0000-0000B7A00000}"/>
    <cellStyle name="Normal 10 2 2 2 5 2 2" xfId="43227" xr:uid="{00000000-0005-0000-0000-0000B8A00000}"/>
    <cellStyle name="Normal 10 2 2 2 5 3" xfId="43228" xr:uid="{00000000-0005-0000-0000-0000B9A00000}"/>
    <cellStyle name="Normal 10 2 2 2 6" xfId="43229" xr:uid="{00000000-0005-0000-0000-0000BAA00000}"/>
    <cellStyle name="Normal 10 2 2 2 6 2" xfId="43230" xr:uid="{00000000-0005-0000-0000-0000BBA00000}"/>
    <cellStyle name="Normal 10 2 2 2 6 2 2" xfId="43231" xr:uid="{00000000-0005-0000-0000-0000BCA00000}"/>
    <cellStyle name="Normal 10 2 2 2 6 3" xfId="43232" xr:uid="{00000000-0005-0000-0000-0000BDA00000}"/>
    <cellStyle name="Normal 10 2 2 2 7" xfId="43233" xr:uid="{00000000-0005-0000-0000-0000BEA00000}"/>
    <cellStyle name="Normal 10 2 2 2 7 2" xfId="43234" xr:uid="{00000000-0005-0000-0000-0000BFA00000}"/>
    <cellStyle name="Normal 10 2 2 2 8" xfId="43235" xr:uid="{00000000-0005-0000-0000-0000C0A00000}"/>
    <cellStyle name="Normal 10 2 2 2 9" xfId="43236" xr:uid="{00000000-0005-0000-0000-0000C1A00000}"/>
    <cellStyle name="Normal 10 2 2 3" xfId="43237" xr:uid="{00000000-0005-0000-0000-0000C2A00000}"/>
    <cellStyle name="Normal 10 2 2 3 2" xfId="43238" xr:uid="{00000000-0005-0000-0000-0000C3A00000}"/>
    <cellStyle name="Normal 10 2 2 3 2 2" xfId="43239" xr:uid="{00000000-0005-0000-0000-0000C4A00000}"/>
    <cellStyle name="Normal 10 2 2 3 2 2 2" xfId="43240" xr:uid="{00000000-0005-0000-0000-0000C5A00000}"/>
    <cellStyle name="Normal 10 2 2 3 2 2 2 2" xfId="43241" xr:uid="{00000000-0005-0000-0000-0000C6A00000}"/>
    <cellStyle name="Normal 10 2 2 3 2 2 3" xfId="43242" xr:uid="{00000000-0005-0000-0000-0000C7A00000}"/>
    <cellStyle name="Normal 10 2 2 3 2 3" xfId="43243" xr:uid="{00000000-0005-0000-0000-0000C8A00000}"/>
    <cellStyle name="Normal 10 2 2 3 2 3 2" xfId="43244" xr:uid="{00000000-0005-0000-0000-0000C9A00000}"/>
    <cellStyle name="Normal 10 2 2 3 2 4" xfId="43245" xr:uid="{00000000-0005-0000-0000-0000CAA00000}"/>
    <cellStyle name="Normal 10 2 2 3 2 5" xfId="43246" xr:uid="{00000000-0005-0000-0000-0000CBA00000}"/>
    <cellStyle name="Normal 10 2 2 3 2 6" xfId="43247" xr:uid="{00000000-0005-0000-0000-0000CCA00000}"/>
    <cellStyle name="Normal 10 2 2 3 3" xfId="43248" xr:uid="{00000000-0005-0000-0000-0000CDA00000}"/>
    <cellStyle name="Normal 10 2 2 3 3 2" xfId="43249" xr:uid="{00000000-0005-0000-0000-0000CEA00000}"/>
    <cellStyle name="Normal 10 2 2 3 3 2 2" xfId="43250" xr:uid="{00000000-0005-0000-0000-0000CFA00000}"/>
    <cellStyle name="Normal 10 2 2 3 3 3" xfId="43251" xr:uid="{00000000-0005-0000-0000-0000D0A00000}"/>
    <cellStyle name="Normal 10 2 2 3 4" xfId="43252" xr:uid="{00000000-0005-0000-0000-0000D1A00000}"/>
    <cellStyle name="Normal 10 2 2 3 4 2" xfId="43253" xr:uid="{00000000-0005-0000-0000-0000D2A00000}"/>
    <cellStyle name="Normal 10 2 2 3 4 2 2" xfId="43254" xr:uid="{00000000-0005-0000-0000-0000D3A00000}"/>
    <cellStyle name="Normal 10 2 2 3 4 3" xfId="43255" xr:uid="{00000000-0005-0000-0000-0000D4A00000}"/>
    <cellStyle name="Normal 10 2 2 3 5" xfId="43256" xr:uid="{00000000-0005-0000-0000-0000D5A00000}"/>
    <cellStyle name="Normal 10 2 2 3 5 2" xfId="43257" xr:uid="{00000000-0005-0000-0000-0000D6A00000}"/>
    <cellStyle name="Normal 10 2 2 3 6" xfId="43258" xr:uid="{00000000-0005-0000-0000-0000D7A00000}"/>
    <cellStyle name="Normal 10 2 2 3 7" xfId="43259" xr:uid="{00000000-0005-0000-0000-0000D8A00000}"/>
    <cellStyle name="Normal 10 2 2 3 8" xfId="43260" xr:uid="{00000000-0005-0000-0000-0000D9A00000}"/>
    <cellStyle name="Normal 10 2 2 4" xfId="43261" xr:uid="{00000000-0005-0000-0000-0000DAA00000}"/>
    <cellStyle name="Normal 10 2 2 4 2" xfId="43262" xr:uid="{00000000-0005-0000-0000-0000DBA00000}"/>
    <cellStyle name="Normal 10 2 2 4 2 2" xfId="43263" xr:uid="{00000000-0005-0000-0000-0000DCA00000}"/>
    <cellStyle name="Normal 10 2 2 4 2 2 2" xfId="43264" xr:uid="{00000000-0005-0000-0000-0000DDA00000}"/>
    <cellStyle name="Normal 10 2 2 4 2 2 2 2" xfId="43265" xr:uid="{00000000-0005-0000-0000-0000DEA00000}"/>
    <cellStyle name="Normal 10 2 2 4 2 2 3" xfId="43266" xr:uid="{00000000-0005-0000-0000-0000DFA00000}"/>
    <cellStyle name="Normal 10 2 2 4 2 3" xfId="43267" xr:uid="{00000000-0005-0000-0000-0000E0A00000}"/>
    <cellStyle name="Normal 10 2 2 4 2 3 2" xfId="43268" xr:uid="{00000000-0005-0000-0000-0000E1A00000}"/>
    <cellStyle name="Normal 10 2 2 4 2 4" xfId="43269" xr:uid="{00000000-0005-0000-0000-0000E2A00000}"/>
    <cellStyle name="Normal 10 2 2 4 2 5" xfId="43270" xr:uid="{00000000-0005-0000-0000-0000E3A00000}"/>
    <cellStyle name="Normal 10 2 2 4 2 6" xfId="43271" xr:uid="{00000000-0005-0000-0000-0000E4A00000}"/>
    <cellStyle name="Normal 10 2 2 4 3" xfId="43272" xr:uid="{00000000-0005-0000-0000-0000E5A00000}"/>
    <cellStyle name="Normal 10 2 2 4 3 2" xfId="43273" xr:uid="{00000000-0005-0000-0000-0000E6A00000}"/>
    <cellStyle name="Normal 10 2 2 4 3 2 2" xfId="43274" xr:uid="{00000000-0005-0000-0000-0000E7A00000}"/>
    <cellStyle name="Normal 10 2 2 4 3 3" xfId="43275" xr:uid="{00000000-0005-0000-0000-0000E8A00000}"/>
    <cellStyle name="Normal 10 2 2 4 4" xfId="43276" xr:uid="{00000000-0005-0000-0000-0000E9A00000}"/>
    <cellStyle name="Normal 10 2 2 4 4 2" xfId="43277" xr:uid="{00000000-0005-0000-0000-0000EAA00000}"/>
    <cellStyle name="Normal 10 2 2 4 4 2 2" xfId="43278" xr:uid="{00000000-0005-0000-0000-0000EBA00000}"/>
    <cellStyle name="Normal 10 2 2 4 4 3" xfId="43279" xr:uid="{00000000-0005-0000-0000-0000ECA00000}"/>
    <cellStyle name="Normal 10 2 2 4 5" xfId="43280" xr:uid="{00000000-0005-0000-0000-0000EDA00000}"/>
    <cellStyle name="Normal 10 2 2 4 5 2" xfId="43281" xr:uid="{00000000-0005-0000-0000-0000EEA00000}"/>
    <cellStyle name="Normal 10 2 2 4 6" xfId="43282" xr:uid="{00000000-0005-0000-0000-0000EFA00000}"/>
    <cellStyle name="Normal 10 2 2 4 7" xfId="43283" xr:uid="{00000000-0005-0000-0000-0000F0A00000}"/>
    <cellStyle name="Normal 10 2 2 4 8" xfId="43284" xr:uid="{00000000-0005-0000-0000-0000F1A00000}"/>
    <cellStyle name="Normal 10 2 2 5" xfId="43285" xr:uid="{00000000-0005-0000-0000-0000F2A00000}"/>
    <cellStyle name="Normal 10 2 2 5 2" xfId="43286" xr:uid="{00000000-0005-0000-0000-0000F3A00000}"/>
    <cellStyle name="Normal 10 2 2 5 2 2" xfId="43287" xr:uid="{00000000-0005-0000-0000-0000F4A00000}"/>
    <cellStyle name="Normal 10 2 2 5 2 2 2" xfId="43288" xr:uid="{00000000-0005-0000-0000-0000F5A00000}"/>
    <cellStyle name="Normal 10 2 2 5 2 3" xfId="43289" xr:uid="{00000000-0005-0000-0000-0000F6A00000}"/>
    <cellStyle name="Normal 10 2 2 5 3" xfId="43290" xr:uid="{00000000-0005-0000-0000-0000F7A00000}"/>
    <cellStyle name="Normal 10 2 2 5 3 2" xfId="43291" xr:uid="{00000000-0005-0000-0000-0000F8A00000}"/>
    <cellStyle name="Normal 10 2 2 5 4" xfId="43292" xr:uid="{00000000-0005-0000-0000-0000F9A00000}"/>
    <cellStyle name="Normal 10 2 2 5 5" xfId="43293" xr:uid="{00000000-0005-0000-0000-0000FAA00000}"/>
    <cellStyle name="Normal 10 2 2 5 6" xfId="43294" xr:uid="{00000000-0005-0000-0000-0000FBA00000}"/>
    <cellStyle name="Normal 10 2 2 6" xfId="43295" xr:uid="{00000000-0005-0000-0000-0000FCA00000}"/>
    <cellStyle name="Normal 10 2 2 6 2" xfId="43296" xr:uid="{00000000-0005-0000-0000-0000FDA00000}"/>
    <cellStyle name="Normal 10 2 2 6 2 2" xfId="43297" xr:uid="{00000000-0005-0000-0000-0000FEA00000}"/>
    <cellStyle name="Normal 10 2 2 6 3" xfId="43298" xr:uid="{00000000-0005-0000-0000-0000FFA00000}"/>
    <cellStyle name="Normal 10 2 2 7" xfId="43299" xr:uid="{00000000-0005-0000-0000-000000A10000}"/>
    <cellStyle name="Normal 10 2 2 7 2" xfId="43300" xr:uid="{00000000-0005-0000-0000-000001A10000}"/>
    <cellStyle name="Normal 10 2 2 7 2 2" xfId="43301" xr:uid="{00000000-0005-0000-0000-000002A10000}"/>
    <cellStyle name="Normal 10 2 2 7 3" xfId="43302" xr:uid="{00000000-0005-0000-0000-000003A10000}"/>
    <cellStyle name="Normal 10 2 2 8" xfId="43303" xr:uid="{00000000-0005-0000-0000-000004A10000}"/>
    <cellStyle name="Normal 10 2 2 8 2" xfId="43304" xr:uid="{00000000-0005-0000-0000-000005A10000}"/>
    <cellStyle name="Normal 10 2 2 9" xfId="43305" xr:uid="{00000000-0005-0000-0000-000006A10000}"/>
    <cellStyle name="Normal 10 2 3" xfId="43306" xr:uid="{00000000-0005-0000-0000-000007A10000}"/>
    <cellStyle name="Normal 10 2 3 10" xfId="43307" xr:uid="{00000000-0005-0000-0000-000008A10000}"/>
    <cellStyle name="Normal 10 2 3 2" xfId="43308" xr:uid="{00000000-0005-0000-0000-000009A10000}"/>
    <cellStyle name="Normal 10 2 3 2 2" xfId="43309" xr:uid="{00000000-0005-0000-0000-00000AA10000}"/>
    <cellStyle name="Normal 10 2 3 2 2 2" xfId="43310" xr:uid="{00000000-0005-0000-0000-00000BA10000}"/>
    <cellStyle name="Normal 10 2 3 2 2 2 2" xfId="43311" xr:uid="{00000000-0005-0000-0000-00000CA10000}"/>
    <cellStyle name="Normal 10 2 3 2 2 2 2 2" xfId="43312" xr:uid="{00000000-0005-0000-0000-00000DA10000}"/>
    <cellStyle name="Normal 10 2 3 2 2 2 3" xfId="43313" xr:uid="{00000000-0005-0000-0000-00000EA10000}"/>
    <cellStyle name="Normal 10 2 3 2 2 3" xfId="43314" xr:uid="{00000000-0005-0000-0000-00000FA10000}"/>
    <cellStyle name="Normal 10 2 3 2 2 3 2" xfId="43315" xr:uid="{00000000-0005-0000-0000-000010A10000}"/>
    <cellStyle name="Normal 10 2 3 2 2 4" xfId="43316" xr:uid="{00000000-0005-0000-0000-000011A10000}"/>
    <cellStyle name="Normal 10 2 3 2 2 5" xfId="43317" xr:uid="{00000000-0005-0000-0000-000012A10000}"/>
    <cellStyle name="Normal 10 2 3 2 2 6" xfId="43318" xr:uid="{00000000-0005-0000-0000-000013A10000}"/>
    <cellStyle name="Normal 10 2 3 2 3" xfId="43319" xr:uid="{00000000-0005-0000-0000-000014A10000}"/>
    <cellStyle name="Normal 10 2 3 2 3 2" xfId="43320" xr:uid="{00000000-0005-0000-0000-000015A10000}"/>
    <cellStyle name="Normal 10 2 3 2 3 2 2" xfId="43321" xr:uid="{00000000-0005-0000-0000-000016A10000}"/>
    <cellStyle name="Normal 10 2 3 2 3 3" xfId="43322" xr:uid="{00000000-0005-0000-0000-000017A10000}"/>
    <cellStyle name="Normal 10 2 3 2 4" xfId="43323" xr:uid="{00000000-0005-0000-0000-000018A10000}"/>
    <cellStyle name="Normal 10 2 3 2 4 2" xfId="43324" xr:uid="{00000000-0005-0000-0000-000019A10000}"/>
    <cellStyle name="Normal 10 2 3 2 4 2 2" xfId="43325" xr:uid="{00000000-0005-0000-0000-00001AA10000}"/>
    <cellStyle name="Normal 10 2 3 2 4 3" xfId="43326" xr:uid="{00000000-0005-0000-0000-00001BA10000}"/>
    <cellStyle name="Normal 10 2 3 2 5" xfId="43327" xr:uid="{00000000-0005-0000-0000-00001CA10000}"/>
    <cellStyle name="Normal 10 2 3 2 5 2" xfId="43328" xr:uid="{00000000-0005-0000-0000-00001DA10000}"/>
    <cellStyle name="Normal 10 2 3 2 6" xfId="43329" xr:uid="{00000000-0005-0000-0000-00001EA10000}"/>
    <cellStyle name="Normal 10 2 3 2 7" xfId="43330" xr:uid="{00000000-0005-0000-0000-00001FA10000}"/>
    <cellStyle name="Normal 10 2 3 2 8" xfId="43331" xr:uid="{00000000-0005-0000-0000-000020A10000}"/>
    <cellStyle name="Normal 10 2 3 3" xfId="43332" xr:uid="{00000000-0005-0000-0000-000021A10000}"/>
    <cellStyle name="Normal 10 2 3 3 2" xfId="43333" xr:uid="{00000000-0005-0000-0000-000022A10000}"/>
    <cellStyle name="Normal 10 2 3 3 2 2" xfId="43334" xr:uid="{00000000-0005-0000-0000-000023A10000}"/>
    <cellStyle name="Normal 10 2 3 3 2 2 2" xfId="43335" xr:uid="{00000000-0005-0000-0000-000024A10000}"/>
    <cellStyle name="Normal 10 2 3 3 2 2 2 2" xfId="43336" xr:uid="{00000000-0005-0000-0000-000025A10000}"/>
    <cellStyle name="Normal 10 2 3 3 2 2 3" xfId="43337" xr:uid="{00000000-0005-0000-0000-000026A10000}"/>
    <cellStyle name="Normal 10 2 3 3 2 3" xfId="43338" xr:uid="{00000000-0005-0000-0000-000027A10000}"/>
    <cellStyle name="Normal 10 2 3 3 2 3 2" xfId="43339" xr:uid="{00000000-0005-0000-0000-000028A10000}"/>
    <cellStyle name="Normal 10 2 3 3 2 4" xfId="43340" xr:uid="{00000000-0005-0000-0000-000029A10000}"/>
    <cellStyle name="Normal 10 2 3 3 2 5" xfId="43341" xr:uid="{00000000-0005-0000-0000-00002AA10000}"/>
    <cellStyle name="Normal 10 2 3 3 2 6" xfId="43342" xr:uid="{00000000-0005-0000-0000-00002BA10000}"/>
    <cellStyle name="Normal 10 2 3 3 3" xfId="43343" xr:uid="{00000000-0005-0000-0000-00002CA10000}"/>
    <cellStyle name="Normal 10 2 3 3 3 2" xfId="43344" xr:uid="{00000000-0005-0000-0000-00002DA10000}"/>
    <cellStyle name="Normal 10 2 3 3 3 2 2" xfId="43345" xr:uid="{00000000-0005-0000-0000-00002EA10000}"/>
    <cellStyle name="Normal 10 2 3 3 3 3" xfId="43346" xr:uid="{00000000-0005-0000-0000-00002FA10000}"/>
    <cellStyle name="Normal 10 2 3 3 4" xfId="43347" xr:uid="{00000000-0005-0000-0000-000030A10000}"/>
    <cellStyle name="Normal 10 2 3 3 4 2" xfId="43348" xr:uid="{00000000-0005-0000-0000-000031A10000}"/>
    <cellStyle name="Normal 10 2 3 3 5" xfId="43349" xr:uid="{00000000-0005-0000-0000-000032A10000}"/>
    <cellStyle name="Normal 10 2 3 3 6" xfId="43350" xr:uid="{00000000-0005-0000-0000-000033A10000}"/>
    <cellStyle name="Normal 10 2 3 3 7" xfId="43351" xr:uid="{00000000-0005-0000-0000-000034A10000}"/>
    <cellStyle name="Normal 10 2 3 4" xfId="43352" xr:uid="{00000000-0005-0000-0000-000035A10000}"/>
    <cellStyle name="Normal 10 2 3 4 2" xfId="43353" xr:uid="{00000000-0005-0000-0000-000036A10000}"/>
    <cellStyle name="Normal 10 2 3 4 2 2" xfId="43354" xr:uid="{00000000-0005-0000-0000-000037A10000}"/>
    <cellStyle name="Normal 10 2 3 4 2 2 2" xfId="43355" xr:uid="{00000000-0005-0000-0000-000038A10000}"/>
    <cellStyle name="Normal 10 2 3 4 2 3" xfId="43356" xr:uid="{00000000-0005-0000-0000-000039A10000}"/>
    <cellStyle name="Normal 10 2 3 4 3" xfId="43357" xr:uid="{00000000-0005-0000-0000-00003AA10000}"/>
    <cellStyle name="Normal 10 2 3 4 3 2" xfId="43358" xr:uid="{00000000-0005-0000-0000-00003BA10000}"/>
    <cellStyle name="Normal 10 2 3 4 4" xfId="43359" xr:uid="{00000000-0005-0000-0000-00003CA10000}"/>
    <cellStyle name="Normal 10 2 3 4 5" xfId="43360" xr:uid="{00000000-0005-0000-0000-00003DA10000}"/>
    <cellStyle name="Normal 10 2 3 4 6" xfId="43361" xr:uid="{00000000-0005-0000-0000-00003EA10000}"/>
    <cellStyle name="Normal 10 2 3 5" xfId="43362" xr:uid="{00000000-0005-0000-0000-00003FA10000}"/>
    <cellStyle name="Normal 10 2 3 5 2" xfId="43363" xr:uid="{00000000-0005-0000-0000-000040A10000}"/>
    <cellStyle name="Normal 10 2 3 5 2 2" xfId="43364" xr:uid="{00000000-0005-0000-0000-000041A10000}"/>
    <cellStyle name="Normal 10 2 3 5 3" xfId="43365" xr:uid="{00000000-0005-0000-0000-000042A10000}"/>
    <cellStyle name="Normal 10 2 3 6" xfId="43366" xr:uid="{00000000-0005-0000-0000-000043A10000}"/>
    <cellStyle name="Normal 10 2 3 6 2" xfId="43367" xr:uid="{00000000-0005-0000-0000-000044A10000}"/>
    <cellStyle name="Normal 10 2 3 6 2 2" xfId="43368" xr:uid="{00000000-0005-0000-0000-000045A10000}"/>
    <cellStyle name="Normal 10 2 3 6 3" xfId="43369" xr:uid="{00000000-0005-0000-0000-000046A10000}"/>
    <cellStyle name="Normal 10 2 3 7" xfId="43370" xr:uid="{00000000-0005-0000-0000-000047A10000}"/>
    <cellStyle name="Normal 10 2 3 7 2" xfId="43371" xr:uid="{00000000-0005-0000-0000-000048A10000}"/>
    <cellStyle name="Normal 10 2 3 8" xfId="43372" xr:uid="{00000000-0005-0000-0000-000049A10000}"/>
    <cellStyle name="Normal 10 2 3 9" xfId="43373" xr:uid="{00000000-0005-0000-0000-00004AA10000}"/>
    <cellStyle name="Normal 10 2 4" xfId="43374" xr:uid="{00000000-0005-0000-0000-00004BA10000}"/>
    <cellStyle name="Normal 10 2 4 2" xfId="43375" xr:uid="{00000000-0005-0000-0000-00004CA10000}"/>
    <cellStyle name="Normal 10 2 4 2 2" xfId="43376" xr:uid="{00000000-0005-0000-0000-00004DA10000}"/>
    <cellStyle name="Normal 10 2 4 2 2 2" xfId="43377" xr:uid="{00000000-0005-0000-0000-00004EA10000}"/>
    <cellStyle name="Normal 10 2 4 2 2 2 2" xfId="43378" xr:uid="{00000000-0005-0000-0000-00004FA10000}"/>
    <cellStyle name="Normal 10 2 4 2 2 3" xfId="43379" xr:uid="{00000000-0005-0000-0000-000050A10000}"/>
    <cellStyle name="Normal 10 2 4 2 3" xfId="43380" xr:uid="{00000000-0005-0000-0000-000051A10000}"/>
    <cellStyle name="Normal 10 2 4 2 3 2" xfId="43381" xr:uid="{00000000-0005-0000-0000-000052A10000}"/>
    <cellStyle name="Normal 10 2 4 2 4" xfId="43382" xr:uid="{00000000-0005-0000-0000-000053A10000}"/>
    <cellStyle name="Normal 10 2 4 2 5" xfId="43383" xr:uid="{00000000-0005-0000-0000-000054A10000}"/>
    <cellStyle name="Normal 10 2 4 2 6" xfId="43384" xr:uid="{00000000-0005-0000-0000-000055A10000}"/>
    <cellStyle name="Normal 10 2 4 3" xfId="43385" xr:uid="{00000000-0005-0000-0000-000056A10000}"/>
    <cellStyle name="Normal 10 2 4 3 2" xfId="43386" xr:uid="{00000000-0005-0000-0000-000057A10000}"/>
    <cellStyle name="Normal 10 2 4 3 2 2" xfId="43387" xr:uid="{00000000-0005-0000-0000-000058A10000}"/>
    <cellStyle name="Normal 10 2 4 3 3" xfId="43388" xr:uid="{00000000-0005-0000-0000-000059A10000}"/>
    <cellStyle name="Normal 10 2 4 4" xfId="43389" xr:uid="{00000000-0005-0000-0000-00005AA10000}"/>
    <cellStyle name="Normal 10 2 4 4 2" xfId="43390" xr:uid="{00000000-0005-0000-0000-00005BA10000}"/>
    <cellStyle name="Normal 10 2 4 4 2 2" xfId="43391" xr:uid="{00000000-0005-0000-0000-00005CA10000}"/>
    <cellStyle name="Normal 10 2 4 4 3" xfId="43392" xr:uid="{00000000-0005-0000-0000-00005DA10000}"/>
    <cellStyle name="Normal 10 2 4 5" xfId="43393" xr:uid="{00000000-0005-0000-0000-00005EA10000}"/>
    <cellStyle name="Normal 10 2 4 5 2" xfId="43394" xr:uid="{00000000-0005-0000-0000-00005FA10000}"/>
    <cellStyle name="Normal 10 2 4 6" xfId="43395" xr:uid="{00000000-0005-0000-0000-000060A10000}"/>
    <cellStyle name="Normal 10 2 4 7" xfId="43396" xr:uid="{00000000-0005-0000-0000-000061A10000}"/>
    <cellStyle name="Normal 10 2 4 8" xfId="43397" xr:uid="{00000000-0005-0000-0000-000062A10000}"/>
    <cellStyle name="Normal 10 2 5" xfId="43398" xr:uid="{00000000-0005-0000-0000-000063A10000}"/>
    <cellStyle name="Normal 10 2 5 2" xfId="43399" xr:uid="{00000000-0005-0000-0000-000064A10000}"/>
    <cellStyle name="Normal 10 2 5 2 2" xfId="43400" xr:uid="{00000000-0005-0000-0000-000065A10000}"/>
    <cellStyle name="Normal 10 2 5 2 2 2" xfId="43401" xr:uid="{00000000-0005-0000-0000-000066A10000}"/>
    <cellStyle name="Normal 10 2 5 2 2 2 2" xfId="43402" xr:uid="{00000000-0005-0000-0000-000067A10000}"/>
    <cellStyle name="Normal 10 2 5 2 2 3" xfId="43403" xr:uid="{00000000-0005-0000-0000-000068A10000}"/>
    <cellStyle name="Normal 10 2 5 2 3" xfId="43404" xr:uid="{00000000-0005-0000-0000-000069A10000}"/>
    <cellStyle name="Normal 10 2 5 2 3 2" xfId="43405" xr:uid="{00000000-0005-0000-0000-00006AA10000}"/>
    <cellStyle name="Normal 10 2 5 2 4" xfId="43406" xr:uid="{00000000-0005-0000-0000-00006BA10000}"/>
    <cellStyle name="Normal 10 2 5 2 5" xfId="43407" xr:uid="{00000000-0005-0000-0000-00006CA10000}"/>
    <cellStyle name="Normal 10 2 5 2 6" xfId="43408" xr:uid="{00000000-0005-0000-0000-00006DA10000}"/>
    <cellStyle name="Normal 10 2 5 3" xfId="43409" xr:uid="{00000000-0005-0000-0000-00006EA10000}"/>
    <cellStyle name="Normal 10 2 5 3 2" xfId="43410" xr:uid="{00000000-0005-0000-0000-00006FA10000}"/>
    <cellStyle name="Normal 10 2 5 3 2 2" xfId="43411" xr:uid="{00000000-0005-0000-0000-000070A10000}"/>
    <cellStyle name="Normal 10 2 5 3 3" xfId="43412" xr:uid="{00000000-0005-0000-0000-000071A10000}"/>
    <cellStyle name="Normal 10 2 5 4" xfId="43413" xr:uid="{00000000-0005-0000-0000-000072A10000}"/>
    <cellStyle name="Normal 10 2 5 4 2" xfId="43414" xr:uid="{00000000-0005-0000-0000-000073A10000}"/>
    <cellStyle name="Normal 10 2 5 4 2 2" xfId="43415" xr:uid="{00000000-0005-0000-0000-000074A10000}"/>
    <cellStyle name="Normal 10 2 5 4 3" xfId="43416" xr:uid="{00000000-0005-0000-0000-000075A10000}"/>
    <cellStyle name="Normal 10 2 5 5" xfId="43417" xr:uid="{00000000-0005-0000-0000-000076A10000}"/>
    <cellStyle name="Normal 10 2 5 5 2" xfId="43418" xr:uid="{00000000-0005-0000-0000-000077A10000}"/>
    <cellStyle name="Normal 10 2 5 6" xfId="43419" xr:uid="{00000000-0005-0000-0000-000078A10000}"/>
    <cellStyle name="Normal 10 2 5 7" xfId="43420" xr:uid="{00000000-0005-0000-0000-000079A10000}"/>
    <cellStyle name="Normal 10 2 5 8" xfId="43421" xr:uid="{00000000-0005-0000-0000-00007AA10000}"/>
    <cellStyle name="Normal 10 2 6" xfId="43422" xr:uid="{00000000-0005-0000-0000-00007BA10000}"/>
    <cellStyle name="Normal 10 2 6 2" xfId="43423" xr:uid="{00000000-0005-0000-0000-00007CA10000}"/>
    <cellStyle name="Normal 10 2 6 2 2" xfId="43424" xr:uid="{00000000-0005-0000-0000-00007DA10000}"/>
    <cellStyle name="Normal 10 2 6 2 2 2" xfId="43425" xr:uid="{00000000-0005-0000-0000-00007EA10000}"/>
    <cellStyle name="Normal 10 2 6 2 3" xfId="43426" xr:uid="{00000000-0005-0000-0000-00007FA10000}"/>
    <cellStyle name="Normal 10 2 6 3" xfId="43427" xr:uid="{00000000-0005-0000-0000-000080A10000}"/>
    <cellStyle name="Normal 10 2 6 3 2" xfId="43428" xr:uid="{00000000-0005-0000-0000-000081A10000}"/>
    <cellStyle name="Normal 10 2 6 4" xfId="43429" xr:uid="{00000000-0005-0000-0000-000082A10000}"/>
    <cellStyle name="Normal 10 2 6 5" xfId="43430" xr:uid="{00000000-0005-0000-0000-000083A10000}"/>
    <cellStyle name="Normal 10 2 6 6" xfId="43431" xr:uid="{00000000-0005-0000-0000-000084A10000}"/>
    <cellStyle name="Normal 10 2 7" xfId="43432" xr:uid="{00000000-0005-0000-0000-000085A10000}"/>
    <cellStyle name="Normal 10 2 7 2" xfId="43433" xr:uid="{00000000-0005-0000-0000-000086A10000}"/>
    <cellStyle name="Normal 10 2 7 2 2" xfId="43434" xr:uid="{00000000-0005-0000-0000-000087A10000}"/>
    <cellStyle name="Normal 10 2 7 3" xfId="43435" xr:uid="{00000000-0005-0000-0000-000088A10000}"/>
    <cellStyle name="Normal 10 2 8" xfId="43436" xr:uid="{00000000-0005-0000-0000-000089A10000}"/>
    <cellStyle name="Normal 10 2 8 2" xfId="43437" xr:uid="{00000000-0005-0000-0000-00008AA10000}"/>
    <cellStyle name="Normal 10 2 8 2 2" xfId="43438" xr:uid="{00000000-0005-0000-0000-00008BA10000}"/>
    <cellStyle name="Normal 10 2 8 3" xfId="43439" xr:uid="{00000000-0005-0000-0000-00008CA10000}"/>
    <cellStyle name="Normal 10 2 9" xfId="43440" xr:uid="{00000000-0005-0000-0000-00008DA10000}"/>
    <cellStyle name="Normal 10 2 9 2" xfId="43441" xr:uid="{00000000-0005-0000-0000-00008EA10000}"/>
    <cellStyle name="Normal 10 3" xfId="43442" xr:uid="{00000000-0005-0000-0000-00008FA10000}"/>
    <cellStyle name="Normal 10 3 10" xfId="43443" xr:uid="{00000000-0005-0000-0000-000090A10000}"/>
    <cellStyle name="Normal 10 3 11" xfId="43444" xr:uid="{00000000-0005-0000-0000-000091A10000}"/>
    <cellStyle name="Normal 10 3 12" xfId="43445" xr:uid="{00000000-0005-0000-0000-000092A10000}"/>
    <cellStyle name="Normal 10 3 2" xfId="43446" xr:uid="{00000000-0005-0000-0000-000093A10000}"/>
    <cellStyle name="Normal 10 3 2 10" xfId="43447" xr:uid="{00000000-0005-0000-0000-000094A10000}"/>
    <cellStyle name="Normal 10 3 2 2" xfId="43448" xr:uid="{00000000-0005-0000-0000-000095A10000}"/>
    <cellStyle name="Normal 10 3 2 2 2" xfId="43449" xr:uid="{00000000-0005-0000-0000-000096A10000}"/>
    <cellStyle name="Normal 10 3 2 2 2 2" xfId="43450" xr:uid="{00000000-0005-0000-0000-000097A10000}"/>
    <cellStyle name="Normal 10 3 2 2 2 2 2" xfId="43451" xr:uid="{00000000-0005-0000-0000-000098A10000}"/>
    <cellStyle name="Normal 10 3 2 2 2 2 2 2" xfId="43452" xr:uid="{00000000-0005-0000-0000-000099A10000}"/>
    <cellStyle name="Normal 10 3 2 2 2 2 3" xfId="43453" xr:uid="{00000000-0005-0000-0000-00009AA10000}"/>
    <cellStyle name="Normal 10 3 2 2 2 3" xfId="43454" xr:uid="{00000000-0005-0000-0000-00009BA10000}"/>
    <cellStyle name="Normal 10 3 2 2 2 3 2" xfId="43455" xr:uid="{00000000-0005-0000-0000-00009CA10000}"/>
    <cellStyle name="Normal 10 3 2 2 2 4" xfId="43456" xr:uid="{00000000-0005-0000-0000-00009DA10000}"/>
    <cellStyle name="Normal 10 3 2 2 2 5" xfId="43457" xr:uid="{00000000-0005-0000-0000-00009EA10000}"/>
    <cellStyle name="Normal 10 3 2 2 2 6" xfId="43458" xr:uid="{00000000-0005-0000-0000-00009FA10000}"/>
    <cellStyle name="Normal 10 3 2 2 3" xfId="43459" xr:uid="{00000000-0005-0000-0000-0000A0A10000}"/>
    <cellStyle name="Normal 10 3 2 2 3 2" xfId="43460" xr:uid="{00000000-0005-0000-0000-0000A1A10000}"/>
    <cellStyle name="Normal 10 3 2 2 3 2 2" xfId="43461" xr:uid="{00000000-0005-0000-0000-0000A2A10000}"/>
    <cellStyle name="Normal 10 3 2 2 3 3" xfId="43462" xr:uid="{00000000-0005-0000-0000-0000A3A10000}"/>
    <cellStyle name="Normal 10 3 2 2 4" xfId="43463" xr:uid="{00000000-0005-0000-0000-0000A4A10000}"/>
    <cellStyle name="Normal 10 3 2 2 4 2" xfId="43464" xr:uid="{00000000-0005-0000-0000-0000A5A10000}"/>
    <cellStyle name="Normal 10 3 2 2 4 2 2" xfId="43465" xr:uid="{00000000-0005-0000-0000-0000A6A10000}"/>
    <cellStyle name="Normal 10 3 2 2 4 3" xfId="43466" xr:uid="{00000000-0005-0000-0000-0000A7A10000}"/>
    <cellStyle name="Normal 10 3 2 2 5" xfId="43467" xr:uid="{00000000-0005-0000-0000-0000A8A10000}"/>
    <cellStyle name="Normal 10 3 2 2 5 2" xfId="43468" xr:uid="{00000000-0005-0000-0000-0000A9A10000}"/>
    <cellStyle name="Normal 10 3 2 2 6" xfId="43469" xr:uid="{00000000-0005-0000-0000-0000AAA10000}"/>
    <cellStyle name="Normal 10 3 2 2 7" xfId="43470" xr:uid="{00000000-0005-0000-0000-0000ABA10000}"/>
    <cellStyle name="Normal 10 3 2 2 8" xfId="43471" xr:uid="{00000000-0005-0000-0000-0000ACA10000}"/>
    <cellStyle name="Normal 10 3 2 3" xfId="43472" xr:uid="{00000000-0005-0000-0000-0000ADA10000}"/>
    <cellStyle name="Normal 10 3 2 3 2" xfId="43473" xr:uid="{00000000-0005-0000-0000-0000AEA10000}"/>
    <cellStyle name="Normal 10 3 2 3 2 2" xfId="43474" xr:uid="{00000000-0005-0000-0000-0000AFA10000}"/>
    <cellStyle name="Normal 10 3 2 3 2 2 2" xfId="43475" xr:uid="{00000000-0005-0000-0000-0000B0A10000}"/>
    <cellStyle name="Normal 10 3 2 3 2 2 2 2" xfId="43476" xr:uid="{00000000-0005-0000-0000-0000B1A10000}"/>
    <cellStyle name="Normal 10 3 2 3 2 2 3" xfId="43477" xr:uid="{00000000-0005-0000-0000-0000B2A10000}"/>
    <cellStyle name="Normal 10 3 2 3 2 3" xfId="43478" xr:uid="{00000000-0005-0000-0000-0000B3A10000}"/>
    <cellStyle name="Normal 10 3 2 3 2 3 2" xfId="43479" xr:uid="{00000000-0005-0000-0000-0000B4A10000}"/>
    <cellStyle name="Normal 10 3 2 3 2 4" xfId="43480" xr:uid="{00000000-0005-0000-0000-0000B5A10000}"/>
    <cellStyle name="Normal 10 3 2 3 2 5" xfId="43481" xr:uid="{00000000-0005-0000-0000-0000B6A10000}"/>
    <cellStyle name="Normal 10 3 2 3 2 6" xfId="43482" xr:uid="{00000000-0005-0000-0000-0000B7A10000}"/>
    <cellStyle name="Normal 10 3 2 3 3" xfId="43483" xr:uid="{00000000-0005-0000-0000-0000B8A10000}"/>
    <cellStyle name="Normal 10 3 2 3 3 2" xfId="43484" xr:uid="{00000000-0005-0000-0000-0000B9A10000}"/>
    <cellStyle name="Normal 10 3 2 3 3 2 2" xfId="43485" xr:uid="{00000000-0005-0000-0000-0000BAA10000}"/>
    <cellStyle name="Normal 10 3 2 3 3 3" xfId="43486" xr:uid="{00000000-0005-0000-0000-0000BBA10000}"/>
    <cellStyle name="Normal 10 3 2 3 4" xfId="43487" xr:uid="{00000000-0005-0000-0000-0000BCA10000}"/>
    <cellStyle name="Normal 10 3 2 3 4 2" xfId="43488" xr:uid="{00000000-0005-0000-0000-0000BDA10000}"/>
    <cellStyle name="Normal 10 3 2 3 5" xfId="43489" xr:uid="{00000000-0005-0000-0000-0000BEA10000}"/>
    <cellStyle name="Normal 10 3 2 3 6" xfId="43490" xr:uid="{00000000-0005-0000-0000-0000BFA10000}"/>
    <cellStyle name="Normal 10 3 2 3 7" xfId="43491" xr:uid="{00000000-0005-0000-0000-0000C0A10000}"/>
    <cellStyle name="Normal 10 3 2 4" xfId="43492" xr:uid="{00000000-0005-0000-0000-0000C1A10000}"/>
    <cellStyle name="Normal 10 3 2 4 2" xfId="43493" xr:uid="{00000000-0005-0000-0000-0000C2A10000}"/>
    <cellStyle name="Normal 10 3 2 4 2 2" xfId="43494" xr:uid="{00000000-0005-0000-0000-0000C3A10000}"/>
    <cellStyle name="Normal 10 3 2 4 2 2 2" xfId="43495" xr:uid="{00000000-0005-0000-0000-0000C4A10000}"/>
    <cellStyle name="Normal 10 3 2 4 2 3" xfId="43496" xr:uid="{00000000-0005-0000-0000-0000C5A10000}"/>
    <cellStyle name="Normal 10 3 2 4 3" xfId="43497" xr:uid="{00000000-0005-0000-0000-0000C6A10000}"/>
    <cellStyle name="Normal 10 3 2 4 3 2" xfId="43498" xr:uid="{00000000-0005-0000-0000-0000C7A10000}"/>
    <cellStyle name="Normal 10 3 2 4 4" xfId="43499" xr:uid="{00000000-0005-0000-0000-0000C8A10000}"/>
    <cellStyle name="Normal 10 3 2 4 5" xfId="43500" xr:uid="{00000000-0005-0000-0000-0000C9A10000}"/>
    <cellStyle name="Normal 10 3 2 4 6" xfId="43501" xr:uid="{00000000-0005-0000-0000-0000CAA10000}"/>
    <cellStyle name="Normal 10 3 2 5" xfId="43502" xr:uid="{00000000-0005-0000-0000-0000CBA10000}"/>
    <cellStyle name="Normal 10 3 2 5 2" xfId="43503" xr:uid="{00000000-0005-0000-0000-0000CCA10000}"/>
    <cellStyle name="Normal 10 3 2 5 2 2" xfId="43504" xr:uid="{00000000-0005-0000-0000-0000CDA10000}"/>
    <cellStyle name="Normal 10 3 2 5 3" xfId="43505" xr:uid="{00000000-0005-0000-0000-0000CEA10000}"/>
    <cellStyle name="Normal 10 3 2 6" xfId="43506" xr:uid="{00000000-0005-0000-0000-0000CFA10000}"/>
    <cellStyle name="Normal 10 3 2 6 2" xfId="43507" xr:uid="{00000000-0005-0000-0000-0000D0A10000}"/>
    <cellStyle name="Normal 10 3 2 6 2 2" xfId="43508" xr:uid="{00000000-0005-0000-0000-0000D1A10000}"/>
    <cellStyle name="Normal 10 3 2 6 3" xfId="43509" xr:uid="{00000000-0005-0000-0000-0000D2A10000}"/>
    <cellStyle name="Normal 10 3 2 7" xfId="43510" xr:uid="{00000000-0005-0000-0000-0000D3A10000}"/>
    <cellStyle name="Normal 10 3 2 7 2" xfId="43511" xr:uid="{00000000-0005-0000-0000-0000D4A10000}"/>
    <cellStyle name="Normal 10 3 2 8" xfId="43512" xr:uid="{00000000-0005-0000-0000-0000D5A10000}"/>
    <cellStyle name="Normal 10 3 2 9" xfId="43513" xr:uid="{00000000-0005-0000-0000-0000D6A10000}"/>
    <cellStyle name="Normal 10 3 3" xfId="43514" xr:uid="{00000000-0005-0000-0000-0000D7A10000}"/>
    <cellStyle name="Normal 10 3 3 2" xfId="43515" xr:uid="{00000000-0005-0000-0000-0000D8A10000}"/>
    <cellStyle name="Normal 10 3 3 2 2" xfId="43516" xr:uid="{00000000-0005-0000-0000-0000D9A10000}"/>
    <cellStyle name="Normal 10 3 3 2 2 2" xfId="43517" xr:uid="{00000000-0005-0000-0000-0000DAA10000}"/>
    <cellStyle name="Normal 10 3 3 2 2 2 2" xfId="43518" xr:uid="{00000000-0005-0000-0000-0000DBA10000}"/>
    <cellStyle name="Normal 10 3 3 2 2 3" xfId="43519" xr:uid="{00000000-0005-0000-0000-0000DCA10000}"/>
    <cellStyle name="Normal 10 3 3 2 3" xfId="43520" xr:uid="{00000000-0005-0000-0000-0000DDA10000}"/>
    <cellStyle name="Normal 10 3 3 2 3 2" xfId="43521" xr:uid="{00000000-0005-0000-0000-0000DEA10000}"/>
    <cellStyle name="Normal 10 3 3 2 4" xfId="43522" xr:uid="{00000000-0005-0000-0000-0000DFA10000}"/>
    <cellStyle name="Normal 10 3 3 2 5" xfId="43523" xr:uid="{00000000-0005-0000-0000-0000E0A10000}"/>
    <cellStyle name="Normal 10 3 3 2 6" xfId="43524" xr:uid="{00000000-0005-0000-0000-0000E1A10000}"/>
    <cellStyle name="Normal 10 3 3 3" xfId="43525" xr:uid="{00000000-0005-0000-0000-0000E2A10000}"/>
    <cellStyle name="Normal 10 3 3 3 2" xfId="43526" xr:uid="{00000000-0005-0000-0000-0000E3A10000}"/>
    <cellStyle name="Normal 10 3 3 3 2 2" xfId="43527" xr:uid="{00000000-0005-0000-0000-0000E4A10000}"/>
    <cellStyle name="Normal 10 3 3 3 3" xfId="43528" xr:uid="{00000000-0005-0000-0000-0000E5A10000}"/>
    <cellStyle name="Normal 10 3 3 4" xfId="43529" xr:uid="{00000000-0005-0000-0000-0000E6A10000}"/>
    <cellStyle name="Normal 10 3 3 4 2" xfId="43530" xr:uid="{00000000-0005-0000-0000-0000E7A10000}"/>
    <cellStyle name="Normal 10 3 3 4 2 2" xfId="43531" xr:uid="{00000000-0005-0000-0000-0000E8A10000}"/>
    <cellStyle name="Normal 10 3 3 4 3" xfId="43532" xr:uid="{00000000-0005-0000-0000-0000E9A10000}"/>
    <cellStyle name="Normal 10 3 3 5" xfId="43533" xr:uid="{00000000-0005-0000-0000-0000EAA10000}"/>
    <cellStyle name="Normal 10 3 3 5 2" xfId="43534" xr:uid="{00000000-0005-0000-0000-0000EBA10000}"/>
    <cellStyle name="Normal 10 3 3 6" xfId="43535" xr:uid="{00000000-0005-0000-0000-0000ECA10000}"/>
    <cellStyle name="Normal 10 3 3 7" xfId="43536" xr:uid="{00000000-0005-0000-0000-0000EDA10000}"/>
    <cellStyle name="Normal 10 3 3 8" xfId="43537" xr:uid="{00000000-0005-0000-0000-0000EEA10000}"/>
    <cellStyle name="Normal 10 3 4" xfId="43538" xr:uid="{00000000-0005-0000-0000-0000EFA10000}"/>
    <cellStyle name="Normal 10 3 4 2" xfId="43539" xr:uid="{00000000-0005-0000-0000-0000F0A10000}"/>
    <cellStyle name="Normal 10 3 4 2 2" xfId="43540" xr:uid="{00000000-0005-0000-0000-0000F1A10000}"/>
    <cellStyle name="Normal 10 3 4 2 2 2" xfId="43541" xr:uid="{00000000-0005-0000-0000-0000F2A10000}"/>
    <cellStyle name="Normal 10 3 4 2 2 2 2" xfId="43542" xr:uid="{00000000-0005-0000-0000-0000F3A10000}"/>
    <cellStyle name="Normal 10 3 4 2 2 3" xfId="43543" xr:uid="{00000000-0005-0000-0000-0000F4A10000}"/>
    <cellStyle name="Normal 10 3 4 2 3" xfId="43544" xr:uid="{00000000-0005-0000-0000-0000F5A10000}"/>
    <cellStyle name="Normal 10 3 4 2 3 2" xfId="43545" xr:uid="{00000000-0005-0000-0000-0000F6A10000}"/>
    <cellStyle name="Normal 10 3 4 2 4" xfId="43546" xr:uid="{00000000-0005-0000-0000-0000F7A10000}"/>
    <cellStyle name="Normal 10 3 4 2 5" xfId="43547" xr:uid="{00000000-0005-0000-0000-0000F8A10000}"/>
    <cellStyle name="Normal 10 3 4 2 6" xfId="43548" xr:uid="{00000000-0005-0000-0000-0000F9A10000}"/>
    <cellStyle name="Normal 10 3 4 3" xfId="43549" xr:uid="{00000000-0005-0000-0000-0000FAA10000}"/>
    <cellStyle name="Normal 10 3 4 3 2" xfId="43550" xr:uid="{00000000-0005-0000-0000-0000FBA10000}"/>
    <cellStyle name="Normal 10 3 4 3 2 2" xfId="43551" xr:uid="{00000000-0005-0000-0000-0000FCA10000}"/>
    <cellStyle name="Normal 10 3 4 3 3" xfId="43552" xr:uid="{00000000-0005-0000-0000-0000FDA10000}"/>
    <cellStyle name="Normal 10 3 4 4" xfId="43553" xr:uid="{00000000-0005-0000-0000-0000FEA10000}"/>
    <cellStyle name="Normal 10 3 4 4 2" xfId="43554" xr:uid="{00000000-0005-0000-0000-0000FFA10000}"/>
    <cellStyle name="Normal 10 3 4 4 2 2" xfId="43555" xr:uid="{00000000-0005-0000-0000-000000A20000}"/>
    <cellStyle name="Normal 10 3 4 4 3" xfId="43556" xr:uid="{00000000-0005-0000-0000-000001A20000}"/>
    <cellStyle name="Normal 10 3 4 5" xfId="43557" xr:uid="{00000000-0005-0000-0000-000002A20000}"/>
    <cellStyle name="Normal 10 3 4 5 2" xfId="43558" xr:uid="{00000000-0005-0000-0000-000003A20000}"/>
    <cellStyle name="Normal 10 3 4 6" xfId="43559" xr:uid="{00000000-0005-0000-0000-000004A20000}"/>
    <cellStyle name="Normal 10 3 4 7" xfId="43560" xr:uid="{00000000-0005-0000-0000-000005A20000}"/>
    <cellStyle name="Normal 10 3 4 8" xfId="43561" xr:uid="{00000000-0005-0000-0000-000006A20000}"/>
    <cellStyle name="Normal 10 3 5" xfId="43562" xr:uid="{00000000-0005-0000-0000-000007A20000}"/>
    <cellStyle name="Normal 10 3 5 2" xfId="43563" xr:uid="{00000000-0005-0000-0000-000008A20000}"/>
    <cellStyle name="Normal 10 3 5 2 2" xfId="43564" xr:uid="{00000000-0005-0000-0000-000009A20000}"/>
    <cellStyle name="Normal 10 3 5 2 2 2" xfId="43565" xr:uid="{00000000-0005-0000-0000-00000AA20000}"/>
    <cellStyle name="Normal 10 3 5 2 3" xfId="43566" xr:uid="{00000000-0005-0000-0000-00000BA20000}"/>
    <cellStyle name="Normal 10 3 5 3" xfId="43567" xr:uid="{00000000-0005-0000-0000-00000CA20000}"/>
    <cellStyle name="Normal 10 3 5 3 2" xfId="43568" xr:uid="{00000000-0005-0000-0000-00000DA20000}"/>
    <cellStyle name="Normal 10 3 5 4" xfId="43569" xr:uid="{00000000-0005-0000-0000-00000EA20000}"/>
    <cellStyle name="Normal 10 3 5 5" xfId="43570" xr:uid="{00000000-0005-0000-0000-00000FA20000}"/>
    <cellStyle name="Normal 10 3 5 6" xfId="43571" xr:uid="{00000000-0005-0000-0000-000010A20000}"/>
    <cellStyle name="Normal 10 3 6" xfId="43572" xr:uid="{00000000-0005-0000-0000-000011A20000}"/>
    <cellStyle name="Normal 10 3 6 2" xfId="43573" xr:uid="{00000000-0005-0000-0000-000012A20000}"/>
    <cellStyle name="Normal 10 3 6 2 2" xfId="43574" xr:uid="{00000000-0005-0000-0000-000013A20000}"/>
    <cellStyle name="Normal 10 3 6 3" xfId="43575" xr:uid="{00000000-0005-0000-0000-000014A20000}"/>
    <cellStyle name="Normal 10 3 7" xfId="43576" xr:uid="{00000000-0005-0000-0000-000015A20000}"/>
    <cellStyle name="Normal 10 3 7 2" xfId="43577" xr:uid="{00000000-0005-0000-0000-000016A20000}"/>
    <cellStyle name="Normal 10 3 7 2 2" xfId="43578" xr:uid="{00000000-0005-0000-0000-000017A20000}"/>
    <cellStyle name="Normal 10 3 7 3" xfId="43579" xr:uid="{00000000-0005-0000-0000-000018A20000}"/>
    <cellStyle name="Normal 10 3 8" xfId="43580" xr:uid="{00000000-0005-0000-0000-000019A20000}"/>
    <cellStyle name="Normal 10 3 8 2" xfId="43581" xr:uid="{00000000-0005-0000-0000-00001AA20000}"/>
    <cellStyle name="Normal 10 3 9" xfId="43582" xr:uid="{00000000-0005-0000-0000-00001BA20000}"/>
    <cellStyle name="Normal 10 4" xfId="43583" xr:uid="{00000000-0005-0000-0000-00001CA20000}"/>
    <cellStyle name="Normal 10 4 10" xfId="43584" xr:uid="{00000000-0005-0000-0000-00001DA20000}"/>
    <cellStyle name="Normal 10 4 11" xfId="43585" xr:uid="{00000000-0005-0000-0000-00001EA20000}"/>
    <cellStyle name="Normal 10 4 2" xfId="43586" xr:uid="{00000000-0005-0000-0000-00001FA20000}"/>
    <cellStyle name="Normal 10 4 2 10" xfId="43587" xr:uid="{00000000-0005-0000-0000-000020A20000}"/>
    <cellStyle name="Normal 10 4 2 2" xfId="43588" xr:uid="{00000000-0005-0000-0000-000021A20000}"/>
    <cellStyle name="Normal 10 4 2 2 2" xfId="43589" xr:uid="{00000000-0005-0000-0000-000022A20000}"/>
    <cellStyle name="Normal 10 4 2 2 2 2" xfId="43590" xr:uid="{00000000-0005-0000-0000-000023A20000}"/>
    <cellStyle name="Normal 10 4 2 2 2 2 2" xfId="43591" xr:uid="{00000000-0005-0000-0000-000024A20000}"/>
    <cellStyle name="Normal 10 4 2 2 2 2 2 2" xfId="43592" xr:uid="{00000000-0005-0000-0000-000025A20000}"/>
    <cellStyle name="Normal 10 4 2 2 2 2 3" xfId="43593" xr:uid="{00000000-0005-0000-0000-000026A20000}"/>
    <cellStyle name="Normal 10 4 2 2 2 3" xfId="43594" xr:uid="{00000000-0005-0000-0000-000027A20000}"/>
    <cellStyle name="Normal 10 4 2 2 2 3 2" xfId="43595" xr:uid="{00000000-0005-0000-0000-000028A20000}"/>
    <cellStyle name="Normal 10 4 2 2 2 4" xfId="43596" xr:uid="{00000000-0005-0000-0000-000029A20000}"/>
    <cellStyle name="Normal 10 4 2 2 2 5" xfId="43597" xr:uid="{00000000-0005-0000-0000-00002AA20000}"/>
    <cellStyle name="Normal 10 4 2 2 2 6" xfId="43598" xr:uid="{00000000-0005-0000-0000-00002BA20000}"/>
    <cellStyle name="Normal 10 4 2 2 3" xfId="43599" xr:uid="{00000000-0005-0000-0000-00002CA20000}"/>
    <cellStyle name="Normal 10 4 2 2 3 2" xfId="43600" xr:uid="{00000000-0005-0000-0000-00002DA20000}"/>
    <cellStyle name="Normal 10 4 2 2 3 2 2" xfId="43601" xr:uid="{00000000-0005-0000-0000-00002EA20000}"/>
    <cellStyle name="Normal 10 4 2 2 3 3" xfId="43602" xr:uid="{00000000-0005-0000-0000-00002FA20000}"/>
    <cellStyle name="Normal 10 4 2 2 4" xfId="43603" xr:uid="{00000000-0005-0000-0000-000030A20000}"/>
    <cellStyle name="Normal 10 4 2 2 4 2" xfId="43604" xr:uid="{00000000-0005-0000-0000-000031A20000}"/>
    <cellStyle name="Normal 10 4 2 2 4 2 2" xfId="43605" xr:uid="{00000000-0005-0000-0000-000032A20000}"/>
    <cellStyle name="Normal 10 4 2 2 4 3" xfId="43606" xr:uid="{00000000-0005-0000-0000-000033A20000}"/>
    <cellStyle name="Normal 10 4 2 2 5" xfId="43607" xr:uid="{00000000-0005-0000-0000-000034A20000}"/>
    <cellStyle name="Normal 10 4 2 2 5 2" xfId="43608" xr:uid="{00000000-0005-0000-0000-000035A20000}"/>
    <cellStyle name="Normal 10 4 2 2 6" xfId="43609" xr:uid="{00000000-0005-0000-0000-000036A20000}"/>
    <cellStyle name="Normal 10 4 2 2 7" xfId="43610" xr:uid="{00000000-0005-0000-0000-000037A20000}"/>
    <cellStyle name="Normal 10 4 2 2 8" xfId="43611" xr:uid="{00000000-0005-0000-0000-000038A20000}"/>
    <cellStyle name="Normal 10 4 2 3" xfId="43612" xr:uid="{00000000-0005-0000-0000-000039A20000}"/>
    <cellStyle name="Normal 10 4 2 3 2" xfId="43613" xr:uid="{00000000-0005-0000-0000-00003AA20000}"/>
    <cellStyle name="Normal 10 4 2 3 2 2" xfId="43614" xr:uid="{00000000-0005-0000-0000-00003BA20000}"/>
    <cellStyle name="Normal 10 4 2 3 2 2 2" xfId="43615" xr:uid="{00000000-0005-0000-0000-00003CA20000}"/>
    <cellStyle name="Normal 10 4 2 3 2 2 2 2" xfId="43616" xr:uid="{00000000-0005-0000-0000-00003DA20000}"/>
    <cellStyle name="Normal 10 4 2 3 2 2 3" xfId="43617" xr:uid="{00000000-0005-0000-0000-00003EA20000}"/>
    <cellStyle name="Normal 10 4 2 3 2 3" xfId="43618" xr:uid="{00000000-0005-0000-0000-00003FA20000}"/>
    <cellStyle name="Normal 10 4 2 3 2 3 2" xfId="43619" xr:uid="{00000000-0005-0000-0000-000040A20000}"/>
    <cellStyle name="Normal 10 4 2 3 2 4" xfId="43620" xr:uid="{00000000-0005-0000-0000-000041A20000}"/>
    <cellStyle name="Normal 10 4 2 3 2 5" xfId="43621" xr:uid="{00000000-0005-0000-0000-000042A20000}"/>
    <cellStyle name="Normal 10 4 2 3 2 6" xfId="43622" xr:uid="{00000000-0005-0000-0000-000043A20000}"/>
    <cellStyle name="Normal 10 4 2 3 3" xfId="43623" xr:uid="{00000000-0005-0000-0000-000044A20000}"/>
    <cellStyle name="Normal 10 4 2 3 3 2" xfId="43624" xr:uid="{00000000-0005-0000-0000-000045A20000}"/>
    <cellStyle name="Normal 10 4 2 3 3 2 2" xfId="43625" xr:uid="{00000000-0005-0000-0000-000046A20000}"/>
    <cellStyle name="Normal 10 4 2 3 3 3" xfId="43626" xr:uid="{00000000-0005-0000-0000-000047A20000}"/>
    <cellStyle name="Normal 10 4 2 3 4" xfId="43627" xr:uid="{00000000-0005-0000-0000-000048A20000}"/>
    <cellStyle name="Normal 10 4 2 3 4 2" xfId="43628" xr:uid="{00000000-0005-0000-0000-000049A20000}"/>
    <cellStyle name="Normal 10 4 2 3 5" xfId="43629" xr:uid="{00000000-0005-0000-0000-00004AA20000}"/>
    <cellStyle name="Normal 10 4 2 3 6" xfId="43630" xr:uid="{00000000-0005-0000-0000-00004BA20000}"/>
    <cellStyle name="Normal 10 4 2 3 7" xfId="43631" xr:uid="{00000000-0005-0000-0000-00004CA20000}"/>
    <cellStyle name="Normal 10 4 2 4" xfId="43632" xr:uid="{00000000-0005-0000-0000-00004DA20000}"/>
    <cellStyle name="Normal 10 4 2 4 2" xfId="43633" xr:uid="{00000000-0005-0000-0000-00004EA20000}"/>
    <cellStyle name="Normal 10 4 2 4 2 2" xfId="43634" xr:uid="{00000000-0005-0000-0000-00004FA20000}"/>
    <cellStyle name="Normal 10 4 2 4 2 2 2" xfId="43635" xr:uid="{00000000-0005-0000-0000-000050A20000}"/>
    <cellStyle name="Normal 10 4 2 4 2 3" xfId="43636" xr:uid="{00000000-0005-0000-0000-000051A20000}"/>
    <cellStyle name="Normal 10 4 2 4 3" xfId="43637" xr:uid="{00000000-0005-0000-0000-000052A20000}"/>
    <cellStyle name="Normal 10 4 2 4 3 2" xfId="43638" xr:uid="{00000000-0005-0000-0000-000053A20000}"/>
    <cellStyle name="Normal 10 4 2 4 4" xfId="43639" xr:uid="{00000000-0005-0000-0000-000054A20000}"/>
    <cellStyle name="Normal 10 4 2 4 5" xfId="43640" xr:uid="{00000000-0005-0000-0000-000055A20000}"/>
    <cellStyle name="Normal 10 4 2 4 6" xfId="43641" xr:uid="{00000000-0005-0000-0000-000056A20000}"/>
    <cellStyle name="Normal 10 4 2 5" xfId="43642" xr:uid="{00000000-0005-0000-0000-000057A20000}"/>
    <cellStyle name="Normal 10 4 2 5 2" xfId="43643" xr:uid="{00000000-0005-0000-0000-000058A20000}"/>
    <cellStyle name="Normal 10 4 2 5 2 2" xfId="43644" xr:uid="{00000000-0005-0000-0000-000059A20000}"/>
    <cellStyle name="Normal 10 4 2 5 3" xfId="43645" xr:uid="{00000000-0005-0000-0000-00005AA20000}"/>
    <cellStyle name="Normal 10 4 2 6" xfId="43646" xr:uid="{00000000-0005-0000-0000-00005BA20000}"/>
    <cellStyle name="Normal 10 4 2 6 2" xfId="43647" xr:uid="{00000000-0005-0000-0000-00005CA20000}"/>
    <cellStyle name="Normal 10 4 2 6 2 2" xfId="43648" xr:uid="{00000000-0005-0000-0000-00005DA20000}"/>
    <cellStyle name="Normal 10 4 2 6 3" xfId="43649" xr:uid="{00000000-0005-0000-0000-00005EA20000}"/>
    <cellStyle name="Normal 10 4 2 7" xfId="43650" xr:uid="{00000000-0005-0000-0000-00005FA20000}"/>
    <cellStyle name="Normal 10 4 2 7 2" xfId="43651" xr:uid="{00000000-0005-0000-0000-000060A20000}"/>
    <cellStyle name="Normal 10 4 2 8" xfId="43652" xr:uid="{00000000-0005-0000-0000-000061A20000}"/>
    <cellStyle name="Normal 10 4 2 9" xfId="43653" xr:uid="{00000000-0005-0000-0000-000062A20000}"/>
    <cellStyle name="Normal 10 4 3" xfId="43654" xr:uid="{00000000-0005-0000-0000-000063A20000}"/>
    <cellStyle name="Normal 10 4 3 2" xfId="43655" xr:uid="{00000000-0005-0000-0000-000064A20000}"/>
    <cellStyle name="Normal 10 4 3 2 2" xfId="43656" xr:uid="{00000000-0005-0000-0000-000065A20000}"/>
    <cellStyle name="Normal 10 4 3 2 2 2" xfId="43657" xr:uid="{00000000-0005-0000-0000-000066A20000}"/>
    <cellStyle name="Normal 10 4 3 2 2 2 2" xfId="43658" xr:uid="{00000000-0005-0000-0000-000067A20000}"/>
    <cellStyle name="Normal 10 4 3 2 2 3" xfId="43659" xr:uid="{00000000-0005-0000-0000-000068A20000}"/>
    <cellStyle name="Normal 10 4 3 2 3" xfId="43660" xr:uid="{00000000-0005-0000-0000-000069A20000}"/>
    <cellStyle name="Normal 10 4 3 2 3 2" xfId="43661" xr:uid="{00000000-0005-0000-0000-00006AA20000}"/>
    <cellStyle name="Normal 10 4 3 2 4" xfId="43662" xr:uid="{00000000-0005-0000-0000-00006BA20000}"/>
    <cellStyle name="Normal 10 4 3 2 5" xfId="43663" xr:uid="{00000000-0005-0000-0000-00006CA20000}"/>
    <cellStyle name="Normal 10 4 3 2 6" xfId="43664" xr:uid="{00000000-0005-0000-0000-00006DA20000}"/>
    <cellStyle name="Normal 10 4 3 3" xfId="43665" xr:uid="{00000000-0005-0000-0000-00006EA20000}"/>
    <cellStyle name="Normal 10 4 3 3 2" xfId="43666" xr:uid="{00000000-0005-0000-0000-00006FA20000}"/>
    <cellStyle name="Normal 10 4 3 3 2 2" xfId="43667" xr:uid="{00000000-0005-0000-0000-000070A20000}"/>
    <cellStyle name="Normal 10 4 3 3 3" xfId="43668" xr:uid="{00000000-0005-0000-0000-000071A20000}"/>
    <cellStyle name="Normal 10 4 3 4" xfId="43669" xr:uid="{00000000-0005-0000-0000-000072A20000}"/>
    <cellStyle name="Normal 10 4 3 4 2" xfId="43670" xr:uid="{00000000-0005-0000-0000-000073A20000}"/>
    <cellStyle name="Normal 10 4 3 4 2 2" xfId="43671" xr:uid="{00000000-0005-0000-0000-000074A20000}"/>
    <cellStyle name="Normal 10 4 3 4 3" xfId="43672" xr:uid="{00000000-0005-0000-0000-000075A20000}"/>
    <cellStyle name="Normal 10 4 3 5" xfId="43673" xr:uid="{00000000-0005-0000-0000-000076A20000}"/>
    <cellStyle name="Normal 10 4 3 5 2" xfId="43674" xr:uid="{00000000-0005-0000-0000-000077A20000}"/>
    <cellStyle name="Normal 10 4 3 6" xfId="43675" xr:uid="{00000000-0005-0000-0000-000078A20000}"/>
    <cellStyle name="Normal 10 4 3 7" xfId="43676" xr:uid="{00000000-0005-0000-0000-000079A20000}"/>
    <cellStyle name="Normal 10 4 3 8" xfId="43677" xr:uid="{00000000-0005-0000-0000-00007AA20000}"/>
    <cellStyle name="Normal 10 4 4" xfId="43678" xr:uid="{00000000-0005-0000-0000-00007BA20000}"/>
    <cellStyle name="Normal 10 4 4 2" xfId="43679" xr:uid="{00000000-0005-0000-0000-00007CA20000}"/>
    <cellStyle name="Normal 10 4 4 2 2" xfId="43680" xr:uid="{00000000-0005-0000-0000-00007DA20000}"/>
    <cellStyle name="Normal 10 4 4 2 2 2" xfId="43681" xr:uid="{00000000-0005-0000-0000-00007EA20000}"/>
    <cellStyle name="Normal 10 4 4 2 2 2 2" xfId="43682" xr:uid="{00000000-0005-0000-0000-00007FA20000}"/>
    <cellStyle name="Normal 10 4 4 2 2 3" xfId="43683" xr:uid="{00000000-0005-0000-0000-000080A20000}"/>
    <cellStyle name="Normal 10 4 4 2 3" xfId="43684" xr:uid="{00000000-0005-0000-0000-000081A20000}"/>
    <cellStyle name="Normal 10 4 4 2 3 2" xfId="43685" xr:uid="{00000000-0005-0000-0000-000082A20000}"/>
    <cellStyle name="Normal 10 4 4 2 4" xfId="43686" xr:uid="{00000000-0005-0000-0000-000083A20000}"/>
    <cellStyle name="Normal 10 4 4 2 5" xfId="43687" xr:uid="{00000000-0005-0000-0000-000084A20000}"/>
    <cellStyle name="Normal 10 4 4 2 6" xfId="43688" xr:uid="{00000000-0005-0000-0000-000085A20000}"/>
    <cellStyle name="Normal 10 4 4 3" xfId="43689" xr:uid="{00000000-0005-0000-0000-000086A20000}"/>
    <cellStyle name="Normal 10 4 4 3 2" xfId="43690" xr:uid="{00000000-0005-0000-0000-000087A20000}"/>
    <cellStyle name="Normal 10 4 4 3 2 2" xfId="43691" xr:uid="{00000000-0005-0000-0000-000088A20000}"/>
    <cellStyle name="Normal 10 4 4 3 3" xfId="43692" xr:uid="{00000000-0005-0000-0000-000089A20000}"/>
    <cellStyle name="Normal 10 4 4 4" xfId="43693" xr:uid="{00000000-0005-0000-0000-00008AA20000}"/>
    <cellStyle name="Normal 10 4 4 4 2" xfId="43694" xr:uid="{00000000-0005-0000-0000-00008BA20000}"/>
    <cellStyle name="Normal 10 4 4 4 2 2" xfId="43695" xr:uid="{00000000-0005-0000-0000-00008CA20000}"/>
    <cellStyle name="Normal 10 4 4 4 3" xfId="43696" xr:uid="{00000000-0005-0000-0000-00008DA20000}"/>
    <cellStyle name="Normal 10 4 4 5" xfId="43697" xr:uid="{00000000-0005-0000-0000-00008EA20000}"/>
    <cellStyle name="Normal 10 4 4 5 2" xfId="43698" xr:uid="{00000000-0005-0000-0000-00008FA20000}"/>
    <cellStyle name="Normal 10 4 4 6" xfId="43699" xr:uid="{00000000-0005-0000-0000-000090A20000}"/>
    <cellStyle name="Normal 10 4 4 7" xfId="43700" xr:uid="{00000000-0005-0000-0000-000091A20000}"/>
    <cellStyle name="Normal 10 4 4 8" xfId="43701" xr:uid="{00000000-0005-0000-0000-000092A20000}"/>
    <cellStyle name="Normal 10 4 5" xfId="43702" xr:uid="{00000000-0005-0000-0000-000093A20000}"/>
    <cellStyle name="Normal 10 4 5 2" xfId="43703" xr:uid="{00000000-0005-0000-0000-000094A20000}"/>
    <cellStyle name="Normal 10 4 5 2 2" xfId="43704" xr:uid="{00000000-0005-0000-0000-000095A20000}"/>
    <cellStyle name="Normal 10 4 5 2 2 2" xfId="43705" xr:uid="{00000000-0005-0000-0000-000096A20000}"/>
    <cellStyle name="Normal 10 4 5 2 3" xfId="43706" xr:uid="{00000000-0005-0000-0000-000097A20000}"/>
    <cellStyle name="Normal 10 4 5 3" xfId="43707" xr:uid="{00000000-0005-0000-0000-000098A20000}"/>
    <cellStyle name="Normal 10 4 5 3 2" xfId="43708" xr:uid="{00000000-0005-0000-0000-000099A20000}"/>
    <cellStyle name="Normal 10 4 5 4" xfId="43709" xr:uid="{00000000-0005-0000-0000-00009AA20000}"/>
    <cellStyle name="Normal 10 4 5 5" xfId="43710" xr:uid="{00000000-0005-0000-0000-00009BA20000}"/>
    <cellStyle name="Normal 10 4 5 6" xfId="43711" xr:uid="{00000000-0005-0000-0000-00009CA20000}"/>
    <cellStyle name="Normal 10 4 6" xfId="43712" xr:uid="{00000000-0005-0000-0000-00009DA20000}"/>
    <cellStyle name="Normal 10 4 6 2" xfId="43713" xr:uid="{00000000-0005-0000-0000-00009EA20000}"/>
    <cellStyle name="Normal 10 4 6 2 2" xfId="43714" xr:uid="{00000000-0005-0000-0000-00009FA20000}"/>
    <cellStyle name="Normal 10 4 6 3" xfId="43715" xr:uid="{00000000-0005-0000-0000-0000A0A20000}"/>
    <cellStyle name="Normal 10 4 7" xfId="43716" xr:uid="{00000000-0005-0000-0000-0000A1A20000}"/>
    <cellStyle name="Normal 10 4 7 2" xfId="43717" xr:uid="{00000000-0005-0000-0000-0000A2A20000}"/>
    <cellStyle name="Normal 10 4 7 2 2" xfId="43718" xr:uid="{00000000-0005-0000-0000-0000A3A20000}"/>
    <cellStyle name="Normal 10 4 7 3" xfId="43719" xr:uid="{00000000-0005-0000-0000-0000A4A20000}"/>
    <cellStyle name="Normal 10 4 8" xfId="43720" xr:uid="{00000000-0005-0000-0000-0000A5A20000}"/>
    <cellStyle name="Normal 10 4 8 2" xfId="43721" xr:uid="{00000000-0005-0000-0000-0000A6A20000}"/>
    <cellStyle name="Normal 10 4 9" xfId="43722" xr:uid="{00000000-0005-0000-0000-0000A7A20000}"/>
    <cellStyle name="Normal 10 5" xfId="43723" xr:uid="{00000000-0005-0000-0000-0000A8A20000}"/>
    <cellStyle name="Normal 10 5 10" xfId="43724" xr:uid="{00000000-0005-0000-0000-0000A9A20000}"/>
    <cellStyle name="Normal 10 5 2" xfId="43725" xr:uid="{00000000-0005-0000-0000-0000AAA20000}"/>
    <cellStyle name="Normal 10 5 2 2" xfId="43726" xr:uid="{00000000-0005-0000-0000-0000ABA20000}"/>
    <cellStyle name="Normal 10 5 2 2 2" xfId="43727" xr:uid="{00000000-0005-0000-0000-0000ACA20000}"/>
    <cellStyle name="Normal 10 5 2 2 2 2" xfId="43728" xr:uid="{00000000-0005-0000-0000-0000ADA20000}"/>
    <cellStyle name="Normal 10 5 2 2 2 2 2" xfId="43729" xr:uid="{00000000-0005-0000-0000-0000AEA20000}"/>
    <cellStyle name="Normal 10 5 2 2 2 3" xfId="43730" xr:uid="{00000000-0005-0000-0000-0000AFA20000}"/>
    <cellStyle name="Normal 10 5 2 2 3" xfId="43731" xr:uid="{00000000-0005-0000-0000-0000B0A20000}"/>
    <cellStyle name="Normal 10 5 2 2 3 2" xfId="43732" xr:uid="{00000000-0005-0000-0000-0000B1A20000}"/>
    <cellStyle name="Normal 10 5 2 2 4" xfId="43733" xr:uid="{00000000-0005-0000-0000-0000B2A20000}"/>
    <cellStyle name="Normal 10 5 2 2 5" xfId="43734" xr:uid="{00000000-0005-0000-0000-0000B3A20000}"/>
    <cellStyle name="Normal 10 5 2 2 6" xfId="43735" xr:uid="{00000000-0005-0000-0000-0000B4A20000}"/>
    <cellStyle name="Normal 10 5 2 3" xfId="43736" xr:uid="{00000000-0005-0000-0000-0000B5A20000}"/>
    <cellStyle name="Normal 10 5 2 3 2" xfId="43737" xr:uid="{00000000-0005-0000-0000-0000B6A20000}"/>
    <cellStyle name="Normal 10 5 2 3 2 2" xfId="43738" xr:uid="{00000000-0005-0000-0000-0000B7A20000}"/>
    <cellStyle name="Normal 10 5 2 3 3" xfId="43739" xr:uid="{00000000-0005-0000-0000-0000B8A20000}"/>
    <cellStyle name="Normal 10 5 2 4" xfId="43740" xr:uid="{00000000-0005-0000-0000-0000B9A20000}"/>
    <cellStyle name="Normal 10 5 2 4 2" xfId="43741" xr:uid="{00000000-0005-0000-0000-0000BAA20000}"/>
    <cellStyle name="Normal 10 5 2 4 2 2" xfId="43742" xr:uid="{00000000-0005-0000-0000-0000BBA20000}"/>
    <cellStyle name="Normal 10 5 2 4 3" xfId="43743" xr:uid="{00000000-0005-0000-0000-0000BCA20000}"/>
    <cellStyle name="Normal 10 5 2 5" xfId="43744" xr:uid="{00000000-0005-0000-0000-0000BDA20000}"/>
    <cellStyle name="Normal 10 5 2 5 2" xfId="43745" xr:uid="{00000000-0005-0000-0000-0000BEA20000}"/>
    <cellStyle name="Normal 10 5 2 6" xfId="43746" xr:uid="{00000000-0005-0000-0000-0000BFA20000}"/>
    <cellStyle name="Normal 10 5 2 7" xfId="43747" xr:uid="{00000000-0005-0000-0000-0000C0A20000}"/>
    <cellStyle name="Normal 10 5 2 8" xfId="43748" xr:uid="{00000000-0005-0000-0000-0000C1A20000}"/>
    <cellStyle name="Normal 10 5 3" xfId="43749" xr:uid="{00000000-0005-0000-0000-0000C2A20000}"/>
    <cellStyle name="Normal 10 5 3 2" xfId="43750" xr:uid="{00000000-0005-0000-0000-0000C3A20000}"/>
    <cellStyle name="Normal 10 5 3 2 2" xfId="43751" xr:uid="{00000000-0005-0000-0000-0000C4A20000}"/>
    <cellStyle name="Normal 10 5 3 2 2 2" xfId="43752" xr:uid="{00000000-0005-0000-0000-0000C5A20000}"/>
    <cellStyle name="Normal 10 5 3 2 2 2 2" xfId="43753" xr:uid="{00000000-0005-0000-0000-0000C6A20000}"/>
    <cellStyle name="Normal 10 5 3 2 2 3" xfId="43754" xr:uid="{00000000-0005-0000-0000-0000C7A20000}"/>
    <cellStyle name="Normal 10 5 3 2 3" xfId="43755" xr:uid="{00000000-0005-0000-0000-0000C8A20000}"/>
    <cellStyle name="Normal 10 5 3 2 3 2" xfId="43756" xr:uid="{00000000-0005-0000-0000-0000C9A20000}"/>
    <cellStyle name="Normal 10 5 3 2 4" xfId="43757" xr:uid="{00000000-0005-0000-0000-0000CAA20000}"/>
    <cellStyle name="Normal 10 5 3 2 5" xfId="43758" xr:uid="{00000000-0005-0000-0000-0000CBA20000}"/>
    <cellStyle name="Normal 10 5 3 2 6" xfId="43759" xr:uid="{00000000-0005-0000-0000-0000CCA20000}"/>
    <cellStyle name="Normal 10 5 3 3" xfId="43760" xr:uid="{00000000-0005-0000-0000-0000CDA20000}"/>
    <cellStyle name="Normal 10 5 3 3 2" xfId="43761" xr:uid="{00000000-0005-0000-0000-0000CEA20000}"/>
    <cellStyle name="Normal 10 5 3 3 2 2" xfId="43762" xr:uid="{00000000-0005-0000-0000-0000CFA20000}"/>
    <cellStyle name="Normal 10 5 3 3 3" xfId="43763" xr:uid="{00000000-0005-0000-0000-0000D0A20000}"/>
    <cellStyle name="Normal 10 5 3 4" xfId="43764" xr:uid="{00000000-0005-0000-0000-0000D1A20000}"/>
    <cellStyle name="Normal 10 5 3 4 2" xfId="43765" xr:uid="{00000000-0005-0000-0000-0000D2A20000}"/>
    <cellStyle name="Normal 10 5 3 5" xfId="43766" xr:uid="{00000000-0005-0000-0000-0000D3A20000}"/>
    <cellStyle name="Normal 10 5 3 6" xfId="43767" xr:uid="{00000000-0005-0000-0000-0000D4A20000}"/>
    <cellStyle name="Normal 10 5 3 7" xfId="43768" xr:uid="{00000000-0005-0000-0000-0000D5A20000}"/>
    <cellStyle name="Normal 10 5 4" xfId="43769" xr:uid="{00000000-0005-0000-0000-0000D6A20000}"/>
    <cellStyle name="Normal 10 5 4 2" xfId="43770" xr:uid="{00000000-0005-0000-0000-0000D7A20000}"/>
    <cellStyle name="Normal 10 5 4 2 2" xfId="43771" xr:uid="{00000000-0005-0000-0000-0000D8A20000}"/>
    <cellStyle name="Normal 10 5 4 2 2 2" xfId="43772" xr:uid="{00000000-0005-0000-0000-0000D9A20000}"/>
    <cellStyle name="Normal 10 5 4 2 3" xfId="43773" xr:uid="{00000000-0005-0000-0000-0000DAA20000}"/>
    <cellStyle name="Normal 10 5 4 3" xfId="43774" xr:uid="{00000000-0005-0000-0000-0000DBA20000}"/>
    <cellStyle name="Normal 10 5 4 3 2" xfId="43775" xr:uid="{00000000-0005-0000-0000-0000DCA20000}"/>
    <cellStyle name="Normal 10 5 4 4" xfId="43776" xr:uid="{00000000-0005-0000-0000-0000DDA20000}"/>
    <cellStyle name="Normal 10 5 4 5" xfId="43777" xr:uid="{00000000-0005-0000-0000-0000DEA20000}"/>
    <cellStyle name="Normal 10 5 4 6" xfId="43778" xr:uid="{00000000-0005-0000-0000-0000DFA20000}"/>
    <cellStyle name="Normal 10 5 5" xfId="43779" xr:uid="{00000000-0005-0000-0000-0000E0A20000}"/>
    <cellStyle name="Normal 10 5 5 2" xfId="43780" xr:uid="{00000000-0005-0000-0000-0000E1A20000}"/>
    <cellStyle name="Normal 10 5 5 2 2" xfId="43781" xr:uid="{00000000-0005-0000-0000-0000E2A20000}"/>
    <cellStyle name="Normal 10 5 5 3" xfId="43782" xr:uid="{00000000-0005-0000-0000-0000E3A20000}"/>
    <cellStyle name="Normal 10 5 6" xfId="43783" xr:uid="{00000000-0005-0000-0000-0000E4A20000}"/>
    <cellStyle name="Normal 10 5 6 2" xfId="43784" xr:uid="{00000000-0005-0000-0000-0000E5A20000}"/>
    <cellStyle name="Normal 10 5 6 2 2" xfId="43785" xr:uid="{00000000-0005-0000-0000-0000E6A20000}"/>
    <cellStyle name="Normal 10 5 6 3" xfId="43786" xr:uid="{00000000-0005-0000-0000-0000E7A20000}"/>
    <cellStyle name="Normal 10 5 7" xfId="43787" xr:uid="{00000000-0005-0000-0000-0000E8A20000}"/>
    <cellStyle name="Normal 10 5 7 2" xfId="43788" xr:uid="{00000000-0005-0000-0000-0000E9A20000}"/>
    <cellStyle name="Normal 10 5 7 2 2" xfId="43789" xr:uid="{00000000-0005-0000-0000-0000EAA20000}"/>
    <cellStyle name="Normal 10 5 7 3" xfId="43790" xr:uid="{00000000-0005-0000-0000-0000EBA20000}"/>
    <cellStyle name="Normal 10 5 8" xfId="43791" xr:uid="{00000000-0005-0000-0000-0000ECA20000}"/>
    <cellStyle name="Normal 10 5 8 2" xfId="43792" xr:uid="{00000000-0005-0000-0000-0000EDA20000}"/>
    <cellStyle name="Normal 10 5 9" xfId="43793" xr:uid="{00000000-0005-0000-0000-0000EEA20000}"/>
    <cellStyle name="Normal 10 6" xfId="43794" xr:uid="{00000000-0005-0000-0000-0000EFA20000}"/>
    <cellStyle name="Normal 10 6 2" xfId="43795" xr:uid="{00000000-0005-0000-0000-0000F0A20000}"/>
    <cellStyle name="Normal 10 6 2 2" xfId="43796" xr:uid="{00000000-0005-0000-0000-0000F1A20000}"/>
    <cellStyle name="Normal 10 6 2 2 2" xfId="43797" xr:uid="{00000000-0005-0000-0000-0000F2A20000}"/>
    <cellStyle name="Normal 10 6 2 2 2 2" xfId="43798" xr:uid="{00000000-0005-0000-0000-0000F3A20000}"/>
    <cellStyle name="Normal 10 6 2 2 3" xfId="43799" xr:uid="{00000000-0005-0000-0000-0000F4A20000}"/>
    <cellStyle name="Normal 10 6 2 3" xfId="43800" xr:uid="{00000000-0005-0000-0000-0000F5A20000}"/>
    <cellStyle name="Normal 10 6 2 3 2" xfId="43801" xr:uid="{00000000-0005-0000-0000-0000F6A20000}"/>
    <cellStyle name="Normal 10 6 2 4" xfId="43802" xr:uid="{00000000-0005-0000-0000-0000F7A20000}"/>
    <cellStyle name="Normal 10 6 2 5" xfId="43803" xr:uid="{00000000-0005-0000-0000-0000F8A20000}"/>
    <cellStyle name="Normal 10 6 2 6" xfId="43804" xr:uid="{00000000-0005-0000-0000-0000F9A20000}"/>
    <cellStyle name="Normal 10 6 3" xfId="43805" xr:uid="{00000000-0005-0000-0000-0000FAA20000}"/>
    <cellStyle name="Normal 10 6 3 2" xfId="43806" xr:uid="{00000000-0005-0000-0000-0000FBA20000}"/>
    <cellStyle name="Normal 10 6 3 2 2" xfId="43807" xr:uid="{00000000-0005-0000-0000-0000FCA20000}"/>
    <cellStyle name="Normal 10 6 3 3" xfId="43808" xr:uid="{00000000-0005-0000-0000-0000FDA20000}"/>
    <cellStyle name="Normal 10 6 4" xfId="43809" xr:uid="{00000000-0005-0000-0000-0000FEA20000}"/>
    <cellStyle name="Normal 10 6 4 2" xfId="43810" xr:uid="{00000000-0005-0000-0000-0000FFA20000}"/>
    <cellStyle name="Normal 10 6 4 2 2" xfId="43811" xr:uid="{00000000-0005-0000-0000-000000A30000}"/>
    <cellStyle name="Normal 10 6 4 3" xfId="43812" xr:uid="{00000000-0005-0000-0000-000001A30000}"/>
    <cellStyle name="Normal 10 6 5" xfId="43813" xr:uid="{00000000-0005-0000-0000-000002A30000}"/>
    <cellStyle name="Normal 10 6 5 2" xfId="43814" xr:uid="{00000000-0005-0000-0000-000003A30000}"/>
    <cellStyle name="Normal 10 6 6" xfId="43815" xr:uid="{00000000-0005-0000-0000-000004A30000}"/>
    <cellStyle name="Normal 10 6 7" xfId="43816" xr:uid="{00000000-0005-0000-0000-000005A30000}"/>
    <cellStyle name="Normal 10 6 8" xfId="43817" xr:uid="{00000000-0005-0000-0000-000006A30000}"/>
    <cellStyle name="Normal 10 7" xfId="43818" xr:uid="{00000000-0005-0000-0000-000007A30000}"/>
    <cellStyle name="Normal 10 7 2" xfId="43819" xr:uid="{00000000-0005-0000-0000-000008A30000}"/>
    <cellStyle name="Normal 10 7 2 2" xfId="43820" xr:uid="{00000000-0005-0000-0000-000009A30000}"/>
    <cellStyle name="Normal 10 7 2 2 2" xfId="43821" xr:uid="{00000000-0005-0000-0000-00000AA30000}"/>
    <cellStyle name="Normal 10 7 2 2 2 2" xfId="43822" xr:uid="{00000000-0005-0000-0000-00000BA30000}"/>
    <cellStyle name="Normal 10 7 2 2 3" xfId="43823" xr:uid="{00000000-0005-0000-0000-00000CA30000}"/>
    <cellStyle name="Normal 10 7 2 3" xfId="43824" xr:uid="{00000000-0005-0000-0000-00000DA30000}"/>
    <cellStyle name="Normal 10 7 2 3 2" xfId="43825" xr:uid="{00000000-0005-0000-0000-00000EA30000}"/>
    <cellStyle name="Normal 10 7 2 4" xfId="43826" xr:uid="{00000000-0005-0000-0000-00000FA30000}"/>
    <cellStyle name="Normal 10 7 2 5" xfId="43827" xr:uid="{00000000-0005-0000-0000-000010A30000}"/>
    <cellStyle name="Normal 10 7 2 6" xfId="43828" xr:uid="{00000000-0005-0000-0000-000011A30000}"/>
    <cellStyle name="Normal 10 7 3" xfId="43829" xr:uid="{00000000-0005-0000-0000-000012A30000}"/>
    <cellStyle name="Normal 10 7 3 2" xfId="43830" xr:uid="{00000000-0005-0000-0000-000013A30000}"/>
    <cellStyle name="Normal 10 7 3 2 2" xfId="43831" xr:uid="{00000000-0005-0000-0000-000014A30000}"/>
    <cellStyle name="Normal 10 7 3 3" xfId="43832" xr:uid="{00000000-0005-0000-0000-000015A30000}"/>
    <cellStyle name="Normal 10 7 4" xfId="43833" xr:uid="{00000000-0005-0000-0000-000016A30000}"/>
    <cellStyle name="Normal 10 7 4 2" xfId="43834" xr:uid="{00000000-0005-0000-0000-000017A30000}"/>
    <cellStyle name="Normal 10 7 4 2 2" xfId="43835" xr:uid="{00000000-0005-0000-0000-000018A30000}"/>
    <cellStyle name="Normal 10 7 4 3" xfId="43836" xr:uid="{00000000-0005-0000-0000-000019A30000}"/>
    <cellStyle name="Normal 10 7 5" xfId="43837" xr:uid="{00000000-0005-0000-0000-00001AA30000}"/>
    <cellStyle name="Normal 10 7 5 2" xfId="43838" xr:uid="{00000000-0005-0000-0000-00001BA30000}"/>
    <cellStyle name="Normal 10 7 6" xfId="43839" xr:uid="{00000000-0005-0000-0000-00001CA30000}"/>
    <cellStyle name="Normal 10 7 7" xfId="43840" xr:uid="{00000000-0005-0000-0000-00001DA30000}"/>
    <cellStyle name="Normal 10 7 8" xfId="43841" xr:uid="{00000000-0005-0000-0000-00001EA30000}"/>
    <cellStyle name="Normal 10 8" xfId="43842" xr:uid="{00000000-0005-0000-0000-00001FA30000}"/>
    <cellStyle name="Normal 10 8 2" xfId="43843" xr:uid="{00000000-0005-0000-0000-000020A30000}"/>
    <cellStyle name="Normal 10 8 2 2" xfId="43844" xr:uid="{00000000-0005-0000-0000-000021A30000}"/>
    <cellStyle name="Normal 10 8 2 2 2" xfId="43845" xr:uid="{00000000-0005-0000-0000-000022A30000}"/>
    <cellStyle name="Normal 10 8 2 3" xfId="43846" xr:uid="{00000000-0005-0000-0000-000023A30000}"/>
    <cellStyle name="Normal 10 8 3" xfId="43847" xr:uid="{00000000-0005-0000-0000-000024A30000}"/>
    <cellStyle name="Normal 10 8 3 2" xfId="43848" xr:uid="{00000000-0005-0000-0000-000025A30000}"/>
    <cellStyle name="Normal 10 8 4" xfId="43849" xr:uid="{00000000-0005-0000-0000-000026A30000}"/>
    <cellStyle name="Normal 10 8 5" xfId="43850" xr:uid="{00000000-0005-0000-0000-000027A30000}"/>
    <cellStyle name="Normal 10 8 6" xfId="43851" xr:uid="{00000000-0005-0000-0000-000028A30000}"/>
    <cellStyle name="Normal 10 9" xfId="43852" xr:uid="{00000000-0005-0000-0000-000029A30000}"/>
    <cellStyle name="Normal 10 9 2" xfId="43853" xr:uid="{00000000-0005-0000-0000-00002AA30000}"/>
    <cellStyle name="Normal 10 9 2 2" xfId="43854" xr:uid="{00000000-0005-0000-0000-00002BA30000}"/>
    <cellStyle name="Normal 10 9 2 2 2" xfId="43855" xr:uid="{00000000-0005-0000-0000-00002CA30000}"/>
    <cellStyle name="Normal 10 9 2 3" xfId="43856" xr:uid="{00000000-0005-0000-0000-00002DA30000}"/>
    <cellStyle name="Normal 10 9 3" xfId="43857" xr:uid="{00000000-0005-0000-0000-00002EA30000}"/>
    <cellStyle name="Normal 10 9 3 2" xfId="43858" xr:uid="{00000000-0005-0000-0000-00002FA30000}"/>
    <cellStyle name="Normal 10 9 4" xfId="43859" xr:uid="{00000000-0005-0000-0000-000030A30000}"/>
    <cellStyle name="Normal 10_Margin Sharing " xfId="43860" xr:uid="{00000000-0005-0000-0000-000031A30000}"/>
    <cellStyle name="Normal 100" xfId="43861" xr:uid="{00000000-0005-0000-0000-000032A30000}"/>
    <cellStyle name="Normal 100 2" xfId="43862" xr:uid="{00000000-0005-0000-0000-000033A30000}"/>
    <cellStyle name="Normal 100 2 2" xfId="43863" xr:uid="{00000000-0005-0000-0000-000034A30000}"/>
    <cellStyle name="Normal 100 3" xfId="43864" xr:uid="{00000000-0005-0000-0000-000035A30000}"/>
    <cellStyle name="Normal 101" xfId="43865" xr:uid="{00000000-0005-0000-0000-000036A30000}"/>
    <cellStyle name="Normal 101 2" xfId="43866" xr:uid="{00000000-0005-0000-0000-000037A30000}"/>
    <cellStyle name="Normal 102" xfId="43867" xr:uid="{00000000-0005-0000-0000-000038A30000}"/>
    <cellStyle name="Normal 102 2" xfId="43868" xr:uid="{00000000-0005-0000-0000-000039A30000}"/>
    <cellStyle name="Normal 102 2 2" xfId="43869" xr:uid="{00000000-0005-0000-0000-00003AA30000}"/>
    <cellStyle name="Normal 102 3" xfId="43870" xr:uid="{00000000-0005-0000-0000-00003BA30000}"/>
    <cellStyle name="Normal 103" xfId="43871" xr:uid="{00000000-0005-0000-0000-00003CA30000}"/>
    <cellStyle name="Normal 103 2" xfId="43872" xr:uid="{00000000-0005-0000-0000-00003DA30000}"/>
    <cellStyle name="Normal 104" xfId="43873" xr:uid="{00000000-0005-0000-0000-00003EA30000}"/>
    <cellStyle name="Normal 104 2" xfId="43874" xr:uid="{00000000-0005-0000-0000-00003FA30000}"/>
    <cellStyle name="Normal 105" xfId="43875" xr:uid="{00000000-0005-0000-0000-000040A30000}"/>
    <cellStyle name="Normal 105 2" xfId="43876" xr:uid="{00000000-0005-0000-0000-000041A30000}"/>
    <cellStyle name="Normal 106" xfId="43877" xr:uid="{00000000-0005-0000-0000-000042A30000}"/>
    <cellStyle name="Normal 106 2" xfId="43878" xr:uid="{00000000-0005-0000-0000-000043A30000}"/>
    <cellStyle name="Normal 107" xfId="43879" xr:uid="{00000000-0005-0000-0000-000044A30000}"/>
    <cellStyle name="Normal 108" xfId="43880" xr:uid="{00000000-0005-0000-0000-000045A30000}"/>
    <cellStyle name="Normal 109" xfId="43881" xr:uid="{00000000-0005-0000-0000-000046A30000}"/>
    <cellStyle name="Normal 11" xfId="43882" xr:uid="{00000000-0005-0000-0000-000047A30000}"/>
    <cellStyle name="Normal 11 2" xfId="43883" xr:uid="{00000000-0005-0000-0000-000048A30000}"/>
    <cellStyle name="Normal 11 2 2" xfId="43884" xr:uid="{00000000-0005-0000-0000-000049A30000}"/>
    <cellStyle name="Normal 11 2 2 2" xfId="43885" xr:uid="{00000000-0005-0000-0000-00004AA30000}"/>
    <cellStyle name="Normal 11 2 2 3" xfId="43886" xr:uid="{00000000-0005-0000-0000-00004BA30000}"/>
    <cellStyle name="Normal 11 2 3" xfId="43887" xr:uid="{00000000-0005-0000-0000-00004CA30000}"/>
    <cellStyle name="Normal 11 3" xfId="43888" xr:uid="{00000000-0005-0000-0000-00004DA30000}"/>
    <cellStyle name="Normal 11 3 2" xfId="43889" xr:uid="{00000000-0005-0000-0000-00004EA30000}"/>
    <cellStyle name="Normal 11 4" xfId="43890" xr:uid="{00000000-0005-0000-0000-00004FA30000}"/>
    <cellStyle name="Normal 11 4 2" xfId="43891" xr:uid="{00000000-0005-0000-0000-000050A30000}"/>
    <cellStyle name="Normal 11 5" xfId="43892" xr:uid="{00000000-0005-0000-0000-000051A30000}"/>
    <cellStyle name="Normal 11 5 2" xfId="43893" xr:uid="{00000000-0005-0000-0000-000052A30000}"/>
    <cellStyle name="Normal 11 6" xfId="43894" xr:uid="{00000000-0005-0000-0000-000053A30000}"/>
    <cellStyle name="Normal 11 6 2" xfId="43895" xr:uid="{00000000-0005-0000-0000-000054A30000}"/>
    <cellStyle name="Normal 11 6 2 2" xfId="43896" xr:uid="{00000000-0005-0000-0000-000055A30000}"/>
    <cellStyle name="Normal 11 6 2 2 2" xfId="43897" xr:uid="{00000000-0005-0000-0000-000056A30000}"/>
    <cellStyle name="Normal 11 6 2 3" xfId="43898" xr:uid="{00000000-0005-0000-0000-000057A30000}"/>
    <cellStyle name="Normal 11 6 3" xfId="43899" xr:uid="{00000000-0005-0000-0000-000058A30000}"/>
    <cellStyle name="Normal 11 6 3 2" xfId="43900" xr:uid="{00000000-0005-0000-0000-000059A30000}"/>
    <cellStyle name="Normal 11 6 4" xfId="43901" xr:uid="{00000000-0005-0000-0000-00005AA30000}"/>
    <cellStyle name="Normal 11 7" xfId="43902" xr:uid="{00000000-0005-0000-0000-00005BA30000}"/>
    <cellStyle name="Normal 11 7 2" xfId="43903" xr:uid="{00000000-0005-0000-0000-00005CA30000}"/>
    <cellStyle name="Normal 11 7 2 2" xfId="43904" xr:uid="{00000000-0005-0000-0000-00005DA30000}"/>
    <cellStyle name="Normal 11 7 2 2 2" xfId="43905" xr:uid="{00000000-0005-0000-0000-00005EA30000}"/>
    <cellStyle name="Normal 11 7 2 3" xfId="43906" xr:uid="{00000000-0005-0000-0000-00005FA30000}"/>
    <cellStyle name="Normal 11 7 3" xfId="43907" xr:uid="{00000000-0005-0000-0000-000060A30000}"/>
    <cellStyle name="Normal 11 7 3 2" xfId="43908" xr:uid="{00000000-0005-0000-0000-000061A30000}"/>
    <cellStyle name="Normal 11 7 4" xfId="43909" xr:uid="{00000000-0005-0000-0000-000062A30000}"/>
    <cellStyle name="Normal 11 8" xfId="43910" xr:uid="{00000000-0005-0000-0000-000063A30000}"/>
    <cellStyle name="Normal 11 8 2" xfId="43911" xr:uid="{00000000-0005-0000-0000-000064A30000}"/>
    <cellStyle name="Normal 11 8 2 2" xfId="43912" xr:uid="{00000000-0005-0000-0000-000065A30000}"/>
    <cellStyle name="Normal 11 8 2 2 2" xfId="43913" xr:uid="{00000000-0005-0000-0000-000066A30000}"/>
    <cellStyle name="Normal 11 8 2 3" xfId="43914" xr:uid="{00000000-0005-0000-0000-000067A30000}"/>
    <cellStyle name="Normal 11 8 3" xfId="43915" xr:uid="{00000000-0005-0000-0000-000068A30000}"/>
    <cellStyle name="Normal 11 8 3 2" xfId="43916" xr:uid="{00000000-0005-0000-0000-000069A30000}"/>
    <cellStyle name="Normal 11 8 4" xfId="43917" xr:uid="{00000000-0005-0000-0000-00006AA30000}"/>
    <cellStyle name="Normal 11 9" xfId="43918" xr:uid="{00000000-0005-0000-0000-00006BA30000}"/>
    <cellStyle name="Normal 110" xfId="43919" xr:uid="{00000000-0005-0000-0000-00006CA30000}"/>
    <cellStyle name="Normal 111" xfId="43920" xr:uid="{00000000-0005-0000-0000-00006DA30000}"/>
    <cellStyle name="Normal 112" xfId="43921" xr:uid="{00000000-0005-0000-0000-00006EA30000}"/>
    <cellStyle name="Normal 113" xfId="43922" xr:uid="{00000000-0005-0000-0000-00006FA30000}"/>
    <cellStyle name="Normal 113 2" xfId="43923" xr:uid="{00000000-0005-0000-0000-000070A30000}"/>
    <cellStyle name="Normal 113 2 2" xfId="43924" xr:uid="{00000000-0005-0000-0000-000071A30000}"/>
    <cellStyle name="Normal 113 2 2 2" xfId="43925" xr:uid="{00000000-0005-0000-0000-000072A30000}"/>
    <cellStyle name="Normal 113 2 3" xfId="43926" xr:uid="{00000000-0005-0000-0000-000073A30000}"/>
    <cellStyle name="Normal 113 3" xfId="43927" xr:uid="{00000000-0005-0000-0000-000074A30000}"/>
    <cellStyle name="Normal 113 3 2" xfId="43928" xr:uid="{00000000-0005-0000-0000-000075A30000}"/>
    <cellStyle name="Normal 113 4" xfId="43929" xr:uid="{00000000-0005-0000-0000-000076A30000}"/>
    <cellStyle name="Normal 114" xfId="43930" xr:uid="{00000000-0005-0000-0000-000077A30000}"/>
    <cellStyle name="Normal 114 2" xfId="43931" xr:uid="{00000000-0005-0000-0000-000078A30000}"/>
    <cellStyle name="Normal 114 2 2" xfId="43932" xr:uid="{00000000-0005-0000-0000-000079A30000}"/>
    <cellStyle name="Normal 114 3" xfId="43933" xr:uid="{00000000-0005-0000-0000-00007AA30000}"/>
    <cellStyle name="Normal 115" xfId="43934" xr:uid="{00000000-0005-0000-0000-00007BA30000}"/>
    <cellStyle name="Normal 115 2" xfId="43935" xr:uid="{00000000-0005-0000-0000-00007CA30000}"/>
    <cellStyle name="Normal 116" xfId="43936" xr:uid="{00000000-0005-0000-0000-00007DA30000}"/>
    <cellStyle name="Normal 116 2" xfId="43937" xr:uid="{00000000-0005-0000-0000-00007EA30000}"/>
    <cellStyle name="Normal 116 3" xfId="43938" xr:uid="{00000000-0005-0000-0000-00007FA30000}"/>
    <cellStyle name="Normal 117" xfId="43939" xr:uid="{00000000-0005-0000-0000-000080A30000}"/>
    <cellStyle name="Normal 117 2" xfId="43940" xr:uid="{00000000-0005-0000-0000-000081A30000}"/>
    <cellStyle name="Normal 117 3" xfId="43941" xr:uid="{00000000-0005-0000-0000-000082A30000}"/>
    <cellStyle name="Normal 118" xfId="43942" xr:uid="{00000000-0005-0000-0000-000083A30000}"/>
    <cellStyle name="Normal 119" xfId="43943" xr:uid="{00000000-0005-0000-0000-000084A30000}"/>
    <cellStyle name="Normal 12" xfId="43944" xr:uid="{00000000-0005-0000-0000-000085A30000}"/>
    <cellStyle name="Normal 12 2" xfId="43945" xr:uid="{00000000-0005-0000-0000-000086A30000}"/>
    <cellStyle name="Normal 12 2 2" xfId="43946" xr:uid="{00000000-0005-0000-0000-000087A30000}"/>
    <cellStyle name="Normal 12 2 2 2" xfId="43947" xr:uid="{00000000-0005-0000-0000-000088A30000}"/>
    <cellStyle name="Normal 12 2 2 2 2" xfId="43948" xr:uid="{00000000-0005-0000-0000-000089A30000}"/>
    <cellStyle name="Normal 12 2 2 2 2 2" xfId="43949" xr:uid="{00000000-0005-0000-0000-00008AA30000}"/>
    <cellStyle name="Normal 12 2 2 2 3" xfId="43950" xr:uid="{00000000-0005-0000-0000-00008BA30000}"/>
    <cellStyle name="Normal 12 2 2 3" xfId="43951" xr:uid="{00000000-0005-0000-0000-00008CA30000}"/>
    <cellStyle name="Normal 12 2 2 3 2" xfId="43952" xr:uid="{00000000-0005-0000-0000-00008DA30000}"/>
    <cellStyle name="Normal 12 2 2 4" xfId="43953" xr:uid="{00000000-0005-0000-0000-00008EA30000}"/>
    <cellStyle name="Normal 12 2 3" xfId="43954" xr:uid="{00000000-0005-0000-0000-00008FA30000}"/>
    <cellStyle name="Normal 12 2 3 2" xfId="43955" xr:uid="{00000000-0005-0000-0000-000090A30000}"/>
    <cellStyle name="Normal 12 2 3 2 2" xfId="43956" xr:uid="{00000000-0005-0000-0000-000091A30000}"/>
    <cellStyle name="Normal 12 2 3 2 2 2" xfId="43957" xr:uid="{00000000-0005-0000-0000-000092A30000}"/>
    <cellStyle name="Normal 12 2 3 2 3" xfId="43958" xr:uid="{00000000-0005-0000-0000-000093A30000}"/>
    <cellStyle name="Normal 12 2 3 3" xfId="43959" xr:uid="{00000000-0005-0000-0000-000094A30000}"/>
    <cellStyle name="Normal 12 2 3 3 2" xfId="43960" xr:uid="{00000000-0005-0000-0000-000095A30000}"/>
    <cellStyle name="Normal 12 2 3 4" xfId="43961" xr:uid="{00000000-0005-0000-0000-000096A30000}"/>
    <cellStyle name="Normal 12 2 4" xfId="43962" xr:uid="{00000000-0005-0000-0000-000097A30000}"/>
    <cellStyle name="Normal 12 2 4 2" xfId="43963" xr:uid="{00000000-0005-0000-0000-000098A30000}"/>
    <cellStyle name="Normal 12 2 4 2 2" xfId="43964" xr:uid="{00000000-0005-0000-0000-000099A30000}"/>
    <cellStyle name="Normal 12 2 4 2 2 2" xfId="43965" xr:uid="{00000000-0005-0000-0000-00009AA30000}"/>
    <cellStyle name="Normal 12 2 4 2 3" xfId="43966" xr:uid="{00000000-0005-0000-0000-00009BA30000}"/>
    <cellStyle name="Normal 12 2 4 3" xfId="43967" xr:uid="{00000000-0005-0000-0000-00009CA30000}"/>
    <cellStyle name="Normal 12 2 4 3 2" xfId="43968" xr:uid="{00000000-0005-0000-0000-00009DA30000}"/>
    <cellStyle name="Normal 12 2 4 4" xfId="43969" xr:uid="{00000000-0005-0000-0000-00009EA30000}"/>
    <cellStyle name="Normal 12 3" xfId="43970" xr:uid="{00000000-0005-0000-0000-00009FA30000}"/>
    <cellStyle name="Normal 12 3 2" xfId="43971" xr:uid="{00000000-0005-0000-0000-0000A0A30000}"/>
    <cellStyle name="Normal 12 3 2 2" xfId="43972" xr:uid="{00000000-0005-0000-0000-0000A1A30000}"/>
    <cellStyle name="Normal 12 3 2 2 2" xfId="43973" xr:uid="{00000000-0005-0000-0000-0000A2A30000}"/>
    <cellStyle name="Normal 12 3 2 3" xfId="43974" xr:uid="{00000000-0005-0000-0000-0000A3A30000}"/>
    <cellStyle name="Normal 12 3 3" xfId="43975" xr:uid="{00000000-0005-0000-0000-0000A4A30000}"/>
    <cellStyle name="Normal 12 3 3 2" xfId="43976" xr:uid="{00000000-0005-0000-0000-0000A5A30000}"/>
    <cellStyle name="Normal 12 3 4" xfId="43977" xr:uid="{00000000-0005-0000-0000-0000A6A30000}"/>
    <cellStyle name="Normal 12 4" xfId="43978" xr:uid="{00000000-0005-0000-0000-0000A7A30000}"/>
    <cellStyle name="Normal 12 4 2" xfId="43979" xr:uid="{00000000-0005-0000-0000-0000A8A30000}"/>
    <cellStyle name="Normal 12 4 2 2" xfId="43980" xr:uid="{00000000-0005-0000-0000-0000A9A30000}"/>
    <cellStyle name="Normal 12 4 2 2 2" xfId="43981" xr:uid="{00000000-0005-0000-0000-0000AAA30000}"/>
    <cellStyle name="Normal 12 4 2 3" xfId="43982" xr:uid="{00000000-0005-0000-0000-0000ABA30000}"/>
    <cellStyle name="Normal 12 4 3" xfId="43983" xr:uid="{00000000-0005-0000-0000-0000ACA30000}"/>
    <cellStyle name="Normal 12 4 3 2" xfId="43984" xr:uid="{00000000-0005-0000-0000-0000ADA30000}"/>
    <cellStyle name="Normal 12 4 4" xfId="43985" xr:uid="{00000000-0005-0000-0000-0000AEA30000}"/>
    <cellStyle name="Normal 12 5" xfId="43986" xr:uid="{00000000-0005-0000-0000-0000AFA30000}"/>
    <cellStyle name="Normal 12 5 2" xfId="43987" xr:uid="{00000000-0005-0000-0000-0000B0A30000}"/>
    <cellStyle name="Normal 12 5 2 2" xfId="43988" xr:uid="{00000000-0005-0000-0000-0000B1A30000}"/>
    <cellStyle name="Normal 12 5 2 2 2" xfId="43989" xr:uid="{00000000-0005-0000-0000-0000B2A30000}"/>
    <cellStyle name="Normal 12 5 2 3" xfId="43990" xr:uid="{00000000-0005-0000-0000-0000B3A30000}"/>
    <cellStyle name="Normal 12 5 3" xfId="43991" xr:uid="{00000000-0005-0000-0000-0000B4A30000}"/>
    <cellStyle name="Normal 12 5 3 2" xfId="43992" xr:uid="{00000000-0005-0000-0000-0000B5A30000}"/>
    <cellStyle name="Normal 12 5 4" xfId="43993" xr:uid="{00000000-0005-0000-0000-0000B6A30000}"/>
    <cellStyle name="Normal 12 6" xfId="43994" xr:uid="{00000000-0005-0000-0000-0000B7A30000}"/>
    <cellStyle name="Normal 12 6 2" xfId="43995" xr:uid="{00000000-0005-0000-0000-0000B8A30000}"/>
    <cellStyle name="Normal 12 6 2 2" xfId="43996" xr:uid="{00000000-0005-0000-0000-0000B9A30000}"/>
    <cellStyle name="Normal 12 6 3" xfId="43997" xr:uid="{00000000-0005-0000-0000-0000BAA30000}"/>
    <cellStyle name="Normal 12 7" xfId="43998" xr:uid="{00000000-0005-0000-0000-0000BBA30000}"/>
    <cellStyle name="Normal 120" xfId="43999" xr:uid="{00000000-0005-0000-0000-0000BCA30000}"/>
    <cellStyle name="Normal 121" xfId="44000" xr:uid="{00000000-0005-0000-0000-0000BDA30000}"/>
    <cellStyle name="Normal 121 2" xfId="44001" xr:uid="{00000000-0005-0000-0000-0000BEA30000}"/>
    <cellStyle name="Normal 121 2 2" xfId="44002" xr:uid="{00000000-0005-0000-0000-0000BFA30000}"/>
    <cellStyle name="Normal 121 2 3" xfId="44003" xr:uid="{00000000-0005-0000-0000-0000C0A30000}"/>
    <cellStyle name="Normal 122" xfId="44004" xr:uid="{00000000-0005-0000-0000-0000C1A30000}"/>
    <cellStyle name="Normal 123" xfId="44005" xr:uid="{00000000-0005-0000-0000-0000C2A30000}"/>
    <cellStyle name="Normal 124" xfId="44006" xr:uid="{00000000-0005-0000-0000-0000C3A30000}"/>
    <cellStyle name="Normal 125" xfId="56360" xr:uid="{00000000-0005-0000-0000-0000C4A30000}"/>
    <cellStyle name="Normal 126" xfId="156" xr:uid="{00000000-0005-0000-0000-0000CCA00000}"/>
    <cellStyle name="Normal 127" xfId="56363" xr:uid="{FEF50914-9494-4818-BD15-F3FFECBCEA05}"/>
    <cellStyle name="Normal 128" xfId="56367" xr:uid="{00000000-0005-0000-0000-000032DC0000}"/>
    <cellStyle name="Normal 13" xfId="44007" xr:uid="{00000000-0005-0000-0000-0000C5A30000}"/>
    <cellStyle name="Normal 13 2" xfId="44008" xr:uid="{00000000-0005-0000-0000-0000C6A30000}"/>
    <cellStyle name="Normal 13 2 2" xfId="44009" xr:uid="{00000000-0005-0000-0000-0000C7A30000}"/>
    <cellStyle name="Normal 13 2 3" xfId="44010" xr:uid="{00000000-0005-0000-0000-0000C8A30000}"/>
    <cellStyle name="Normal 13 3" xfId="44011" xr:uid="{00000000-0005-0000-0000-0000C9A30000}"/>
    <cellStyle name="Normal 13 4" xfId="44012" xr:uid="{00000000-0005-0000-0000-0000CAA30000}"/>
    <cellStyle name="Normal 13 4 2" xfId="44013" xr:uid="{00000000-0005-0000-0000-0000CBA30000}"/>
    <cellStyle name="Normal 13 4 2 2" xfId="44014" xr:uid="{00000000-0005-0000-0000-0000CCA30000}"/>
    <cellStyle name="Normal 13 4 2 2 2" xfId="44015" xr:uid="{00000000-0005-0000-0000-0000CDA30000}"/>
    <cellStyle name="Normal 13 4 2 3" xfId="44016" xr:uid="{00000000-0005-0000-0000-0000CEA30000}"/>
    <cellStyle name="Normal 13 4 3" xfId="44017" xr:uid="{00000000-0005-0000-0000-0000CFA30000}"/>
    <cellStyle name="Normal 13 4 3 2" xfId="44018" xr:uid="{00000000-0005-0000-0000-0000D0A30000}"/>
    <cellStyle name="Normal 13 4 4" xfId="44019" xr:uid="{00000000-0005-0000-0000-0000D1A30000}"/>
    <cellStyle name="Normal 13 5" xfId="44020" xr:uid="{00000000-0005-0000-0000-0000D2A30000}"/>
    <cellStyle name="Normal 13 5 2" xfId="44021" xr:uid="{00000000-0005-0000-0000-0000D3A30000}"/>
    <cellStyle name="Normal 13 5 2 2" xfId="44022" xr:uid="{00000000-0005-0000-0000-0000D4A30000}"/>
    <cellStyle name="Normal 13 5 2 2 2" xfId="44023" xr:uid="{00000000-0005-0000-0000-0000D5A30000}"/>
    <cellStyle name="Normal 13 5 2 3" xfId="44024" xr:uid="{00000000-0005-0000-0000-0000D6A30000}"/>
    <cellStyle name="Normal 13 5 3" xfId="44025" xr:uid="{00000000-0005-0000-0000-0000D7A30000}"/>
    <cellStyle name="Normal 13 5 3 2" xfId="44026" xr:uid="{00000000-0005-0000-0000-0000D8A30000}"/>
    <cellStyle name="Normal 13 5 4" xfId="44027" xr:uid="{00000000-0005-0000-0000-0000D9A30000}"/>
    <cellStyle name="Normal 13 6" xfId="44028" xr:uid="{00000000-0005-0000-0000-0000DAA30000}"/>
    <cellStyle name="Normal 13 6 2" xfId="44029" xr:uid="{00000000-0005-0000-0000-0000DBA30000}"/>
    <cellStyle name="Normal 13 6 2 2" xfId="44030" xr:uid="{00000000-0005-0000-0000-0000DCA30000}"/>
    <cellStyle name="Normal 13 6 2 2 2" xfId="44031" xr:uid="{00000000-0005-0000-0000-0000DDA30000}"/>
    <cellStyle name="Normal 13 6 2 3" xfId="44032" xr:uid="{00000000-0005-0000-0000-0000DEA30000}"/>
    <cellStyle name="Normal 13 6 3" xfId="44033" xr:uid="{00000000-0005-0000-0000-0000DFA30000}"/>
    <cellStyle name="Normal 13 6 3 2" xfId="44034" xr:uid="{00000000-0005-0000-0000-0000E0A30000}"/>
    <cellStyle name="Normal 13 6 4" xfId="44035" xr:uid="{00000000-0005-0000-0000-0000E1A30000}"/>
    <cellStyle name="Normal 13 7" xfId="44036" xr:uid="{00000000-0005-0000-0000-0000E2A30000}"/>
    <cellStyle name="Normal 136" xfId="44037" xr:uid="{00000000-0005-0000-0000-0000E3A30000}"/>
    <cellStyle name="Normal 136 2" xfId="44038" xr:uid="{00000000-0005-0000-0000-0000E4A30000}"/>
    <cellStyle name="Normal 136 2 2" xfId="44039" xr:uid="{00000000-0005-0000-0000-0000E5A30000}"/>
    <cellStyle name="Normal 136 3" xfId="44040" xr:uid="{00000000-0005-0000-0000-0000E6A30000}"/>
    <cellStyle name="Normal 136 4" xfId="44041" xr:uid="{00000000-0005-0000-0000-0000E7A30000}"/>
    <cellStyle name="Normal 14" xfId="44042" xr:uid="{00000000-0005-0000-0000-0000E8A30000}"/>
    <cellStyle name="Normal 14 2" xfId="44043" xr:uid="{00000000-0005-0000-0000-0000E9A30000}"/>
    <cellStyle name="Normal 14 2 2" xfId="44044" xr:uid="{00000000-0005-0000-0000-0000EAA30000}"/>
    <cellStyle name="Normal 14 2 3" xfId="44045" xr:uid="{00000000-0005-0000-0000-0000EBA30000}"/>
    <cellStyle name="Normal 14 3" xfId="44046" xr:uid="{00000000-0005-0000-0000-0000ECA30000}"/>
    <cellStyle name="Normal 14 3 2" xfId="44047" xr:uid="{00000000-0005-0000-0000-0000EDA30000}"/>
    <cellStyle name="Normal 14 3 2 2" xfId="44048" xr:uid="{00000000-0005-0000-0000-0000EEA30000}"/>
    <cellStyle name="Normal 14 3 2 2 2" xfId="44049" xr:uid="{00000000-0005-0000-0000-0000EFA30000}"/>
    <cellStyle name="Normal 14 3 2 3" xfId="44050" xr:uid="{00000000-0005-0000-0000-0000F0A30000}"/>
    <cellStyle name="Normal 14 3 3" xfId="44051" xr:uid="{00000000-0005-0000-0000-0000F1A30000}"/>
    <cellStyle name="Normal 14 3 3 2" xfId="44052" xr:uid="{00000000-0005-0000-0000-0000F2A30000}"/>
    <cellStyle name="Normal 14 3 4" xfId="44053" xr:uid="{00000000-0005-0000-0000-0000F3A30000}"/>
    <cellStyle name="Normal 14 4" xfId="44054" xr:uid="{00000000-0005-0000-0000-0000F4A30000}"/>
    <cellStyle name="Normal 14 4 2" xfId="44055" xr:uid="{00000000-0005-0000-0000-0000F5A30000}"/>
    <cellStyle name="Normal 14 4 2 2" xfId="44056" xr:uid="{00000000-0005-0000-0000-0000F6A30000}"/>
    <cellStyle name="Normal 14 4 2 2 2" xfId="44057" xr:uid="{00000000-0005-0000-0000-0000F7A30000}"/>
    <cellStyle name="Normal 14 4 2 3" xfId="44058" xr:uid="{00000000-0005-0000-0000-0000F8A30000}"/>
    <cellStyle name="Normal 14 4 3" xfId="44059" xr:uid="{00000000-0005-0000-0000-0000F9A30000}"/>
    <cellStyle name="Normal 14 4 3 2" xfId="44060" xr:uid="{00000000-0005-0000-0000-0000FAA30000}"/>
    <cellStyle name="Normal 14 4 4" xfId="44061" xr:uid="{00000000-0005-0000-0000-0000FBA30000}"/>
    <cellStyle name="Normal 14 5" xfId="44062" xr:uid="{00000000-0005-0000-0000-0000FCA30000}"/>
    <cellStyle name="Normal 14 5 2" xfId="44063" xr:uid="{00000000-0005-0000-0000-0000FDA30000}"/>
    <cellStyle name="Normal 14 5 2 2" xfId="44064" xr:uid="{00000000-0005-0000-0000-0000FEA30000}"/>
    <cellStyle name="Normal 14 5 2 2 2" xfId="44065" xr:uid="{00000000-0005-0000-0000-0000FFA30000}"/>
    <cellStyle name="Normal 14 5 2 3" xfId="44066" xr:uid="{00000000-0005-0000-0000-000000A40000}"/>
    <cellStyle name="Normal 14 5 3" xfId="44067" xr:uid="{00000000-0005-0000-0000-000001A40000}"/>
    <cellStyle name="Normal 14 5 3 2" xfId="44068" xr:uid="{00000000-0005-0000-0000-000002A40000}"/>
    <cellStyle name="Normal 14 5 4" xfId="44069" xr:uid="{00000000-0005-0000-0000-000003A40000}"/>
    <cellStyle name="Normal 15" xfId="44070" xr:uid="{00000000-0005-0000-0000-000004A40000}"/>
    <cellStyle name="Normal 15 2" xfId="44071" xr:uid="{00000000-0005-0000-0000-000005A40000}"/>
    <cellStyle name="Normal 15 2 2" xfId="44072" xr:uid="{00000000-0005-0000-0000-000006A40000}"/>
    <cellStyle name="Normal 15 2 3" xfId="44073" xr:uid="{00000000-0005-0000-0000-000007A40000}"/>
    <cellStyle name="Normal 15 3" xfId="44074" xr:uid="{00000000-0005-0000-0000-000008A40000}"/>
    <cellStyle name="Normal 15 3 2" xfId="44075" xr:uid="{00000000-0005-0000-0000-000009A40000}"/>
    <cellStyle name="Normal 15 3 2 2" xfId="44076" xr:uid="{00000000-0005-0000-0000-00000AA40000}"/>
    <cellStyle name="Normal 15 3 2 2 2" xfId="44077" xr:uid="{00000000-0005-0000-0000-00000BA40000}"/>
    <cellStyle name="Normal 15 3 2 3" xfId="44078" xr:uid="{00000000-0005-0000-0000-00000CA40000}"/>
    <cellStyle name="Normal 15 3 3" xfId="44079" xr:uid="{00000000-0005-0000-0000-00000DA40000}"/>
    <cellStyle name="Normal 15 3 3 2" xfId="44080" xr:uid="{00000000-0005-0000-0000-00000EA40000}"/>
    <cellStyle name="Normal 15 3 4" xfId="44081" xr:uid="{00000000-0005-0000-0000-00000FA40000}"/>
    <cellStyle name="Normal 15 4" xfId="44082" xr:uid="{00000000-0005-0000-0000-000010A40000}"/>
    <cellStyle name="Normal 15 4 2" xfId="44083" xr:uid="{00000000-0005-0000-0000-000011A40000}"/>
    <cellStyle name="Normal 15 4 2 2" xfId="44084" xr:uid="{00000000-0005-0000-0000-000012A40000}"/>
    <cellStyle name="Normal 15 4 2 2 2" xfId="44085" xr:uid="{00000000-0005-0000-0000-000013A40000}"/>
    <cellStyle name="Normal 15 4 2 3" xfId="44086" xr:uid="{00000000-0005-0000-0000-000014A40000}"/>
    <cellStyle name="Normal 15 4 3" xfId="44087" xr:uid="{00000000-0005-0000-0000-000015A40000}"/>
    <cellStyle name="Normal 15 4 3 2" xfId="44088" xr:uid="{00000000-0005-0000-0000-000016A40000}"/>
    <cellStyle name="Normal 15 4 4" xfId="44089" xr:uid="{00000000-0005-0000-0000-000017A40000}"/>
    <cellStyle name="Normal 15 5" xfId="44090" xr:uid="{00000000-0005-0000-0000-000018A40000}"/>
    <cellStyle name="Normal 15 5 2" xfId="44091" xr:uid="{00000000-0005-0000-0000-000019A40000}"/>
    <cellStyle name="Normal 15 5 2 2" xfId="44092" xr:uid="{00000000-0005-0000-0000-00001AA40000}"/>
    <cellStyle name="Normal 15 5 2 2 2" xfId="44093" xr:uid="{00000000-0005-0000-0000-00001BA40000}"/>
    <cellStyle name="Normal 15 5 2 3" xfId="44094" xr:uid="{00000000-0005-0000-0000-00001CA40000}"/>
    <cellStyle name="Normal 15 5 3" xfId="44095" xr:uid="{00000000-0005-0000-0000-00001DA40000}"/>
    <cellStyle name="Normal 15 5 3 2" xfId="44096" xr:uid="{00000000-0005-0000-0000-00001EA40000}"/>
    <cellStyle name="Normal 15 5 4" xfId="44097" xr:uid="{00000000-0005-0000-0000-00001FA40000}"/>
    <cellStyle name="Normal 15 6" xfId="44098" xr:uid="{00000000-0005-0000-0000-000020A40000}"/>
    <cellStyle name="Normal 15 6 2" xfId="44099" xr:uid="{00000000-0005-0000-0000-000021A40000}"/>
    <cellStyle name="Normal 15 6 2 2" xfId="44100" xr:uid="{00000000-0005-0000-0000-000022A40000}"/>
    <cellStyle name="Normal 15 6 3" xfId="44101" xr:uid="{00000000-0005-0000-0000-000023A40000}"/>
    <cellStyle name="Normal 151" xfId="44102" xr:uid="{00000000-0005-0000-0000-000024A40000}"/>
    <cellStyle name="Normal 154" xfId="99" xr:uid="{00000000-0005-0000-0000-000055000000}"/>
    <cellStyle name="Normal 16" xfId="44103" xr:uid="{00000000-0005-0000-0000-000025A40000}"/>
    <cellStyle name="Normal 16 2" xfId="44104" xr:uid="{00000000-0005-0000-0000-000026A40000}"/>
    <cellStyle name="Normal 16 2 2" xfId="44105" xr:uid="{00000000-0005-0000-0000-000027A40000}"/>
    <cellStyle name="Normal 16 2 3" xfId="44106" xr:uid="{00000000-0005-0000-0000-000028A40000}"/>
    <cellStyle name="Normal 16 3" xfId="44107" xr:uid="{00000000-0005-0000-0000-000029A40000}"/>
    <cellStyle name="Normal 16 3 2" xfId="44108" xr:uid="{00000000-0005-0000-0000-00002AA40000}"/>
    <cellStyle name="Normal 16 3 2 2" xfId="44109" xr:uid="{00000000-0005-0000-0000-00002BA40000}"/>
    <cellStyle name="Normal 16 3 2 2 2" xfId="44110" xr:uid="{00000000-0005-0000-0000-00002CA40000}"/>
    <cellStyle name="Normal 16 3 2 3" xfId="44111" xr:uid="{00000000-0005-0000-0000-00002DA40000}"/>
    <cellStyle name="Normal 16 3 3" xfId="44112" xr:uid="{00000000-0005-0000-0000-00002EA40000}"/>
    <cellStyle name="Normal 16 3 3 2" xfId="44113" xr:uid="{00000000-0005-0000-0000-00002FA40000}"/>
    <cellStyle name="Normal 16 3 4" xfId="44114" xr:uid="{00000000-0005-0000-0000-000030A40000}"/>
    <cellStyle name="Normal 16 4" xfId="44115" xr:uid="{00000000-0005-0000-0000-000031A40000}"/>
    <cellStyle name="Normal 16 4 2" xfId="44116" xr:uid="{00000000-0005-0000-0000-000032A40000}"/>
    <cellStyle name="Normal 16 4 2 2" xfId="44117" xr:uid="{00000000-0005-0000-0000-000033A40000}"/>
    <cellStyle name="Normal 16 4 2 2 2" xfId="44118" xr:uid="{00000000-0005-0000-0000-000034A40000}"/>
    <cellStyle name="Normal 16 4 2 3" xfId="44119" xr:uid="{00000000-0005-0000-0000-000035A40000}"/>
    <cellStyle name="Normal 16 4 3" xfId="44120" xr:uid="{00000000-0005-0000-0000-000036A40000}"/>
    <cellStyle name="Normal 16 4 3 2" xfId="44121" xr:uid="{00000000-0005-0000-0000-000037A40000}"/>
    <cellStyle name="Normal 16 4 4" xfId="44122" xr:uid="{00000000-0005-0000-0000-000038A40000}"/>
    <cellStyle name="Normal 16 5" xfId="44123" xr:uid="{00000000-0005-0000-0000-000039A40000}"/>
    <cellStyle name="Normal 16 5 2" xfId="44124" xr:uid="{00000000-0005-0000-0000-00003AA40000}"/>
    <cellStyle name="Normal 16 5 2 2" xfId="44125" xr:uid="{00000000-0005-0000-0000-00003BA40000}"/>
    <cellStyle name="Normal 16 5 2 2 2" xfId="44126" xr:uid="{00000000-0005-0000-0000-00003CA40000}"/>
    <cellStyle name="Normal 16 5 2 3" xfId="44127" xr:uid="{00000000-0005-0000-0000-00003DA40000}"/>
    <cellStyle name="Normal 16 5 3" xfId="44128" xr:uid="{00000000-0005-0000-0000-00003EA40000}"/>
    <cellStyle name="Normal 16 5 3 2" xfId="44129" xr:uid="{00000000-0005-0000-0000-00003FA40000}"/>
    <cellStyle name="Normal 16 5 4" xfId="44130" xr:uid="{00000000-0005-0000-0000-000040A40000}"/>
    <cellStyle name="Normal 16 6" xfId="44131" xr:uid="{00000000-0005-0000-0000-000041A40000}"/>
    <cellStyle name="Normal 17" xfId="44132" xr:uid="{00000000-0005-0000-0000-000042A40000}"/>
    <cellStyle name="Normal 17 2" xfId="44133" xr:uid="{00000000-0005-0000-0000-000043A40000}"/>
    <cellStyle name="Normal 17 2 2" xfId="44134" xr:uid="{00000000-0005-0000-0000-000044A40000}"/>
    <cellStyle name="Normal 17 2 3" xfId="44135" xr:uid="{00000000-0005-0000-0000-000045A40000}"/>
    <cellStyle name="Normal 17 3" xfId="44136" xr:uid="{00000000-0005-0000-0000-000046A40000}"/>
    <cellStyle name="Normal 17 3 2" xfId="44137" xr:uid="{00000000-0005-0000-0000-000047A40000}"/>
    <cellStyle name="Normal 17 3 2 2" xfId="44138" xr:uid="{00000000-0005-0000-0000-000048A40000}"/>
    <cellStyle name="Normal 17 3 2 2 2" xfId="44139" xr:uid="{00000000-0005-0000-0000-000049A40000}"/>
    <cellStyle name="Normal 17 3 2 3" xfId="44140" xr:uid="{00000000-0005-0000-0000-00004AA40000}"/>
    <cellStyle name="Normal 17 3 3" xfId="44141" xr:uid="{00000000-0005-0000-0000-00004BA40000}"/>
    <cellStyle name="Normal 17 3 3 2" xfId="44142" xr:uid="{00000000-0005-0000-0000-00004CA40000}"/>
    <cellStyle name="Normal 17 3 4" xfId="44143" xr:uid="{00000000-0005-0000-0000-00004DA40000}"/>
    <cellStyle name="Normal 17 4" xfId="44144" xr:uid="{00000000-0005-0000-0000-00004EA40000}"/>
    <cellStyle name="Normal 17 4 2" xfId="44145" xr:uid="{00000000-0005-0000-0000-00004FA40000}"/>
    <cellStyle name="Normal 17 4 2 2" xfId="44146" xr:uid="{00000000-0005-0000-0000-000050A40000}"/>
    <cellStyle name="Normal 17 4 2 2 2" xfId="44147" xr:uid="{00000000-0005-0000-0000-000051A40000}"/>
    <cellStyle name="Normal 17 4 2 3" xfId="44148" xr:uid="{00000000-0005-0000-0000-000052A40000}"/>
    <cellStyle name="Normal 17 4 3" xfId="44149" xr:uid="{00000000-0005-0000-0000-000053A40000}"/>
    <cellStyle name="Normal 17 4 3 2" xfId="44150" xr:uid="{00000000-0005-0000-0000-000054A40000}"/>
    <cellStyle name="Normal 17 4 4" xfId="44151" xr:uid="{00000000-0005-0000-0000-000055A40000}"/>
    <cellStyle name="Normal 17 5" xfId="44152" xr:uid="{00000000-0005-0000-0000-000056A40000}"/>
    <cellStyle name="Normal 17 5 2" xfId="44153" xr:uid="{00000000-0005-0000-0000-000057A40000}"/>
    <cellStyle name="Normal 17 5 2 2" xfId="44154" xr:uid="{00000000-0005-0000-0000-000058A40000}"/>
    <cellStyle name="Normal 17 5 2 2 2" xfId="44155" xr:uid="{00000000-0005-0000-0000-000059A40000}"/>
    <cellStyle name="Normal 17 5 2 3" xfId="44156" xr:uid="{00000000-0005-0000-0000-00005AA40000}"/>
    <cellStyle name="Normal 17 5 3" xfId="44157" xr:uid="{00000000-0005-0000-0000-00005BA40000}"/>
    <cellStyle name="Normal 17 5 3 2" xfId="44158" xr:uid="{00000000-0005-0000-0000-00005CA40000}"/>
    <cellStyle name="Normal 17 5 4" xfId="44159" xr:uid="{00000000-0005-0000-0000-00005DA40000}"/>
    <cellStyle name="Normal 17 6" xfId="44160" xr:uid="{00000000-0005-0000-0000-00005EA40000}"/>
    <cellStyle name="Normal 17 7" xfId="44161" xr:uid="{00000000-0005-0000-0000-00005FA40000}"/>
    <cellStyle name="Normal 18" xfId="44162" xr:uid="{00000000-0005-0000-0000-000060A40000}"/>
    <cellStyle name="Normal 18 2" xfId="44163" xr:uid="{00000000-0005-0000-0000-000061A40000}"/>
    <cellStyle name="Normal 18 2 2" xfId="44164" xr:uid="{00000000-0005-0000-0000-000062A40000}"/>
    <cellStyle name="Normal 18 2 3" xfId="44165" xr:uid="{00000000-0005-0000-0000-000063A40000}"/>
    <cellStyle name="Normal 18 3" xfId="44166" xr:uid="{00000000-0005-0000-0000-000064A40000}"/>
    <cellStyle name="Normal 18 3 2" xfId="44167" xr:uid="{00000000-0005-0000-0000-000065A40000}"/>
    <cellStyle name="Normal 18 3 2 2" xfId="44168" xr:uid="{00000000-0005-0000-0000-000066A40000}"/>
    <cellStyle name="Normal 18 3 2 2 2" xfId="44169" xr:uid="{00000000-0005-0000-0000-000067A40000}"/>
    <cellStyle name="Normal 18 3 2 3" xfId="44170" xr:uid="{00000000-0005-0000-0000-000068A40000}"/>
    <cellStyle name="Normal 18 3 3" xfId="44171" xr:uid="{00000000-0005-0000-0000-000069A40000}"/>
    <cellStyle name="Normal 18 3 3 2" xfId="44172" xr:uid="{00000000-0005-0000-0000-00006AA40000}"/>
    <cellStyle name="Normal 18 3 4" xfId="44173" xr:uid="{00000000-0005-0000-0000-00006BA40000}"/>
    <cellStyle name="Normal 18 4" xfId="44174" xr:uid="{00000000-0005-0000-0000-00006CA40000}"/>
    <cellStyle name="Normal 18 4 2" xfId="44175" xr:uid="{00000000-0005-0000-0000-00006DA40000}"/>
    <cellStyle name="Normal 18 4 2 2" xfId="44176" xr:uid="{00000000-0005-0000-0000-00006EA40000}"/>
    <cellStyle name="Normal 18 4 2 2 2" xfId="44177" xr:uid="{00000000-0005-0000-0000-00006FA40000}"/>
    <cellStyle name="Normal 18 4 2 3" xfId="44178" xr:uid="{00000000-0005-0000-0000-000070A40000}"/>
    <cellStyle name="Normal 18 4 3" xfId="44179" xr:uid="{00000000-0005-0000-0000-000071A40000}"/>
    <cellStyle name="Normal 18 4 3 2" xfId="44180" xr:uid="{00000000-0005-0000-0000-000072A40000}"/>
    <cellStyle name="Normal 18 4 4" xfId="44181" xr:uid="{00000000-0005-0000-0000-000073A40000}"/>
    <cellStyle name="Normal 18 5" xfId="44182" xr:uid="{00000000-0005-0000-0000-000074A40000}"/>
    <cellStyle name="Normal 18 5 2" xfId="44183" xr:uid="{00000000-0005-0000-0000-000075A40000}"/>
    <cellStyle name="Normal 18 5 2 2" xfId="44184" xr:uid="{00000000-0005-0000-0000-000076A40000}"/>
    <cellStyle name="Normal 18 5 2 2 2" xfId="44185" xr:uid="{00000000-0005-0000-0000-000077A40000}"/>
    <cellStyle name="Normal 18 5 2 3" xfId="44186" xr:uid="{00000000-0005-0000-0000-000078A40000}"/>
    <cellStyle name="Normal 18 5 3" xfId="44187" xr:uid="{00000000-0005-0000-0000-000079A40000}"/>
    <cellStyle name="Normal 18 5 3 2" xfId="44188" xr:uid="{00000000-0005-0000-0000-00007AA40000}"/>
    <cellStyle name="Normal 18 5 4" xfId="44189" xr:uid="{00000000-0005-0000-0000-00007BA40000}"/>
    <cellStyle name="Normal 18 6" xfId="44190" xr:uid="{00000000-0005-0000-0000-00007CA40000}"/>
    <cellStyle name="Normal 19" xfId="44191" xr:uid="{00000000-0005-0000-0000-00007DA40000}"/>
    <cellStyle name="Normal 19 2" xfId="44192" xr:uid="{00000000-0005-0000-0000-00007EA40000}"/>
    <cellStyle name="Normal 19 2 2" xfId="44193" xr:uid="{00000000-0005-0000-0000-00007FA40000}"/>
    <cellStyle name="Normal 19 2 3" xfId="44194" xr:uid="{00000000-0005-0000-0000-000080A40000}"/>
    <cellStyle name="Normal 19 3" xfId="44195" xr:uid="{00000000-0005-0000-0000-000081A40000}"/>
    <cellStyle name="Normal 19 3 2" xfId="44196" xr:uid="{00000000-0005-0000-0000-000082A40000}"/>
    <cellStyle name="Normal 19 3 2 2" xfId="44197" xr:uid="{00000000-0005-0000-0000-000083A40000}"/>
    <cellStyle name="Normal 19 3 2 2 2" xfId="44198" xr:uid="{00000000-0005-0000-0000-000084A40000}"/>
    <cellStyle name="Normal 19 3 2 3" xfId="44199" xr:uid="{00000000-0005-0000-0000-000085A40000}"/>
    <cellStyle name="Normal 19 3 3" xfId="44200" xr:uid="{00000000-0005-0000-0000-000086A40000}"/>
    <cellStyle name="Normal 19 3 3 2" xfId="44201" xr:uid="{00000000-0005-0000-0000-000087A40000}"/>
    <cellStyle name="Normal 19 3 4" xfId="44202" xr:uid="{00000000-0005-0000-0000-000088A40000}"/>
    <cellStyle name="Normal 19 4" xfId="44203" xr:uid="{00000000-0005-0000-0000-000089A40000}"/>
    <cellStyle name="Normal 19 4 2" xfId="44204" xr:uid="{00000000-0005-0000-0000-00008AA40000}"/>
    <cellStyle name="Normal 19 4 2 2" xfId="44205" xr:uid="{00000000-0005-0000-0000-00008BA40000}"/>
    <cellStyle name="Normal 19 4 2 2 2" xfId="44206" xr:uid="{00000000-0005-0000-0000-00008CA40000}"/>
    <cellStyle name="Normal 19 4 2 3" xfId="44207" xr:uid="{00000000-0005-0000-0000-00008DA40000}"/>
    <cellStyle name="Normal 19 4 3" xfId="44208" xr:uid="{00000000-0005-0000-0000-00008EA40000}"/>
    <cellStyle name="Normal 19 4 3 2" xfId="44209" xr:uid="{00000000-0005-0000-0000-00008FA40000}"/>
    <cellStyle name="Normal 19 4 4" xfId="44210" xr:uid="{00000000-0005-0000-0000-000090A40000}"/>
    <cellStyle name="Normal 19 5" xfId="44211" xr:uid="{00000000-0005-0000-0000-000091A40000}"/>
    <cellStyle name="Normal 19 5 2" xfId="44212" xr:uid="{00000000-0005-0000-0000-000092A40000}"/>
    <cellStyle name="Normal 19 5 2 2" xfId="44213" xr:uid="{00000000-0005-0000-0000-000093A40000}"/>
    <cellStyle name="Normal 19 5 2 2 2" xfId="44214" xr:uid="{00000000-0005-0000-0000-000094A40000}"/>
    <cellStyle name="Normal 19 5 2 3" xfId="44215" xr:uid="{00000000-0005-0000-0000-000095A40000}"/>
    <cellStyle name="Normal 19 5 3" xfId="44216" xr:uid="{00000000-0005-0000-0000-000096A40000}"/>
    <cellStyle name="Normal 19 5 3 2" xfId="44217" xr:uid="{00000000-0005-0000-0000-000097A40000}"/>
    <cellStyle name="Normal 19 5 4" xfId="44218" xr:uid="{00000000-0005-0000-0000-000098A40000}"/>
    <cellStyle name="Normal 19 6" xfId="44219" xr:uid="{00000000-0005-0000-0000-000099A40000}"/>
    <cellStyle name="Normal 2" xfId="5" xr:uid="{00000000-0005-0000-0000-000056000000}"/>
    <cellStyle name="Normal 2 10" xfId="1611" xr:uid="{00000000-0005-0000-0000-00009BA40000}"/>
    <cellStyle name="Normal 2 10 2" xfId="44220" xr:uid="{00000000-0005-0000-0000-00009CA40000}"/>
    <cellStyle name="Normal 2 10 3" xfId="44221" xr:uid="{00000000-0005-0000-0000-00009DA40000}"/>
    <cellStyle name="Normal 2 11" xfId="1612" xr:uid="{00000000-0005-0000-0000-00009EA40000}"/>
    <cellStyle name="Normal 2 11 2" xfId="44222" xr:uid="{00000000-0005-0000-0000-00009FA40000}"/>
    <cellStyle name="Normal 2 11 3" xfId="44223" xr:uid="{00000000-0005-0000-0000-0000A0A40000}"/>
    <cellStyle name="Normal 2 12" xfId="1613" xr:uid="{00000000-0005-0000-0000-0000A1A40000}"/>
    <cellStyle name="Normal 2 12 2" xfId="44224" xr:uid="{00000000-0005-0000-0000-0000A2A40000}"/>
    <cellStyle name="Normal 2 12 3" xfId="44225" xr:uid="{00000000-0005-0000-0000-0000A3A40000}"/>
    <cellStyle name="Normal 2 13" xfId="100" xr:uid="{00000000-0005-0000-0000-000057000000}"/>
    <cellStyle name="Normal 2 13 2" xfId="44226" xr:uid="{00000000-0005-0000-0000-0000A5A40000}"/>
    <cellStyle name="Normal 2 13 3" xfId="44227" xr:uid="{00000000-0005-0000-0000-0000A6A40000}"/>
    <cellStyle name="Normal 2 14" xfId="1614" xr:uid="{00000000-0005-0000-0000-0000A7A40000}"/>
    <cellStyle name="Normal 2 14 2" xfId="44228" xr:uid="{00000000-0005-0000-0000-0000A8A40000}"/>
    <cellStyle name="Normal 2 14 3" xfId="44229" xr:uid="{00000000-0005-0000-0000-0000A9A40000}"/>
    <cellStyle name="Normal 2 15" xfId="1615" xr:uid="{00000000-0005-0000-0000-0000AAA40000}"/>
    <cellStyle name="Normal 2 15 2" xfId="44230" xr:uid="{00000000-0005-0000-0000-0000ABA40000}"/>
    <cellStyle name="Normal 2 15 3" xfId="44231" xr:uid="{00000000-0005-0000-0000-0000ACA40000}"/>
    <cellStyle name="Normal 2 16" xfId="1616" xr:uid="{00000000-0005-0000-0000-0000ADA40000}"/>
    <cellStyle name="Normal 2 16 2" xfId="44232" xr:uid="{00000000-0005-0000-0000-0000AEA40000}"/>
    <cellStyle name="Normal 2 16 3" xfId="44233" xr:uid="{00000000-0005-0000-0000-0000AFA40000}"/>
    <cellStyle name="Normal 2 17" xfId="1617" xr:uid="{00000000-0005-0000-0000-0000B0A40000}"/>
    <cellStyle name="Normal 2 17 2" xfId="44234" xr:uid="{00000000-0005-0000-0000-0000B1A40000}"/>
    <cellStyle name="Normal 2 17 3" xfId="44235" xr:uid="{00000000-0005-0000-0000-0000B2A40000}"/>
    <cellStyle name="Normal 2 18" xfId="1618" xr:uid="{00000000-0005-0000-0000-0000B3A40000}"/>
    <cellStyle name="Normal 2 18 2" xfId="44236" xr:uid="{00000000-0005-0000-0000-0000B4A40000}"/>
    <cellStyle name="Normal 2 18 3" xfId="44237" xr:uid="{00000000-0005-0000-0000-0000B5A40000}"/>
    <cellStyle name="Normal 2 19" xfId="1619" xr:uid="{00000000-0005-0000-0000-0000B6A40000}"/>
    <cellStyle name="Normal 2 19 2" xfId="44238" xr:uid="{00000000-0005-0000-0000-0000B7A40000}"/>
    <cellStyle name="Normal 2 19 3" xfId="44239" xr:uid="{00000000-0005-0000-0000-0000B8A40000}"/>
    <cellStyle name="Normal 2 2" xfId="148" xr:uid="{00000000-0005-0000-0000-000058000000}"/>
    <cellStyle name="Normal 2 2 2" xfId="1621" xr:uid="{00000000-0005-0000-0000-0000BAA40000}"/>
    <cellStyle name="Normal 2 2 2 2" xfId="44240" xr:uid="{00000000-0005-0000-0000-0000BBA40000}"/>
    <cellStyle name="Normal 2 2 2 2 2" xfId="44241" xr:uid="{00000000-0005-0000-0000-0000BCA40000}"/>
    <cellStyle name="Normal 2 2 2 3" xfId="44242" xr:uid="{00000000-0005-0000-0000-0000BDA40000}"/>
    <cellStyle name="Normal 2 2 2 4" xfId="44243" xr:uid="{00000000-0005-0000-0000-0000BEA40000}"/>
    <cellStyle name="Normal 2 2 2 5" xfId="44244" xr:uid="{00000000-0005-0000-0000-0000BFA40000}"/>
    <cellStyle name="Normal 2 2 3" xfId="1622" xr:uid="{00000000-0005-0000-0000-0000C0A40000}"/>
    <cellStyle name="Normal 2 2 3 2" xfId="44245" xr:uid="{00000000-0005-0000-0000-0000C1A40000}"/>
    <cellStyle name="Normal 2 2 3 3" xfId="44246" xr:uid="{00000000-0005-0000-0000-0000C2A40000}"/>
    <cellStyle name="Normal 2 2 4" xfId="44247" xr:uid="{00000000-0005-0000-0000-0000C3A40000}"/>
    <cellStyle name="Normal 2 2 4 2" xfId="44248" xr:uid="{00000000-0005-0000-0000-0000C4A40000}"/>
    <cellStyle name="Normal 2 2 4 3" xfId="101" xr:uid="{00000000-0005-0000-0000-000059000000}"/>
    <cellStyle name="Normal 2 2 5" xfId="44249" xr:uid="{00000000-0005-0000-0000-0000C6A40000}"/>
    <cellStyle name="Normal 2 2 5 2" xfId="44250" xr:uid="{00000000-0005-0000-0000-0000C7A40000}"/>
    <cellStyle name="Normal 2 2 6" xfId="44251" xr:uid="{00000000-0005-0000-0000-0000C8A40000}"/>
    <cellStyle name="Normal 2 2 6 2" xfId="44252" xr:uid="{00000000-0005-0000-0000-0000C9A40000}"/>
    <cellStyle name="Normal 2 2 7" xfId="44253" xr:uid="{00000000-0005-0000-0000-0000CAA40000}"/>
    <cellStyle name="Normal 2 2 8" xfId="1620" xr:uid="{00000000-0005-0000-0000-0000B9A40000}"/>
    <cellStyle name="Normal 2 20" xfId="1623" xr:uid="{00000000-0005-0000-0000-0000CBA40000}"/>
    <cellStyle name="Normal 2 20 2" xfId="44254" xr:uid="{00000000-0005-0000-0000-0000CCA40000}"/>
    <cellStyle name="Normal 2 21" xfId="3571" xr:uid="{00000000-0005-0000-0000-0000CDA40000}"/>
    <cellStyle name="Normal 2 21 2" xfId="44255" xr:uid="{00000000-0005-0000-0000-0000CEA40000}"/>
    <cellStyle name="Normal 2 21 2 2" xfId="44256" xr:uid="{00000000-0005-0000-0000-0000CFA40000}"/>
    <cellStyle name="Normal 2 21 2 2 2" xfId="44257" xr:uid="{00000000-0005-0000-0000-0000D0A40000}"/>
    <cellStyle name="Normal 2 21 2 2 2 2" xfId="44258" xr:uid="{00000000-0005-0000-0000-0000D1A40000}"/>
    <cellStyle name="Normal 2 21 2 2 2 2 2" xfId="44259" xr:uid="{00000000-0005-0000-0000-0000D2A40000}"/>
    <cellStyle name="Normal 2 21 2 2 2 3" xfId="44260" xr:uid="{00000000-0005-0000-0000-0000D3A40000}"/>
    <cellStyle name="Normal 2 21 2 2 3" xfId="44261" xr:uid="{00000000-0005-0000-0000-0000D4A40000}"/>
    <cellStyle name="Normal 2 21 2 2 3 2" xfId="44262" xr:uid="{00000000-0005-0000-0000-0000D5A40000}"/>
    <cellStyle name="Normal 2 21 2 2 4" xfId="44263" xr:uid="{00000000-0005-0000-0000-0000D6A40000}"/>
    <cellStyle name="Normal 2 21 2 2 5" xfId="44264" xr:uid="{00000000-0005-0000-0000-0000D7A40000}"/>
    <cellStyle name="Normal 2 21 2 2 6" xfId="44265" xr:uid="{00000000-0005-0000-0000-0000D8A40000}"/>
    <cellStyle name="Normal 2 21 2 3" xfId="44266" xr:uid="{00000000-0005-0000-0000-0000D9A40000}"/>
    <cellStyle name="Normal 2 21 2 3 2" xfId="44267" xr:uid="{00000000-0005-0000-0000-0000DAA40000}"/>
    <cellStyle name="Normal 2 21 2 3 2 2" xfId="44268" xr:uid="{00000000-0005-0000-0000-0000DBA40000}"/>
    <cellStyle name="Normal 2 21 2 3 3" xfId="44269" xr:uid="{00000000-0005-0000-0000-0000DCA40000}"/>
    <cellStyle name="Normal 2 21 2 4" xfId="44270" xr:uid="{00000000-0005-0000-0000-0000DDA40000}"/>
    <cellStyle name="Normal 2 21 2 4 2" xfId="44271" xr:uid="{00000000-0005-0000-0000-0000DEA40000}"/>
    <cellStyle name="Normal 2 21 2 4 2 2" xfId="44272" xr:uid="{00000000-0005-0000-0000-0000DFA40000}"/>
    <cellStyle name="Normal 2 21 2 4 3" xfId="44273" xr:uid="{00000000-0005-0000-0000-0000E0A40000}"/>
    <cellStyle name="Normal 2 21 2 5" xfId="44274" xr:uid="{00000000-0005-0000-0000-0000E1A40000}"/>
    <cellStyle name="Normal 2 21 2 5 2" xfId="44275" xr:uid="{00000000-0005-0000-0000-0000E2A40000}"/>
    <cellStyle name="Normal 2 21 2 6" xfId="44276" xr:uid="{00000000-0005-0000-0000-0000E3A40000}"/>
    <cellStyle name="Normal 2 21 2 7" xfId="44277" xr:uid="{00000000-0005-0000-0000-0000E4A40000}"/>
    <cellStyle name="Normal 2 21 3" xfId="44278" xr:uid="{00000000-0005-0000-0000-0000E5A40000}"/>
    <cellStyle name="Normal 2 21 3 2" xfId="44279" xr:uid="{00000000-0005-0000-0000-0000E6A40000}"/>
    <cellStyle name="Normal 2 21 3 2 2" xfId="44280" xr:uid="{00000000-0005-0000-0000-0000E7A40000}"/>
    <cellStyle name="Normal 2 21 3 2 2 2" xfId="44281" xr:uid="{00000000-0005-0000-0000-0000E8A40000}"/>
    <cellStyle name="Normal 2 21 3 2 2 2 2" xfId="44282" xr:uid="{00000000-0005-0000-0000-0000E9A40000}"/>
    <cellStyle name="Normal 2 21 3 2 2 3" xfId="44283" xr:uid="{00000000-0005-0000-0000-0000EAA40000}"/>
    <cellStyle name="Normal 2 21 3 2 3" xfId="44284" xr:uid="{00000000-0005-0000-0000-0000EBA40000}"/>
    <cellStyle name="Normal 2 21 3 2 3 2" xfId="44285" xr:uid="{00000000-0005-0000-0000-0000ECA40000}"/>
    <cellStyle name="Normal 2 21 3 2 4" xfId="44286" xr:uid="{00000000-0005-0000-0000-0000EDA40000}"/>
    <cellStyle name="Normal 2 21 3 2 5" xfId="44287" xr:uid="{00000000-0005-0000-0000-0000EEA40000}"/>
    <cellStyle name="Normal 2 21 3 2 6" xfId="44288" xr:uid="{00000000-0005-0000-0000-0000EFA40000}"/>
    <cellStyle name="Normal 2 21 3 3" xfId="44289" xr:uid="{00000000-0005-0000-0000-0000F0A40000}"/>
    <cellStyle name="Normal 2 21 3 3 2" xfId="44290" xr:uid="{00000000-0005-0000-0000-0000F1A40000}"/>
    <cellStyle name="Normal 2 21 3 3 2 2" xfId="44291" xr:uid="{00000000-0005-0000-0000-0000F2A40000}"/>
    <cellStyle name="Normal 2 21 3 3 3" xfId="44292" xr:uid="{00000000-0005-0000-0000-0000F3A40000}"/>
    <cellStyle name="Normal 2 21 3 4" xfId="44293" xr:uid="{00000000-0005-0000-0000-0000F4A40000}"/>
    <cellStyle name="Normal 2 21 3 4 2" xfId="44294" xr:uid="{00000000-0005-0000-0000-0000F5A40000}"/>
    <cellStyle name="Normal 2 21 3 5" xfId="44295" xr:uid="{00000000-0005-0000-0000-0000F6A40000}"/>
    <cellStyle name="Normal 2 21 3 6" xfId="44296" xr:uid="{00000000-0005-0000-0000-0000F7A40000}"/>
    <cellStyle name="Normal 2 21 3 7" xfId="44297" xr:uid="{00000000-0005-0000-0000-0000F8A40000}"/>
    <cellStyle name="Normal 2 21 4" xfId="44298" xr:uid="{00000000-0005-0000-0000-0000F9A40000}"/>
    <cellStyle name="Normal 2 21 5" xfId="44299" xr:uid="{00000000-0005-0000-0000-0000FAA40000}"/>
    <cellStyle name="Normal 2 21 5 2" xfId="44300" xr:uid="{00000000-0005-0000-0000-0000FBA40000}"/>
    <cellStyle name="Normal 2 21 5 2 2" xfId="44301" xr:uid="{00000000-0005-0000-0000-0000FCA40000}"/>
    <cellStyle name="Normal 2 21 5 3" xfId="44302" xr:uid="{00000000-0005-0000-0000-0000FDA40000}"/>
    <cellStyle name="Normal 2 21 6" xfId="44303" xr:uid="{00000000-0005-0000-0000-0000FEA40000}"/>
    <cellStyle name="Normal 2 21 6 2" xfId="44304" xr:uid="{00000000-0005-0000-0000-0000FFA40000}"/>
    <cellStyle name="Normal 2 21 7" xfId="44305" xr:uid="{00000000-0005-0000-0000-000000A50000}"/>
    <cellStyle name="Normal 2 21 8" xfId="44306" xr:uid="{00000000-0005-0000-0000-000001A50000}"/>
    <cellStyle name="Normal 2 22" xfId="44307" xr:uid="{00000000-0005-0000-0000-000002A50000}"/>
    <cellStyle name="Normal 2 22 2" xfId="44308" xr:uid="{00000000-0005-0000-0000-000003A50000}"/>
    <cellStyle name="Normal 2 22 2 2" xfId="44309" xr:uid="{00000000-0005-0000-0000-000004A50000}"/>
    <cellStyle name="Normal 2 22 3" xfId="44310" xr:uid="{00000000-0005-0000-0000-000005A50000}"/>
    <cellStyle name="Normal 2 23" xfId="44311" xr:uid="{00000000-0005-0000-0000-000006A50000}"/>
    <cellStyle name="Normal 2 23 2" xfId="44312" xr:uid="{00000000-0005-0000-0000-000007A50000}"/>
    <cellStyle name="Normal 2 23 2 2" xfId="44313" xr:uid="{00000000-0005-0000-0000-000008A50000}"/>
    <cellStyle name="Normal 2 23 3" xfId="44314" xr:uid="{00000000-0005-0000-0000-000009A50000}"/>
    <cellStyle name="Normal 2 23 3 2" xfId="44315" xr:uid="{00000000-0005-0000-0000-00000AA50000}"/>
    <cellStyle name="Normal 2 23 3 3" xfId="44316" xr:uid="{00000000-0005-0000-0000-00000BA50000}"/>
    <cellStyle name="Normal 2 23 3 3 2" xfId="44317" xr:uid="{00000000-0005-0000-0000-00000CA50000}"/>
    <cellStyle name="Normal 2 23 4" xfId="44318" xr:uid="{00000000-0005-0000-0000-00000DA50000}"/>
    <cellStyle name="Normal 2 23 4 2" xfId="44319" xr:uid="{00000000-0005-0000-0000-00000EA50000}"/>
    <cellStyle name="Normal 2 23 5" xfId="44320" xr:uid="{00000000-0005-0000-0000-00000FA50000}"/>
    <cellStyle name="Normal 2 24" xfId="44321" xr:uid="{00000000-0005-0000-0000-000010A50000}"/>
    <cellStyle name="Normal 2 25" xfId="44322" xr:uid="{00000000-0005-0000-0000-000011A50000}"/>
    <cellStyle name="Normal 2 25 2" xfId="44323" xr:uid="{00000000-0005-0000-0000-000012A50000}"/>
    <cellStyle name="Normal 2 25 2 2" xfId="44324" xr:uid="{00000000-0005-0000-0000-000013A50000}"/>
    <cellStyle name="Normal 2 25 3" xfId="44325" xr:uid="{00000000-0005-0000-0000-000014A50000}"/>
    <cellStyle name="Normal 2 26" xfId="44326" xr:uid="{00000000-0005-0000-0000-000015A50000}"/>
    <cellStyle name="Normal 2 26 2" xfId="44327" xr:uid="{00000000-0005-0000-0000-000016A50000}"/>
    <cellStyle name="Normal 2 26 2 2" xfId="44328" xr:uid="{00000000-0005-0000-0000-000017A50000}"/>
    <cellStyle name="Normal 2 26 3" xfId="44329" xr:uid="{00000000-0005-0000-0000-000018A50000}"/>
    <cellStyle name="Normal 2 27" xfId="44330" xr:uid="{00000000-0005-0000-0000-000019A50000}"/>
    <cellStyle name="Normal 2 27 2" xfId="44331" xr:uid="{00000000-0005-0000-0000-00001AA50000}"/>
    <cellStyle name="Normal 2 28" xfId="44332" xr:uid="{00000000-0005-0000-0000-00001BA50000}"/>
    <cellStyle name="Normal 2 29" xfId="44333" xr:uid="{00000000-0005-0000-0000-00001CA50000}"/>
    <cellStyle name="Normal 2 3" xfId="1624" xr:uid="{00000000-0005-0000-0000-00001DA50000}"/>
    <cellStyle name="Normal 2 3 2" xfId="44334" xr:uid="{00000000-0005-0000-0000-00001EA50000}"/>
    <cellStyle name="Normal 2 3 2 2" xfId="44335" xr:uid="{00000000-0005-0000-0000-00001FA50000}"/>
    <cellStyle name="Normal 2 3 2 3" xfId="44336" xr:uid="{00000000-0005-0000-0000-000020A50000}"/>
    <cellStyle name="Normal 2 3 2 4" xfId="44337" xr:uid="{00000000-0005-0000-0000-000021A50000}"/>
    <cellStyle name="Normal 2 3 3" xfId="44338" xr:uid="{00000000-0005-0000-0000-000022A50000}"/>
    <cellStyle name="Normal 2 3 3 2" xfId="44339" xr:uid="{00000000-0005-0000-0000-000023A50000}"/>
    <cellStyle name="Normal 2 3 3 3" xfId="44340" xr:uid="{00000000-0005-0000-0000-000024A50000}"/>
    <cellStyle name="Normal 2 3 3 4" xfId="44341" xr:uid="{00000000-0005-0000-0000-000025A50000}"/>
    <cellStyle name="Normal 2 3 3 4 2" xfId="44342" xr:uid="{00000000-0005-0000-0000-000026A50000}"/>
    <cellStyle name="Normal 2 3 4" xfId="44343" xr:uid="{00000000-0005-0000-0000-000027A50000}"/>
    <cellStyle name="Normal 2 3 5" xfId="44344" xr:uid="{00000000-0005-0000-0000-000028A50000}"/>
    <cellStyle name="Normal 2 3 5 2" xfId="44345" xr:uid="{00000000-0005-0000-0000-000029A50000}"/>
    <cellStyle name="Normal 2 3 6" xfId="44346" xr:uid="{00000000-0005-0000-0000-00002AA50000}"/>
    <cellStyle name="Normal 2 3 7" xfId="44347" xr:uid="{00000000-0005-0000-0000-00002BA50000}"/>
    <cellStyle name="Normal 2 30" xfId="44348" xr:uid="{00000000-0005-0000-0000-00002CA50000}"/>
    <cellStyle name="Normal 2 31" xfId="44349" xr:uid="{00000000-0005-0000-0000-00002DA50000}"/>
    <cellStyle name="Normal 2 32" xfId="44350" xr:uid="{00000000-0005-0000-0000-00002EA50000}"/>
    <cellStyle name="Normal 2 4" xfId="160" xr:uid="{00000000-0005-0000-0000-00002FA50000}"/>
    <cellStyle name="Normal 2 4 2" xfId="44351" xr:uid="{00000000-0005-0000-0000-000030A50000}"/>
    <cellStyle name="Normal 2 4 3" xfId="44352" xr:uid="{00000000-0005-0000-0000-000031A50000}"/>
    <cellStyle name="Normal 2 4 4" xfId="44353" xr:uid="{00000000-0005-0000-0000-000032A50000}"/>
    <cellStyle name="Normal 2 4 5" xfId="44354" xr:uid="{00000000-0005-0000-0000-000033A50000}"/>
    <cellStyle name="Normal 2 5" xfId="1625" xr:uid="{00000000-0005-0000-0000-000034A50000}"/>
    <cellStyle name="Normal 2 5 2" xfId="44355" xr:uid="{00000000-0005-0000-0000-000035A50000}"/>
    <cellStyle name="Normal 2 5 3" xfId="44356" xr:uid="{00000000-0005-0000-0000-000036A50000}"/>
    <cellStyle name="Normal 2 6" xfId="1626" xr:uid="{00000000-0005-0000-0000-000037A50000}"/>
    <cellStyle name="Normal 2 6 2" xfId="44357" xr:uid="{00000000-0005-0000-0000-000038A50000}"/>
    <cellStyle name="Normal 2 6 3" xfId="44358" xr:uid="{00000000-0005-0000-0000-000039A50000}"/>
    <cellStyle name="Normal 2 7" xfId="1627" xr:uid="{00000000-0005-0000-0000-00003AA50000}"/>
    <cellStyle name="Normal 2 7 2" xfId="44359" xr:uid="{00000000-0005-0000-0000-00003BA50000}"/>
    <cellStyle name="Normal 2 7 3" xfId="44360" xr:uid="{00000000-0005-0000-0000-00003CA50000}"/>
    <cellStyle name="Normal 2 8" xfId="1628" xr:uid="{00000000-0005-0000-0000-00003DA50000}"/>
    <cellStyle name="Normal 2 8 2" xfId="44361" xr:uid="{00000000-0005-0000-0000-00003EA50000}"/>
    <cellStyle name="Normal 2 8 3" xfId="44362" xr:uid="{00000000-0005-0000-0000-00003FA50000}"/>
    <cellStyle name="Normal 2 9" xfId="1629" xr:uid="{00000000-0005-0000-0000-000040A50000}"/>
    <cellStyle name="Normal 2 9 2" xfId="44363" xr:uid="{00000000-0005-0000-0000-000041A50000}"/>
    <cellStyle name="Normal 2 9 3" xfId="44364" xr:uid="{00000000-0005-0000-0000-000042A50000}"/>
    <cellStyle name="Normal 20" xfId="44365" xr:uid="{00000000-0005-0000-0000-000043A50000}"/>
    <cellStyle name="Normal 20 2" xfId="44366" xr:uid="{00000000-0005-0000-0000-000044A50000}"/>
    <cellStyle name="Normal 20 2 2" xfId="44367" xr:uid="{00000000-0005-0000-0000-000045A50000}"/>
    <cellStyle name="Normal 20 3" xfId="44368" xr:uid="{00000000-0005-0000-0000-000046A50000}"/>
    <cellStyle name="Normal 20 3 2" xfId="44369" xr:uid="{00000000-0005-0000-0000-000047A50000}"/>
    <cellStyle name="Normal 20 3 2 2" xfId="44370" xr:uid="{00000000-0005-0000-0000-000048A50000}"/>
    <cellStyle name="Normal 20 3 2 2 2" xfId="44371" xr:uid="{00000000-0005-0000-0000-000049A50000}"/>
    <cellStyle name="Normal 20 3 2 3" xfId="44372" xr:uid="{00000000-0005-0000-0000-00004AA50000}"/>
    <cellStyle name="Normal 20 3 3" xfId="44373" xr:uid="{00000000-0005-0000-0000-00004BA50000}"/>
    <cellStyle name="Normal 20 3 3 2" xfId="44374" xr:uid="{00000000-0005-0000-0000-00004CA50000}"/>
    <cellStyle name="Normal 20 3 4" xfId="44375" xr:uid="{00000000-0005-0000-0000-00004DA50000}"/>
    <cellStyle name="Normal 20 4" xfId="44376" xr:uid="{00000000-0005-0000-0000-00004EA50000}"/>
    <cellStyle name="Normal 20 4 2" xfId="44377" xr:uid="{00000000-0005-0000-0000-00004FA50000}"/>
    <cellStyle name="Normal 20 4 2 2" xfId="44378" xr:uid="{00000000-0005-0000-0000-000050A50000}"/>
    <cellStyle name="Normal 20 4 2 2 2" xfId="44379" xr:uid="{00000000-0005-0000-0000-000051A50000}"/>
    <cellStyle name="Normal 20 4 2 3" xfId="44380" xr:uid="{00000000-0005-0000-0000-000052A50000}"/>
    <cellStyle name="Normal 20 4 3" xfId="44381" xr:uid="{00000000-0005-0000-0000-000053A50000}"/>
    <cellStyle name="Normal 20 4 3 2" xfId="44382" xr:uid="{00000000-0005-0000-0000-000054A50000}"/>
    <cellStyle name="Normal 20 4 4" xfId="44383" xr:uid="{00000000-0005-0000-0000-000055A50000}"/>
    <cellStyle name="Normal 20 5" xfId="44384" xr:uid="{00000000-0005-0000-0000-000056A50000}"/>
    <cellStyle name="Normal 20 5 2" xfId="44385" xr:uid="{00000000-0005-0000-0000-000057A50000}"/>
    <cellStyle name="Normal 20 5 2 2" xfId="44386" xr:uid="{00000000-0005-0000-0000-000058A50000}"/>
    <cellStyle name="Normal 20 5 2 2 2" xfId="44387" xr:uid="{00000000-0005-0000-0000-000059A50000}"/>
    <cellStyle name="Normal 20 5 2 3" xfId="44388" xr:uid="{00000000-0005-0000-0000-00005AA50000}"/>
    <cellStyle name="Normal 20 5 3" xfId="44389" xr:uid="{00000000-0005-0000-0000-00005BA50000}"/>
    <cellStyle name="Normal 20 5 3 2" xfId="44390" xr:uid="{00000000-0005-0000-0000-00005CA50000}"/>
    <cellStyle name="Normal 20 5 4" xfId="44391" xr:uid="{00000000-0005-0000-0000-00005DA50000}"/>
    <cellStyle name="Normal 20 6" xfId="44392" xr:uid="{00000000-0005-0000-0000-00005EA50000}"/>
    <cellStyle name="Normal 21" xfId="44393" xr:uid="{00000000-0005-0000-0000-00005FA50000}"/>
    <cellStyle name="Normal 21 2" xfId="44394" xr:uid="{00000000-0005-0000-0000-000060A50000}"/>
    <cellStyle name="Normal 21 2 2" xfId="44395" xr:uid="{00000000-0005-0000-0000-000061A50000}"/>
    <cellStyle name="Normal 21 3" xfId="44396" xr:uid="{00000000-0005-0000-0000-000062A50000}"/>
    <cellStyle name="Normal 21 4" xfId="44397" xr:uid="{00000000-0005-0000-0000-000063A50000}"/>
    <cellStyle name="Normal 21 5" xfId="44398" xr:uid="{00000000-0005-0000-0000-000064A50000}"/>
    <cellStyle name="Normal 22" xfId="44399" xr:uid="{00000000-0005-0000-0000-000065A50000}"/>
    <cellStyle name="Normal 22 2" xfId="44400" xr:uid="{00000000-0005-0000-0000-000066A50000}"/>
    <cellStyle name="Normal 22 2 2" xfId="44401" xr:uid="{00000000-0005-0000-0000-000067A50000}"/>
    <cellStyle name="Normal 22 3" xfId="44402" xr:uid="{00000000-0005-0000-0000-000068A50000}"/>
    <cellStyle name="Normal 22 4" xfId="44403" xr:uid="{00000000-0005-0000-0000-000069A50000}"/>
    <cellStyle name="Normal 22 5" xfId="44404" xr:uid="{00000000-0005-0000-0000-00006AA50000}"/>
    <cellStyle name="Normal 23" xfId="44405" xr:uid="{00000000-0005-0000-0000-00006BA50000}"/>
    <cellStyle name="Normal 23 2" xfId="44406" xr:uid="{00000000-0005-0000-0000-00006CA50000}"/>
    <cellStyle name="Normal 23 2 2" xfId="44407" xr:uid="{00000000-0005-0000-0000-00006DA50000}"/>
    <cellStyle name="Normal 23 3" xfId="44408" xr:uid="{00000000-0005-0000-0000-00006EA50000}"/>
    <cellStyle name="Normal 23 4" xfId="44409" xr:uid="{00000000-0005-0000-0000-00006FA50000}"/>
    <cellStyle name="Normal 23 5" xfId="44410" xr:uid="{00000000-0005-0000-0000-000070A50000}"/>
    <cellStyle name="Normal 24" xfId="44411" xr:uid="{00000000-0005-0000-0000-000071A50000}"/>
    <cellStyle name="Normal 24 2" xfId="44412" xr:uid="{00000000-0005-0000-0000-000072A50000}"/>
    <cellStyle name="Normal 24 2 2" xfId="44413" xr:uid="{00000000-0005-0000-0000-000073A50000}"/>
    <cellStyle name="Normal 24 3" xfId="44414" xr:uid="{00000000-0005-0000-0000-000074A50000}"/>
    <cellStyle name="Normal 24 4" xfId="44415" xr:uid="{00000000-0005-0000-0000-000075A50000}"/>
    <cellStyle name="Normal 24 5" xfId="44416" xr:uid="{00000000-0005-0000-0000-000076A50000}"/>
    <cellStyle name="Normal 25" xfId="44417" xr:uid="{00000000-0005-0000-0000-000077A50000}"/>
    <cellStyle name="Normal 25 2" xfId="44418" xr:uid="{00000000-0005-0000-0000-000078A50000}"/>
    <cellStyle name="Normal 25 2 2" xfId="44419" xr:uid="{00000000-0005-0000-0000-000079A50000}"/>
    <cellStyle name="Normal 25 3" xfId="44420" xr:uid="{00000000-0005-0000-0000-00007AA50000}"/>
    <cellStyle name="Normal 25 4" xfId="44421" xr:uid="{00000000-0005-0000-0000-00007BA50000}"/>
    <cellStyle name="Normal 25 5" xfId="44422" xr:uid="{00000000-0005-0000-0000-00007CA50000}"/>
    <cellStyle name="Normal 26" xfId="44423" xr:uid="{00000000-0005-0000-0000-00007DA50000}"/>
    <cellStyle name="Normal 26 2" xfId="44424" xr:uid="{00000000-0005-0000-0000-00007EA50000}"/>
    <cellStyle name="Normal 26 2 2" xfId="44425" xr:uid="{00000000-0005-0000-0000-00007FA50000}"/>
    <cellStyle name="Normal 26 2 3" xfId="44426" xr:uid="{00000000-0005-0000-0000-000080A50000}"/>
    <cellStyle name="Normal 26 2 4" xfId="44427" xr:uid="{00000000-0005-0000-0000-000081A50000}"/>
    <cellStyle name="Normal 26 3" xfId="44428" xr:uid="{00000000-0005-0000-0000-000082A50000}"/>
    <cellStyle name="Normal 26 3 2" xfId="44429" xr:uid="{00000000-0005-0000-0000-000083A50000}"/>
    <cellStyle name="Normal 26 3 3" xfId="44430" xr:uid="{00000000-0005-0000-0000-000084A50000}"/>
    <cellStyle name="Normal 26 4" xfId="44431" xr:uid="{00000000-0005-0000-0000-000085A50000}"/>
    <cellStyle name="Normal 26 5" xfId="44432" xr:uid="{00000000-0005-0000-0000-000086A50000}"/>
    <cellStyle name="Normal 26 6" xfId="44433" xr:uid="{00000000-0005-0000-0000-000087A50000}"/>
    <cellStyle name="Normal 26 7" xfId="44434" xr:uid="{00000000-0005-0000-0000-000088A50000}"/>
    <cellStyle name="Normal 27" xfId="44435" xr:uid="{00000000-0005-0000-0000-000089A50000}"/>
    <cellStyle name="Normal 27 2" xfId="44436" xr:uid="{00000000-0005-0000-0000-00008AA50000}"/>
    <cellStyle name="Normal 27 2 2" xfId="44437" xr:uid="{00000000-0005-0000-0000-00008BA50000}"/>
    <cellStyle name="Normal 27 3" xfId="44438" xr:uid="{00000000-0005-0000-0000-00008CA50000}"/>
    <cellStyle name="Normal 27 4" xfId="44439" xr:uid="{00000000-0005-0000-0000-00008DA50000}"/>
    <cellStyle name="Normal 27 5" xfId="44440" xr:uid="{00000000-0005-0000-0000-00008EA50000}"/>
    <cellStyle name="Normal 28" xfId="44441" xr:uid="{00000000-0005-0000-0000-00008FA50000}"/>
    <cellStyle name="Normal 28 2" xfId="44442" xr:uid="{00000000-0005-0000-0000-000090A50000}"/>
    <cellStyle name="Normal 28 2 2" xfId="44443" xr:uid="{00000000-0005-0000-0000-000091A50000}"/>
    <cellStyle name="Normal 28 2 2 2" xfId="44444" xr:uid="{00000000-0005-0000-0000-000092A50000}"/>
    <cellStyle name="Normal 28 2 2 2 2" xfId="44445" xr:uid="{00000000-0005-0000-0000-000093A50000}"/>
    <cellStyle name="Normal 28 2 2 2 2 2" xfId="44446" xr:uid="{00000000-0005-0000-0000-000094A50000}"/>
    <cellStyle name="Normal 28 2 2 2 3" xfId="44447" xr:uid="{00000000-0005-0000-0000-000095A50000}"/>
    <cellStyle name="Normal 28 2 2 3" xfId="44448" xr:uid="{00000000-0005-0000-0000-000096A50000}"/>
    <cellStyle name="Normal 28 2 2 3 2" xfId="44449" xr:uid="{00000000-0005-0000-0000-000097A50000}"/>
    <cellStyle name="Normal 28 2 2 4" xfId="44450" xr:uid="{00000000-0005-0000-0000-000098A50000}"/>
    <cellStyle name="Normal 28 2 2 5" xfId="44451" xr:uid="{00000000-0005-0000-0000-000099A50000}"/>
    <cellStyle name="Normal 28 2 2 6" xfId="44452" xr:uid="{00000000-0005-0000-0000-00009AA50000}"/>
    <cellStyle name="Normal 28 2 3" xfId="44453" xr:uid="{00000000-0005-0000-0000-00009BA50000}"/>
    <cellStyle name="Normal 28 2 3 2" xfId="44454" xr:uid="{00000000-0005-0000-0000-00009CA50000}"/>
    <cellStyle name="Normal 28 2 3 2 2" xfId="44455" xr:uid="{00000000-0005-0000-0000-00009DA50000}"/>
    <cellStyle name="Normal 28 2 3 3" xfId="44456" xr:uid="{00000000-0005-0000-0000-00009EA50000}"/>
    <cellStyle name="Normal 28 2 4" xfId="44457" xr:uid="{00000000-0005-0000-0000-00009FA50000}"/>
    <cellStyle name="Normal 28 2 4 2" xfId="44458" xr:uid="{00000000-0005-0000-0000-0000A0A50000}"/>
    <cellStyle name="Normal 28 2 4 2 2" xfId="44459" xr:uid="{00000000-0005-0000-0000-0000A1A50000}"/>
    <cellStyle name="Normal 28 2 4 3" xfId="44460" xr:uid="{00000000-0005-0000-0000-0000A2A50000}"/>
    <cellStyle name="Normal 28 2 5" xfId="44461" xr:uid="{00000000-0005-0000-0000-0000A3A50000}"/>
    <cellStyle name="Normal 28 2 5 2" xfId="44462" xr:uid="{00000000-0005-0000-0000-0000A4A50000}"/>
    <cellStyle name="Normal 28 2 6" xfId="44463" xr:uid="{00000000-0005-0000-0000-0000A5A50000}"/>
    <cellStyle name="Normal 28 2 7" xfId="44464" xr:uid="{00000000-0005-0000-0000-0000A6A50000}"/>
    <cellStyle name="Normal 28 3" xfId="44465" xr:uid="{00000000-0005-0000-0000-0000A7A50000}"/>
    <cellStyle name="Normal 28 3 2" xfId="44466" xr:uid="{00000000-0005-0000-0000-0000A8A50000}"/>
    <cellStyle name="Normal 28 3 2 2" xfId="44467" xr:uid="{00000000-0005-0000-0000-0000A9A50000}"/>
    <cellStyle name="Normal 28 3 2 2 2" xfId="44468" xr:uid="{00000000-0005-0000-0000-0000AAA50000}"/>
    <cellStyle name="Normal 28 3 2 2 2 2" xfId="44469" xr:uid="{00000000-0005-0000-0000-0000ABA50000}"/>
    <cellStyle name="Normal 28 3 2 2 3" xfId="44470" xr:uid="{00000000-0005-0000-0000-0000ACA50000}"/>
    <cellStyle name="Normal 28 3 2 3" xfId="44471" xr:uid="{00000000-0005-0000-0000-0000ADA50000}"/>
    <cellStyle name="Normal 28 3 2 3 2" xfId="44472" xr:uid="{00000000-0005-0000-0000-0000AEA50000}"/>
    <cellStyle name="Normal 28 3 2 4" xfId="44473" xr:uid="{00000000-0005-0000-0000-0000AFA50000}"/>
    <cellStyle name="Normal 28 3 2 5" xfId="44474" xr:uid="{00000000-0005-0000-0000-0000B0A50000}"/>
    <cellStyle name="Normal 28 3 2 6" xfId="44475" xr:uid="{00000000-0005-0000-0000-0000B1A50000}"/>
    <cellStyle name="Normal 28 3 3" xfId="44476" xr:uid="{00000000-0005-0000-0000-0000B2A50000}"/>
    <cellStyle name="Normal 28 3 3 2" xfId="44477" xr:uid="{00000000-0005-0000-0000-0000B3A50000}"/>
    <cellStyle name="Normal 28 3 3 2 2" xfId="44478" xr:uid="{00000000-0005-0000-0000-0000B4A50000}"/>
    <cellStyle name="Normal 28 3 3 3" xfId="44479" xr:uid="{00000000-0005-0000-0000-0000B5A50000}"/>
    <cellStyle name="Normal 28 3 4" xfId="44480" xr:uid="{00000000-0005-0000-0000-0000B6A50000}"/>
    <cellStyle name="Normal 28 3 4 2" xfId="44481" xr:uid="{00000000-0005-0000-0000-0000B7A50000}"/>
    <cellStyle name="Normal 28 3 5" xfId="44482" xr:uid="{00000000-0005-0000-0000-0000B8A50000}"/>
    <cellStyle name="Normal 28 3 6" xfId="44483" xr:uid="{00000000-0005-0000-0000-0000B9A50000}"/>
    <cellStyle name="Normal 28 3 7" xfId="44484" xr:uid="{00000000-0005-0000-0000-0000BAA50000}"/>
    <cellStyle name="Normal 28 4" xfId="44485" xr:uid="{00000000-0005-0000-0000-0000BBA50000}"/>
    <cellStyle name="Normal 28 4 2" xfId="44486" xr:uid="{00000000-0005-0000-0000-0000BCA50000}"/>
    <cellStyle name="Normal 28 4 2 2" xfId="44487" xr:uid="{00000000-0005-0000-0000-0000BDA50000}"/>
    <cellStyle name="Normal 28 4 3" xfId="44488" xr:uid="{00000000-0005-0000-0000-0000BEA50000}"/>
    <cellStyle name="Normal 28 5" xfId="44489" xr:uid="{00000000-0005-0000-0000-0000BFA50000}"/>
    <cellStyle name="Normal 28 5 2" xfId="44490" xr:uid="{00000000-0005-0000-0000-0000C0A50000}"/>
    <cellStyle name="Normal 28 6" xfId="44491" xr:uid="{00000000-0005-0000-0000-0000C1A50000}"/>
    <cellStyle name="Normal 28 7" xfId="44492" xr:uid="{00000000-0005-0000-0000-0000C2A50000}"/>
    <cellStyle name="Normal 28 8" xfId="44493" xr:uid="{00000000-0005-0000-0000-0000C3A50000}"/>
    <cellStyle name="Normal 29" xfId="44494" xr:uid="{00000000-0005-0000-0000-0000C4A50000}"/>
    <cellStyle name="Normal 29 2" xfId="44495" xr:uid="{00000000-0005-0000-0000-0000C5A50000}"/>
    <cellStyle name="Normal 29 2 2" xfId="44496" xr:uid="{00000000-0005-0000-0000-0000C6A50000}"/>
    <cellStyle name="Normal 29 2 3" xfId="44497" xr:uid="{00000000-0005-0000-0000-0000C7A50000}"/>
    <cellStyle name="Normal 29 3" xfId="44498" xr:uid="{00000000-0005-0000-0000-0000C8A50000}"/>
    <cellStyle name="Normal 29 3 2" xfId="44499" xr:uid="{00000000-0005-0000-0000-0000C9A50000}"/>
    <cellStyle name="Normal 29 3 3" xfId="44500" xr:uid="{00000000-0005-0000-0000-0000CAA50000}"/>
    <cellStyle name="Normal 29 4" xfId="44501" xr:uid="{00000000-0005-0000-0000-0000CBA50000}"/>
    <cellStyle name="Normal 29 5" xfId="44502" xr:uid="{00000000-0005-0000-0000-0000CCA50000}"/>
    <cellStyle name="Normal 29 6" xfId="44503" xr:uid="{00000000-0005-0000-0000-0000CDA50000}"/>
    <cellStyle name="Normal 29 7" xfId="44504" xr:uid="{00000000-0005-0000-0000-0000CEA50000}"/>
    <cellStyle name="Normal 3" xfId="48" xr:uid="{00000000-0005-0000-0000-00005A000000}"/>
    <cellStyle name="Normal 3 10" xfId="44505" xr:uid="{00000000-0005-0000-0000-0000D0A50000}"/>
    <cellStyle name="Normal 3 11" xfId="44506" xr:uid="{00000000-0005-0000-0000-0000D1A50000}"/>
    <cellStyle name="Normal 3 12" xfId="1630" xr:uid="{00000000-0005-0000-0000-0000CFA50000}"/>
    <cellStyle name="Normal 3 2" xfId="1631" xr:uid="{00000000-0005-0000-0000-0000D2A50000}"/>
    <cellStyle name="Normal 3 2 2" xfId="44507" xr:uid="{00000000-0005-0000-0000-0000D3A50000}"/>
    <cellStyle name="Normal 3 2 2 2" xfId="44508" xr:uid="{00000000-0005-0000-0000-0000D4A50000}"/>
    <cellStyle name="Normal 3 2 2 3" xfId="44509" xr:uid="{00000000-0005-0000-0000-0000D5A50000}"/>
    <cellStyle name="Normal 3 2 3" xfId="44510" xr:uid="{00000000-0005-0000-0000-0000D6A50000}"/>
    <cellStyle name="Normal 3 2 3 2" xfId="44511" xr:uid="{00000000-0005-0000-0000-0000D7A50000}"/>
    <cellStyle name="Normal 3 2 3 3" xfId="44512" xr:uid="{00000000-0005-0000-0000-0000D8A50000}"/>
    <cellStyle name="Normal 3 2 4" xfId="44513" xr:uid="{00000000-0005-0000-0000-0000D9A50000}"/>
    <cellStyle name="Normal 3 2 4 2" xfId="44514" xr:uid="{00000000-0005-0000-0000-0000DAA50000}"/>
    <cellStyle name="Normal 3 2 4 2 2" xfId="44515" xr:uid="{00000000-0005-0000-0000-0000DBA50000}"/>
    <cellStyle name="Normal 3 2 4 3" xfId="44516" xr:uid="{00000000-0005-0000-0000-0000DCA50000}"/>
    <cellStyle name="Normal 3 2 5" xfId="44517" xr:uid="{00000000-0005-0000-0000-0000DDA50000}"/>
    <cellStyle name="Normal 3 2 5 2" xfId="44518" xr:uid="{00000000-0005-0000-0000-0000DEA50000}"/>
    <cellStyle name="Normal 3 2 6" xfId="44519" xr:uid="{00000000-0005-0000-0000-0000DFA50000}"/>
    <cellStyle name="Normal 3 2 6 2" xfId="44520" xr:uid="{00000000-0005-0000-0000-0000E0A50000}"/>
    <cellStyle name="Normal 3 2 7" xfId="44521" xr:uid="{00000000-0005-0000-0000-0000E1A50000}"/>
    <cellStyle name="Normal 3 3" xfId="44522" xr:uid="{00000000-0005-0000-0000-0000E2A50000}"/>
    <cellStyle name="Normal 3 3 2" xfId="44523" xr:uid="{00000000-0005-0000-0000-0000E3A50000}"/>
    <cellStyle name="Normal 3 3 2 2" xfId="44524" xr:uid="{00000000-0005-0000-0000-0000E4A50000}"/>
    <cellStyle name="Normal 3 3 3" xfId="44525" xr:uid="{00000000-0005-0000-0000-0000E5A50000}"/>
    <cellStyle name="Normal 3 3 3 2" xfId="44526" xr:uid="{00000000-0005-0000-0000-0000E6A50000}"/>
    <cellStyle name="Normal 3 3 3 2 2" xfId="44527" xr:uid="{00000000-0005-0000-0000-0000E7A50000}"/>
    <cellStyle name="Normal 3 3 3 2 2 2" xfId="44528" xr:uid="{00000000-0005-0000-0000-0000E8A50000}"/>
    <cellStyle name="Normal 3 3 3 2 3" xfId="44529" xr:uid="{00000000-0005-0000-0000-0000E9A50000}"/>
    <cellStyle name="Normal 3 3 3 3" xfId="44530" xr:uid="{00000000-0005-0000-0000-0000EAA50000}"/>
    <cellStyle name="Normal 3 3 3 3 2" xfId="44531" xr:uid="{00000000-0005-0000-0000-0000EBA50000}"/>
    <cellStyle name="Normal 3 3 3 4" xfId="44532" xr:uid="{00000000-0005-0000-0000-0000ECA50000}"/>
    <cellStyle name="Normal 3 3 4" xfId="44533" xr:uid="{00000000-0005-0000-0000-0000EDA50000}"/>
    <cellStyle name="Normal 3 3 4 2" xfId="44534" xr:uid="{00000000-0005-0000-0000-0000EEA50000}"/>
    <cellStyle name="Normal 3 3 4 2 2" xfId="44535" xr:uid="{00000000-0005-0000-0000-0000EFA50000}"/>
    <cellStyle name="Normal 3 3 4 2 2 2" xfId="44536" xr:uid="{00000000-0005-0000-0000-0000F0A50000}"/>
    <cellStyle name="Normal 3 3 4 2 3" xfId="44537" xr:uid="{00000000-0005-0000-0000-0000F1A50000}"/>
    <cellStyle name="Normal 3 3 4 3" xfId="44538" xr:uid="{00000000-0005-0000-0000-0000F2A50000}"/>
    <cellStyle name="Normal 3 3 4 3 2" xfId="44539" xr:uid="{00000000-0005-0000-0000-0000F3A50000}"/>
    <cellStyle name="Normal 3 3 4 4" xfId="44540" xr:uid="{00000000-0005-0000-0000-0000F4A50000}"/>
    <cellStyle name="Normal 3 3 5" xfId="44541" xr:uid="{00000000-0005-0000-0000-0000F5A50000}"/>
    <cellStyle name="Normal 3 3 5 2" xfId="44542" xr:uid="{00000000-0005-0000-0000-0000F6A50000}"/>
    <cellStyle name="Normal 3 3 5 2 2" xfId="44543" xr:uid="{00000000-0005-0000-0000-0000F7A50000}"/>
    <cellStyle name="Normal 3 3 5 2 2 2" xfId="44544" xr:uid="{00000000-0005-0000-0000-0000F8A50000}"/>
    <cellStyle name="Normal 3 3 5 2 3" xfId="44545" xr:uid="{00000000-0005-0000-0000-0000F9A50000}"/>
    <cellStyle name="Normal 3 3 5 3" xfId="44546" xr:uid="{00000000-0005-0000-0000-0000FAA50000}"/>
    <cellStyle name="Normal 3 3 5 3 2" xfId="44547" xr:uid="{00000000-0005-0000-0000-0000FBA50000}"/>
    <cellStyle name="Normal 3 3 5 4" xfId="44548" xr:uid="{00000000-0005-0000-0000-0000FCA50000}"/>
    <cellStyle name="Normal 3 3 6" xfId="44549" xr:uid="{00000000-0005-0000-0000-0000FDA50000}"/>
    <cellStyle name="Normal 3 4" xfId="44550" xr:uid="{00000000-0005-0000-0000-0000FEA50000}"/>
    <cellStyle name="Normal 3 4 2" xfId="44551" xr:uid="{00000000-0005-0000-0000-0000FFA50000}"/>
    <cellStyle name="Normal 3 4 3" xfId="44552" xr:uid="{00000000-0005-0000-0000-000000A60000}"/>
    <cellStyle name="Normal 3 5" xfId="44553" xr:uid="{00000000-0005-0000-0000-000001A60000}"/>
    <cellStyle name="Normal 3 5 2" xfId="44554" xr:uid="{00000000-0005-0000-0000-000002A60000}"/>
    <cellStyle name="Normal 3 5 2 2" xfId="44555" xr:uid="{00000000-0005-0000-0000-000003A60000}"/>
    <cellStyle name="Normal 3 5 3" xfId="44556" xr:uid="{00000000-0005-0000-0000-000004A60000}"/>
    <cellStyle name="Normal 3 6" xfId="44557" xr:uid="{00000000-0005-0000-0000-000005A60000}"/>
    <cellStyle name="Normal 3 6 2" xfId="44558" xr:uid="{00000000-0005-0000-0000-000006A60000}"/>
    <cellStyle name="Normal 3 6 3" xfId="44559" xr:uid="{00000000-0005-0000-0000-000007A60000}"/>
    <cellStyle name="Normal 3 7" xfId="44560" xr:uid="{00000000-0005-0000-0000-000008A60000}"/>
    <cellStyle name="Normal 3 7 2" xfId="44561" xr:uid="{00000000-0005-0000-0000-000009A60000}"/>
    <cellStyle name="Normal 3 7 2 2" xfId="44562" xr:uid="{00000000-0005-0000-0000-00000AA60000}"/>
    <cellStyle name="Normal 3 7 3" xfId="44563" xr:uid="{00000000-0005-0000-0000-00000BA60000}"/>
    <cellStyle name="Normal 3 7 4" xfId="44564" xr:uid="{00000000-0005-0000-0000-00000CA60000}"/>
    <cellStyle name="Normal 3 8" xfId="44565" xr:uid="{00000000-0005-0000-0000-00000DA60000}"/>
    <cellStyle name="Normal 3 9" xfId="44566" xr:uid="{00000000-0005-0000-0000-00000EA60000}"/>
    <cellStyle name="Normal 3_Savings and Cost Electric" xfId="44567" xr:uid="{00000000-0005-0000-0000-00000FA60000}"/>
    <cellStyle name="Normal 30" xfId="44568" xr:uid="{00000000-0005-0000-0000-000010A60000}"/>
    <cellStyle name="Normal 30 2" xfId="44569" xr:uid="{00000000-0005-0000-0000-000011A60000}"/>
    <cellStyle name="Normal 30 2 2" xfId="44570" xr:uid="{00000000-0005-0000-0000-000012A60000}"/>
    <cellStyle name="Normal 30 2 3" xfId="44571" xr:uid="{00000000-0005-0000-0000-000013A60000}"/>
    <cellStyle name="Normal 30 3" xfId="44572" xr:uid="{00000000-0005-0000-0000-000014A60000}"/>
    <cellStyle name="Normal 30 3 2" xfId="44573" xr:uid="{00000000-0005-0000-0000-000015A60000}"/>
    <cellStyle name="Normal 30 3 3" xfId="44574" xr:uid="{00000000-0005-0000-0000-000016A60000}"/>
    <cellStyle name="Normal 30 4" xfId="44575" xr:uid="{00000000-0005-0000-0000-000017A60000}"/>
    <cellStyle name="Normal 30 5" xfId="44576" xr:uid="{00000000-0005-0000-0000-000018A60000}"/>
    <cellStyle name="Normal 30 6" xfId="44577" xr:uid="{00000000-0005-0000-0000-000019A60000}"/>
    <cellStyle name="Normal 30 7" xfId="44578" xr:uid="{00000000-0005-0000-0000-00001AA60000}"/>
    <cellStyle name="Normal 31" xfId="44579" xr:uid="{00000000-0005-0000-0000-00001BA60000}"/>
    <cellStyle name="Normal 31 2" xfId="44580" xr:uid="{00000000-0005-0000-0000-00001CA60000}"/>
    <cellStyle name="Normal 31 2 2" xfId="44581" xr:uid="{00000000-0005-0000-0000-00001DA60000}"/>
    <cellStyle name="Normal 31 2 3" xfId="44582" xr:uid="{00000000-0005-0000-0000-00001EA60000}"/>
    <cellStyle name="Normal 31 2 4" xfId="44583" xr:uid="{00000000-0005-0000-0000-00001FA60000}"/>
    <cellStyle name="Normal 31 3" xfId="44584" xr:uid="{00000000-0005-0000-0000-000020A60000}"/>
    <cellStyle name="Normal 31 3 2" xfId="44585" xr:uid="{00000000-0005-0000-0000-000021A60000}"/>
    <cellStyle name="Normal 31 3 3" xfId="44586" xr:uid="{00000000-0005-0000-0000-000022A60000}"/>
    <cellStyle name="Normal 31 4" xfId="44587" xr:uid="{00000000-0005-0000-0000-000023A60000}"/>
    <cellStyle name="Normal 31 5" xfId="44588" xr:uid="{00000000-0005-0000-0000-000024A60000}"/>
    <cellStyle name="Normal 31 6" xfId="44589" xr:uid="{00000000-0005-0000-0000-000025A60000}"/>
    <cellStyle name="Normal 32" xfId="44590" xr:uid="{00000000-0005-0000-0000-000026A60000}"/>
    <cellStyle name="Normal 32 2" xfId="44591" xr:uid="{00000000-0005-0000-0000-000027A60000}"/>
    <cellStyle name="Normal 32 2 2" xfId="44592" xr:uid="{00000000-0005-0000-0000-000028A60000}"/>
    <cellStyle name="Normal 32 2 3" xfId="44593" xr:uid="{00000000-0005-0000-0000-000029A60000}"/>
    <cellStyle name="Normal 32 2 4" xfId="44594" xr:uid="{00000000-0005-0000-0000-00002AA60000}"/>
    <cellStyle name="Normal 32 3" xfId="44595" xr:uid="{00000000-0005-0000-0000-00002BA60000}"/>
    <cellStyle name="Normal 32 3 2" xfId="44596" xr:uid="{00000000-0005-0000-0000-00002CA60000}"/>
    <cellStyle name="Normal 32 3 3" xfId="44597" xr:uid="{00000000-0005-0000-0000-00002DA60000}"/>
    <cellStyle name="Normal 32 3 4" xfId="44598" xr:uid="{00000000-0005-0000-0000-00002EA60000}"/>
    <cellStyle name="Normal 32 4" xfId="44599" xr:uid="{00000000-0005-0000-0000-00002FA60000}"/>
    <cellStyle name="Normal 32 5" xfId="44600" xr:uid="{00000000-0005-0000-0000-000030A60000}"/>
    <cellStyle name="Normal 32 6" xfId="44601" xr:uid="{00000000-0005-0000-0000-000031A60000}"/>
    <cellStyle name="Normal 33" xfId="44602" xr:uid="{00000000-0005-0000-0000-000032A60000}"/>
    <cellStyle name="Normal 33 2" xfId="44603" xr:uid="{00000000-0005-0000-0000-000033A60000}"/>
    <cellStyle name="Normal 33 2 2" xfId="44604" xr:uid="{00000000-0005-0000-0000-000034A60000}"/>
    <cellStyle name="Normal 33 2 3" xfId="44605" xr:uid="{00000000-0005-0000-0000-000035A60000}"/>
    <cellStyle name="Normal 33 2 4" xfId="44606" xr:uid="{00000000-0005-0000-0000-000036A60000}"/>
    <cellStyle name="Normal 33 3" xfId="44607" xr:uid="{00000000-0005-0000-0000-000037A60000}"/>
    <cellStyle name="Normal 33 3 2" xfId="44608" xr:uid="{00000000-0005-0000-0000-000038A60000}"/>
    <cellStyle name="Normal 33 3 3" xfId="44609" xr:uid="{00000000-0005-0000-0000-000039A60000}"/>
    <cellStyle name="Normal 33 4" xfId="44610" xr:uid="{00000000-0005-0000-0000-00003AA60000}"/>
    <cellStyle name="Normal 33 5" xfId="44611" xr:uid="{00000000-0005-0000-0000-00003BA60000}"/>
    <cellStyle name="Normal 33 6" xfId="44612" xr:uid="{00000000-0005-0000-0000-00003CA60000}"/>
    <cellStyle name="Normal 34" xfId="44613" xr:uid="{00000000-0005-0000-0000-00003DA60000}"/>
    <cellStyle name="Normal 34 2" xfId="44614" xr:uid="{00000000-0005-0000-0000-00003EA60000}"/>
    <cellStyle name="Normal 34 2 2" xfId="44615" xr:uid="{00000000-0005-0000-0000-00003FA60000}"/>
    <cellStyle name="Normal 34 2 3" xfId="44616" xr:uid="{00000000-0005-0000-0000-000040A60000}"/>
    <cellStyle name="Normal 34 2 4" xfId="44617" xr:uid="{00000000-0005-0000-0000-000041A60000}"/>
    <cellStyle name="Normal 34 3" xfId="44618" xr:uid="{00000000-0005-0000-0000-000042A60000}"/>
    <cellStyle name="Normal 34 3 2" xfId="44619" xr:uid="{00000000-0005-0000-0000-000043A60000}"/>
    <cellStyle name="Normal 34 3 3" xfId="44620" xr:uid="{00000000-0005-0000-0000-000044A60000}"/>
    <cellStyle name="Normal 34 4" xfId="44621" xr:uid="{00000000-0005-0000-0000-000045A60000}"/>
    <cellStyle name="Normal 34 5" xfId="44622" xr:uid="{00000000-0005-0000-0000-000046A60000}"/>
    <cellStyle name="Normal 34 6" xfId="44623" xr:uid="{00000000-0005-0000-0000-000047A60000}"/>
    <cellStyle name="Normal 35" xfId="44624" xr:uid="{00000000-0005-0000-0000-000048A60000}"/>
    <cellStyle name="Normal 35 2" xfId="44625" xr:uid="{00000000-0005-0000-0000-000049A60000}"/>
    <cellStyle name="Normal 35 2 2" xfId="44626" xr:uid="{00000000-0005-0000-0000-00004AA60000}"/>
    <cellStyle name="Normal 35 2 3" xfId="44627" xr:uid="{00000000-0005-0000-0000-00004BA60000}"/>
    <cellStyle name="Normal 35 2 4" xfId="44628" xr:uid="{00000000-0005-0000-0000-00004CA60000}"/>
    <cellStyle name="Normal 35 3" xfId="44629" xr:uid="{00000000-0005-0000-0000-00004DA60000}"/>
    <cellStyle name="Normal 35 3 2" xfId="44630" xr:uid="{00000000-0005-0000-0000-00004EA60000}"/>
    <cellStyle name="Normal 35 3 3" xfId="44631" xr:uid="{00000000-0005-0000-0000-00004FA60000}"/>
    <cellStyle name="Normal 35 4" xfId="44632" xr:uid="{00000000-0005-0000-0000-000050A60000}"/>
    <cellStyle name="Normal 35 5" xfId="44633" xr:uid="{00000000-0005-0000-0000-000051A60000}"/>
    <cellStyle name="Normal 35 6" xfId="44634" xr:uid="{00000000-0005-0000-0000-000052A60000}"/>
    <cellStyle name="Normal 36" xfId="44635" xr:uid="{00000000-0005-0000-0000-000053A60000}"/>
    <cellStyle name="Normal 36 2" xfId="44636" xr:uid="{00000000-0005-0000-0000-000054A60000}"/>
    <cellStyle name="Normal 36 2 2" xfId="44637" xr:uid="{00000000-0005-0000-0000-000055A60000}"/>
    <cellStyle name="Normal 36 2 3" xfId="44638" xr:uid="{00000000-0005-0000-0000-000056A60000}"/>
    <cellStyle name="Normal 36 2 4" xfId="44639" xr:uid="{00000000-0005-0000-0000-000057A60000}"/>
    <cellStyle name="Normal 36 3" xfId="44640" xr:uid="{00000000-0005-0000-0000-000058A60000}"/>
    <cellStyle name="Normal 36 3 2" xfId="44641" xr:uid="{00000000-0005-0000-0000-000059A60000}"/>
    <cellStyle name="Normal 36 3 3" xfId="44642" xr:uid="{00000000-0005-0000-0000-00005AA60000}"/>
    <cellStyle name="Normal 36 4" xfId="44643" xr:uid="{00000000-0005-0000-0000-00005BA60000}"/>
    <cellStyle name="Normal 36 5" xfId="44644" xr:uid="{00000000-0005-0000-0000-00005CA60000}"/>
    <cellStyle name="Normal 36 6" xfId="44645" xr:uid="{00000000-0005-0000-0000-00005DA60000}"/>
    <cellStyle name="Normal 37" xfId="44646" xr:uid="{00000000-0005-0000-0000-00005EA60000}"/>
    <cellStyle name="Normal 37 2" xfId="44647" xr:uid="{00000000-0005-0000-0000-00005FA60000}"/>
    <cellStyle name="Normal 37 2 2" xfId="44648" xr:uid="{00000000-0005-0000-0000-000060A60000}"/>
    <cellStyle name="Normal 37 2 3" xfId="44649" xr:uid="{00000000-0005-0000-0000-000061A60000}"/>
    <cellStyle name="Normal 37 2 4" xfId="44650" xr:uid="{00000000-0005-0000-0000-000062A60000}"/>
    <cellStyle name="Normal 37 3" xfId="44651" xr:uid="{00000000-0005-0000-0000-000063A60000}"/>
    <cellStyle name="Normal 37 3 2" xfId="44652" xr:uid="{00000000-0005-0000-0000-000064A60000}"/>
    <cellStyle name="Normal 37 3 3" xfId="44653" xr:uid="{00000000-0005-0000-0000-000065A60000}"/>
    <cellStyle name="Normal 37 4" xfId="44654" xr:uid="{00000000-0005-0000-0000-000066A60000}"/>
    <cellStyle name="Normal 37 5" xfId="44655" xr:uid="{00000000-0005-0000-0000-000067A60000}"/>
    <cellStyle name="Normal 37 6" xfId="44656" xr:uid="{00000000-0005-0000-0000-000068A60000}"/>
    <cellStyle name="Normal 38" xfId="44657" xr:uid="{00000000-0005-0000-0000-000069A60000}"/>
    <cellStyle name="Normal 38 2" xfId="44658" xr:uid="{00000000-0005-0000-0000-00006AA60000}"/>
    <cellStyle name="Normal 38 2 2" xfId="44659" xr:uid="{00000000-0005-0000-0000-00006BA60000}"/>
    <cellStyle name="Normal 38 2 3" xfId="44660" xr:uid="{00000000-0005-0000-0000-00006CA60000}"/>
    <cellStyle name="Normal 38 3" xfId="44661" xr:uid="{00000000-0005-0000-0000-00006DA60000}"/>
    <cellStyle name="Normal 38 4" xfId="44662" xr:uid="{00000000-0005-0000-0000-00006EA60000}"/>
    <cellStyle name="Normal 39" xfId="44663" xr:uid="{00000000-0005-0000-0000-00006FA60000}"/>
    <cellStyle name="Normal 39 2" xfId="44664" xr:uid="{00000000-0005-0000-0000-000070A60000}"/>
    <cellStyle name="Normal 39 2 2" xfId="44665" xr:uid="{00000000-0005-0000-0000-000071A60000}"/>
    <cellStyle name="Normal 39 2 3" xfId="44666" xr:uid="{00000000-0005-0000-0000-000072A60000}"/>
    <cellStyle name="Normal 39 3" xfId="44667" xr:uid="{00000000-0005-0000-0000-000073A60000}"/>
    <cellStyle name="Normal 39 4" xfId="44668" xr:uid="{00000000-0005-0000-0000-000074A60000}"/>
    <cellStyle name="Normal 4" xfId="142" xr:uid="{00000000-0005-0000-0000-00005B000000}"/>
    <cellStyle name="Normal 4 10" xfId="44669" xr:uid="{00000000-0005-0000-0000-000076A60000}"/>
    <cellStyle name="Normal 4 11" xfId="1632" xr:uid="{00000000-0005-0000-0000-000075A60000}"/>
    <cellStyle name="Normal 4 2" xfId="1633" xr:uid="{00000000-0005-0000-0000-000077A60000}"/>
    <cellStyle name="Normal 4 2 2" xfId="44670" xr:uid="{00000000-0005-0000-0000-000078A60000}"/>
    <cellStyle name="Normal 4 2 2 2" xfId="44671" xr:uid="{00000000-0005-0000-0000-000079A60000}"/>
    <cellStyle name="Normal 4 2 2 3" xfId="44672" xr:uid="{00000000-0005-0000-0000-00007AA60000}"/>
    <cellStyle name="Normal 4 2 2 3 2" xfId="44673" xr:uid="{00000000-0005-0000-0000-00007BA60000}"/>
    <cellStyle name="Normal 4 2 2 3 2 2" xfId="44674" xr:uid="{00000000-0005-0000-0000-00007CA60000}"/>
    <cellStyle name="Normal 4 2 2 3 2 2 2" xfId="44675" xr:uid="{00000000-0005-0000-0000-00007DA60000}"/>
    <cellStyle name="Normal 4 2 2 3 2 3" xfId="44676" xr:uid="{00000000-0005-0000-0000-00007EA60000}"/>
    <cellStyle name="Normal 4 2 2 3 3" xfId="44677" xr:uid="{00000000-0005-0000-0000-00007FA60000}"/>
    <cellStyle name="Normal 4 2 2 3 3 2" xfId="44678" xr:uid="{00000000-0005-0000-0000-000080A60000}"/>
    <cellStyle name="Normal 4 2 2 3 4" xfId="44679" xr:uid="{00000000-0005-0000-0000-000081A60000}"/>
    <cellStyle name="Normal 4 2 2 4" xfId="44680" xr:uid="{00000000-0005-0000-0000-000082A60000}"/>
    <cellStyle name="Normal 4 2 2 4 2" xfId="44681" xr:uid="{00000000-0005-0000-0000-000083A60000}"/>
    <cellStyle name="Normal 4 2 2 4 2 2" xfId="44682" xr:uid="{00000000-0005-0000-0000-000084A60000}"/>
    <cellStyle name="Normal 4 2 2 4 2 2 2" xfId="44683" xr:uid="{00000000-0005-0000-0000-000085A60000}"/>
    <cellStyle name="Normal 4 2 2 4 2 3" xfId="44684" xr:uid="{00000000-0005-0000-0000-000086A60000}"/>
    <cellStyle name="Normal 4 2 2 4 3" xfId="44685" xr:uid="{00000000-0005-0000-0000-000087A60000}"/>
    <cellStyle name="Normal 4 2 2 4 3 2" xfId="44686" xr:uid="{00000000-0005-0000-0000-000088A60000}"/>
    <cellStyle name="Normal 4 2 2 4 4" xfId="44687" xr:uid="{00000000-0005-0000-0000-000089A60000}"/>
    <cellStyle name="Normal 4 2 2 5" xfId="44688" xr:uid="{00000000-0005-0000-0000-00008AA60000}"/>
    <cellStyle name="Normal 4 2 2 5 2" xfId="44689" xr:uid="{00000000-0005-0000-0000-00008BA60000}"/>
    <cellStyle name="Normal 4 2 2 5 2 2" xfId="44690" xr:uid="{00000000-0005-0000-0000-00008CA60000}"/>
    <cellStyle name="Normal 4 2 2 5 2 2 2" xfId="44691" xr:uid="{00000000-0005-0000-0000-00008DA60000}"/>
    <cellStyle name="Normal 4 2 2 5 2 3" xfId="44692" xr:uid="{00000000-0005-0000-0000-00008EA60000}"/>
    <cellStyle name="Normal 4 2 2 5 3" xfId="44693" xr:uid="{00000000-0005-0000-0000-00008FA60000}"/>
    <cellStyle name="Normal 4 2 2 5 3 2" xfId="44694" xr:uid="{00000000-0005-0000-0000-000090A60000}"/>
    <cellStyle name="Normal 4 2 2 5 4" xfId="44695" xr:uid="{00000000-0005-0000-0000-000091A60000}"/>
    <cellStyle name="Normal 4 2 2 6" xfId="44696" xr:uid="{00000000-0005-0000-0000-000092A60000}"/>
    <cellStyle name="Normal 4 2 3" xfId="44697" xr:uid="{00000000-0005-0000-0000-000093A60000}"/>
    <cellStyle name="Normal 4 2 3 2" xfId="44698" xr:uid="{00000000-0005-0000-0000-000094A60000}"/>
    <cellStyle name="Normal 4 2 4" xfId="44699" xr:uid="{00000000-0005-0000-0000-000095A60000}"/>
    <cellStyle name="Normal 4 2 5" xfId="44700" xr:uid="{00000000-0005-0000-0000-000096A60000}"/>
    <cellStyle name="Normal 4 2 6" xfId="44701" xr:uid="{00000000-0005-0000-0000-000097A60000}"/>
    <cellStyle name="Normal 4 3" xfId="1634" xr:uid="{00000000-0005-0000-0000-000098A60000}"/>
    <cellStyle name="Normal 4 3 2" xfId="44702" xr:uid="{00000000-0005-0000-0000-000099A60000}"/>
    <cellStyle name="Normal 4 3 3" xfId="44703" xr:uid="{00000000-0005-0000-0000-00009AA60000}"/>
    <cellStyle name="Normal 4 4" xfId="1635" xr:uid="{00000000-0005-0000-0000-00009BA60000}"/>
    <cellStyle name="Normal 4 4 2" xfId="44704" xr:uid="{00000000-0005-0000-0000-00009CA60000}"/>
    <cellStyle name="Normal 4 4 3" xfId="44705" xr:uid="{00000000-0005-0000-0000-00009DA60000}"/>
    <cellStyle name="Normal 4 4 4" xfId="44706" xr:uid="{00000000-0005-0000-0000-00009EA60000}"/>
    <cellStyle name="Normal 4 5" xfId="1636" xr:uid="{00000000-0005-0000-0000-00009FA60000}"/>
    <cellStyle name="Normal 4 5 2" xfId="44707" xr:uid="{00000000-0005-0000-0000-0000A0A60000}"/>
    <cellStyle name="Normal 4 5 3" xfId="44708" xr:uid="{00000000-0005-0000-0000-0000A1A60000}"/>
    <cellStyle name="Normal 4 5 4" xfId="44709" xr:uid="{00000000-0005-0000-0000-0000A2A60000}"/>
    <cellStyle name="Normal 4 6" xfId="1637" xr:uid="{00000000-0005-0000-0000-0000A3A60000}"/>
    <cellStyle name="Normal 4 6 2" xfId="44710" xr:uid="{00000000-0005-0000-0000-0000A4A60000}"/>
    <cellStyle name="Normal 4 6 3" xfId="44711" xr:uid="{00000000-0005-0000-0000-0000A5A60000}"/>
    <cellStyle name="Normal 4 6 4" xfId="44712" xr:uid="{00000000-0005-0000-0000-0000A6A60000}"/>
    <cellStyle name="Normal 4 7" xfId="1638" xr:uid="{00000000-0005-0000-0000-0000A7A60000}"/>
    <cellStyle name="Normal 4 7 2" xfId="44713" xr:uid="{00000000-0005-0000-0000-0000A8A60000}"/>
    <cellStyle name="Normal 4 7 3" xfId="44714" xr:uid="{00000000-0005-0000-0000-0000A9A60000}"/>
    <cellStyle name="Normal 4 8" xfId="44715" xr:uid="{00000000-0005-0000-0000-0000AAA60000}"/>
    <cellStyle name="Normal 4 8 2" xfId="44716" xr:uid="{00000000-0005-0000-0000-0000ABA60000}"/>
    <cellStyle name="Normal 4 9" xfId="44717" xr:uid="{00000000-0005-0000-0000-0000ACA60000}"/>
    <cellStyle name="Normal 4_SalesRev-Cascade-VolsTY-2009" xfId="1639" xr:uid="{00000000-0005-0000-0000-0000ADA60000}"/>
    <cellStyle name="Normal 40" xfId="44718" xr:uid="{00000000-0005-0000-0000-0000AEA60000}"/>
    <cellStyle name="Normal 40 2" xfId="44719" xr:uid="{00000000-0005-0000-0000-0000AFA60000}"/>
    <cellStyle name="Normal 40 2 2" xfId="44720" xr:uid="{00000000-0005-0000-0000-0000B0A60000}"/>
    <cellStyle name="Normal 40 2 3" xfId="44721" xr:uid="{00000000-0005-0000-0000-0000B1A60000}"/>
    <cellStyle name="Normal 40 3" xfId="44722" xr:uid="{00000000-0005-0000-0000-0000B2A60000}"/>
    <cellStyle name="Normal 40 4" xfId="44723" xr:uid="{00000000-0005-0000-0000-0000B3A60000}"/>
    <cellStyle name="Normal 41" xfId="44724" xr:uid="{00000000-0005-0000-0000-0000B4A60000}"/>
    <cellStyle name="Normal 41 2" xfId="44725" xr:uid="{00000000-0005-0000-0000-0000B5A60000}"/>
    <cellStyle name="Normal 41 3" xfId="44726" xr:uid="{00000000-0005-0000-0000-0000B6A60000}"/>
    <cellStyle name="Normal 41 4" xfId="44727" xr:uid="{00000000-0005-0000-0000-0000B7A60000}"/>
    <cellStyle name="Normal 42" xfId="44728" xr:uid="{00000000-0005-0000-0000-0000B8A60000}"/>
    <cellStyle name="Normal 42 2" xfId="44729" xr:uid="{00000000-0005-0000-0000-0000B9A60000}"/>
    <cellStyle name="Normal 42 2 2" xfId="44730" xr:uid="{00000000-0005-0000-0000-0000BAA60000}"/>
    <cellStyle name="Normal 42 2 2 2" xfId="44731" xr:uid="{00000000-0005-0000-0000-0000BBA60000}"/>
    <cellStyle name="Normal 42 2 2 2 2" xfId="44732" xr:uid="{00000000-0005-0000-0000-0000BCA60000}"/>
    <cellStyle name="Normal 42 2 2 2 2 2" xfId="44733" xr:uid="{00000000-0005-0000-0000-0000BDA60000}"/>
    <cellStyle name="Normal 42 2 2 2 3" xfId="44734" xr:uid="{00000000-0005-0000-0000-0000BEA60000}"/>
    <cellStyle name="Normal 42 2 2 3" xfId="44735" xr:uid="{00000000-0005-0000-0000-0000BFA60000}"/>
    <cellStyle name="Normal 42 2 2 3 2" xfId="44736" xr:uid="{00000000-0005-0000-0000-0000C0A60000}"/>
    <cellStyle name="Normal 42 2 2 4" xfId="44737" xr:uid="{00000000-0005-0000-0000-0000C1A60000}"/>
    <cellStyle name="Normal 42 2 2 5" xfId="44738" xr:uid="{00000000-0005-0000-0000-0000C2A60000}"/>
    <cellStyle name="Normal 42 2 2 6" xfId="44739" xr:uid="{00000000-0005-0000-0000-0000C3A60000}"/>
    <cellStyle name="Normal 42 2 3" xfId="44740" xr:uid="{00000000-0005-0000-0000-0000C4A60000}"/>
    <cellStyle name="Normal 42 2 3 2" xfId="44741" xr:uid="{00000000-0005-0000-0000-0000C5A60000}"/>
    <cellStyle name="Normal 42 2 3 2 2" xfId="44742" xr:uid="{00000000-0005-0000-0000-0000C6A60000}"/>
    <cellStyle name="Normal 42 2 3 3" xfId="44743" xr:uid="{00000000-0005-0000-0000-0000C7A60000}"/>
    <cellStyle name="Normal 42 2 4" xfId="44744" xr:uid="{00000000-0005-0000-0000-0000C8A60000}"/>
    <cellStyle name="Normal 42 2 4 2" xfId="44745" xr:uid="{00000000-0005-0000-0000-0000C9A60000}"/>
    <cellStyle name="Normal 42 2 5" xfId="44746" xr:uid="{00000000-0005-0000-0000-0000CAA60000}"/>
    <cellStyle name="Normal 42 2 5 2" xfId="44747" xr:uid="{00000000-0005-0000-0000-0000CBA60000}"/>
    <cellStyle name="Normal 42 2 6" xfId="44748" xr:uid="{00000000-0005-0000-0000-0000CCA60000}"/>
    <cellStyle name="Normal 42 2 7" xfId="44749" xr:uid="{00000000-0005-0000-0000-0000CDA60000}"/>
    <cellStyle name="Normal 42 2 8" xfId="44750" xr:uid="{00000000-0005-0000-0000-0000CEA60000}"/>
    <cellStyle name="Normal 42 3" xfId="44751" xr:uid="{00000000-0005-0000-0000-0000CFA60000}"/>
    <cellStyle name="Normal 42 3 2" xfId="44752" xr:uid="{00000000-0005-0000-0000-0000D0A60000}"/>
    <cellStyle name="Normal 42 3 2 2" xfId="44753" xr:uid="{00000000-0005-0000-0000-0000D1A60000}"/>
    <cellStyle name="Normal 42 3 2 2 2" xfId="44754" xr:uid="{00000000-0005-0000-0000-0000D2A60000}"/>
    <cellStyle name="Normal 42 3 2 2 2 2" xfId="44755" xr:uid="{00000000-0005-0000-0000-0000D3A60000}"/>
    <cellStyle name="Normal 42 3 2 2 3" xfId="44756" xr:uid="{00000000-0005-0000-0000-0000D4A60000}"/>
    <cellStyle name="Normal 42 3 2 3" xfId="44757" xr:uid="{00000000-0005-0000-0000-0000D5A60000}"/>
    <cellStyle name="Normal 42 3 2 3 2" xfId="44758" xr:uid="{00000000-0005-0000-0000-0000D6A60000}"/>
    <cellStyle name="Normal 42 3 2 4" xfId="44759" xr:uid="{00000000-0005-0000-0000-0000D7A60000}"/>
    <cellStyle name="Normal 42 3 2 5" xfId="44760" xr:uid="{00000000-0005-0000-0000-0000D8A60000}"/>
    <cellStyle name="Normal 42 3 2 6" xfId="44761" xr:uid="{00000000-0005-0000-0000-0000D9A60000}"/>
    <cellStyle name="Normal 42 3 3" xfId="44762" xr:uid="{00000000-0005-0000-0000-0000DAA60000}"/>
    <cellStyle name="Normal 42 3 3 2" xfId="44763" xr:uid="{00000000-0005-0000-0000-0000DBA60000}"/>
    <cellStyle name="Normal 42 3 3 2 2" xfId="44764" xr:uid="{00000000-0005-0000-0000-0000DCA60000}"/>
    <cellStyle name="Normal 42 3 3 3" xfId="44765" xr:uid="{00000000-0005-0000-0000-0000DDA60000}"/>
    <cellStyle name="Normal 42 3 4" xfId="44766" xr:uid="{00000000-0005-0000-0000-0000DEA60000}"/>
    <cellStyle name="Normal 42 3 4 2" xfId="44767" xr:uid="{00000000-0005-0000-0000-0000DFA60000}"/>
    <cellStyle name="Normal 42 3 5" xfId="44768" xr:uid="{00000000-0005-0000-0000-0000E0A60000}"/>
    <cellStyle name="Normal 42 3 6" xfId="44769" xr:uid="{00000000-0005-0000-0000-0000E1A60000}"/>
    <cellStyle name="Normal 42 3 7" xfId="44770" xr:uid="{00000000-0005-0000-0000-0000E2A60000}"/>
    <cellStyle name="Normal 42 4" xfId="44771" xr:uid="{00000000-0005-0000-0000-0000E3A60000}"/>
    <cellStyle name="Normal 42 4 2" xfId="44772" xr:uid="{00000000-0005-0000-0000-0000E4A60000}"/>
    <cellStyle name="Normal 42 4 2 2" xfId="44773" xr:uid="{00000000-0005-0000-0000-0000E5A60000}"/>
    <cellStyle name="Normal 42 4 3" xfId="44774" xr:uid="{00000000-0005-0000-0000-0000E6A60000}"/>
    <cellStyle name="Normal 42 5" xfId="44775" xr:uid="{00000000-0005-0000-0000-0000E7A60000}"/>
    <cellStyle name="Normal 42 5 2" xfId="44776" xr:uid="{00000000-0005-0000-0000-0000E8A60000}"/>
    <cellStyle name="Normal 42 6" xfId="44777" xr:uid="{00000000-0005-0000-0000-0000E9A60000}"/>
    <cellStyle name="Normal 42 6 2" xfId="44778" xr:uid="{00000000-0005-0000-0000-0000EAA60000}"/>
    <cellStyle name="Normal 42 7" xfId="44779" xr:uid="{00000000-0005-0000-0000-0000EBA60000}"/>
    <cellStyle name="Normal 42 8" xfId="44780" xr:uid="{00000000-0005-0000-0000-0000ECA60000}"/>
    <cellStyle name="Normal 43" xfId="44781" xr:uid="{00000000-0005-0000-0000-0000EDA60000}"/>
    <cellStyle name="Normal 43 2" xfId="44782" xr:uid="{00000000-0005-0000-0000-0000EEA60000}"/>
    <cellStyle name="Normal 43 2 2" xfId="44783" xr:uid="{00000000-0005-0000-0000-0000EFA60000}"/>
    <cellStyle name="Normal 43 2 3" xfId="44784" xr:uid="{00000000-0005-0000-0000-0000F0A60000}"/>
    <cellStyle name="Normal 43 3" xfId="44785" xr:uid="{00000000-0005-0000-0000-0000F1A60000}"/>
    <cellStyle name="Normal 43 4" xfId="44786" xr:uid="{00000000-0005-0000-0000-0000F2A60000}"/>
    <cellStyle name="Normal 44" xfId="44787" xr:uid="{00000000-0005-0000-0000-0000F3A60000}"/>
    <cellStyle name="Normal 44 2" xfId="44788" xr:uid="{00000000-0005-0000-0000-0000F4A60000}"/>
    <cellStyle name="Normal 44 3" xfId="44789" xr:uid="{00000000-0005-0000-0000-0000F5A60000}"/>
    <cellStyle name="Normal 44 4" xfId="44790" xr:uid="{00000000-0005-0000-0000-0000F6A60000}"/>
    <cellStyle name="Normal 45" xfId="44791" xr:uid="{00000000-0005-0000-0000-0000F7A60000}"/>
    <cellStyle name="Normal 45 2" xfId="44792" xr:uid="{00000000-0005-0000-0000-0000F8A60000}"/>
    <cellStyle name="Normal 45 3" xfId="44793" xr:uid="{00000000-0005-0000-0000-0000F9A60000}"/>
    <cellStyle name="Normal 46" xfId="44794" xr:uid="{00000000-0005-0000-0000-0000FAA60000}"/>
    <cellStyle name="Normal 46 2" xfId="44795" xr:uid="{00000000-0005-0000-0000-0000FBA60000}"/>
    <cellStyle name="Normal 46 3" xfId="44796" xr:uid="{00000000-0005-0000-0000-0000FCA60000}"/>
    <cellStyle name="Normal 47" xfId="44797" xr:uid="{00000000-0005-0000-0000-0000FDA60000}"/>
    <cellStyle name="Normal 47 2" xfId="44798" xr:uid="{00000000-0005-0000-0000-0000FEA60000}"/>
    <cellStyle name="Normal 47 2 2" xfId="44799" xr:uid="{00000000-0005-0000-0000-0000FFA60000}"/>
    <cellStyle name="Normal 47 2 3" xfId="44800" xr:uid="{00000000-0005-0000-0000-000000A70000}"/>
    <cellStyle name="Normal 47 3" xfId="44801" xr:uid="{00000000-0005-0000-0000-000001A70000}"/>
    <cellStyle name="Normal 47 4" xfId="44802" xr:uid="{00000000-0005-0000-0000-000002A70000}"/>
    <cellStyle name="Normal 48" xfId="44803" xr:uid="{00000000-0005-0000-0000-000003A70000}"/>
    <cellStyle name="Normal 48 2" xfId="44804" xr:uid="{00000000-0005-0000-0000-000004A70000}"/>
    <cellStyle name="Normal 48 2 2" xfId="44805" xr:uid="{00000000-0005-0000-0000-000005A70000}"/>
    <cellStyle name="Normal 48 2 3" xfId="44806" xr:uid="{00000000-0005-0000-0000-000006A70000}"/>
    <cellStyle name="Normal 48 3" xfId="44807" xr:uid="{00000000-0005-0000-0000-000007A70000}"/>
    <cellStyle name="Normal 48 4" xfId="44808" xr:uid="{00000000-0005-0000-0000-000008A70000}"/>
    <cellStyle name="Normal 49" xfId="44809" xr:uid="{00000000-0005-0000-0000-000009A70000}"/>
    <cellStyle name="Normal 49 2" xfId="44810" xr:uid="{00000000-0005-0000-0000-00000AA70000}"/>
    <cellStyle name="Normal 49 2 2" xfId="44811" xr:uid="{00000000-0005-0000-0000-00000BA70000}"/>
    <cellStyle name="Normal 49 2 3" xfId="44812" xr:uid="{00000000-0005-0000-0000-00000CA70000}"/>
    <cellStyle name="Normal 49 3" xfId="44813" xr:uid="{00000000-0005-0000-0000-00000DA70000}"/>
    <cellStyle name="Normal 49 3 2" xfId="44814" xr:uid="{00000000-0005-0000-0000-00000EA70000}"/>
    <cellStyle name="Normal 49 4" xfId="44815" xr:uid="{00000000-0005-0000-0000-00000FA70000}"/>
    <cellStyle name="Normal 5" xfId="1640" xr:uid="{00000000-0005-0000-0000-000010A70000}"/>
    <cellStyle name="Normal 5 2" xfId="44816" xr:uid="{00000000-0005-0000-0000-000011A70000}"/>
    <cellStyle name="Normal 5 2 2" xfId="44817" xr:uid="{00000000-0005-0000-0000-000012A70000}"/>
    <cellStyle name="Normal 5 2 2 2" xfId="44818" xr:uid="{00000000-0005-0000-0000-000013A70000}"/>
    <cellStyle name="Normal 5 2 2 2 2" xfId="44819" xr:uid="{00000000-0005-0000-0000-000014A70000}"/>
    <cellStyle name="Normal 5 2 2 2 2 2" xfId="44820" xr:uid="{00000000-0005-0000-0000-000015A70000}"/>
    <cellStyle name="Normal 5 2 2 2 2 2 2" xfId="44821" xr:uid="{00000000-0005-0000-0000-000016A70000}"/>
    <cellStyle name="Normal 5 2 2 2 2 3" xfId="44822" xr:uid="{00000000-0005-0000-0000-000017A70000}"/>
    <cellStyle name="Normal 5 2 2 2 3" xfId="44823" xr:uid="{00000000-0005-0000-0000-000018A70000}"/>
    <cellStyle name="Normal 5 2 2 2 3 2" xfId="44824" xr:uid="{00000000-0005-0000-0000-000019A70000}"/>
    <cellStyle name="Normal 5 2 2 2 4" xfId="44825" xr:uid="{00000000-0005-0000-0000-00001AA70000}"/>
    <cellStyle name="Normal 5 2 2 3" xfId="44826" xr:uid="{00000000-0005-0000-0000-00001BA70000}"/>
    <cellStyle name="Normal 5 2 2 3 2" xfId="44827" xr:uid="{00000000-0005-0000-0000-00001CA70000}"/>
    <cellStyle name="Normal 5 2 2 3 2 2" xfId="44828" xr:uid="{00000000-0005-0000-0000-00001DA70000}"/>
    <cellStyle name="Normal 5 2 2 3 2 2 2" xfId="44829" xr:uid="{00000000-0005-0000-0000-00001EA70000}"/>
    <cellStyle name="Normal 5 2 2 3 2 3" xfId="44830" xr:uid="{00000000-0005-0000-0000-00001FA70000}"/>
    <cellStyle name="Normal 5 2 2 3 3" xfId="44831" xr:uid="{00000000-0005-0000-0000-000020A70000}"/>
    <cellStyle name="Normal 5 2 2 3 3 2" xfId="44832" xr:uid="{00000000-0005-0000-0000-000021A70000}"/>
    <cellStyle name="Normal 5 2 2 3 4" xfId="44833" xr:uid="{00000000-0005-0000-0000-000022A70000}"/>
    <cellStyle name="Normal 5 2 2 4" xfId="44834" xr:uid="{00000000-0005-0000-0000-000023A70000}"/>
    <cellStyle name="Normal 5 2 2 4 2" xfId="44835" xr:uid="{00000000-0005-0000-0000-000024A70000}"/>
    <cellStyle name="Normal 5 2 2 4 2 2" xfId="44836" xr:uid="{00000000-0005-0000-0000-000025A70000}"/>
    <cellStyle name="Normal 5 2 2 4 3" xfId="44837" xr:uid="{00000000-0005-0000-0000-000026A70000}"/>
    <cellStyle name="Normal 5 2 2 5" xfId="44838" xr:uid="{00000000-0005-0000-0000-000027A70000}"/>
    <cellStyle name="Normal 5 2 2 5 2" xfId="44839" xr:uid="{00000000-0005-0000-0000-000028A70000}"/>
    <cellStyle name="Normal 5 2 2 6" xfId="44840" xr:uid="{00000000-0005-0000-0000-000029A70000}"/>
    <cellStyle name="Normal 5 2 3" xfId="44841" xr:uid="{00000000-0005-0000-0000-00002AA70000}"/>
    <cellStyle name="Normal 5 2 3 2" xfId="44842" xr:uid="{00000000-0005-0000-0000-00002BA70000}"/>
    <cellStyle name="Normal 5 2 3 3" xfId="44843" xr:uid="{00000000-0005-0000-0000-00002CA70000}"/>
    <cellStyle name="Normal 5 2 4" xfId="44844" xr:uid="{00000000-0005-0000-0000-00002DA70000}"/>
    <cellStyle name="Normal 5 2 4 2" xfId="44845" xr:uid="{00000000-0005-0000-0000-00002EA70000}"/>
    <cellStyle name="Normal 5 2 4 2 2" xfId="44846" xr:uid="{00000000-0005-0000-0000-00002FA70000}"/>
    <cellStyle name="Normal 5 2 4 2 2 2" xfId="44847" xr:uid="{00000000-0005-0000-0000-000030A70000}"/>
    <cellStyle name="Normal 5 2 4 2 3" xfId="44848" xr:uid="{00000000-0005-0000-0000-000031A70000}"/>
    <cellStyle name="Normal 5 2 4 3" xfId="44849" xr:uid="{00000000-0005-0000-0000-000032A70000}"/>
    <cellStyle name="Normal 5 2 4 3 2" xfId="44850" xr:uid="{00000000-0005-0000-0000-000033A70000}"/>
    <cellStyle name="Normal 5 2 4 4" xfId="44851" xr:uid="{00000000-0005-0000-0000-000034A70000}"/>
    <cellStyle name="Normal 5 2 5" xfId="44852" xr:uid="{00000000-0005-0000-0000-000035A70000}"/>
    <cellStyle name="Normal 5 2 5 2" xfId="44853" xr:uid="{00000000-0005-0000-0000-000036A70000}"/>
    <cellStyle name="Normal 5 2 5 2 2" xfId="44854" xr:uid="{00000000-0005-0000-0000-000037A70000}"/>
    <cellStyle name="Normal 5 2 5 2 2 2" xfId="44855" xr:uid="{00000000-0005-0000-0000-000038A70000}"/>
    <cellStyle name="Normal 5 2 5 2 3" xfId="44856" xr:uid="{00000000-0005-0000-0000-000039A70000}"/>
    <cellStyle name="Normal 5 2 5 3" xfId="44857" xr:uid="{00000000-0005-0000-0000-00003AA70000}"/>
    <cellStyle name="Normal 5 2 5 3 2" xfId="44858" xr:uid="{00000000-0005-0000-0000-00003BA70000}"/>
    <cellStyle name="Normal 5 2 5 4" xfId="44859" xr:uid="{00000000-0005-0000-0000-00003CA70000}"/>
    <cellStyle name="Normal 5 2 6" xfId="44860" xr:uid="{00000000-0005-0000-0000-00003DA70000}"/>
    <cellStyle name="Normal 5 2 6 2" xfId="44861" xr:uid="{00000000-0005-0000-0000-00003EA70000}"/>
    <cellStyle name="Normal 5 2 6 2 2" xfId="44862" xr:uid="{00000000-0005-0000-0000-00003FA70000}"/>
    <cellStyle name="Normal 5 2 6 2 2 2" xfId="44863" xr:uid="{00000000-0005-0000-0000-000040A70000}"/>
    <cellStyle name="Normal 5 2 6 2 3" xfId="44864" xr:uid="{00000000-0005-0000-0000-000041A70000}"/>
    <cellStyle name="Normal 5 2 6 3" xfId="44865" xr:uid="{00000000-0005-0000-0000-000042A70000}"/>
    <cellStyle name="Normal 5 2 6 3 2" xfId="44866" xr:uid="{00000000-0005-0000-0000-000043A70000}"/>
    <cellStyle name="Normal 5 2 6 4" xfId="44867" xr:uid="{00000000-0005-0000-0000-000044A70000}"/>
    <cellStyle name="Normal 5 3" xfId="44868" xr:uid="{00000000-0005-0000-0000-000045A70000}"/>
    <cellStyle name="Normal 5 3 2" xfId="44869" xr:uid="{00000000-0005-0000-0000-000046A70000}"/>
    <cellStyle name="Normal 5 3 3" xfId="44870" xr:uid="{00000000-0005-0000-0000-000047A70000}"/>
    <cellStyle name="Normal 5 3 4" xfId="44871" xr:uid="{00000000-0005-0000-0000-000048A70000}"/>
    <cellStyle name="Normal 5 3 5" xfId="44872" xr:uid="{00000000-0005-0000-0000-000049A70000}"/>
    <cellStyle name="Normal 5 4" xfId="44873" xr:uid="{00000000-0005-0000-0000-00004AA70000}"/>
    <cellStyle name="Normal 5 4 2" xfId="44874" xr:uid="{00000000-0005-0000-0000-00004BA70000}"/>
    <cellStyle name="Normal 5 4 3" xfId="44875" xr:uid="{00000000-0005-0000-0000-00004CA70000}"/>
    <cellStyle name="Normal 5 4 4" xfId="44876" xr:uid="{00000000-0005-0000-0000-00004DA70000}"/>
    <cellStyle name="Normal 5 5" xfId="44877" xr:uid="{00000000-0005-0000-0000-00004EA70000}"/>
    <cellStyle name="Normal 5 5 2" xfId="44878" xr:uid="{00000000-0005-0000-0000-00004FA70000}"/>
    <cellStyle name="Normal 5 5 3" xfId="44879" xr:uid="{00000000-0005-0000-0000-000050A70000}"/>
    <cellStyle name="Normal 5 5 4" xfId="44880" xr:uid="{00000000-0005-0000-0000-000051A70000}"/>
    <cellStyle name="Normal 5 6" xfId="44881" xr:uid="{00000000-0005-0000-0000-000052A70000}"/>
    <cellStyle name="Normal 5 6 2" xfId="44882" xr:uid="{00000000-0005-0000-0000-000053A70000}"/>
    <cellStyle name="Normal 5 7" xfId="44883" xr:uid="{00000000-0005-0000-0000-000054A70000}"/>
    <cellStyle name="Normal 50" xfId="44884" xr:uid="{00000000-0005-0000-0000-000055A70000}"/>
    <cellStyle name="Normal 50 2" xfId="44885" xr:uid="{00000000-0005-0000-0000-000056A70000}"/>
    <cellStyle name="Normal 50 2 2" xfId="44886" xr:uid="{00000000-0005-0000-0000-000057A70000}"/>
    <cellStyle name="Normal 50 2 3" xfId="44887" xr:uid="{00000000-0005-0000-0000-000058A70000}"/>
    <cellStyle name="Normal 50 3" xfId="44888" xr:uid="{00000000-0005-0000-0000-000059A70000}"/>
    <cellStyle name="Normal 50 3 2" xfId="44889" xr:uid="{00000000-0005-0000-0000-00005AA70000}"/>
    <cellStyle name="Normal 50 4" xfId="44890" xr:uid="{00000000-0005-0000-0000-00005BA70000}"/>
    <cellStyle name="Normal 509" xfId="146" xr:uid="{00000000-0005-0000-0000-00005C000000}"/>
    <cellStyle name="Normal 51" xfId="44891" xr:uid="{00000000-0005-0000-0000-00005CA70000}"/>
    <cellStyle name="Normal 51 2" xfId="44892" xr:uid="{00000000-0005-0000-0000-00005DA70000}"/>
    <cellStyle name="Normal 51 3" xfId="44893" xr:uid="{00000000-0005-0000-0000-00005EA70000}"/>
    <cellStyle name="Normal 510" xfId="147" xr:uid="{00000000-0005-0000-0000-00005D000000}"/>
    <cellStyle name="Normal 52" xfId="44894" xr:uid="{00000000-0005-0000-0000-00005FA70000}"/>
    <cellStyle name="Normal 52 2" xfId="44895" xr:uid="{00000000-0005-0000-0000-000060A70000}"/>
    <cellStyle name="Normal 52 2 2" xfId="44896" xr:uid="{00000000-0005-0000-0000-000061A70000}"/>
    <cellStyle name="Normal 52 3" xfId="44897" xr:uid="{00000000-0005-0000-0000-000062A70000}"/>
    <cellStyle name="Normal 52 4" xfId="44898" xr:uid="{00000000-0005-0000-0000-000063A70000}"/>
    <cellStyle name="Normal 53" xfId="44899" xr:uid="{00000000-0005-0000-0000-000064A70000}"/>
    <cellStyle name="Normal 53 2" xfId="44900" xr:uid="{00000000-0005-0000-0000-000065A70000}"/>
    <cellStyle name="Normal 53 2 2" xfId="44901" xr:uid="{00000000-0005-0000-0000-000066A70000}"/>
    <cellStyle name="Normal 53 3" xfId="44902" xr:uid="{00000000-0005-0000-0000-000067A70000}"/>
    <cellStyle name="Normal 53 4" xfId="44903" xr:uid="{00000000-0005-0000-0000-000068A70000}"/>
    <cellStyle name="Normal 54" xfId="44904" xr:uid="{00000000-0005-0000-0000-000069A70000}"/>
    <cellStyle name="Normal 54 2" xfId="44905" xr:uid="{00000000-0005-0000-0000-00006AA70000}"/>
    <cellStyle name="Normal 54 2 2" xfId="44906" xr:uid="{00000000-0005-0000-0000-00006BA70000}"/>
    <cellStyle name="Normal 54 2 3" xfId="44907" xr:uid="{00000000-0005-0000-0000-00006CA70000}"/>
    <cellStyle name="Normal 54 3" xfId="44908" xr:uid="{00000000-0005-0000-0000-00006DA70000}"/>
    <cellStyle name="Normal 54 4" xfId="44909" xr:uid="{00000000-0005-0000-0000-00006EA70000}"/>
    <cellStyle name="Normal 55" xfId="44910" xr:uid="{00000000-0005-0000-0000-00006FA70000}"/>
    <cellStyle name="Normal 55 2" xfId="44911" xr:uid="{00000000-0005-0000-0000-000070A70000}"/>
    <cellStyle name="Normal 55 2 2" xfId="44912" xr:uid="{00000000-0005-0000-0000-000071A70000}"/>
    <cellStyle name="Normal 55 2 3" xfId="44913" xr:uid="{00000000-0005-0000-0000-000072A70000}"/>
    <cellStyle name="Normal 55 3" xfId="44914" xr:uid="{00000000-0005-0000-0000-000073A70000}"/>
    <cellStyle name="Normal 55 4" xfId="44915" xr:uid="{00000000-0005-0000-0000-000074A70000}"/>
    <cellStyle name="Normal 56" xfId="44916" xr:uid="{00000000-0005-0000-0000-000075A70000}"/>
    <cellStyle name="Normal 56 2" xfId="44917" xr:uid="{00000000-0005-0000-0000-000076A70000}"/>
    <cellStyle name="Normal 56 2 2" xfId="44918" xr:uid="{00000000-0005-0000-0000-000077A70000}"/>
    <cellStyle name="Normal 56 2 3" xfId="44919" xr:uid="{00000000-0005-0000-0000-000078A70000}"/>
    <cellStyle name="Normal 56 3" xfId="44920" xr:uid="{00000000-0005-0000-0000-000079A70000}"/>
    <cellStyle name="Normal 56 4" xfId="44921" xr:uid="{00000000-0005-0000-0000-00007AA70000}"/>
    <cellStyle name="Normal 57" xfId="44922" xr:uid="{00000000-0005-0000-0000-00007BA70000}"/>
    <cellStyle name="Normal 57 2" xfId="44923" xr:uid="{00000000-0005-0000-0000-00007CA70000}"/>
    <cellStyle name="Normal 57 2 2" xfId="44924" xr:uid="{00000000-0005-0000-0000-00007DA70000}"/>
    <cellStyle name="Normal 57 2 3" xfId="44925" xr:uid="{00000000-0005-0000-0000-00007EA70000}"/>
    <cellStyle name="Normal 57 3" xfId="44926" xr:uid="{00000000-0005-0000-0000-00007FA70000}"/>
    <cellStyle name="Normal 57 4" xfId="44927" xr:uid="{00000000-0005-0000-0000-000080A70000}"/>
    <cellStyle name="Normal 58" xfId="44928" xr:uid="{00000000-0005-0000-0000-000081A70000}"/>
    <cellStyle name="Normal 58 2" xfId="44929" xr:uid="{00000000-0005-0000-0000-000082A70000}"/>
    <cellStyle name="Normal 58 2 2" xfId="44930" xr:uid="{00000000-0005-0000-0000-000083A70000}"/>
    <cellStyle name="Normal 58 2 3" xfId="44931" xr:uid="{00000000-0005-0000-0000-000084A70000}"/>
    <cellStyle name="Normal 58 3" xfId="44932" xr:uid="{00000000-0005-0000-0000-000085A70000}"/>
    <cellStyle name="Normal 58 3 10" xfId="44933" xr:uid="{00000000-0005-0000-0000-000086A70000}"/>
    <cellStyle name="Normal 58 3 11" xfId="44934" xr:uid="{00000000-0005-0000-0000-000087A70000}"/>
    <cellStyle name="Normal 58 3 2" xfId="44935" xr:uid="{00000000-0005-0000-0000-000088A70000}"/>
    <cellStyle name="Normal 58 3 2 2" xfId="44936" xr:uid="{00000000-0005-0000-0000-000089A70000}"/>
    <cellStyle name="Normal 58 3 2 2 2" xfId="44937" xr:uid="{00000000-0005-0000-0000-00008AA70000}"/>
    <cellStyle name="Normal 58 3 2 2 2 2" xfId="44938" xr:uid="{00000000-0005-0000-0000-00008BA70000}"/>
    <cellStyle name="Normal 58 3 2 2 2 2 2" xfId="44939" xr:uid="{00000000-0005-0000-0000-00008CA70000}"/>
    <cellStyle name="Normal 58 3 2 2 2 3" xfId="44940" xr:uid="{00000000-0005-0000-0000-00008DA70000}"/>
    <cellStyle name="Normal 58 3 2 2 3" xfId="44941" xr:uid="{00000000-0005-0000-0000-00008EA70000}"/>
    <cellStyle name="Normal 58 3 2 2 3 2" xfId="44942" xr:uid="{00000000-0005-0000-0000-00008FA70000}"/>
    <cellStyle name="Normal 58 3 2 2 4" xfId="44943" xr:uid="{00000000-0005-0000-0000-000090A70000}"/>
    <cellStyle name="Normal 58 3 2 2 5" xfId="44944" xr:uid="{00000000-0005-0000-0000-000091A70000}"/>
    <cellStyle name="Normal 58 3 2 2 6" xfId="44945" xr:uid="{00000000-0005-0000-0000-000092A70000}"/>
    <cellStyle name="Normal 58 3 2 3" xfId="44946" xr:uid="{00000000-0005-0000-0000-000093A70000}"/>
    <cellStyle name="Normal 58 3 2 3 2" xfId="44947" xr:uid="{00000000-0005-0000-0000-000094A70000}"/>
    <cellStyle name="Normal 58 3 2 3 2 2" xfId="44948" xr:uid="{00000000-0005-0000-0000-000095A70000}"/>
    <cellStyle name="Normal 58 3 2 3 3" xfId="44949" xr:uid="{00000000-0005-0000-0000-000096A70000}"/>
    <cellStyle name="Normal 58 3 2 4" xfId="44950" xr:uid="{00000000-0005-0000-0000-000097A70000}"/>
    <cellStyle name="Normal 58 3 2 4 2" xfId="44951" xr:uid="{00000000-0005-0000-0000-000098A70000}"/>
    <cellStyle name="Normal 58 3 2 5" xfId="44952" xr:uid="{00000000-0005-0000-0000-000099A70000}"/>
    <cellStyle name="Normal 58 3 2 6" xfId="44953" xr:uid="{00000000-0005-0000-0000-00009AA70000}"/>
    <cellStyle name="Normal 58 3 2 7" xfId="44954" xr:uid="{00000000-0005-0000-0000-00009BA70000}"/>
    <cellStyle name="Normal 58 3 3" xfId="44955" xr:uid="{00000000-0005-0000-0000-00009CA70000}"/>
    <cellStyle name="Normal 58 3 3 2" xfId="44956" xr:uid="{00000000-0005-0000-0000-00009DA70000}"/>
    <cellStyle name="Normal 58 3 3 2 2" xfId="44957" xr:uid="{00000000-0005-0000-0000-00009EA70000}"/>
    <cellStyle name="Normal 58 3 3 2 2 2" xfId="44958" xr:uid="{00000000-0005-0000-0000-00009FA70000}"/>
    <cellStyle name="Normal 58 3 3 2 2 2 2" xfId="44959" xr:uid="{00000000-0005-0000-0000-0000A0A70000}"/>
    <cellStyle name="Normal 58 3 3 2 2 3" xfId="44960" xr:uid="{00000000-0005-0000-0000-0000A1A70000}"/>
    <cellStyle name="Normal 58 3 3 2 3" xfId="44961" xr:uid="{00000000-0005-0000-0000-0000A2A70000}"/>
    <cellStyle name="Normal 58 3 3 2 3 2" xfId="44962" xr:uid="{00000000-0005-0000-0000-0000A3A70000}"/>
    <cellStyle name="Normal 58 3 3 2 4" xfId="44963" xr:uid="{00000000-0005-0000-0000-0000A4A70000}"/>
    <cellStyle name="Normal 58 3 3 2 5" xfId="44964" xr:uid="{00000000-0005-0000-0000-0000A5A70000}"/>
    <cellStyle name="Normal 58 3 3 2 6" xfId="44965" xr:uid="{00000000-0005-0000-0000-0000A6A70000}"/>
    <cellStyle name="Normal 58 3 3 3" xfId="44966" xr:uid="{00000000-0005-0000-0000-0000A7A70000}"/>
    <cellStyle name="Normal 58 3 3 3 2" xfId="44967" xr:uid="{00000000-0005-0000-0000-0000A8A70000}"/>
    <cellStyle name="Normal 58 3 3 3 2 2" xfId="44968" xr:uid="{00000000-0005-0000-0000-0000A9A70000}"/>
    <cellStyle name="Normal 58 3 3 3 3" xfId="44969" xr:uid="{00000000-0005-0000-0000-0000AAA70000}"/>
    <cellStyle name="Normal 58 3 3 4" xfId="44970" xr:uid="{00000000-0005-0000-0000-0000ABA70000}"/>
    <cellStyle name="Normal 58 3 3 4 2" xfId="44971" xr:uid="{00000000-0005-0000-0000-0000ACA70000}"/>
    <cellStyle name="Normal 58 3 3 5" xfId="44972" xr:uid="{00000000-0005-0000-0000-0000ADA70000}"/>
    <cellStyle name="Normal 58 3 3 6" xfId="44973" xr:uid="{00000000-0005-0000-0000-0000AEA70000}"/>
    <cellStyle name="Normal 58 3 3 7" xfId="44974" xr:uid="{00000000-0005-0000-0000-0000AFA70000}"/>
    <cellStyle name="Normal 58 3 4" xfId="44975" xr:uid="{00000000-0005-0000-0000-0000B0A70000}"/>
    <cellStyle name="Normal 58 3 4 2" xfId="44976" xr:uid="{00000000-0005-0000-0000-0000B1A70000}"/>
    <cellStyle name="Normal 58 3 4 2 2" xfId="44977" xr:uid="{00000000-0005-0000-0000-0000B2A70000}"/>
    <cellStyle name="Normal 58 3 4 2 2 2" xfId="44978" xr:uid="{00000000-0005-0000-0000-0000B3A70000}"/>
    <cellStyle name="Normal 58 3 4 2 3" xfId="44979" xr:uid="{00000000-0005-0000-0000-0000B4A70000}"/>
    <cellStyle name="Normal 58 3 4 3" xfId="44980" xr:uid="{00000000-0005-0000-0000-0000B5A70000}"/>
    <cellStyle name="Normal 58 3 4 3 2" xfId="44981" xr:uid="{00000000-0005-0000-0000-0000B6A70000}"/>
    <cellStyle name="Normal 58 3 4 4" xfId="44982" xr:uid="{00000000-0005-0000-0000-0000B7A70000}"/>
    <cellStyle name="Normal 58 3 4 5" xfId="44983" xr:uid="{00000000-0005-0000-0000-0000B8A70000}"/>
    <cellStyle name="Normal 58 3 4 6" xfId="44984" xr:uid="{00000000-0005-0000-0000-0000B9A70000}"/>
    <cellStyle name="Normal 58 3 5" xfId="44985" xr:uid="{00000000-0005-0000-0000-0000BAA70000}"/>
    <cellStyle name="Normal 58 3 5 2" xfId="44986" xr:uid="{00000000-0005-0000-0000-0000BBA70000}"/>
    <cellStyle name="Normal 58 3 5 2 2" xfId="44987" xr:uid="{00000000-0005-0000-0000-0000BCA70000}"/>
    <cellStyle name="Normal 58 3 5 3" xfId="44988" xr:uid="{00000000-0005-0000-0000-0000BDA70000}"/>
    <cellStyle name="Normal 58 3 6" xfId="44989" xr:uid="{00000000-0005-0000-0000-0000BEA70000}"/>
    <cellStyle name="Normal 58 3 6 2" xfId="44990" xr:uid="{00000000-0005-0000-0000-0000BFA70000}"/>
    <cellStyle name="Normal 58 3 6 2 2" xfId="44991" xr:uid="{00000000-0005-0000-0000-0000C0A70000}"/>
    <cellStyle name="Normal 58 3 6 3" xfId="44992" xr:uid="{00000000-0005-0000-0000-0000C1A70000}"/>
    <cellStyle name="Normal 58 3 7" xfId="44993" xr:uid="{00000000-0005-0000-0000-0000C2A70000}"/>
    <cellStyle name="Normal 58 3 7 2" xfId="44994" xr:uid="{00000000-0005-0000-0000-0000C3A70000}"/>
    <cellStyle name="Normal 58 3 8" xfId="44995" xr:uid="{00000000-0005-0000-0000-0000C4A70000}"/>
    <cellStyle name="Normal 58 3 8 2" xfId="44996" xr:uid="{00000000-0005-0000-0000-0000C5A70000}"/>
    <cellStyle name="Normal 58 3 9" xfId="44997" xr:uid="{00000000-0005-0000-0000-0000C6A70000}"/>
    <cellStyle name="Normal 58 4" xfId="44998" xr:uid="{00000000-0005-0000-0000-0000C7A70000}"/>
    <cellStyle name="Normal 58 4 2" xfId="44999" xr:uid="{00000000-0005-0000-0000-0000C8A70000}"/>
    <cellStyle name="Normal 58 4 2 2" xfId="45000" xr:uid="{00000000-0005-0000-0000-0000C9A70000}"/>
    <cellStyle name="Normal 58 4 2 2 2" xfId="45001" xr:uid="{00000000-0005-0000-0000-0000CAA70000}"/>
    <cellStyle name="Normal 58 4 2 3" xfId="45002" xr:uid="{00000000-0005-0000-0000-0000CBA70000}"/>
    <cellStyle name="Normal 58 4 3" xfId="45003" xr:uid="{00000000-0005-0000-0000-0000CCA70000}"/>
    <cellStyle name="Normal 58 4 3 2" xfId="45004" xr:uid="{00000000-0005-0000-0000-0000CDA70000}"/>
    <cellStyle name="Normal 58 4 4" xfId="45005" xr:uid="{00000000-0005-0000-0000-0000CEA70000}"/>
    <cellStyle name="Normal 58 4 5" xfId="45006" xr:uid="{00000000-0005-0000-0000-0000CFA70000}"/>
    <cellStyle name="Normal 58 4 6" xfId="45007" xr:uid="{00000000-0005-0000-0000-0000D0A70000}"/>
    <cellStyle name="Normal 58 5" xfId="45008" xr:uid="{00000000-0005-0000-0000-0000D1A70000}"/>
    <cellStyle name="Normal 58 5 2" xfId="45009" xr:uid="{00000000-0005-0000-0000-0000D2A70000}"/>
    <cellStyle name="Normal 58 5 2 2" xfId="45010" xr:uid="{00000000-0005-0000-0000-0000D3A70000}"/>
    <cellStyle name="Normal 58 5 3" xfId="45011" xr:uid="{00000000-0005-0000-0000-0000D4A70000}"/>
    <cellStyle name="Normal 58 6" xfId="45012" xr:uid="{00000000-0005-0000-0000-0000D5A70000}"/>
    <cellStyle name="Normal 58 6 2" xfId="45013" xr:uid="{00000000-0005-0000-0000-0000D6A70000}"/>
    <cellStyle name="Normal 58 6 2 2" xfId="45014" xr:uid="{00000000-0005-0000-0000-0000D7A70000}"/>
    <cellStyle name="Normal 58 6 3" xfId="45015" xr:uid="{00000000-0005-0000-0000-0000D8A70000}"/>
    <cellStyle name="Normal 58 7" xfId="45016" xr:uid="{00000000-0005-0000-0000-0000D9A70000}"/>
    <cellStyle name="Normal 58 8" xfId="45017" xr:uid="{00000000-0005-0000-0000-0000DAA70000}"/>
    <cellStyle name="Normal 59" xfId="45018" xr:uid="{00000000-0005-0000-0000-0000DBA70000}"/>
    <cellStyle name="Normal 59 2" xfId="45019" xr:uid="{00000000-0005-0000-0000-0000DCA70000}"/>
    <cellStyle name="Normal 59 2 2" xfId="45020" xr:uid="{00000000-0005-0000-0000-0000DDA70000}"/>
    <cellStyle name="Normal 59 2 3" xfId="45021" xr:uid="{00000000-0005-0000-0000-0000DEA70000}"/>
    <cellStyle name="Normal 59 3" xfId="45022" xr:uid="{00000000-0005-0000-0000-0000DFA70000}"/>
    <cellStyle name="Normal 59 3 10" xfId="45023" xr:uid="{00000000-0005-0000-0000-0000E0A70000}"/>
    <cellStyle name="Normal 59 3 11" xfId="45024" xr:uid="{00000000-0005-0000-0000-0000E1A70000}"/>
    <cellStyle name="Normal 59 3 2" xfId="45025" xr:uid="{00000000-0005-0000-0000-0000E2A70000}"/>
    <cellStyle name="Normal 59 3 2 2" xfId="45026" xr:uid="{00000000-0005-0000-0000-0000E3A70000}"/>
    <cellStyle name="Normal 59 3 2 2 2" xfId="45027" xr:uid="{00000000-0005-0000-0000-0000E4A70000}"/>
    <cellStyle name="Normal 59 3 2 2 2 2" xfId="45028" xr:uid="{00000000-0005-0000-0000-0000E5A70000}"/>
    <cellStyle name="Normal 59 3 2 2 2 2 2" xfId="45029" xr:uid="{00000000-0005-0000-0000-0000E6A70000}"/>
    <cellStyle name="Normal 59 3 2 2 2 3" xfId="45030" xr:uid="{00000000-0005-0000-0000-0000E7A70000}"/>
    <cellStyle name="Normal 59 3 2 2 3" xfId="45031" xr:uid="{00000000-0005-0000-0000-0000E8A70000}"/>
    <cellStyle name="Normal 59 3 2 2 3 2" xfId="45032" xr:uid="{00000000-0005-0000-0000-0000E9A70000}"/>
    <cellStyle name="Normal 59 3 2 2 4" xfId="45033" xr:uid="{00000000-0005-0000-0000-0000EAA70000}"/>
    <cellStyle name="Normal 59 3 2 2 5" xfId="45034" xr:uid="{00000000-0005-0000-0000-0000EBA70000}"/>
    <cellStyle name="Normal 59 3 2 2 6" xfId="45035" xr:uid="{00000000-0005-0000-0000-0000ECA70000}"/>
    <cellStyle name="Normal 59 3 2 3" xfId="45036" xr:uid="{00000000-0005-0000-0000-0000EDA70000}"/>
    <cellStyle name="Normal 59 3 2 3 2" xfId="45037" xr:uid="{00000000-0005-0000-0000-0000EEA70000}"/>
    <cellStyle name="Normal 59 3 2 3 2 2" xfId="45038" xr:uid="{00000000-0005-0000-0000-0000EFA70000}"/>
    <cellStyle name="Normal 59 3 2 3 3" xfId="45039" xr:uid="{00000000-0005-0000-0000-0000F0A70000}"/>
    <cellStyle name="Normal 59 3 2 4" xfId="45040" xr:uid="{00000000-0005-0000-0000-0000F1A70000}"/>
    <cellStyle name="Normal 59 3 2 4 2" xfId="45041" xr:uid="{00000000-0005-0000-0000-0000F2A70000}"/>
    <cellStyle name="Normal 59 3 2 5" xfId="45042" xr:uid="{00000000-0005-0000-0000-0000F3A70000}"/>
    <cellStyle name="Normal 59 3 2 6" xfId="45043" xr:uid="{00000000-0005-0000-0000-0000F4A70000}"/>
    <cellStyle name="Normal 59 3 2 7" xfId="45044" xr:uid="{00000000-0005-0000-0000-0000F5A70000}"/>
    <cellStyle name="Normal 59 3 3" xfId="45045" xr:uid="{00000000-0005-0000-0000-0000F6A70000}"/>
    <cellStyle name="Normal 59 3 3 2" xfId="45046" xr:uid="{00000000-0005-0000-0000-0000F7A70000}"/>
    <cellStyle name="Normal 59 3 3 2 2" xfId="45047" xr:uid="{00000000-0005-0000-0000-0000F8A70000}"/>
    <cellStyle name="Normal 59 3 3 2 2 2" xfId="45048" xr:uid="{00000000-0005-0000-0000-0000F9A70000}"/>
    <cellStyle name="Normal 59 3 3 2 2 2 2" xfId="45049" xr:uid="{00000000-0005-0000-0000-0000FAA70000}"/>
    <cellStyle name="Normal 59 3 3 2 2 3" xfId="45050" xr:uid="{00000000-0005-0000-0000-0000FBA70000}"/>
    <cellStyle name="Normal 59 3 3 2 3" xfId="45051" xr:uid="{00000000-0005-0000-0000-0000FCA70000}"/>
    <cellStyle name="Normal 59 3 3 2 3 2" xfId="45052" xr:uid="{00000000-0005-0000-0000-0000FDA70000}"/>
    <cellStyle name="Normal 59 3 3 2 4" xfId="45053" xr:uid="{00000000-0005-0000-0000-0000FEA70000}"/>
    <cellStyle name="Normal 59 3 3 2 5" xfId="45054" xr:uid="{00000000-0005-0000-0000-0000FFA70000}"/>
    <cellStyle name="Normal 59 3 3 2 6" xfId="45055" xr:uid="{00000000-0005-0000-0000-000000A80000}"/>
    <cellStyle name="Normal 59 3 3 3" xfId="45056" xr:uid="{00000000-0005-0000-0000-000001A80000}"/>
    <cellStyle name="Normal 59 3 3 3 2" xfId="45057" xr:uid="{00000000-0005-0000-0000-000002A80000}"/>
    <cellStyle name="Normal 59 3 3 3 2 2" xfId="45058" xr:uid="{00000000-0005-0000-0000-000003A80000}"/>
    <cellStyle name="Normal 59 3 3 3 3" xfId="45059" xr:uid="{00000000-0005-0000-0000-000004A80000}"/>
    <cellStyle name="Normal 59 3 3 4" xfId="45060" xr:uid="{00000000-0005-0000-0000-000005A80000}"/>
    <cellStyle name="Normal 59 3 3 4 2" xfId="45061" xr:uid="{00000000-0005-0000-0000-000006A80000}"/>
    <cellStyle name="Normal 59 3 3 5" xfId="45062" xr:uid="{00000000-0005-0000-0000-000007A80000}"/>
    <cellStyle name="Normal 59 3 3 6" xfId="45063" xr:uid="{00000000-0005-0000-0000-000008A80000}"/>
    <cellStyle name="Normal 59 3 3 7" xfId="45064" xr:uid="{00000000-0005-0000-0000-000009A80000}"/>
    <cellStyle name="Normal 59 3 4" xfId="45065" xr:uid="{00000000-0005-0000-0000-00000AA80000}"/>
    <cellStyle name="Normal 59 3 4 2" xfId="45066" xr:uid="{00000000-0005-0000-0000-00000BA80000}"/>
    <cellStyle name="Normal 59 3 4 2 2" xfId="45067" xr:uid="{00000000-0005-0000-0000-00000CA80000}"/>
    <cellStyle name="Normal 59 3 4 2 2 2" xfId="45068" xr:uid="{00000000-0005-0000-0000-00000DA80000}"/>
    <cellStyle name="Normal 59 3 4 2 3" xfId="45069" xr:uid="{00000000-0005-0000-0000-00000EA80000}"/>
    <cellStyle name="Normal 59 3 4 3" xfId="45070" xr:uid="{00000000-0005-0000-0000-00000FA80000}"/>
    <cellStyle name="Normal 59 3 4 3 2" xfId="45071" xr:uid="{00000000-0005-0000-0000-000010A80000}"/>
    <cellStyle name="Normal 59 3 4 4" xfId="45072" xr:uid="{00000000-0005-0000-0000-000011A80000}"/>
    <cellStyle name="Normal 59 3 4 5" xfId="45073" xr:uid="{00000000-0005-0000-0000-000012A80000}"/>
    <cellStyle name="Normal 59 3 4 6" xfId="45074" xr:uid="{00000000-0005-0000-0000-000013A80000}"/>
    <cellStyle name="Normal 59 3 5" xfId="45075" xr:uid="{00000000-0005-0000-0000-000014A80000}"/>
    <cellStyle name="Normal 59 3 5 2" xfId="45076" xr:uid="{00000000-0005-0000-0000-000015A80000}"/>
    <cellStyle name="Normal 59 3 5 2 2" xfId="45077" xr:uid="{00000000-0005-0000-0000-000016A80000}"/>
    <cellStyle name="Normal 59 3 5 3" xfId="45078" xr:uid="{00000000-0005-0000-0000-000017A80000}"/>
    <cellStyle name="Normal 59 3 6" xfId="45079" xr:uid="{00000000-0005-0000-0000-000018A80000}"/>
    <cellStyle name="Normal 59 3 6 2" xfId="45080" xr:uid="{00000000-0005-0000-0000-000019A80000}"/>
    <cellStyle name="Normal 59 3 6 2 2" xfId="45081" xr:uid="{00000000-0005-0000-0000-00001AA80000}"/>
    <cellStyle name="Normal 59 3 6 3" xfId="45082" xr:uid="{00000000-0005-0000-0000-00001BA80000}"/>
    <cellStyle name="Normal 59 3 7" xfId="45083" xr:uid="{00000000-0005-0000-0000-00001CA80000}"/>
    <cellStyle name="Normal 59 3 7 2" xfId="45084" xr:uid="{00000000-0005-0000-0000-00001DA80000}"/>
    <cellStyle name="Normal 59 3 8" xfId="45085" xr:uid="{00000000-0005-0000-0000-00001EA80000}"/>
    <cellStyle name="Normal 59 3 8 2" xfId="45086" xr:uid="{00000000-0005-0000-0000-00001FA80000}"/>
    <cellStyle name="Normal 59 3 9" xfId="45087" xr:uid="{00000000-0005-0000-0000-000020A80000}"/>
    <cellStyle name="Normal 59 4" xfId="45088" xr:uid="{00000000-0005-0000-0000-000021A80000}"/>
    <cellStyle name="Normal 59 4 2" xfId="45089" xr:uid="{00000000-0005-0000-0000-000022A80000}"/>
    <cellStyle name="Normal 59 4 2 2" xfId="45090" xr:uid="{00000000-0005-0000-0000-000023A80000}"/>
    <cellStyle name="Normal 59 4 2 2 2" xfId="45091" xr:uid="{00000000-0005-0000-0000-000024A80000}"/>
    <cellStyle name="Normal 59 4 2 3" xfId="45092" xr:uid="{00000000-0005-0000-0000-000025A80000}"/>
    <cellStyle name="Normal 59 4 3" xfId="45093" xr:uid="{00000000-0005-0000-0000-000026A80000}"/>
    <cellStyle name="Normal 59 4 3 2" xfId="45094" xr:uid="{00000000-0005-0000-0000-000027A80000}"/>
    <cellStyle name="Normal 59 4 4" xfId="45095" xr:uid="{00000000-0005-0000-0000-000028A80000}"/>
    <cellStyle name="Normal 59 4 5" xfId="45096" xr:uid="{00000000-0005-0000-0000-000029A80000}"/>
    <cellStyle name="Normal 59 4 6" xfId="45097" xr:uid="{00000000-0005-0000-0000-00002AA80000}"/>
    <cellStyle name="Normal 59 5" xfId="45098" xr:uid="{00000000-0005-0000-0000-00002BA80000}"/>
    <cellStyle name="Normal 59 5 2" xfId="45099" xr:uid="{00000000-0005-0000-0000-00002CA80000}"/>
    <cellStyle name="Normal 59 5 2 2" xfId="45100" xr:uid="{00000000-0005-0000-0000-00002DA80000}"/>
    <cellStyle name="Normal 59 5 3" xfId="45101" xr:uid="{00000000-0005-0000-0000-00002EA80000}"/>
    <cellStyle name="Normal 59 6" xfId="45102" xr:uid="{00000000-0005-0000-0000-00002FA80000}"/>
    <cellStyle name="Normal 59 6 2" xfId="45103" xr:uid="{00000000-0005-0000-0000-000030A80000}"/>
    <cellStyle name="Normal 59 6 2 2" xfId="45104" xr:uid="{00000000-0005-0000-0000-000031A80000}"/>
    <cellStyle name="Normal 59 6 3" xfId="45105" xr:uid="{00000000-0005-0000-0000-000032A80000}"/>
    <cellStyle name="Normal 59 7" xfId="45106" xr:uid="{00000000-0005-0000-0000-000033A80000}"/>
    <cellStyle name="Normal 59 8" xfId="45107" xr:uid="{00000000-0005-0000-0000-000034A80000}"/>
    <cellStyle name="Normal 6" xfId="1641" xr:uid="{00000000-0005-0000-0000-000035A80000}"/>
    <cellStyle name="Normal 6 2" xfId="45108" xr:uid="{00000000-0005-0000-0000-000036A80000}"/>
    <cellStyle name="Normal 6 2 2" xfId="45109" xr:uid="{00000000-0005-0000-0000-000037A80000}"/>
    <cellStyle name="Normal 6 2 2 2" xfId="45110" xr:uid="{00000000-0005-0000-0000-000038A80000}"/>
    <cellStyle name="Normal 6 2 2 3" xfId="45111" xr:uid="{00000000-0005-0000-0000-000039A80000}"/>
    <cellStyle name="Normal 6 2 3" xfId="45112" xr:uid="{00000000-0005-0000-0000-00003AA80000}"/>
    <cellStyle name="Normal 6 2 3 2" xfId="45113" xr:uid="{00000000-0005-0000-0000-00003BA80000}"/>
    <cellStyle name="Normal 6 2 3 3" xfId="45114" xr:uid="{00000000-0005-0000-0000-00003CA80000}"/>
    <cellStyle name="Normal 6 2 4" xfId="45115" xr:uid="{00000000-0005-0000-0000-00003DA80000}"/>
    <cellStyle name="Normal 6 2 5" xfId="45116" xr:uid="{00000000-0005-0000-0000-00003EA80000}"/>
    <cellStyle name="Normal 6 2 6" xfId="45117" xr:uid="{00000000-0005-0000-0000-00003FA80000}"/>
    <cellStyle name="Normal 6 3" xfId="45118" xr:uid="{00000000-0005-0000-0000-000040A80000}"/>
    <cellStyle name="Normal 6 3 2" xfId="45119" xr:uid="{00000000-0005-0000-0000-000041A80000}"/>
    <cellStyle name="Normal 6 3 3" xfId="45120" xr:uid="{00000000-0005-0000-0000-000042A80000}"/>
    <cellStyle name="Normal 6 3 4" xfId="45121" xr:uid="{00000000-0005-0000-0000-000043A80000}"/>
    <cellStyle name="Normal 6 3 5" xfId="45122" xr:uid="{00000000-0005-0000-0000-000044A80000}"/>
    <cellStyle name="Normal 6 4" xfId="45123" xr:uid="{00000000-0005-0000-0000-000045A80000}"/>
    <cellStyle name="Normal 6 4 2" xfId="45124" xr:uid="{00000000-0005-0000-0000-000046A80000}"/>
    <cellStyle name="Normal 6 4 3" xfId="45125" xr:uid="{00000000-0005-0000-0000-000047A80000}"/>
    <cellStyle name="Normal 6 4 4" xfId="45126" xr:uid="{00000000-0005-0000-0000-000048A80000}"/>
    <cellStyle name="Normal 6 5" xfId="45127" xr:uid="{00000000-0005-0000-0000-000049A80000}"/>
    <cellStyle name="Normal 6 5 2" xfId="45128" xr:uid="{00000000-0005-0000-0000-00004AA80000}"/>
    <cellStyle name="Normal 6 5 3" xfId="45129" xr:uid="{00000000-0005-0000-0000-00004BA80000}"/>
    <cellStyle name="Normal 6 5 3 2" xfId="45130" xr:uid="{00000000-0005-0000-0000-00004CA80000}"/>
    <cellStyle name="Normal 6 5 3 2 2" xfId="45131" xr:uid="{00000000-0005-0000-0000-00004DA80000}"/>
    <cellStyle name="Normal 6 5 3 3" xfId="45132" xr:uid="{00000000-0005-0000-0000-00004EA80000}"/>
    <cellStyle name="Normal 6 6" xfId="45133" xr:uid="{00000000-0005-0000-0000-00004FA80000}"/>
    <cellStyle name="Normal 6 7" xfId="45134" xr:uid="{00000000-0005-0000-0000-000050A80000}"/>
    <cellStyle name="Normal 6 8" xfId="45135" xr:uid="{00000000-0005-0000-0000-000051A80000}"/>
    <cellStyle name="Normal 60" xfId="45136" xr:uid="{00000000-0005-0000-0000-000052A80000}"/>
    <cellStyle name="Normal 60 2" xfId="45137" xr:uid="{00000000-0005-0000-0000-000053A80000}"/>
    <cellStyle name="Normal 60 2 2" xfId="45138" xr:uid="{00000000-0005-0000-0000-000054A80000}"/>
    <cellStyle name="Normal 60 3" xfId="45139" xr:uid="{00000000-0005-0000-0000-000055A80000}"/>
    <cellStyle name="Normal 60 3 2" xfId="45140" xr:uid="{00000000-0005-0000-0000-000056A80000}"/>
    <cellStyle name="Normal 60 3 3" xfId="45141" xr:uid="{00000000-0005-0000-0000-000057A80000}"/>
    <cellStyle name="Normal 60 4" xfId="45142" xr:uid="{00000000-0005-0000-0000-000058A80000}"/>
    <cellStyle name="Normal 60 4 2" xfId="45143" xr:uid="{00000000-0005-0000-0000-000059A80000}"/>
    <cellStyle name="Normal 60 5" xfId="45144" xr:uid="{00000000-0005-0000-0000-00005AA80000}"/>
    <cellStyle name="Normal 61" xfId="45145" xr:uid="{00000000-0005-0000-0000-00005BA80000}"/>
    <cellStyle name="Normal 61 2" xfId="45146" xr:uid="{00000000-0005-0000-0000-00005CA80000}"/>
    <cellStyle name="Normal 61 2 2" xfId="45147" xr:uid="{00000000-0005-0000-0000-00005DA80000}"/>
    <cellStyle name="Normal 61 3" xfId="45148" xr:uid="{00000000-0005-0000-0000-00005EA80000}"/>
    <cellStyle name="Normal 61 3 2" xfId="45149" xr:uid="{00000000-0005-0000-0000-00005FA80000}"/>
    <cellStyle name="Normal 61 3 3" xfId="45150" xr:uid="{00000000-0005-0000-0000-000060A80000}"/>
    <cellStyle name="Normal 61 4" xfId="45151" xr:uid="{00000000-0005-0000-0000-000061A80000}"/>
    <cellStyle name="Normal 61 4 2" xfId="45152" xr:uid="{00000000-0005-0000-0000-000062A80000}"/>
    <cellStyle name="Normal 61 5" xfId="45153" xr:uid="{00000000-0005-0000-0000-000063A80000}"/>
    <cellStyle name="Normal 62" xfId="45154" xr:uid="{00000000-0005-0000-0000-000064A80000}"/>
    <cellStyle name="Normal 62 2" xfId="45155" xr:uid="{00000000-0005-0000-0000-000065A80000}"/>
    <cellStyle name="Normal 62 2 2" xfId="45156" xr:uid="{00000000-0005-0000-0000-000066A80000}"/>
    <cellStyle name="Normal 62 3" xfId="45157" xr:uid="{00000000-0005-0000-0000-000067A80000}"/>
    <cellStyle name="Normal 62 3 2" xfId="45158" xr:uid="{00000000-0005-0000-0000-000068A80000}"/>
    <cellStyle name="Normal 62 3 3" xfId="45159" xr:uid="{00000000-0005-0000-0000-000069A80000}"/>
    <cellStyle name="Normal 62 4" xfId="45160" xr:uid="{00000000-0005-0000-0000-00006AA80000}"/>
    <cellStyle name="Normal 62 4 2" xfId="45161" xr:uid="{00000000-0005-0000-0000-00006BA80000}"/>
    <cellStyle name="Normal 62 5" xfId="45162" xr:uid="{00000000-0005-0000-0000-00006CA80000}"/>
    <cellStyle name="Normal 63" xfId="45163" xr:uid="{00000000-0005-0000-0000-00006DA80000}"/>
    <cellStyle name="Normal 63 2" xfId="45164" xr:uid="{00000000-0005-0000-0000-00006EA80000}"/>
    <cellStyle name="Normal 63 2 2" xfId="45165" xr:uid="{00000000-0005-0000-0000-00006FA80000}"/>
    <cellStyle name="Normal 63 3" xfId="45166" xr:uid="{00000000-0005-0000-0000-000070A80000}"/>
    <cellStyle name="Normal 63 3 2" xfId="45167" xr:uid="{00000000-0005-0000-0000-000071A80000}"/>
    <cellStyle name="Normal 63 3 3" xfId="45168" xr:uid="{00000000-0005-0000-0000-000072A80000}"/>
    <cellStyle name="Normal 63 4" xfId="45169" xr:uid="{00000000-0005-0000-0000-000073A80000}"/>
    <cellStyle name="Normal 63 4 2" xfId="45170" xr:uid="{00000000-0005-0000-0000-000074A80000}"/>
    <cellStyle name="Normal 63 5" xfId="45171" xr:uid="{00000000-0005-0000-0000-000075A80000}"/>
    <cellStyle name="Normal 64" xfId="45172" xr:uid="{00000000-0005-0000-0000-000076A80000}"/>
    <cellStyle name="Normal 64 2" xfId="45173" xr:uid="{00000000-0005-0000-0000-000077A80000}"/>
    <cellStyle name="Normal 64 2 2" xfId="45174" xr:uid="{00000000-0005-0000-0000-000078A80000}"/>
    <cellStyle name="Normal 64 3" xfId="45175" xr:uid="{00000000-0005-0000-0000-000079A80000}"/>
    <cellStyle name="Normal 64 3 2" xfId="45176" xr:uid="{00000000-0005-0000-0000-00007AA80000}"/>
    <cellStyle name="Normal 64 4" xfId="45177" xr:uid="{00000000-0005-0000-0000-00007BA80000}"/>
    <cellStyle name="Normal 64 5" xfId="45178" xr:uid="{00000000-0005-0000-0000-00007CA80000}"/>
    <cellStyle name="Normal 65" xfId="45179" xr:uid="{00000000-0005-0000-0000-00007DA80000}"/>
    <cellStyle name="Normal 65 2" xfId="45180" xr:uid="{00000000-0005-0000-0000-00007EA80000}"/>
    <cellStyle name="Normal 65 2 2" xfId="45181" xr:uid="{00000000-0005-0000-0000-00007FA80000}"/>
    <cellStyle name="Normal 65 2 2 2" xfId="45182" xr:uid="{00000000-0005-0000-0000-000080A80000}"/>
    <cellStyle name="Normal 65 2 2 3" xfId="45183" xr:uid="{00000000-0005-0000-0000-000081A80000}"/>
    <cellStyle name="Normal 65 2 3" xfId="45184" xr:uid="{00000000-0005-0000-0000-000082A80000}"/>
    <cellStyle name="Normal 65 2 4" xfId="45185" xr:uid="{00000000-0005-0000-0000-000083A80000}"/>
    <cellStyle name="Normal 65 3" xfId="45186" xr:uid="{00000000-0005-0000-0000-000084A80000}"/>
    <cellStyle name="Normal 65 3 2" xfId="45187" xr:uid="{00000000-0005-0000-0000-000085A80000}"/>
    <cellStyle name="Normal 65 3 2 2" xfId="45188" xr:uid="{00000000-0005-0000-0000-000086A80000}"/>
    <cellStyle name="Normal 65 3 2 3" xfId="45189" xr:uid="{00000000-0005-0000-0000-000087A80000}"/>
    <cellStyle name="Normal 65 3 3" xfId="45190" xr:uid="{00000000-0005-0000-0000-000088A80000}"/>
    <cellStyle name="Normal 65 3 4" xfId="45191" xr:uid="{00000000-0005-0000-0000-000089A80000}"/>
    <cellStyle name="Normal 65 4" xfId="45192" xr:uid="{00000000-0005-0000-0000-00008AA80000}"/>
    <cellStyle name="Normal 65 4 2" xfId="45193" xr:uid="{00000000-0005-0000-0000-00008BA80000}"/>
    <cellStyle name="Normal 65 4 3" xfId="45194" xr:uid="{00000000-0005-0000-0000-00008CA80000}"/>
    <cellStyle name="Normal 65 5" xfId="45195" xr:uid="{00000000-0005-0000-0000-00008DA80000}"/>
    <cellStyle name="Normal 65 5 2" xfId="45196" xr:uid="{00000000-0005-0000-0000-00008EA80000}"/>
    <cellStyle name="Normal 65 6" xfId="45197" xr:uid="{00000000-0005-0000-0000-00008FA80000}"/>
    <cellStyle name="Normal 66" xfId="45198" xr:uid="{00000000-0005-0000-0000-000090A80000}"/>
    <cellStyle name="Normal 66 2" xfId="45199" xr:uid="{00000000-0005-0000-0000-000091A80000}"/>
    <cellStyle name="Normal 66 2 2" xfId="45200" xr:uid="{00000000-0005-0000-0000-000092A80000}"/>
    <cellStyle name="Normal 66 2 3" xfId="45201" xr:uid="{00000000-0005-0000-0000-000093A80000}"/>
    <cellStyle name="Normal 66 3" xfId="45202" xr:uid="{00000000-0005-0000-0000-000094A80000}"/>
    <cellStyle name="Normal 66 3 2" xfId="45203" xr:uid="{00000000-0005-0000-0000-000095A80000}"/>
    <cellStyle name="Normal 66 4" xfId="45204" xr:uid="{00000000-0005-0000-0000-000096A80000}"/>
    <cellStyle name="Normal 67" xfId="45205" xr:uid="{00000000-0005-0000-0000-000097A80000}"/>
    <cellStyle name="Normal 67 2" xfId="45206" xr:uid="{00000000-0005-0000-0000-000098A80000}"/>
    <cellStyle name="Normal 67 2 2" xfId="45207" xr:uid="{00000000-0005-0000-0000-000099A80000}"/>
    <cellStyle name="Normal 67 2 3" xfId="45208" xr:uid="{00000000-0005-0000-0000-00009AA80000}"/>
    <cellStyle name="Normal 67 3" xfId="45209" xr:uid="{00000000-0005-0000-0000-00009BA80000}"/>
    <cellStyle name="Normal 67 3 2" xfId="45210" xr:uid="{00000000-0005-0000-0000-00009CA80000}"/>
    <cellStyle name="Normal 67 4" xfId="45211" xr:uid="{00000000-0005-0000-0000-00009DA80000}"/>
    <cellStyle name="Normal 68" xfId="45212" xr:uid="{00000000-0005-0000-0000-00009EA80000}"/>
    <cellStyle name="Normal 68 2" xfId="45213" xr:uid="{00000000-0005-0000-0000-00009FA80000}"/>
    <cellStyle name="Normal 68 2 2" xfId="45214" xr:uid="{00000000-0005-0000-0000-0000A0A80000}"/>
    <cellStyle name="Normal 68 2 3" xfId="45215" xr:uid="{00000000-0005-0000-0000-0000A1A80000}"/>
    <cellStyle name="Normal 68 3" xfId="45216" xr:uid="{00000000-0005-0000-0000-0000A2A80000}"/>
    <cellStyle name="Normal 68 4" xfId="45217" xr:uid="{00000000-0005-0000-0000-0000A3A80000}"/>
    <cellStyle name="Normal 69" xfId="45218" xr:uid="{00000000-0005-0000-0000-0000A4A80000}"/>
    <cellStyle name="Normal 69 2" xfId="45219" xr:uid="{00000000-0005-0000-0000-0000A5A80000}"/>
    <cellStyle name="Normal 69 2 2" xfId="45220" xr:uid="{00000000-0005-0000-0000-0000A6A80000}"/>
    <cellStyle name="Normal 69 3" xfId="45221" xr:uid="{00000000-0005-0000-0000-0000A7A80000}"/>
    <cellStyle name="Normal 69 4" xfId="45222" xr:uid="{00000000-0005-0000-0000-0000A8A80000}"/>
    <cellStyle name="Normal 69 5" xfId="45223" xr:uid="{00000000-0005-0000-0000-0000A9A80000}"/>
    <cellStyle name="Normal 7" xfId="151" xr:uid="{00000000-0005-0000-0000-00005E000000}"/>
    <cellStyle name="Normal 7 10" xfId="45224" xr:uid="{00000000-0005-0000-0000-0000ABA80000}"/>
    <cellStyle name="Normal 7 10 2" xfId="45225" xr:uid="{00000000-0005-0000-0000-0000ACA80000}"/>
    <cellStyle name="Normal 7 10 2 2" xfId="45226" xr:uid="{00000000-0005-0000-0000-0000ADA80000}"/>
    <cellStyle name="Normal 7 10 2 2 2" xfId="45227" xr:uid="{00000000-0005-0000-0000-0000AEA80000}"/>
    <cellStyle name="Normal 7 10 2 3" xfId="45228" xr:uid="{00000000-0005-0000-0000-0000AFA80000}"/>
    <cellStyle name="Normal 7 10 3" xfId="45229" xr:uid="{00000000-0005-0000-0000-0000B0A80000}"/>
    <cellStyle name="Normal 7 10 3 2" xfId="45230" xr:uid="{00000000-0005-0000-0000-0000B1A80000}"/>
    <cellStyle name="Normal 7 10 4" xfId="45231" xr:uid="{00000000-0005-0000-0000-0000B2A80000}"/>
    <cellStyle name="Normal 7 11" xfId="45232" xr:uid="{00000000-0005-0000-0000-0000B3A80000}"/>
    <cellStyle name="Normal 7 11 2" xfId="45233" xr:uid="{00000000-0005-0000-0000-0000B4A80000}"/>
    <cellStyle name="Normal 7 11 2 2" xfId="45234" xr:uid="{00000000-0005-0000-0000-0000B5A80000}"/>
    <cellStyle name="Normal 7 11 2 2 2" xfId="45235" xr:uid="{00000000-0005-0000-0000-0000B6A80000}"/>
    <cellStyle name="Normal 7 11 2 3" xfId="45236" xr:uid="{00000000-0005-0000-0000-0000B7A80000}"/>
    <cellStyle name="Normal 7 11 3" xfId="45237" xr:uid="{00000000-0005-0000-0000-0000B8A80000}"/>
    <cellStyle name="Normal 7 11 3 2" xfId="45238" xr:uid="{00000000-0005-0000-0000-0000B9A80000}"/>
    <cellStyle name="Normal 7 11 4" xfId="45239" xr:uid="{00000000-0005-0000-0000-0000BAA80000}"/>
    <cellStyle name="Normal 7 12" xfId="45240" xr:uid="{00000000-0005-0000-0000-0000BBA80000}"/>
    <cellStyle name="Normal 7 12 2" xfId="45241" xr:uid="{00000000-0005-0000-0000-0000BCA80000}"/>
    <cellStyle name="Normal 7 12 2 2" xfId="45242" xr:uid="{00000000-0005-0000-0000-0000BDA80000}"/>
    <cellStyle name="Normal 7 12 2 2 2" xfId="45243" xr:uid="{00000000-0005-0000-0000-0000BEA80000}"/>
    <cellStyle name="Normal 7 12 2 3" xfId="45244" xr:uid="{00000000-0005-0000-0000-0000BFA80000}"/>
    <cellStyle name="Normal 7 12 3" xfId="45245" xr:uid="{00000000-0005-0000-0000-0000C0A80000}"/>
    <cellStyle name="Normal 7 12 3 2" xfId="45246" xr:uid="{00000000-0005-0000-0000-0000C1A80000}"/>
    <cellStyle name="Normal 7 12 4" xfId="45247" xr:uid="{00000000-0005-0000-0000-0000C2A80000}"/>
    <cellStyle name="Normal 7 13" xfId="45248" xr:uid="{00000000-0005-0000-0000-0000C3A80000}"/>
    <cellStyle name="Normal 7 13 2" xfId="45249" xr:uid="{00000000-0005-0000-0000-0000C4A80000}"/>
    <cellStyle name="Normal 7 13 2 2" xfId="45250" xr:uid="{00000000-0005-0000-0000-0000C5A80000}"/>
    <cellStyle name="Normal 7 13 3" xfId="45251" xr:uid="{00000000-0005-0000-0000-0000C6A80000}"/>
    <cellStyle name="Normal 7 14" xfId="45252" xr:uid="{00000000-0005-0000-0000-0000C7A80000}"/>
    <cellStyle name="Normal 7 14 2" xfId="45253" xr:uid="{00000000-0005-0000-0000-0000C8A80000}"/>
    <cellStyle name="Normal 7 15" xfId="45254" xr:uid="{00000000-0005-0000-0000-0000C9A80000}"/>
    <cellStyle name="Normal 7 16" xfId="45255" xr:uid="{00000000-0005-0000-0000-0000CAA80000}"/>
    <cellStyle name="Normal 7 2" xfId="45256" xr:uid="{00000000-0005-0000-0000-0000CBA80000}"/>
    <cellStyle name="Normal 7 2 10" xfId="45257" xr:uid="{00000000-0005-0000-0000-0000CCA80000}"/>
    <cellStyle name="Normal 7 2 10 2" xfId="45258" xr:uid="{00000000-0005-0000-0000-0000CDA80000}"/>
    <cellStyle name="Normal 7 2 10 2 2" xfId="45259" xr:uid="{00000000-0005-0000-0000-0000CEA80000}"/>
    <cellStyle name="Normal 7 2 10 2 2 2" xfId="45260" xr:uid="{00000000-0005-0000-0000-0000CFA80000}"/>
    <cellStyle name="Normal 7 2 10 2 3" xfId="45261" xr:uid="{00000000-0005-0000-0000-0000D0A80000}"/>
    <cellStyle name="Normal 7 2 10 3" xfId="45262" xr:uid="{00000000-0005-0000-0000-0000D1A80000}"/>
    <cellStyle name="Normal 7 2 10 3 2" xfId="45263" xr:uid="{00000000-0005-0000-0000-0000D2A80000}"/>
    <cellStyle name="Normal 7 2 10 4" xfId="45264" xr:uid="{00000000-0005-0000-0000-0000D3A80000}"/>
    <cellStyle name="Normal 7 2 11" xfId="45265" xr:uid="{00000000-0005-0000-0000-0000D4A80000}"/>
    <cellStyle name="Normal 7 2 11 2" xfId="45266" xr:uid="{00000000-0005-0000-0000-0000D5A80000}"/>
    <cellStyle name="Normal 7 2 11 2 2" xfId="45267" xr:uid="{00000000-0005-0000-0000-0000D6A80000}"/>
    <cellStyle name="Normal 7 2 11 2 2 2" xfId="45268" xr:uid="{00000000-0005-0000-0000-0000D7A80000}"/>
    <cellStyle name="Normal 7 2 11 2 3" xfId="45269" xr:uid="{00000000-0005-0000-0000-0000D8A80000}"/>
    <cellStyle name="Normal 7 2 11 3" xfId="45270" xr:uid="{00000000-0005-0000-0000-0000D9A80000}"/>
    <cellStyle name="Normal 7 2 11 3 2" xfId="45271" xr:uid="{00000000-0005-0000-0000-0000DAA80000}"/>
    <cellStyle name="Normal 7 2 11 4" xfId="45272" xr:uid="{00000000-0005-0000-0000-0000DBA80000}"/>
    <cellStyle name="Normal 7 2 12" xfId="45273" xr:uid="{00000000-0005-0000-0000-0000DCA80000}"/>
    <cellStyle name="Normal 7 2 12 2" xfId="45274" xr:uid="{00000000-0005-0000-0000-0000DDA80000}"/>
    <cellStyle name="Normal 7 2 12 2 2" xfId="45275" xr:uid="{00000000-0005-0000-0000-0000DEA80000}"/>
    <cellStyle name="Normal 7 2 12 3" xfId="45276" xr:uid="{00000000-0005-0000-0000-0000DFA80000}"/>
    <cellStyle name="Normal 7 2 13" xfId="45277" xr:uid="{00000000-0005-0000-0000-0000E0A80000}"/>
    <cellStyle name="Normal 7 2 13 2" xfId="45278" xr:uid="{00000000-0005-0000-0000-0000E1A80000}"/>
    <cellStyle name="Normal 7 2 14" xfId="45279" xr:uid="{00000000-0005-0000-0000-0000E2A80000}"/>
    <cellStyle name="Normal 7 2 15" xfId="45280" xr:uid="{00000000-0005-0000-0000-0000E3A80000}"/>
    <cellStyle name="Normal 7 2 16" xfId="45281" xr:uid="{00000000-0005-0000-0000-0000E4A80000}"/>
    <cellStyle name="Normal 7 2 2" xfId="45282" xr:uid="{00000000-0005-0000-0000-0000E5A80000}"/>
    <cellStyle name="Normal 7 2 2 10" xfId="45283" xr:uid="{00000000-0005-0000-0000-0000E6A80000}"/>
    <cellStyle name="Normal 7 2 2 10 2" xfId="45284" xr:uid="{00000000-0005-0000-0000-0000E7A80000}"/>
    <cellStyle name="Normal 7 2 2 11" xfId="45285" xr:uid="{00000000-0005-0000-0000-0000E8A80000}"/>
    <cellStyle name="Normal 7 2 2 12" xfId="45286" xr:uid="{00000000-0005-0000-0000-0000E9A80000}"/>
    <cellStyle name="Normal 7 2 2 13" xfId="45287" xr:uid="{00000000-0005-0000-0000-0000EAA80000}"/>
    <cellStyle name="Normal 7 2 2 2" xfId="45288" xr:uid="{00000000-0005-0000-0000-0000EBA80000}"/>
    <cellStyle name="Normal 7 2 2 2 10" xfId="45289" xr:uid="{00000000-0005-0000-0000-0000ECA80000}"/>
    <cellStyle name="Normal 7 2 2 2 11" xfId="45290" xr:uid="{00000000-0005-0000-0000-0000EDA80000}"/>
    <cellStyle name="Normal 7 2 2 2 2" xfId="45291" xr:uid="{00000000-0005-0000-0000-0000EEA80000}"/>
    <cellStyle name="Normal 7 2 2 2 2 10" xfId="45292" xr:uid="{00000000-0005-0000-0000-0000EFA80000}"/>
    <cellStyle name="Normal 7 2 2 2 2 2" xfId="45293" xr:uid="{00000000-0005-0000-0000-0000F0A80000}"/>
    <cellStyle name="Normal 7 2 2 2 2 2 2" xfId="45294" xr:uid="{00000000-0005-0000-0000-0000F1A80000}"/>
    <cellStyle name="Normal 7 2 2 2 2 2 2 2" xfId="45295" xr:uid="{00000000-0005-0000-0000-0000F2A80000}"/>
    <cellStyle name="Normal 7 2 2 2 2 2 2 2 2" xfId="45296" xr:uid="{00000000-0005-0000-0000-0000F3A80000}"/>
    <cellStyle name="Normal 7 2 2 2 2 2 2 2 2 2" xfId="45297" xr:uid="{00000000-0005-0000-0000-0000F4A80000}"/>
    <cellStyle name="Normal 7 2 2 2 2 2 2 2 3" xfId="45298" xr:uid="{00000000-0005-0000-0000-0000F5A80000}"/>
    <cellStyle name="Normal 7 2 2 2 2 2 2 3" xfId="45299" xr:uid="{00000000-0005-0000-0000-0000F6A80000}"/>
    <cellStyle name="Normal 7 2 2 2 2 2 2 3 2" xfId="45300" xr:uid="{00000000-0005-0000-0000-0000F7A80000}"/>
    <cellStyle name="Normal 7 2 2 2 2 2 2 4" xfId="45301" xr:uid="{00000000-0005-0000-0000-0000F8A80000}"/>
    <cellStyle name="Normal 7 2 2 2 2 2 2 5" xfId="45302" xr:uid="{00000000-0005-0000-0000-0000F9A80000}"/>
    <cellStyle name="Normal 7 2 2 2 2 2 2 6" xfId="45303" xr:uid="{00000000-0005-0000-0000-0000FAA80000}"/>
    <cellStyle name="Normal 7 2 2 2 2 2 3" xfId="45304" xr:uid="{00000000-0005-0000-0000-0000FBA80000}"/>
    <cellStyle name="Normal 7 2 2 2 2 2 3 2" xfId="45305" xr:uid="{00000000-0005-0000-0000-0000FCA80000}"/>
    <cellStyle name="Normal 7 2 2 2 2 2 3 2 2" xfId="45306" xr:uid="{00000000-0005-0000-0000-0000FDA80000}"/>
    <cellStyle name="Normal 7 2 2 2 2 2 3 3" xfId="45307" xr:uid="{00000000-0005-0000-0000-0000FEA80000}"/>
    <cellStyle name="Normal 7 2 2 2 2 2 4" xfId="45308" xr:uid="{00000000-0005-0000-0000-0000FFA80000}"/>
    <cellStyle name="Normal 7 2 2 2 2 2 4 2" xfId="45309" xr:uid="{00000000-0005-0000-0000-000000A90000}"/>
    <cellStyle name="Normal 7 2 2 2 2 2 4 2 2" xfId="45310" xr:uid="{00000000-0005-0000-0000-000001A90000}"/>
    <cellStyle name="Normal 7 2 2 2 2 2 4 3" xfId="45311" xr:uid="{00000000-0005-0000-0000-000002A90000}"/>
    <cellStyle name="Normal 7 2 2 2 2 2 5" xfId="45312" xr:uid="{00000000-0005-0000-0000-000003A90000}"/>
    <cellStyle name="Normal 7 2 2 2 2 2 5 2" xfId="45313" xr:uid="{00000000-0005-0000-0000-000004A90000}"/>
    <cellStyle name="Normal 7 2 2 2 2 2 6" xfId="45314" xr:uid="{00000000-0005-0000-0000-000005A90000}"/>
    <cellStyle name="Normal 7 2 2 2 2 2 7" xfId="45315" xr:uid="{00000000-0005-0000-0000-000006A90000}"/>
    <cellStyle name="Normal 7 2 2 2 2 2 8" xfId="45316" xr:uid="{00000000-0005-0000-0000-000007A90000}"/>
    <cellStyle name="Normal 7 2 2 2 2 3" xfId="45317" xr:uid="{00000000-0005-0000-0000-000008A90000}"/>
    <cellStyle name="Normal 7 2 2 2 2 3 2" xfId="45318" xr:uid="{00000000-0005-0000-0000-000009A90000}"/>
    <cellStyle name="Normal 7 2 2 2 2 3 2 2" xfId="45319" xr:uid="{00000000-0005-0000-0000-00000AA90000}"/>
    <cellStyle name="Normal 7 2 2 2 2 3 2 2 2" xfId="45320" xr:uid="{00000000-0005-0000-0000-00000BA90000}"/>
    <cellStyle name="Normal 7 2 2 2 2 3 2 2 2 2" xfId="45321" xr:uid="{00000000-0005-0000-0000-00000CA90000}"/>
    <cellStyle name="Normal 7 2 2 2 2 3 2 2 3" xfId="45322" xr:uid="{00000000-0005-0000-0000-00000DA90000}"/>
    <cellStyle name="Normal 7 2 2 2 2 3 2 3" xfId="45323" xr:uid="{00000000-0005-0000-0000-00000EA90000}"/>
    <cellStyle name="Normal 7 2 2 2 2 3 2 3 2" xfId="45324" xr:uid="{00000000-0005-0000-0000-00000FA90000}"/>
    <cellStyle name="Normal 7 2 2 2 2 3 2 4" xfId="45325" xr:uid="{00000000-0005-0000-0000-000010A90000}"/>
    <cellStyle name="Normal 7 2 2 2 2 3 2 5" xfId="45326" xr:uid="{00000000-0005-0000-0000-000011A90000}"/>
    <cellStyle name="Normal 7 2 2 2 2 3 2 6" xfId="45327" xr:uid="{00000000-0005-0000-0000-000012A90000}"/>
    <cellStyle name="Normal 7 2 2 2 2 3 3" xfId="45328" xr:uid="{00000000-0005-0000-0000-000013A90000}"/>
    <cellStyle name="Normal 7 2 2 2 2 3 3 2" xfId="45329" xr:uid="{00000000-0005-0000-0000-000014A90000}"/>
    <cellStyle name="Normal 7 2 2 2 2 3 3 2 2" xfId="45330" xr:uid="{00000000-0005-0000-0000-000015A90000}"/>
    <cellStyle name="Normal 7 2 2 2 2 3 3 3" xfId="45331" xr:uid="{00000000-0005-0000-0000-000016A90000}"/>
    <cellStyle name="Normal 7 2 2 2 2 3 4" xfId="45332" xr:uid="{00000000-0005-0000-0000-000017A90000}"/>
    <cellStyle name="Normal 7 2 2 2 2 3 4 2" xfId="45333" xr:uid="{00000000-0005-0000-0000-000018A90000}"/>
    <cellStyle name="Normal 7 2 2 2 2 3 5" xfId="45334" xr:uid="{00000000-0005-0000-0000-000019A90000}"/>
    <cellStyle name="Normal 7 2 2 2 2 3 6" xfId="45335" xr:uid="{00000000-0005-0000-0000-00001AA90000}"/>
    <cellStyle name="Normal 7 2 2 2 2 3 7" xfId="45336" xr:uid="{00000000-0005-0000-0000-00001BA90000}"/>
    <cellStyle name="Normal 7 2 2 2 2 4" xfId="45337" xr:uid="{00000000-0005-0000-0000-00001CA90000}"/>
    <cellStyle name="Normal 7 2 2 2 2 4 2" xfId="45338" xr:uid="{00000000-0005-0000-0000-00001DA90000}"/>
    <cellStyle name="Normal 7 2 2 2 2 4 2 2" xfId="45339" xr:uid="{00000000-0005-0000-0000-00001EA90000}"/>
    <cellStyle name="Normal 7 2 2 2 2 4 2 2 2" xfId="45340" xr:uid="{00000000-0005-0000-0000-00001FA90000}"/>
    <cellStyle name="Normal 7 2 2 2 2 4 2 3" xfId="45341" xr:uid="{00000000-0005-0000-0000-000020A90000}"/>
    <cellStyle name="Normal 7 2 2 2 2 4 3" xfId="45342" xr:uid="{00000000-0005-0000-0000-000021A90000}"/>
    <cellStyle name="Normal 7 2 2 2 2 4 3 2" xfId="45343" xr:uid="{00000000-0005-0000-0000-000022A90000}"/>
    <cellStyle name="Normal 7 2 2 2 2 4 4" xfId="45344" xr:uid="{00000000-0005-0000-0000-000023A90000}"/>
    <cellStyle name="Normal 7 2 2 2 2 4 5" xfId="45345" xr:uid="{00000000-0005-0000-0000-000024A90000}"/>
    <cellStyle name="Normal 7 2 2 2 2 4 6" xfId="45346" xr:uid="{00000000-0005-0000-0000-000025A90000}"/>
    <cellStyle name="Normal 7 2 2 2 2 5" xfId="45347" xr:uid="{00000000-0005-0000-0000-000026A90000}"/>
    <cellStyle name="Normal 7 2 2 2 2 5 2" xfId="45348" xr:uid="{00000000-0005-0000-0000-000027A90000}"/>
    <cellStyle name="Normal 7 2 2 2 2 5 2 2" xfId="45349" xr:uid="{00000000-0005-0000-0000-000028A90000}"/>
    <cellStyle name="Normal 7 2 2 2 2 5 3" xfId="45350" xr:uid="{00000000-0005-0000-0000-000029A90000}"/>
    <cellStyle name="Normal 7 2 2 2 2 6" xfId="45351" xr:uid="{00000000-0005-0000-0000-00002AA90000}"/>
    <cellStyle name="Normal 7 2 2 2 2 6 2" xfId="45352" xr:uid="{00000000-0005-0000-0000-00002BA90000}"/>
    <cellStyle name="Normal 7 2 2 2 2 6 2 2" xfId="45353" xr:uid="{00000000-0005-0000-0000-00002CA90000}"/>
    <cellStyle name="Normal 7 2 2 2 2 6 3" xfId="45354" xr:uid="{00000000-0005-0000-0000-00002DA90000}"/>
    <cellStyle name="Normal 7 2 2 2 2 7" xfId="45355" xr:uid="{00000000-0005-0000-0000-00002EA90000}"/>
    <cellStyle name="Normal 7 2 2 2 2 7 2" xfId="45356" xr:uid="{00000000-0005-0000-0000-00002FA90000}"/>
    <cellStyle name="Normal 7 2 2 2 2 8" xfId="45357" xr:uid="{00000000-0005-0000-0000-000030A90000}"/>
    <cellStyle name="Normal 7 2 2 2 2 9" xfId="45358" xr:uid="{00000000-0005-0000-0000-000031A90000}"/>
    <cellStyle name="Normal 7 2 2 2 3" xfId="45359" xr:uid="{00000000-0005-0000-0000-000032A90000}"/>
    <cellStyle name="Normal 7 2 2 2 3 2" xfId="45360" xr:uid="{00000000-0005-0000-0000-000033A90000}"/>
    <cellStyle name="Normal 7 2 2 2 3 2 2" xfId="45361" xr:uid="{00000000-0005-0000-0000-000034A90000}"/>
    <cellStyle name="Normal 7 2 2 2 3 2 2 2" xfId="45362" xr:uid="{00000000-0005-0000-0000-000035A90000}"/>
    <cellStyle name="Normal 7 2 2 2 3 2 2 2 2" xfId="45363" xr:uid="{00000000-0005-0000-0000-000036A90000}"/>
    <cellStyle name="Normal 7 2 2 2 3 2 2 3" xfId="45364" xr:uid="{00000000-0005-0000-0000-000037A90000}"/>
    <cellStyle name="Normal 7 2 2 2 3 2 3" xfId="45365" xr:uid="{00000000-0005-0000-0000-000038A90000}"/>
    <cellStyle name="Normal 7 2 2 2 3 2 3 2" xfId="45366" xr:uid="{00000000-0005-0000-0000-000039A90000}"/>
    <cellStyle name="Normal 7 2 2 2 3 2 4" xfId="45367" xr:uid="{00000000-0005-0000-0000-00003AA90000}"/>
    <cellStyle name="Normal 7 2 2 2 3 2 5" xfId="45368" xr:uid="{00000000-0005-0000-0000-00003BA90000}"/>
    <cellStyle name="Normal 7 2 2 2 3 2 6" xfId="45369" xr:uid="{00000000-0005-0000-0000-00003CA90000}"/>
    <cellStyle name="Normal 7 2 2 2 3 3" xfId="45370" xr:uid="{00000000-0005-0000-0000-00003DA90000}"/>
    <cellStyle name="Normal 7 2 2 2 3 3 2" xfId="45371" xr:uid="{00000000-0005-0000-0000-00003EA90000}"/>
    <cellStyle name="Normal 7 2 2 2 3 3 2 2" xfId="45372" xr:uid="{00000000-0005-0000-0000-00003FA90000}"/>
    <cellStyle name="Normal 7 2 2 2 3 3 3" xfId="45373" xr:uid="{00000000-0005-0000-0000-000040A90000}"/>
    <cellStyle name="Normal 7 2 2 2 3 4" xfId="45374" xr:uid="{00000000-0005-0000-0000-000041A90000}"/>
    <cellStyle name="Normal 7 2 2 2 3 4 2" xfId="45375" xr:uid="{00000000-0005-0000-0000-000042A90000}"/>
    <cellStyle name="Normal 7 2 2 2 3 4 2 2" xfId="45376" xr:uid="{00000000-0005-0000-0000-000043A90000}"/>
    <cellStyle name="Normal 7 2 2 2 3 4 3" xfId="45377" xr:uid="{00000000-0005-0000-0000-000044A90000}"/>
    <cellStyle name="Normal 7 2 2 2 3 5" xfId="45378" xr:uid="{00000000-0005-0000-0000-000045A90000}"/>
    <cellStyle name="Normal 7 2 2 2 3 5 2" xfId="45379" xr:uid="{00000000-0005-0000-0000-000046A90000}"/>
    <cellStyle name="Normal 7 2 2 2 3 6" xfId="45380" xr:uid="{00000000-0005-0000-0000-000047A90000}"/>
    <cellStyle name="Normal 7 2 2 2 3 7" xfId="45381" xr:uid="{00000000-0005-0000-0000-000048A90000}"/>
    <cellStyle name="Normal 7 2 2 2 3 8" xfId="45382" xr:uid="{00000000-0005-0000-0000-000049A90000}"/>
    <cellStyle name="Normal 7 2 2 2 4" xfId="45383" xr:uid="{00000000-0005-0000-0000-00004AA90000}"/>
    <cellStyle name="Normal 7 2 2 2 4 2" xfId="45384" xr:uid="{00000000-0005-0000-0000-00004BA90000}"/>
    <cellStyle name="Normal 7 2 2 2 4 2 2" xfId="45385" xr:uid="{00000000-0005-0000-0000-00004CA90000}"/>
    <cellStyle name="Normal 7 2 2 2 4 2 2 2" xfId="45386" xr:uid="{00000000-0005-0000-0000-00004DA90000}"/>
    <cellStyle name="Normal 7 2 2 2 4 2 2 2 2" xfId="45387" xr:uid="{00000000-0005-0000-0000-00004EA90000}"/>
    <cellStyle name="Normal 7 2 2 2 4 2 2 3" xfId="45388" xr:uid="{00000000-0005-0000-0000-00004FA90000}"/>
    <cellStyle name="Normal 7 2 2 2 4 2 3" xfId="45389" xr:uid="{00000000-0005-0000-0000-000050A90000}"/>
    <cellStyle name="Normal 7 2 2 2 4 2 3 2" xfId="45390" xr:uid="{00000000-0005-0000-0000-000051A90000}"/>
    <cellStyle name="Normal 7 2 2 2 4 2 4" xfId="45391" xr:uid="{00000000-0005-0000-0000-000052A90000}"/>
    <cellStyle name="Normal 7 2 2 2 4 2 5" xfId="45392" xr:uid="{00000000-0005-0000-0000-000053A90000}"/>
    <cellStyle name="Normal 7 2 2 2 4 2 6" xfId="45393" xr:uid="{00000000-0005-0000-0000-000054A90000}"/>
    <cellStyle name="Normal 7 2 2 2 4 3" xfId="45394" xr:uid="{00000000-0005-0000-0000-000055A90000}"/>
    <cellStyle name="Normal 7 2 2 2 4 3 2" xfId="45395" xr:uid="{00000000-0005-0000-0000-000056A90000}"/>
    <cellStyle name="Normal 7 2 2 2 4 3 2 2" xfId="45396" xr:uid="{00000000-0005-0000-0000-000057A90000}"/>
    <cellStyle name="Normal 7 2 2 2 4 3 3" xfId="45397" xr:uid="{00000000-0005-0000-0000-000058A90000}"/>
    <cellStyle name="Normal 7 2 2 2 4 4" xfId="45398" xr:uid="{00000000-0005-0000-0000-000059A90000}"/>
    <cellStyle name="Normal 7 2 2 2 4 4 2" xfId="45399" xr:uid="{00000000-0005-0000-0000-00005AA90000}"/>
    <cellStyle name="Normal 7 2 2 2 4 4 2 2" xfId="45400" xr:uid="{00000000-0005-0000-0000-00005BA90000}"/>
    <cellStyle name="Normal 7 2 2 2 4 4 3" xfId="45401" xr:uid="{00000000-0005-0000-0000-00005CA90000}"/>
    <cellStyle name="Normal 7 2 2 2 4 5" xfId="45402" xr:uid="{00000000-0005-0000-0000-00005DA90000}"/>
    <cellStyle name="Normal 7 2 2 2 4 5 2" xfId="45403" xr:uid="{00000000-0005-0000-0000-00005EA90000}"/>
    <cellStyle name="Normal 7 2 2 2 4 6" xfId="45404" xr:uid="{00000000-0005-0000-0000-00005FA90000}"/>
    <cellStyle name="Normal 7 2 2 2 4 7" xfId="45405" xr:uid="{00000000-0005-0000-0000-000060A90000}"/>
    <cellStyle name="Normal 7 2 2 2 4 8" xfId="45406" xr:uid="{00000000-0005-0000-0000-000061A90000}"/>
    <cellStyle name="Normal 7 2 2 2 5" xfId="45407" xr:uid="{00000000-0005-0000-0000-000062A90000}"/>
    <cellStyle name="Normal 7 2 2 2 5 2" xfId="45408" xr:uid="{00000000-0005-0000-0000-000063A90000}"/>
    <cellStyle name="Normal 7 2 2 2 5 2 2" xfId="45409" xr:uid="{00000000-0005-0000-0000-000064A90000}"/>
    <cellStyle name="Normal 7 2 2 2 5 2 2 2" xfId="45410" xr:uid="{00000000-0005-0000-0000-000065A90000}"/>
    <cellStyle name="Normal 7 2 2 2 5 2 3" xfId="45411" xr:uid="{00000000-0005-0000-0000-000066A90000}"/>
    <cellStyle name="Normal 7 2 2 2 5 3" xfId="45412" xr:uid="{00000000-0005-0000-0000-000067A90000}"/>
    <cellStyle name="Normal 7 2 2 2 5 3 2" xfId="45413" xr:uid="{00000000-0005-0000-0000-000068A90000}"/>
    <cellStyle name="Normal 7 2 2 2 5 4" xfId="45414" xr:uid="{00000000-0005-0000-0000-000069A90000}"/>
    <cellStyle name="Normal 7 2 2 2 5 5" xfId="45415" xr:uid="{00000000-0005-0000-0000-00006AA90000}"/>
    <cellStyle name="Normal 7 2 2 2 5 6" xfId="45416" xr:uid="{00000000-0005-0000-0000-00006BA90000}"/>
    <cellStyle name="Normal 7 2 2 2 6" xfId="45417" xr:uid="{00000000-0005-0000-0000-00006CA90000}"/>
    <cellStyle name="Normal 7 2 2 2 6 2" xfId="45418" xr:uid="{00000000-0005-0000-0000-00006DA90000}"/>
    <cellStyle name="Normal 7 2 2 2 6 2 2" xfId="45419" xr:uid="{00000000-0005-0000-0000-00006EA90000}"/>
    <cellStyle name="Normal 7 2 2 2 6 3" xfId="45420" xr:uid="{00000000-0005-0000-0000-00006FA90000}"/>
    <cellStyle name="Normal 7 2 2 2 7" xfId="45421" xr:uid="{00000000-0005-0000-0000-000070A90000}"/>
    <cellStyle name="Normal 7 2 2 2 7 2" xfId="45422" xr:uid="{00000000-0005-0000-0000-000071A90000}"/>
    <cellStyle name="Normal 7 2 2 2 7 2 2" xfId="45423" xr:uid="{00000000-0005-0000-0000-000072A90000}"/>
    <cellStyle name="Normal 7 2 2 2 7 3" xfId="45424" xr:uid="{00000000-0005-0000-0000-000073A90000}"/>
    <cellStyle name="Normal 7 2 2 2 8" xfId="45425" xr:uid="{00000000-0005-0000-0000-000074A90000}"/>
    <cellStyle name="Normal 7 2 2 2 8 2" xfId="45426" xr:uid="{00000000-0005-0000-0000-000075A90000}"/>
    <cellStyle name="Normal 7 2 2 2 9" xfId="45427" xr:uid="{00000000-0005-0000-0000-000076A90000}"/>
    <cellStyle name="Normal 7 2 2 3" xfId="45428" xr:uid="{00000000-0005-0000-0000-000077A90000}"/>
    <cellStyle name="Normal 7 2 2 3 10" xfId="45429" xr:uid="{00000000-0005-0000-0000-000078A90000}"/>
    <cellStyle name="Normal 7 2 2 3 2" xfId="45430" xr:uid="{00000000-0005-0000-0000-000079A90000}"/>
    <cellStyle name="Normal 7 2 2 3 2 2" xfId="45431" xr:uid="{00000000-0005-0000-0000-00007AA90000}"/>
    <cellStyle name="Normal 7 2 2 3 2 2 2" xfId="45432" xr:uid="{00000000-0005-0000-0000-00007BA90000}"/>
    <cellStyle name="Normal 7 2 2 3 2 2 2 2" xfId="45433" xr:uid="{00000000-0005-0000-0000-00007CA90000}"/>
    <cellStyle name="Normal 7 2 2 3 2 2 2 2 2" xfId="45434" xr:uid="{00000000-0005-0000-0000-00007DA90000}"/>
    <cellStyle name="Normal 7 2 2 3 2 2 2 3" xfId="45435" xr:uid="{00000000-0005-0000-0000-00007EA90000}"/>
    <cellStyle name="Normal 7 2 2 3 2 2 3" xfId="45436" xr:uid="{00000000-0005-0000-0000-00007FA90000}"/>
    <cellStyle name="Normal 7 2 2 3 2 2 3 2" xfId="45437" xr:uid="{00000000-0005-0000-0000-000080A90000}"/>
    <cellStyle name="Normal 7 2 2 3 2 2 4" xfId="45438" xr:uid="{00000000-0005-0000-0000-000081A90000}"/>
    <cellStyle name="Normal 7 2 2 3 2 2 5" xfId="45439" xr:uid="{00000000-0005-0000-0000-000082A90000}"/>
    <cellStyle name="Normal 7 2 2 3 2 2 6" xfId="45440" xr:uid="{00000000-0005-0000-0000-000083A90000}"/>
    <cellStyle name="Normal 7 2 2 3 2 3" xfId="45441" xr:uid="{00000000-0005-0000-0000-000084A90000}"/>
    <cellStyle name="Normal 7 2 2 3 2 3 2" xfId="45442" xr:uid="{00000000-0005-0000-0000-000085A90000}"/>
    <cellStyle name="Normal 7 2 2 3 2 3 2 2" xfId="45443" xr:uid="{00000000-0005-0000-0000-000086A90000}"/>
    <cellStyle name="Normal 7 2 2 3 2 3 3" xfId="45444" xr:uid="{00000000-0005-0000-0000-000087A90000}"/>
    <cellStyle name="Normal 7 2 2 3 2 4" xfId="45445" xr:uid="{00000000-0005-0000-0000-000088A90000}"/>
    <cellStyle name="Normal 7 2 2 3 2 4 2" xfId="45446" xr:uid="{00000000-0005-0000-0000-000089A90000}"/>
    <cellStyle name="Normal 7 2 2 3 2 4 2 2" xfId="45447" xr:uid="{00000000-0005-0000-0000-00008AA90000}"/>
    <cellStyle name="Normal 7 2 2 3 2 4 3" xfId="45448" xr:uid="{00000000-0005-0000-0000-00008BA90000}"/>
    <cellStyle name="Normal 7 2 2 3 2 5" xfId="45449" xr:uid="{00000000-0005-0000-0000-00008CA90000}"/>
    <cellStyle name="Normal 7 2 2 3 2 5 2" xfId="45450" xr:uid="{00000000-0005-0000-0000-00008DA90000}"/>
    <cellStyle name="Normal 7 2 2 3 2 6" xfId="45451" xr:uid="{00000000-0005-0000-0000-00008EA90000}"/>
    <cellStyle name="Normal 7 2 2 3 2 7" xfId="45452" xr:uid="{00000000-0005-0000-0000-00008FA90000}"/>
    <cellStyle name="Normal 7 2 2 3 2 8" xfId="45453" xr:uid="{00000000-0005-0000-0000-000090A90000}"/>
    <cellStyle name="Normal 7 2 2 3 3" xfId="45454" xr:uid="{00000000-0005-0000-0000-000091A90000}"/>
    <cellStyle name="Normal 7 2 2 3 3 2" xfId="45455" xr:uid="{00000000-0005-0000-0000-000092A90000}"/>
    <cellStyle name="Normal 7 2 2 3 3 2 2" xfId="45456" xr:uid="{00000000-0005-0000-0000-000093A90000}"/>
    <cellStyle name="Normal 7 2 2 3 3 2 2 2" xfId="45457" xr:uid="{00000000-0005-0000-0000-000094A90000}"/>
    <cellStyle name="Normal 7 2 2 3 3 2 2 2 2" xfId="45458" xr:uid="{00000000-0005-0000-0000-000095A90000}"/>
    <cellStyle name="Normal 7 2 2 3 3 2 2 3" xfId="45459" xr:uid="{00000000-0005-0000-0000-000096A90000}"/>
    <cellStyle name="Normal 7 2 2 3 3 2 3" xfId="45460" xr:uid="{00000000-0005-0000-0000-000097A90000}"/>
    <cellStyle name="Normal 7 2 2 3 3 2 3 2" xfId="45461" xr:uid="{00000000-0005-0000-0000-000098A90000}"/>
    <cellStyle name="Normal 7 2 2 3 3 2 4" xfId="45462" xr:uid="{00000000-0005-0000-0000-000099A90000}"/>
    <cellStyle name="Normal 7 2 2 3 3 2 5" xfId="45463" xr:uid="{00000000-0005-0000-0000-00009AA90000}"/>
    <cellStyle name="Normal 7 2 2 3 3 2 6" xfId="45464" xr:uid="{00000000-0005-0000-0000-00009BA90000}"/>
    <cellStyle name="Normal 7 2 2 3 3 3" xfId="45465" xr:uid="{00000000-0005-0000-0000-00009CA90000}"/>
    <cellStyle name="Normal 7 2 2 3 3 3 2" xfId="45466" xr:uid="{00000000-0005-0000-0000-00009DA90000}"/>
    <cellStyle name="Normal 7 2 2 3 3 3 2 2" xfId="45467" xr:uid="{00000000-0005-0000-0000-00009EA90000}"/>
    <cellStyle name="Normal 7 2 2 3 3 3 3" xfId="45468" xr:uid="{00000000-0005-0000-0000-00009FA90000}"/>
    <cellStyle name="Normal 7 2 2 3 3 4" xfId="45469" xr:uid="{00000000-0005-0000-0000-0000A0A90000}"/>
    <cellStyle name="Normal 7 2 2 3 3 4 2" xfId="45470" xr:uid="{00000000-0005-0000-0000-0000A1A90000}"/>
    <cellStyle name="Normal 7 2 2 3 3 5" xfId="45471" xr:uid="{00000000-0005-0000-0000-0000A2A90000}"/>
    <cellStyle name="Normal 7 2 2 3 3 6" xfId="45472" xr:uid="{00000000-0005-0000-0000-0000A3A90000}"/>
    <cellStyle name="Normal 7 2 2 3 3 7" xfId="45473" xr:uid="{00000000-0005-0000-0000-0000A4A90000}"/>
    <cellStyle name="Normal 7 2 2 3 4" xfId="45474" xr:uid="{00000000-0005-0000-0000-0000A5A90000}"/>
    <cellStyle name="Normal 7 2 2 3 4 2" xfId="45475" xr:uid="{00000000-0005-0000-0000-0000A6A90000}"/>
    <cellStyle name="Normal 7 2 2 3 4 2 2" xfId="45476" xr:uid="{00000000-0005-0000-0000-0000A7A90000}"/>
    <cellStyle name="Normal 7 2 2 3 4 2 2 2" xfId="45477" xr:uid="{00000000-0005-0000-0000-0000A8A90000}"/>
    <cellStyle name="Normal 7 2 2 3 4 2 3" xfId="45478" xr:uid="{00000000-0005-0000-0000-0000A9A90000}"/>
    <cellStyle name="Normal 7 2 2 3 4 3" xfId="45479" xr:uid="{00000000-0005-0000-0000-0000AAA90000}"/>
    <cellStyle name="Normal 7 2 2 3 4 3 2" xfId="45480" xr:uid="{00000000-0005-0000-0000-0000ABA90000}"/>
    <cellStyle name="Normal 7 2 2 3 4 4" xfId="45481" xr:uid="{00000000-0005-0000-0000-0000ACA90000}"/>
    <cellStyle name="Normal 7 2 2 3 4 5" xfId="45482" xr:uid="{00000000-0005-0000-0000-0000ADA90000}"/>
    <cellStyle name="Normal 7 2 2 3 4 6" xfId="45483" xr:uid="{00000000-0005-0000-0000-0000AEA90000}"/>
    <cellStyle name="Normal 7 2 2 3 5" xfId="45484" xr:uid="{00000000-0005-0000-0000-0000AFA90000}"/>
    <cellStyle name="Normal 7 2 2 3 5 2" xfId="45485" xr:uid="{00000000-0005-0000-0000-0000B0A90000}"/>
    <cellStyle name="Normal 7 2 2 3 5 2 2" xfId="45486" xr:uid="{00000000-0005-0000-0000-0000B1A90000}"/>
    <cellStyle name="Normal 7 2 2 3 5 3" xfId="45487" xr:uid="{00000000-0005-0000-0000-0000B2A90000}"/>
    <cellStyle name="Normal 7 2 2 3 6" xfId="45488" xr:uid="{00000000-0005-0000-0000-0000B3A90000}"/>
    <cellStyle name="Normal 7 2 2 3 6 2" xfId="45489" xr:uid="{00000000-0005-0000-0000-0000B4A90000}"/>
    <cellStyle name="Normal 7 2 2 3 6 2 2" xfId="45490" xr:uid="{00000000-0005-0000-0000-0000B5A90000}"/>
    <cellStyle name="Normal 7 2 2 3 6 3" xfId="45491" xr:uid="{00000000-0005-0000-0000-0000B6A90000}"/>
    <cellStyle name="Normal 7 2 2 3 7" xfId="45492" xr:uid="{00000000-0005-0000-0000-0000B7A90000}"/>
    <cellStyle name="Normal 7 2 2 3 7 2" xfId="45493" xr:uid="{00000000-0005-0000-0000-0000B8A90000}"/>
    <cellStyle name="Normal 7 2 2 3 8" xfId="45494" xr:uid="{00000000-0005-0000-0000-0000B9A90000}"/>
    <cellStyle name="Normal 7 2 2 3 9" xfId="45495" xr:uid="{00000000-0005-0000-0000-0000BAA90000}"/>
    <cellStyle name="Normal 7 2 2 4" xfId="45496" xr:uid="{00000000-0005-0000-0000-0000BBA90000}"/>
    <cellStyle name="Normal 7 2 2 4 2" xfId="45497" xr:uid="{00000000-0005-0000-0000-0000BCA90000}"/>
    <cellStyle name="Normal 7 2 2 4 2 2" xfId="45498" xr:uid="{00000000-0005-0000-0000-0000BDA90000}"/>
    <cellStyle name="Normal 7 2 2 4 2 2 2" xfId="45499" xr:uid="{00000000-0005-0000-0000-0000BEA90000}"/>
    <cellStyle name="Normal 7 2 2 4 2 2 2 2" xfId="45500" xr:uid="{00000000-0005-0000-0000-0000BFA90000}"/>
    <cellStyle name="Normal 7 2 2 4 2 2 3" xfId="45501" xr:uid="{00000000-0005-0000-0000-0000C0A90000}"/>
    <cellStyle name="Normal 7 2 2 4 2 3" xfId="45502" xr:uid="{00000000-0005-0000-0000-0000C1A90000}"/>
    <cellStyle name="Normal 7 2 2 4 2 3 2" xfId="45503" xr:uid="{00000000-0005-0000-0000-0000C2A90000}"/>
    <cellStyle name="Normal 7 2 2 4 2 4" xfId="45504" xr:uid="{00000000-0005-0000-0000-0000C3A90000}"/>
    <cellStyle name="Normal 7 2 2 4 2 5" xfId="45505" xr:uid="{00000000-0005-0000-0000-0000C4A90000}"/>
    <cellStyle name="Normal 7 2 2 4 2 6" xfId="45506" xr:uid="{00000000-0005-0000-0000-0000C5A90000}"/>
    <cellStyle name="Normal 7 2 2 4 3" xfId="45507" xr:uid="{00000000-0005-0000-0000-0000C6A90000}"/>
    <cellStyle name="Normal 7 2 2 4 3 2" xfId="45508" xr:uid="{00000000-0005-0000-0000-0000C7A90000}"/>
    <cellStyle name="Normal 7 2 2 4 3 2 2" xfId="45509" xr:uid="{00000000-0005-0000-0000-0000C8A90000}"/>
    <cellStyle name="Normal 7 2 2 4 3 3" xfId="45510" xr:uid="{00000000-0005-0000-0000-0000C9A90000}"/>
    <cellStyle name="Normal 7 2 2 4 4" xfId="45511" xr:uid="{00000000-0005-0000-0000-0000CAA90000}"/>
    <cellStyle name="Normal 7 2 2 4 4 2" xfId="45512" xr:uid="{00000000-0005-0000-0000-0000CBA90000}"/>
    <cellStyle name="Normal 7 2 2 4 4 2 2" xfId="45513" xr:uid="{00000000-0005-0000-0000-0000CCA90000}"/>
    <cellStyle name="Normal 7 2 2 4 4 3" xfId="45514" xr:uid="{00000000-0005-0000-0000-0000CDA90000}"/>
    <cellStyle name="Normal 7 2 2 4 5" xfId="45515" xr:uid="{00000000-0005-0000-0000-0000CEA90000}"/>
    <cellStyle name="Normal 7 2 2 4 5 2" xfId="45516" xr:uid="{00000000-0005-0000-0000-0000CFA90000}"/>
    <cellStyle name="Normal 7 2 2 4 6" xfId="45517" xr:uid="{00000000-0005-0000-0000-0000D0A90000}"/>
    <cellStyle name="Normal 7 2 2 4 7" xfId="45518" xr:uid="{00000000-0005-0000-0000-0000D1A90000}"/>
    <cellStyle name="Normal 7 2 2 4 8" xfId="45519" xr:uid="{00000000-0005-0000-0000-0000D2A90000}"/>
    <cellStyle name="Normal 7 2 2 5" xfId="45520" xr:uid="{00000000-0005-0000-0000-0000D3A90000}"/>
    <cellStyle name="Normal 7 2 2 5 2" xfId="45521" xr:uid="{00000000-0005-0000-0000-0000D4A90000}"/>
    <cellStyle name="Normal 7 2 2 5 2 2" xfId="45522" xr:uid="{00000000-0005-0000-0000-0000D5A90000}"/>
    <cellStyle name="Normal 7 2 2 5 2 2 2" xfId="45523" xr:uid="{00000000-0005-0000-0000-0000D6A90000}"/>
    <cellStyle name="Normal 7 2 2 5 2 2 2 2" xfId="45524" xr:uid="{00000000-0005-0000-0000-0000D7A90000}"/>
    <cellStyle name="Normal 7 2 2 5 2 2 3" xfId="45525" xr:uid="{00000000-0005-0000-0000-0000D8A90000}"/>
    <cellStyle name="Normal 7 2 2 5 2 3" xfId="45526" xr:uid="{00000000-0005-0000-0000-0000D9A90000}"/>
    <cellStyle name="Normal 7 2 2 5 2 3 2" xfId="45527" xr:uid="{00000000-0005-0000-0000-0000DAA90000}"/>
    <cellStyle name="Normal 7 2 2 5 2 4" xfId="45528" xr:uid="{00000000-0005-0000-0000-0000DBA90000}"/>
    <cellStyle name="Normal 7 2 2 5 2 5" xfId="45529" xr:uid="{00000000-0005-0000-0000-0000DCA90000}"/>
    <cellStyle name="Normal 7 2 2 5 2 6" xfId="45530" xr:uid="{00000000-0005-0000-0000-0000DDA90000}"/>
    <cellStyle name="Normal 7 2 2 5 3" xfId="45531" xr:uid="{00000000-0005-0000-0000-0000DEA90000}"/>
    <cellStyle name="Normal 7 2 2 5 3 2" xfId="45532" xr:uid="{00000000-0005-0000-0000-0000DFA90000}"/>
    <cellStyle name="Normal 7 2 2 5 3 2 2" xfId="45533" xr:uid="{00000000-0005-0000-0000-0000E0A90000}"/>
    <cellStyle name="Normal 7 2 2 5 3 3" xfId="45534" xr:uid="{00000000-0005-0000-0000-0000E1A90000}"/>
    <cellStyle name="Normal 7 2 2 5 4" xfId="45535" xr:uid="{00000000-0005-0000-0000-0000E2A90000}"/>
    <cellStyle name="Normal 7 2 2 5 4 2" xfId="45536" xr:uid="{00000000-0005-0000-0000-0000E3A90000}"/>
    <cellStyle name="Normal 7 2 2 5 4 2 2" xfId="45537" xr:uid="{00000000-0005-0000-0000-0000E4A90000}"/>
    <cellStyle name="Normal 7 2 2 5 4 3" xfId="45538" xr:uid="{00000000-0005-0000-0000-0000E5A90000}"/>
    <cellStyle name="Normal 7 2 2 5 5" xfId="45539" xr:uid="{00000000-0005-0000-0000-0000E6A90000}"/>
    <cellStyle name="Normal 7 2 2 5 5 2" xfId="45540" xr:uid="{00000000-0005-0000-0000-0000E7A90000}"/>
    <cellStyle name="Normal 7 2 2 5 6" xfId="45541" xr:uid="{00000000-0005-0000-0000-0000E8A90000}"/>
    <cellStyle name="Normal 7 2 2 5 7" xfId="45542" xr:uid="{00000000-0005-0000-0000-0000E9A90000}"/>
    <cellStyle name="Normal 7 2 2 5 8" xfId="45543" xr:uid="{00000000-0005-0000-0000-0000EAA90000}"/>
    <cellStyle name="Normal 7 2 2 6" xfId="45544" xr:uid="{00000000-0005-0000-0000-0000EBA90000}"/>
    <cellStyle name="Normal 7 2 2 6 2" xfId="45545" xr:uid="{00000000-0005-0000-0000-0000ECA90000}"/>
    <cellStyle name="Normal 7 2 2 6 2 2" xfId="45546" xr:uid="{00000000-0005-0000-0000-0000EDA90000}"/>
    <cellStyle name="Normal 7 2 2 6 2 2 2" xfId="45547" xr:uid="{00000000-0005-0000-0000-0000EEA90000}"/>
    <cellStyle name="Normal 7 2 2 6 2 3" xfId="45548" xr:uid="{00000000-0005-0000-0000-0000EFA90000}"/>
    <cellStyle name="Normal 7 2 2 6 3" xfId="45549" xr:uid="{00000000-0005-0000-0000-0000F0A90000}"/>
    <cellStyle name="Normal 7 2 2 6 3 2" xfId="45550" xr:uid="{00000000-0005-0000-0000-0000F1A90000}"/>
    <cellStyle name="Normal 7 2 2 6 4" xfId="45551" xr:uid="{00000000-0005-0000-0000-0000F2A90000}"/>
    <cellStyle name="Normal 7 2 2 6 5" xfId="45552" xr:uid="{00000000-0005-0000-0000-0000F3A90000}"/>
    <cellStyle name="Normal 7 2 2 6 6" xfId="45553" xr:uid="{00000000-0005-0000-0000-0000F4A90000}"/>
    <cellStyle name="Normal 7 2 2 7" xfId="45554" xr:uid="{00000000-0005-0000-0000-0000F5A90000}"/>
    <cellStyle name="Normal 7 2 2 7 2" xfId="45555" xr:uid="{00000000-0005-0000-0000-0000F6A90000}"/>
    <cellStyle name="Normal 7 2 2 7 2 2" xfId="45556" xr:uid="{00000000-0005-0000-0000-0000F7A90000}"/>
    <cellStyle name="Normal 7 2 2 7 3" xfId="45557" xr:uid="{00000000-0005-0000-0000-0000F8A90000}"/>
    <cellStyle name="Normal 7 2 2 8" xfId="45558" xr:uid="{00000000-0005-0000-0000-0000F9A90000}"/>
    <cellStyle name="Normal 7 2 2 8 2" xfId="45559" xr:uid="{00000000-0005-0000-0000-0000FAA90000}"/>
    <cellStyle name="Normal 7 2 2 8 2 2" xfId="45560" xr:uid="{00000000-0005-0000-0000-0000FBA90000}"/>
    <cellStyle name="Normal 7 2 2 8 3" xfId="45561" xr:uid="{00000000-0005-0000-0000-0000FCA90000}"/>
    <cellStyle name="Normal 7 2 2 9" xfId="45562" xr:uid="{00000000-0005-0000-0000-0000FDA90000}"/>
    <cellStyle name="Normal 7 2 2 9 2" xfId="45563" xr:uid="{00000000-0005-0000-0000-0000FEA90000}"/>
    <cellStyle name="Normal 7 2 2 9 2 2" xfId="45564" xr:uid="{00000000-0005-0000-0000-0000FFA90000}"/>
    <cellStyle name="Normal 7 2 2 9 3" xfId="45565" xr:uid="{00000000-0005-0000-0000-000000AA0000}"/>
    <cellStyle name="Normal 7 2 3" xfId="45566" xr:uid="{00000000-0005-0000-0000-000001AA0000}"/>
    <cellStyle name="Normal 7 2 3 10" xfId="45567" xr:uid="{00000000-0005-0000-0000-000002AA0000}"/>
    <cellStyle name="Normal 7 2 3 11" xfId="45568" xr:uid="{00000000-0005-0000-0000-000003AA0000}"/>
    <cellStyle name="Normal 7 2 3 2" xfId="45569" xr:uid="{00000000-0005-0000-0000-000004AA0000}"/>
    <cellStyle name="Normal 7 2 3 2 10" xfId="45570" xr:uid="{00000000-0005-0000-0000-000005AA0000}"/>
    <cellStyle name="Normal 7 2 3 2 2" xfId="45571" xr:uid="{00000000-0005-0000-0000-000006AA0000}"/>
    <cellStyle name="Normal 7 2 3 2 2 2" xfId="45572" xr:uid="{00000000-0005-0000-0000-000007AA0000}"/>
    <cellStyle name="Normal 7 2 3 2 2 2 2" xfId="45573" xr:uid="{00000000-0005-0000-0000-000008AA0000}"/>
    <cellStyle name="Normal 7 2 3 2 2 2 2 2" xfId="45574" xr:uid="{00000000-0005-0000-0000-000009AA0000}"/>
    <cellStyle name="Normal 7 2 3 2 2 2 2 2 2" xfId="45575" xr:uid="{00000000-0005-0000-0000-00000AAA0000}"/>
    <cellStyle name="Normal 7 2 3 2 2 2 2 3" xfId="45576" xr:uid="{00000000-0005-0000-0000-00000BAA0000}"/>
    <cellStyle name="Normal 7 2 3 2 2 2 3" xfId="45577" xr:uid="{00000000-0005-0000-0000-00000CAA0000}"/>
    <cellStyle name="Normal 7 2 3 2 2 2 3 2" xfId="45578" xr:uid="{00000000-0005-0000-0000-00000DAA0000}"/>
    <cellStyle name="Normal 7 2 3 2 2 2 4" xfId="45579" xr:uid="{00000000-0005-0000-0000-00000EAA0000}"/>
    <cellStyle name="Normal 7 2 3 2 2 2 5" xfId="45580" xr:uid="{00000000-0005-0000-0000-00000FAA0000}"/>
    <cellStyle name="Normal 7 2 3 2 2 2 6" xfId="45581" xr:uid="{00000000-0005-0000-0000-000010AA0000}"/>
    <cellStyle name="Normal 7 2 3 2 2 3" xfId="45582" xr:uid="{00000000-0005-0000-0000-000011AA0000}"/>
    <cellStyle name="Normal 7 2 3 2 2 3 2" xfId="45583" xr:uid="{00000000-0005-0000-0000-000012AA0000}"/>
    <cellStyle name="Normal 7 2 3 2 2 3 2 2" xfId="45584" xr:uid="{00000000-0005-0000-0000-000013AA0000}"/>
    <cellStyle name="Normal 7 2 3 2 2 3 3" xfId="45585" xr:uid="{00000000-0005-0000-0000-000014AA0000}"/>
    <cellStyle name="Normal 7 2 3 2 2 4" xfId="45586" xr:uid="{00000000-0005-0000-0000-000015AA0000}"/>
    <cellStyle name="Normal 7 2 3 2 2 4 2" xfId="45587" xr:uid="{00000000-0005-0000-0000-000016AA0000}"/>
    <cellStyle name="Normal 7 2 3 2 2 4 2 2" xfId="45588" xr:uid="{00000000-0005-0000-0000-000017AA0000}"/>
    <cellStyle name="Normal 7 2 3 2 2 4 3" xfId="45589" xr:uid="{00000000-0005-0000-0000-000018AA0000}"/>
    <cellStyle name="Normal 7 2 3 2 2 5" xfId="45590" xr:uid="{00000000-0005-0000-0000-000019AA0000}"/>
    <cellStyle name="Normal 7 2 3 2 2 5 2" xfId="45591" xr:uid="{00000000-0005-0000-0000-00001AAA0000}"/>
    <cellStyle name="Normal 7 2 3 2 2 6" xfId="45592" xr:uid="{00000000-0005-0000-0000-00001BAA0000}"/>
    <cellStyle name="Normal 7 2 3 2 2 7" xfId="45593" xr:uid="{00000000-0005-0000-0000-00001CAA0000}"/>
    <cellStyle name="Normal 7 2 3 2 2 8" xfId="45594" xr:uid="{00000000-0005-0000-0000-00001DAA0000}"/>
    <cellStyle name="Normal 7 2 3 2 3" xfId="45595" xr:uid="{00000000-0005-0000-0000-00001EAA0000}"/>
    <cellStyle name="Normal 7 2 3 2 3 2" xfId="45596" xr:uid="{00000000-0005-0000-0000-00001FAA0000}"/>
    <cellStyle name="Normal 7 2 3 2 3 2 2" xfId="45597" xr:uid="{00000000-0005-0000-0000-000020AA0000}"/>
    <cellStyle name="Normal 7 2 3 2 3 2 2 2" xfId="45598" xr:uid="{00000000-0005-0000-0000-000021AA0000}"/>
    <cellStyle name="Normal 7 2 3 2 3 2 2 2 2" xfId="45599" xr:uid="{00000000-0005-0000-0000-000022AA0000}"/>
    <cellStyle name="Normal 7 2 3 2 3 2 2 3" xfId="45600" xr:uid="{00000000-0005-0000-0000-000023AA0000}"/>
    <cellStyle name="Normal 7 2 3 2 3 2 3" xfId="45601" xr:uid="{00000000-0005-0000-0000-000024AA0000}"/>
    <cellStyle name="Normal 7 2 3 2 3 2 3 2" xfId="45602" xr:uid="{00000000-0005-0000-0000-000025AA0000}"/>
    <cellStyle name="Normal 7 2 3 2 3 2 4" xfId="45603" xr:uid="{00000000-0005-0000-0000-000026AA0000}"/>
    <cellStyle name="Normal 7 2 3 2 3 2 5" xfId="45604" xr:uid="{00000000-0005-0000-0000-000027AA0000}"/>
    <cellStyle name="Normal 7 2 3 2 3 2 6" xfId="45605" xr:uid="{00000000-0005-0000-0000-000028AA0000}"/>
    <cellStyle name="Normal 7 2 3 2 3 3" xfId="45606" xr:uid="{00000000-0005-0000-0000-000029AA0000}"/>
    <cellStyle name="Normal 7 2 3 2 3 3 2" xfId="45607" xr:uid="{00000000-0005-0000-0000-00002AAA0000}"/>
    <cellStyle name="Normal 7 2 3 2 3 3 2 2" xfId="45608" xr:uid="{00000000-0005-0000-0000-00002BAA0000}"/>
    <cellStyle name="Normal 7 2 3 2 3 3 3" xfId="45609" xr:uid="{00000000-0005-0000-0000-00002CAA0000}"/>
    <cellStyle name="Normal 7 2 3 2 3 4" xfId="45610" xr:uid="{00000000-0005-0000-0000-00002DAA0000}"/>
    <cellStyle name="Normal 7 2 3 2 3 4 2" xfId="45611" xr:uid="{00000000-0005-0000-0000-00002EAA0000}"/>
    <cellStyle name="Normal 7 2 3 2 3 5" xfId="45612" xr:uid="{00000000-0005-0000-0000-00002FAA0000}"/>
    <cellStyle name="Normal 7 2 3 2 3 6" xfId="45613" xr:uid="{00000000-0005-0000-0000-000030AA0000}"/>
    <cellStyle name="Normal 7 2 3 2 3 7" xfId="45614" xr:uid="{00000000-0005-0000-0000-000031AA0000}"/>
    <cellStyle name="Normal 7 2 3 2 4" xfId="45615" xr:uid="{00000000-0005-0000-0000-000032AA0000}"/>
    <cellStyle name="Normal 7 2 3 2 4 2" xfId="45616" xr:uid="{00000000-0005-0000-0000-000033AA0000}"/>
    <cellStyle name="Normal 7 2 3 2 4 2 2" xfId="45617" xr:uid="{00000000-0005-0000-0000-000034AA0000}"/>
    <cellStyle name="Normal 7 2 3 2 4 2 2 2" xfId="45618" xr:uid="{00000000-0005-0000-0000-000035AA0000}"/>
    <cellStyle name="Normal 7 2 3 2 4 2 3" xfId="45619" xr:uid="{00000000-0005-0000-0000-000036AA0000}"/>
    <cellStyle name="Normal 7 2 3 2 4 3" xfId="45620" xr:uid="{00000000-0005-0000-0000-000037AA0000}"/>
    <cellStyle name="Normal 7 2 3 2 4 3 2" xfId="45621" xr:uid="{00000000-0005-0000-0000-000038AA0000}"/>
    <cellStyle name="Normal 7 2 3 2 4 4" xfId="45622" xr:uid="{00000000-0005-0000-0000-000039AA0000}"/>
    <cellStyle name="Normal 7 2 3 2 4 5" xfId="45623" xr:uid="{00000000-0005-0000-0000-00003AAA0000}"/>
    <cellStyle name="Normal 7 2 3 2 4 6" xfId="45624" xr:uid="{00000000-0005-0000-0000-00003BAA0000}"/>
    <cellStyle name="Normal 7 2 3 2 5" xfId="45625" xr:uid="{00000000-0005-0000-0000-00003CAA0000}"/>
    <cellStyle name="Normal 7 2 3 2 5 2" xfId="45626" xr:uid="{00000000-0005-0000-0000-00003DAA0000}"/>
    <cellStyle name="Normal 7 2 3 2 5 2 2" xfId="45627" xr:uid="{00000000-0005-0000-0000-00003EAA0000}"/>
    <cellStyle name="Normal 7 2 3 2 5 3" xfId="45628" xr:uid="{00000000-0005-0000-0000-00003FAA0000}"/>
    <cellStyle name="Normal 7 2 3 2 6" xfId="45629" xr:uid="{00000000-0005-0000-0000-000040AA0000}"/>
    <cellStyle name="Normal 7 2 3 2 6 2" xfId="45630" xr:uid="{00000000-0005-0000-0000-000041AA0000}"/>
    <cellStyle name="Normal 7 2 3 2 6 2 2" xfId="45631" xr:uid="{00000000-0005-0000-0000-000042AA0000}"/>
    <cellStyle name="Normal 7 2 3 2 6 3" xfId="45632" xr:uid="{00000000-0005-0000-0000-000043AA0000}"/>
    <cellStyle name="Normal 7 2 3 2 7" xfId="45633" xr:uid="{00000000-0005-0000-0000-000044AA0000}"/>
    <cellStyle name="Normal 7 2 3 2 7 2" xfId="45634" xr:uid="{00000000-0005-0000-0000-000045AA0000}"/>
    <cellStyle name="Normal 7 2 3 2 8" xfId="45635" xr:uid="{00000000-0005-0000-0000-000046AA0000}"/>
    <cellStyle name="Normal 7 2 3 2 9" xfId="45636" xr:uid="{00000000-0005-0000-0000-000047AA0000}"/>
    <cellStyle name="Normal 7 2 3 3" xfId="45637" xr:uid="{00000000-0005-0000-0000-000048AA0000}"/>
    <cellStyle name="Normal 7 2 3 3 2" xfId="45638" xr:uid="{00000000-0005-0000-0000-000049AA0000}"/>
    <cellStyle name="Normal 7 2 3 3 2 2" xfId="45639" xr:uid="{00000000-0005-0000-0000-00004AAA0000}"/>
    <cellStyle name="Normal 7 2 3 3 2 2 2" xfId="45640" xr:uid="{00000000-0005-0000-0000-00004BAA0000}"/>
    <cellStyle name="Normal 7 2 3 3 2 2 2 2" xfId="45641" xr:uid="{00000000-0005-0000-0000-00004CAA0000}"/>
    <cellStyle name="Normal 7 2 3 3 2 2 3" xfId="45642" xr:uid="{00000000-0005-0000-0000-00004DAA0000}"/>
    <cellStyle name="Normal 7 2 3 3 2 3" xfId="45643" xr:uid="{00000000-0005-0000-0000-00004EAA0000}"/>
    <cellStyle name="Normal 7 2 3 3 2 3 2" xfId="45644" xr:uid="{00000000-0005-0000-0000-00004FAA0000}"/>
    <cellStyle name="Normal 7 2 3 3 2 4" xfId="45645" xr:uid="{00000000-0005-0000-0000-000050AA0000}"/>
    <cellStyle name="Normal 7 2 3 3 2 5" xfId="45646" xr:uid="{00000000-0005-0000-0000-000051AA0000}"/>
    <cellStyle name="Normal 7 2 3 3 2 6" xfId="45647" xr:uid="{00000000-0005-0000-0000-000052AA0000}"/>
    <cellStyle name="Normal 7 2 3 3 3" xfId="45648" xr:uid="{00000000-0005-0000-0000-000053AA0000}"/>
    <cellStyle name="Normal 7 2 3 3 3 2" xfId="45649" xr:uid="{00000000-0005-0000-0000-000054AA0000}"/>
    <cellStyle name="Normal 7 2 3 3 3 2 2" xfId="45650" xr:uid="{00000000-0005-0000-0000-000055AA0000}"/>
    <cellStyle name="Normal 7 2 3 3 3 3" xfId="45651" xr:uid="{00000000-0005-0000-0000-000056AA0000}"/>
    <cellStyle name="Normal 7 2 3 3 4" xfId="45652" xr:uid="{00000000-0005-0000-0000-000057AA0000}"/>
    <cellStyle name="Normal 7 2 3 3 4 2" xfId="45653" xr:uid="{00000000-0005-0000-0000-000058AA0000}"/>
    <cellStyle name="Normal 7 2 3 3 4 2 2" xfId="45654" xr:uid="{00000000-0005-0000-0000-000059AA0000}"/>
    <cellStyle name="Normal 7 2 3 3 4 3" xfId="45655" xr:uid="{00000000-0005-0000-0000-00005AAA0000}"/>
    <cellStyle name="Normal 7 2 3 3 5" xfId="45656" xr:uid="{00000000-0005-0000-0000-00005BAA0000}"/>
    <cellStyle name="Normal 7 2 3 3 5 2" xfId="45657" xr:uid="{00000000-0005-0000-0000-00005CAA0000}"/>
    <cellStyle name="Normal 7 2 3 3 6" xfId="45658" xr:uid="{00000000-0005-0000-0000-00005DAA0000}"/>
    <cellStyle name="Normal 7 2 3 3 7" xfId="45659" xr:uid="{00000000-0005-0000-0000-00005EAA0000}"/>
    <cellStyle name="Normal 7 2 3 3 8" xfId="45660" xr:uid="{00000000-0005-0000-0000-00005FAA0000}"/>
    <cellStyle name="Normal 7 2 3 4" xfId="45661" xr:uid="{00000000-0005-0000-0000-000060AA0000}"/>
    <cellStyle name="Normal 7 2 3 4 2" xfId="45662" xr:uid="{00000000-0005-0000-0000-000061AA0000}"/>
    <cellStyle name="Normal 7 2 3 4 2 2" xfId="45663" xr:uid="{00000000-0005-0000-0000-000062AA0000}"/>
    <cellStyle name="Normal 7 2 3 4 2 2 2" xfId="45664" xr:uid="{00000000-0005-0000-0000-000063AA0000}"/>
    <cellStyle name="Normal 7 2 3 4 2 2 2 2" xfId="45665" xr:uid="{00000000-0005-0000-0000-000064AA0000}"/>
    <cellStyle name="Normal 7 2 3 4 2 2 3" xfId="45666" xr:uid="{00000000-0005-0000-0000-000065AA0000}"/>
    <cellStyle name="Normal 7 2 3 4 2 3" xfId="45667" xr:uid="{00000000-0005-0000-0000-000066AA0000}"/>
    <cellStyle name="Normal 7 2 3 4 2 3 2" xfId="45668" xr:uid="{00000000-0005-0000-0000-000067AA0000}"/>
    <cellStyle name="Normal 7 2 3 4 2 4" xfId="45669" xr:uid="{00000000-0005-0000-0000-000068AA0000}"/>
    <cellStyle name="Normal 7 2 3 4 2 5" xfId="45670" xr:uid="{00000000-0005-0000-0000-000069AA0000}"/>
    <cellStyle name="Normal 7 2 3 4 2 6" xfId="45671" xr:uid="{00000000-0005-0000-0000-00006AAA0000}"/>
    <cellStyle name="Normal 7 2 3 4 3" xfId="45672" xr:uid="{00000000-0005-0000-0000-00006BAA0000}"/>
    <cellStyle name="Normal 7 2 3 4 3 2" xfId="45673" xr:uid="{00000000-0005-0000-0000-00006CAA0000}"/>
    <cellStyle name="Normal 7 2 3 4 3 2 2" xfId="45674" xr:uid="{00000000-0005-0000-0000-00006DAA0000}"/>
    <cellStyle name="Normal 7 2 3 4 3 3" xfId="45675" xr:uid="{00000000-0005-0000-0000-00006EAA0000}"/>
    <cellStyle name="Normal 7 2 3 4 4" xfId="45676" xr:uid="{00000000-0005-0000-0000-00006FAA0000}"/>
    <cellStyle name="Normal 7 2 3 4 4 2" xfId="45677" xr:uid="{00000000-0005-0000-0000-000070AA0000}"/>
    <cellStyle name="Normal 7 2 3 4 4 2 2" xfId="45678" xr:uid="{00000000-0005-0000-0000-000071AA0000}"/>
    <cellStyle name="Normal 7 2 3 4 4 3" xfId="45679" xr:uid="{00000000-0005-0000-0000-000072AA0000}"/>
    <cellStyle name="Normal 7 2 3 4 5" xfId="45680" xr:uid="{00000000-0005-0000-0000-000073AA0000}"/>
    <cellStyle name="Normal 7 2 3 4 5 2" xfId="45681" xr:uid="{00000000-0005-0000-0000-000074AA0000}"/>
    <cellStyle name="Normal 7 2 3 4 6" xfId="45682" xr:uid="{00000000-0005-0000-0000-000075AA0000}"/>
    <cellStyle name="Normal 7 2 3 4 7" xfId="45683" xr:uid="{00000000-0005-0000-0000-000076AA0000}"/>
    <cellStyle name="Normal 7 2 3 4 8" xfId="45684" xr:uid="{00000000-0005-0000-0000-000077AA0000}"/>
    <cellStyle name="Normal 7 2 3 5" xfId="45685" xr:uid="{00000000-0005-0000-0000-000078AA0000}"/>
    <cellStyle name="Normal 7 2 3 5 2" xfId="45686" xr:uid="{00000000-0005-0000-0000-000079AA0000}"/>
    <cellStyle name="Normal 7 2 3 5 2 2" xfId="45687" xr:uid="{00000000-0005-0000-0000-00007AAA0000}"/>
    <cellStyle name="Normal 7 2 3 5 2 2 2" xfId="45688" xr:uid="{00000000-0005-0000-0000-00007BAA0000}"/>
    <cellStyle name="Normal 7 2 3 5 2 3" xfId="45689" xr:uid="{00000000-0005-0000-0000-00007CAA0000}"/>
    <cellStyle name="Normal 7 2 3 5 3" xfId="45690" xr:uid="{00000000-0005-0000-0000-00007DAA0000}"/>
    <cellStyle name="Normal 7 2 3 5 3 2" xfId="45691" xr:uid="{00000000-0005-0000-0000-00007EAA0000}"/>
    <cellStyle name="Normal 7 2 3 5 4" xfId="45692" xr:uid="{00000000-0005-0000-0000-00007FAA0000}"/>
    <cellStyle name="Normal 7 2 3 5 5" xfId="45693" xr:uid="{00000000-0005-0000-0000-000080AA0000}"/>
    <cellStyle name="Normal 7 2 3 5 6" xfId="45694" xr:uid="{00000000-0005-0000-0000-000081AA0000}"/>
    <cellStyle name="Normal 7 2 3 6" xfId="45695" xr:uid="{00000000-0005-0000-0000-000082AA0000}"/>
    <cellStyle name="Normal 7 2 3 6 2" xfId="45696" xr:uid="{00000000-0005-0000-0000-000083AA0000}"/>
    <cellStyle name="Normal 7 2 3 6 2 2" xfId="45697" xr:uid="{00000000-0005-0000-0000-000084AA0000}"/>
    <cellStyle name="Normal 7 2 3 6 3" xfId="45698" xr:uid="{00000000-0005-0000-0000-000085AA0000}"/>
    <cellStyle name="Normal 7 2 3 7" xfId="45699" xr:uid="{00000000-0005-0000-0000-000086AA0000}"/>
    <cellStyle name="Normal 7 2 3 7 2" xfId="45700" xr:uid="{00000000-0005-0000-0000-000087AA0000}"/>
    <cellStyle name="Normal 7 2 3 7 2 2" xfId="45701" xr:uid="{00000000-0005-0000-0000-000088AA0000}"/>
    <cellStyle name="Normal 7 2 3 7 3" xfId="45702" xr:uid="{00000000-0005-0000-0000-000089AA0000}"/>
    <cellStyle name="Normal 7 2 3 8" xfId="45703" xr:uid="{00000000-0005-0000-0000-00008AAA0000}"/>
    <cellStyle name="Normal 7 2 3 8 2" xfId="45704" xr:uid="{00000000-0005-0000-0000-00008BAA0000}"/>
    <cellStyle name="Normal 7 2 3 9" xfId="45705" xr:uid="{00000000-0005-0000-0000-00008CAA0000}"/>
    <cellStyle name="Normal 7 2 4" xfId="45706" xr:uid="{00000000-0005-0000-0000-00008DAA0000}"/>
    <cellStyle name="Normal 7 2 4 10" xfId="45707" xr:uid="{00000000-0005-0000-0000-00008EAA0000}"/>
    <cellStyle name="Normal 7 2 4 11" xfId="45708" xr:uid="{00000000-0005-0000-0000-00008FAA0000}"/>
    <cellStyle name="Normal 7 2 4 2" xfId="45709" xr:uid="{00000000-0005-0000-0000-000090AA0000}"/>
    <cellStyle name="Normal 7 2 4 2 10" xfId="45710" xr:uid="{00000000-0005-0000-0000-000091AA0000}"/>
    <cellStyle name="Normal 7 2 4 2 2" xfId="45711" xr:uid="{00000000-0005-0000-0000-000092AA0000}"/>
    <cellStyle name="Normal 7 2 4 2 2 2" xfId="45712" xr:uid="{00000000-0005-0000-0000-000093AA0000}"/>
    <cellStyle name="Normal 7 2 4 2 2 2 2" xfId="45713" xr:uid="{00000000-0005-0000-0000-000094AA0000}"/>
    <cellStyle name="Normal 7 2 4 2 2 2 2 2" xfId="45714" xr:uid="{00000000-0005-0000-0000-000095AA0000}"/>
    <cellStyle name="Normal 7 2 4 2 2 2 2 2 2" xfId="45715" xr:uid="{00000000-0005-0000-0000-000096AA0000}"/>
    <cellStyle name="Normal 7 2 4 2 2 2 2 3" xfId="45716" xr:uid="{00000000-0005-0000-0000-000097AA0000}"/>
    <cellStyle name="Normal 7 2 4 2 2 2 3" xfId="45717" xr:uid="{00000000-0005-0000-0000-000098AA0000}"/>
    <cellStyle name="Normal 7 2 4 2 2 2 3 2" xfId="45718" xr:uid="{00000000-0005-0000-0000-000099AA0000}"/>
    <cellStyle name="Normal 7 2 4 2 2 2 4" xfId="45719" xr:uid="{00000000-0005-0000-0000-00009AAA0000}"/>
    <cellStyle name="Normal 7 2 4 2 2 2 5" xfId="45720" xr:uid="{00000000-0005-0000-0000-00009BAA0000}"/>
    <cellStyle name="Normal 7 2 4 2 2 2 6" xfId="45721" xr:uid="{00000000-0005-0000-0000-00009CAA0000}"/>
    <cellStyle name="Normal 7 2 4 2 2 3" xfId="45722" xr:uid="{00000000-0005-0000-0000-00009DAA0000}"/>
    <cellStyle name="Normal 7 2 4 2 2 3 2" xfId="45723" xr:uid="{00000000-0005-0000-0000-00009EAA0000}"/>
    <cellStyle name="Normal 7 2 4 2 2 3 2 2" xfId="45724" xr:uid="{00000000-0005-0000-0000-00009FAA0000}"/>
    <cellStyle name="Normal 7 2 4 2 2 3 3" xfId="45725" xr:uid="{00000000-0005-0000-0000-0000A0AA0000}"/>
    <cellStyle name="Normal 7 2 4 2 2 4" xfId="45726" xr:uid="{00000000-0005-0000-0000-0000A1AA0000}"/>
    <cellStyle name="Normal 7 2 4 2 2 4 2" xfId="45727" xr:uid="{00000000-0005-0000-0000-0000A2AA0000}"/>
    <cellStyle name="Normal 7 2 4 2 2 4 2 2" xfId="45728" xr:uid="{00000000-0005-0000-0000-0000A3AA0000}"/>
    <cellStyle name="Normal 7 2 4 2 2 4 3" xfId="45729" xr:uid="{00000000-0005-0000-0000-0000A4AA0000}"/>
    <cellStyle name="Normal 7 2 4 2 2 5" xfId="45730" xr:uid="{00000000-0005-0000-0000-0000A5AA0000}"/>
    <cellStyle name="Normal 7 2 4 2 2 5 2" xfId="45731" xr:uid="{00000000-0005-0000-0000-0000A6AA0000}"/>
    <cellStyle name="Normal 7 2 4 2 2 6" xfId="45732" xr:uid="{00000000-0005-0000-0000-0000A7AA0000}"/>
    <cellStyle name="Normal 7 2 4 2 2 7" xfId="45733" xr:uid="{00000000-0005-0000-0000-0000A8AA0000}"/>
    <cellStyle name="Normal 7 2 4 2 2 8" xfId="45734" xr:uid="{00000000-0005-0000-0000-0000A9AA0000}"/>
    <cellStyle name="Normal 7 2 4 2 3" xfId="45735" xr:uid="{00000000-0005-0000-0000-0000AAAA0000}"/>
    <cellStyle name="Normal 7 2 4 2 3 2" xfId="45736" xr:uid="{00000000-0005-0000-0000-0000ABAA0000}"/>
    <cellStyle name="Normal 7 2 4 2 3 2 2" xfId="45737" xr:uid="{00000000-0005-0000-0000-0000ACAA0000}"/>
    <cellStyle name="Normal 7 2 4 2 3 2 2 2" xfId="45738" xr:uid="{00000000-0005-0000-0000-0000ADAA0000}"/>
    <cellStyle name="Normal 7 2 4 2 3 2 2 2 2" xfId="45739" xr:uid="{00000000-0005-0000-0000-0000AEAA0000}"/>
    <cellStyle name="Normal 7 2 4 2 3 2 2 3" xfId="45740" xr:uid="{00000000-0005-0000-0000-0000AFAA0000}"/>
    <cellStyle name="Normal 7 2 4 2 3 2 3" xfId="45741" xr:uid="{00000000-0005-0000-0000-0000B0AA0000}"/>
    <cellStyle name="Normal 7 2 4 2 3 2 3 2" xfId="45742" xr:uid="{00000000-0005-0000-0000-0000B1AA0000}"/>
    <cellStyle name="Normal 7 2 4 2 3 2 4" xfId="45743" xr:uid="{00000000-0005-0000-0000-0000B2AA0000}"/>
    <cellStyle name="Normal 7 2 4 2 3 2 5" xfId="45744" xr:uid="{00000000-0005-0000-0000-0000B3AA0000}"/>
    <cellStyle name="Normal 7 2 4 2 3 2 6" xfId="45745" xr:uid="{00000000-0005-0000-0000-0000B4AA0000}"/>
    <cellStyle name="Normal 7 2 4 2 3 3" xfId="45746" xr:uid="{00000000-0005-0000-0000-0000B5AA0000}"/>
    <cellStyle name="Normal 7 2 4 2 3 3 2" xfId="45747" xr:uid="{00000000-0005-0000-0000-0000B6AA0000}"/>
    <cellStyle name="Normal 7 2 4 2 3 3 2 2" xfId="45748" xr:uid="{00000000-0005-0000-0000-0000B7AA0000}"/>
    <cellStyle name="Normal 7 2 4 2 3 3 3" xfId="45749" xr:uid="{00000000-0005-0000-0000-0000B8AA0000}"/>
    <cellStyle name="Normal 7 2 4 2 3 4" xfId="45750" xr:uid="{00000000-0005-0000-0000-0000B9AA0000}"/>
    <cellStyle name="Normal 7 2 4 2 3 4 2" xfId="45751" xr:uid="{00000000-0005-0000-0000-0000BAAA0000}"/>
    <cellStyle name="Normal 7 2 4 2 3 5" xfId="45752" xr:uid="{00000000-0005-0000-0000-0000BBAA0000}"/>
    <cellStyle name="Normal 7 2 4 2 3 6" xfId="45753" xr:uid="{00000000-0005-0000-0000-0000BCAA0000}"/>
    <cellStyle name="Normal 7 2 4 2 3 7" xfId="45754" xr:uid="{00000000-0005-0000-0000-0000BDAA0000}"/>
    <cellStyle name="Normal 7 2 4 2 4" xfId="45755" xr:uid="{00000000-0005-0000-0000-0000BEAA0000}"/>
    <cellStyle name="Normal 7 2 4 2 4 2" xfId="45756" xr:uid="{00000000-0005-0000-0000-0000BFAA0000}"/>
    <cellStyle name="Normal 7 2 4 2 4 2 2" xfId="45757" xr:uid="{00000000-0005-0000-0000-0000C0AA0000}"/>
    <cellStyle name="Normal 7 2 4 2 4 2 2 2" xfId="45758" xr:uid="{00000000-0005-0000-0000-0000C1AA0000}"/>
    <cellStyle name="Normal 7 2 4 2 4 2 3" xfId="45759" xr:uid="{00000000-0005-0000-0000-0000C2AA0000}"/>
    <cellStyle name="Normal 7 2 4 2 4 3" xfId="45760" xr:uid="{00000000-0005-0000-0000-0000C3AA0000}"/>
    <cellStyle name="Normal 7 2 4 2 4 3 2" xfId="45761" xr:uid="{00000000-0005-0000-0000-0000C4AA0000}"/>
    <cellStyle name="Normal 7 2 4 2 4 4" xfId="45762" xr:uid="{00000000-0005-0000-0000-0000C5AA0000}"/>
    <cellStyle name="Normal 7 2 4 2 4 5" xfId="45763" xr:uid="{00000000-0005-0000-0000-0000C6AA0000}"/>
    <cellStyle name="Normal 7 2 4 2 4 6" xfId="45764" xr:uid="{00000000-0005-0000-0000-0000C7AA0000}"/>
    <cellStyle name="Normal 7 2 4 2 5" xfId="45765" xr:uid="{00000000-0005-0000-0000-0000C8AA0000}"/>
    <cellStyle name="Normal 7 2 4 2 5 2" xfId="45766" xr:uid="{00000000-0005-0000-0000-0000C9AA0000}"/>
    <cellStyle name="Normal 7 2 4 2 5 2 2" xfId="45767" xr:uid="{00000000-0005-0000-0000-0000CAAA0000}"/>
    <cellStyle name="Normal 7 2 4 2 5 3" xfId="45768" xr:uid="{00000000-0005-0000-0000-0000CBAA0000}"/>
    <cellStyle name="Normal 7 2 4 2 6" xfId="45769" xr:uid="{00000000-0005-0000-0000-0000CCAA0000}"/>
    <cellStyle name="Normal 7 2 4 2 6 2" xfId="45770" xr:uid="{00000000-0005-0000-0000-0000CDAA0000}"/>
    <cellStyle name="Normal 7 2 4 2 6 2 2" xfId="45771" xr:uid="{00000000-0005-0000-0000-0000CEAA0000}"/>
    <cellStyle name="Normal 7 2 4 2 6 3" xfId="45772" xr:uid="{00000000-0005-0000-0000-0000CFAA0000}"/>
    <cellStyle name="Normal 7 2 4 2 7" xfId="45773" xr:uid="{00000000-0005-0000-0000-0000D0AA0000}"/>
    <cellStyle name="Normal 7 2 4 2 7 2" xfId="45774" xr:uid="{00000000-0005-0000-0000-0000D1AA0000}"/>
    <cellStyle name="Normal 7 2 4 2 8" xfId="45775" xr:uid="{00000000-0005-0000-0000-0000D2AA0000}"/>
    <cellStyle name="Normal 7 2 4 2 9" xfId="45776" xr:uid="{00000000-0005-0000-0000-0000D3AA0000}"/>
    <cellStyle name="Normal 7 2 4 3" xfId="45777" xr:uid="{00000000-0005-0000-0000-0000D4AA0000}"/>
    <cellStyle name="Normal 7 2 4 3 2" xfId="45778" xr:uid="{00000000-0005-0000-0000-0000D5AA0000}"/>
    <cellStyle name="Normal 7 2 4 3 2 2" xfId="45779" xr:uid="{00000000-0005-0000-0000-0000D6AA0000}"/>
    <cellStyle name="Normal 7 2 4 3 2 2 2" xfId="45780" xr:uid="{00000000-0005-0000-0000-0000D7AA0000}"/>
    <cellStyle name="Normal 7 2 4 3 2 2 2 2" xfId="45781" xr:uid="{00000000-0005-0000-0000-0000D8AA0000}"/>
    <cellStyle name="Normal 7 2 4 3 2 2 3" xfId="45782" xr:uid="{00000000-0005-0000-0000-0000D9AA0000}"/>
    <cellStyle name="Normal 7 2 4 3 2 3" xfId="45783" xr:uid="{00000000-0005-0000-0000-0000DAAA0000}"/>
    <cellStyle name="Normal 7 2 4 3 2 3 2" xfId="45784" xr:uid="{00000000-0005-0000-0000-0000DBAA0000}"/>
    <cellStyle name="Normal 7 2 4 3 2 4" xfId="45785" xr:uid="{00000000-0005-0000-0000-0000DCAA0000}"/>
    <cellStyle name="Normal 7 2 4 3 2 5" xfId="45786" xr:uid="{00000000-0005-0000-0000-0000DDAA0000}"/>
    <cellStyle name="Normal 7 2 4 3 2 6" xfId="45787" xr:uid="{00000000-0005-0000-0000-0000DEAA0000}"/>
    <cellStyle name="Normal 7 2 4 3 3" xfId="45788" xr:uid="{00000000-0005-0000-0000-0000DFAA0000}"/>
    <cellStyle name="Normal 7 2 4 3 3 2" xfId="45789" xr:uid="{00000000-0005-0000-0000-0000E0AA0000}"/>
    <cellStyle name="Normal 7 2 4 3 3 2 2" xfId="45790" xr:uid="{00000000-0005-0000-0000-0000E1AA0000}"/>
    <cellStyle name="Normal 7 2 4 3 3 3" xfId="45791" xr:uid="{00000000-0005-0000-0000-0000E2AA0000}"/>
    <cellStyle name="Normal 7 2 4 3 4" xfId="45792" xr:uid="{00000000-0005-0000-0000-0000E3AA0000}"/>
    <cellStyle name="Normal 7 2 4 3 4 2" xfId="45793" xr:uid="{00000000-0005-0000-0000-0000E4AA0000}"/>
    <cellStyle name="Normal 7 2 4 3 4 2 2" xfId="45794" xr:uid="{00000000-0005-0000-0000-0000E5AA0000}"/>
    <cellStyle name="Normal 7 2 4 3 4 3" xfId="45795" xr:uid="{00000000-0005-0000-0000-0000E6AA0000}"/>
    <cellStyle name="Normal 7 2 4 3 5" xfId="45796" xr:uid="{00000000-0005-0000-0000-0000E7AA0000}"/>
    <cellStyle name="Normal 7 2 4 3 5 2" xfId="45797" xr:uid="{00000000-0005-0000-0000-0000E8AA0000}"/>
    <cellStyle name="Normal 7 2 4 3 6" xfId="45798" xr:uid="{00000000-0005-0000-0000-0000E9AA0000}"/>
    <cellStyle name="Normal 7 2 4 3 7" xfId="45799" xr:uid="{00000000-0005-0000-0000-0000EAAA0000}"/>
    <cellStyle name="Normal 7 2 4 3 8" xfId="45800" xr:uid="{00000000-0005-0000-0000-0000EBAA0000}"/>
    <cellStyle name="Normal 7 2 4 4" xfId="45801" xr:uid="{00000000-0005-0000-0000-0000ECAA0000}"/>
    <cellStyle name="Normal 7 2 4 4 2" xfId="45802" xr:uid="{00000000-0005-0000-0000-0000EDAA0000}"/>
    <cellStyle name="Normal 7 2 4 4 2 2" xfId="45803" xr:uid="{00000000-0005-0000-0000-0000EEAA0000}"/>
    <cellStyle name="Normal 7 2 4 4 2 2 2" xfId="45804" xr:uid="{00000000-0005-0000-0000-0000EFAA0000}"/>
    <cellStyle name="Normal 7 2 4 4 2 2 2 2" xfId="45805" xr:uid="{00000000-0005-0000-0000-0000F0AA0000}"/>
    <cellStyle name="Normal 7 2 4 4 2 2 3" xfId="45806" xr:uid="{00000000-0005-0000-0000-0000F1AA0000}"/>
    <cellStyle name="Normal 7 2 4 4 2 3" xfId="45807" xr:uid="{00000000-0005-0000-0000-0000F2AA0000}"/>
    <cellStyle name="Normal 7 2 4 4 2 3 2" xfId="45808" xr:uid="{00000000-0005-0000-0000-0000F3AA0000}"/>
    <cellStyle name="Normal 7 2 4 4 2 4" xfId="45809" xr:uid="{00000000-0005-0000-0000-0000F4AA0000}"/>
    <cellStyle name="Normal 7 2 4 4 2 5" xfId="45810" xr:uid="{00000000-0005-0000-0000-0000F5AA0000}"/>
    <cellStyle name="Normal 7 2 4 4 2 6" xfId="45811" xr:uid="{00000000-0005-0000-0000-0000F6AA0000}"/>
    <cellStyle name="Normal 7 2 4 4 3" xfId="45812" xr:uid="{00000000-0005-0000-0000-0000F7AA0000}"/>
    <cellStyle name="Normal 7 2 4 4 3 2" xfId="45813" xr:uid="{00000000-0005-0000-0000-0000F8AA0000}"/>
    <cellStyle name="Normal 7 2 4 4 3 2 2" xfId="45814" xr:uid="{00000000-0005-0000-0000-0000F9AA0000}"/>
    <cellStyle name="Normal 7 2 4 4 3 3" xfId="45815" xr:uid="{00000000-0005-0000-0000-0000FAAA0000}"/>
    <cellStyle name="Normal 7 2 4 4 4" xfId="45816" xr:uid="{00000000-0005-0000-0000-0000FBAA0000}"/>
    <cellStyle name="Normal 7 2 4 4 4 2" xfId="45817" xr:uid="{00000000-0005-0000-0000-0000FCAA0000}"/>
    <cellStyle name="Normal 7 2 4 4 4 2 2" xfId="45818" xr:uid="{00000000-0005-0000-0000-0000FDAA0000}"/>
    <cellStyle name="Normal 7 2 4 4 4 3" xfId="45819" xr:uid="{00000000-0005-0000-0000-0000FEAA0000}"/>
    <cellStyle name="Normal 7 2 4 4 5" xfId="45820" xr:uid="{00000000-0005-0000-0000-0000FFAA0000}"/>
    <cellStyle name="Normal 7 2 4 4 5 2" xfId="45821" xr:uid="{00000000-0005-0000-0000-000000AB0000}"/>
    <cellStyle name="Normal 7 2 4 4 6" xfId="45822" xr:uid="{00000000-0005-0000-0000-000001AB0000}"/>
    <cellStyle name="Normal 7 2 4 4 7" xfId="45823" xr:uid="{00000000-0005-0000-0000-000002AB0000}"/>
    <cellStyle name="Normal 7 2 4 4 8" xfId="45824" xr:uid="{00000000-0005-0000-0000-000003AB0000}"/>
    <cellStyle name="Normal 7 2 4 5" xfId="45825" xr:uid="{00000000-0005-0000-0000-000004AB0000}"/>
    <cellStyle name="Normal 7 2 4 5 2" xfId="45826" xr:uid="{00000000-0005-0000-0000-000005AB0000}"/>
    <cellStyle name="Normal 7 2 4 5 2 2" xfId="45827" xr:uid="{00000000-0005-0000-0000-000006AB0000}"/>
    <cellStyle name="Normal 7 2 4 5 2 2 2" xfId="45828" xr:uid="{00000000-0005-0000-0000-000007AB0000}"/>
    <cellStyle name="Normal 7 2 4 5 2 3" xfId="45829" xr:uid="{00000000-0005-0000-0000-000008AB0000}"/>
    <cellStyle name="Normal 7 2 4 5 3" xfId="45830" xr:uid="{00000000-0005-0000-0000-000009AB0000}"/>
    <cellStyle name="Normal 7 2 4 5 3 2" xfId="45831" xr:uid="{00000000-0005-0000-0000-00000AAB0000}"/>
    <cellStyle name="Normal 7 2 4 5 4" xfId="45832" xr:uid="{00000000-0005-0000-0000-00000BAB0000}"/>
    <cellStyle name="Normal 7 2 4 5 5" xfId="45833" xr:uid="{00000000-0005-0000-0000-00000CAB0000}"/>
    <cellStyle name="Normal 7 2 4 5 6" xfId="45834" xr:uid="{00000000-0005-0000-0000-00000DAB0000}"/>
    <cellStyle name="Normal 7 2 4 6" xfId="45835" xr:uid="{00000000-0005-0000-0000-00000EAB0000}"/>
    <cellStyle name="Normal 7 2 4 6 2" xfId="45836" xr:uid="{00000000-0005-0000-0000-00000FAB0000}"/>
    <cellStyle name="Normal 7 2 4 6 2 2" xfId="45837" xr:uid="{00000000-0005-0000-0000-000010AB0000}"/>
    <cellStyle name="Normal 7 2 4 6 3" xfId="45838" xr:uid="{00000000-0005-0000-0000-000011AB0000}"/>
    <cellStyle name="Normal 7 2 4 7" xfId="45839" xr:uid="{00000000-0005-0000-0000-000012AB0000}"/>
    <cellStyle name="Normal 7 2 4 7 2" xfId="45840" xr:uid="{00000000-0005-0000-0000-000013AB0000}"/>
    <cellStyle name="Normal 7 2 4 7 2 2" xfId="45841" xr:uid="{00000000-0005-0000-0000-000014AB0000}"/>
    <cellStyle name="Normal 7 2 4 7 3" xfId="45842" xr:uid="{00000000-0005-0000-0000-000015AB0000}"/>
    <cellStyle name="Normal 7 2 4 8" xfId="45843" xr:uid="{00000000-0005-0000-0000-000016AB0000}"/>
    <cellStyle name="Normal 7 2 4 8 2" xfId="45844" xr:uid="{00000000-0005-0000-0000-000017AB0000}"/>
    <cellStyle name="Normal 7 2 4 9" xfId="45845" xr:uid="{00000000-0005-0000-0000-000018AB0000}"/>
    <cellStyle name="Normal 7 2 5" xfId="45846" xr:uid="{00000000-0005-0000-0000-000019AB0000}"/>
    <cellStyle name="Normal 7 2 5 10" xfId="45847" xr:uid="{00000000-0005-0000-0000-00001AAB0000}"/>
    <cellStyle name="Normal 7 2 5 2" xfId="45848" xr:uid="{00000000-0005-0000-0000-00001BAB0000}"/>
    <cellStyle name="Normal 7 2 5 2 2" xfId="45849" xr:uid="{00000000-0005-0000-0000-00001CAB0000}"/>
    <cellStyle name="Normal 7 2 5 2 2 2" xfId="45850" xr:uid="{00000000-0005-0000-0000-00001DAB0000}"/>
    <cellStyle name="Normal 7 2 5 2 2 2 2" xfId="45851" xr:uid="{00000000-0005-0000-0000-00001EAB0000}"/>
    <cellStyle name="Normal 7 2 5 2 2 2 2 2" xfId="45852" xr:uid="{00000000-0005-0000-0000-00001FAB0000}"/>
    <cellStyle name="Normal 7 2 5 2 2 2 3" xfId="45853" xr:uid="{00000000-0005-0000-0000-000020AB0000}"/>
    <cellStyle name="Normal 7 2 5 2 2 3" xfId="45854" xr:uid="{00000000-0005-0000-0000-000021AB0000}"/>
    <cellStyle name="Normal 7 2 5 2 2 3 2" xfId="45855" xr:uid="{00000000-0005-0000-0000-000022AB0000}"/>
    <cellStyle name="Normal 7 2 5 2 2 4" xfId="45856" xr:uid="{00000000-0005-0000-0000-000023AB0000}"/>
    <cellStyle name="Normal 7 2 5 2 2 5" xfId="45857" xr:uid="{00000000-0005-0000-0000-000024AB0000}"/>
    <cellStyle name="Normal 7 2 5 2 2 6" xfId="45858" xr:uid="{00000000-0005-0000-0000-000025AB0000}"/>
    <cellStyle name="Normal 7 2 5 2 3" xfId="45859" xr:uid="{00000000-0005-0000-0000-000026AB0000}"/>
    <cellStyle name="Normal 7 2 5 2 3 2" xfId="45860" xr:uid="{00000000-0005-0000-0000-000027AB0000}"/>
    <cellStyle name="Normal 7 2 5 2 3 2 2" xfId="45861" xr:uid="{00000000-0005-0000-0000-000028AB0000}"/>
    <cellStyle name="Normal 7 2 5 2 3 3" xfId="45862" xr:uid="{00000000-0005-0000-0000-000029AB0000}"/>
    <cellStyle name="Normal 7 2 5 2 4" xfId="45863" xr:uid="{00000000-0005-0000-0000-00002AAB0000}"/>
    <cellStyle name="Normal 7 2 5 2 4 2" xfId="45864" xr:uid="{00000000-0005-0000-0000-00002BAB0000}"/>
    <cellStyle name="Normal 7 2 5 2 4 2 2" xfId="45865" xr:uid="{00000000-0005-0000-0000-00002CAB0000}"/>
    <cellStyle name="Normal 7 2 5 2 4 3" xfId="45866" xr:uid="{00000000-0005-0000-0000-00002DAB0000}"/>
    <cellStyle name="Normal 7 2 5 2 5" xfId="45867" xr:uid="{00000000-0005-0000-0000-00002EAB0000}"/>
    <cellStyle name="Normal 7 2 5 2 5 2" xfId="45868" xr:uid="{00000000-0005-0000-0000-00002FAB0000}"/>
    <cellStyle name="Normal 7 2 5 2 6" xfId="45869" xr:uid="{00000000-0005-0000-0000-000030AB0000}"/>
    <cellStyle name="Normal 7 2 5 2 7" xfId="45870" xr:uid="{00000000-0005-0000-0000-000031AB0000}"/>
    <cellStyle name="Normal 7 2 5 2 8" xfId="45871" xr:uid="{00000000-0005-0000-0000-000032AB0000}"/>
    <cellStyle name="Normal 7 2 5 3" xfId="45872" xr:uid="{00000000-0005-0000-0000-000033AB0000}"/>
    <cellStyle name="Normal 7 2 5 3 2" xfId="45873" xr:uid="{00000000-0005-0000-0000-000034AB0000}"/>
    <cellStyle name="Normal 7 2 5 3 2 2" xfId="45874" xr:uid="{00000000-0005-0000-0000-000035AB0000}"/>
    <cellStyle name="Normal 7 2 5 3 2 2 2" xfId="45875" xr:uid="{00000000-0005-0000-0000-000036AB0000}"/>
    <cellStyle name="Normal 7 2 5 3 2 2 2 2" xfId="45876" xr:uid="{00000000-0005-0000-0000-000037AB0000}"/>
    <cellStyle name="Normal 7 2 5 3 2 2 3" xfId="45877" xr:uid="{00000000-0005-0000-0000-000038AB0000}"/>
    <cellStyle name="Normal 7 2 5 3 2 3" xfId="45878" xr:uid="{00000000-0005-0000-0000-000039AB0000}"/>
    <cellStyle name="Normal 7 2 5 3 2 3 2" xfId="45879" xr:uid="{00000000-0005-0000-0000-00003AAB0000}"/>
    <cellStyle name="Normal 7 2 5 3 2 4" xfId="45880" xr:uid="{00000000-0005-0000-0000-00003BAB0000}"/>
    <cellStyle name="Normal 7 2 5 3 2 5" xfId="45881" xr:uid="{00000000-0005-0000-0000-00003CAB0000}"/>
    <cellStyle name="Normal 7 2 5 3 2 6" xfId="45882" xr:uid="{00000000-0005-0000-0000-00003DAB0000}"/>
    <cellStyle name="Normal 7 2 5 3 3" xfId="45883" xr:uid="{00000000-0005-0000-0000-00003EAB0000}"/>
    <cellStyle name="Normal 7 2 5 3 3 2" xfId="45884" xr:uid="{00000000-0005-0000-0000-00003FAB0000}"/>
    <cellStyle name="Normal 7 2 5 3 3 2 2" xfId="45885" xr:uid="{00000000-0005-0000-0000-000040AB0000}"/>
    <cellStyle name="Normal 7 2 5 3 3 3" xfId="45886" xr:uid="{00000000-0005-0000-0000-000041AB0000}"/>
    <cellStyle name="Normal 7 2 5 3 4" xfId="45887" xr:uid="{00000000-0005-0000-0000-000042AB0000}"/>
    <cellStyle name="Normal 7 2 5 3 4 2" xfId="45888" xr:uid="{00000000-0005-0000-0000-000043AB0000}"/>
    <cellStyle name="Normal 7 2 5 3 5" xfId="45889" xr:uid="{00000000-0005-0000-0000-000044AB0000}"/>
    <cellStyle name="Normal 7 2 5 3 6" xfId="45890" xr:uid="{00000000-0005-0000-0000-000045AB0000}"/>
    <cellStyle name="Normal 7 2 5 3 7" xfId="45891" xr:uid="{00000000-0005-0000-0000-000046AB0000}"/>
    <cellStyle name="Normal 7 2 5 4" xfId="45892" xr:uid="{00000000-0005-0000-0000-000047AB0000}"/>
    <cellStyle name="Normal 7 2 5 4 2" xfId="45893" xr:uid="{00000000-0005-0000-0000-000048AB0000}"/>
    <cellStyle name="Normal 7 2 5 4 2 2" xfId="45894" xr:uid="{00000000-0005-0000-0000-000049AB0000}"/>
    <cellStyle name="Normal 7 2 5 4 2 2 2" xfId="45895" xr:uid="{00000000-0005-0000-0000-00004AAB0000}"/>
    <cellStyle name="Normal 7 2 5 4 2 3" xfId="45896" xr:uid="{00000000-0005-0000-0000-00004BAB0000}"/>
    <cellStyle name="Normal 7 2 5 4 3" xfId="45897" xr:uid="{00000000-0005-0000-0000-00004CAB0000}"/>
    <cellStyle name="Normal 7 2 5 4 3 2" xfId="45898" xr:uid="{00000000-0005-0000-0000-00004DAB0000}"/>
    <cellStyle name="Normal 7 2 5 4 4" xfId="45899" xr:uid="{00000000-0005-0000-0000-00004EAB0000}"/>
    <cellStyle name="Normal 7 2 5 4 5" xfId="45900" xr:uid="{00000000-0005-0000-0000-00004FAB0000}"/>
    <cellStyle name="Normal 7 2 5 4 6" xfId="45901" xr:uid="{00000000-0005-0000-0000-000050AB0000}"/>
    <cellStyle name="Normal 7 2 5 5" xfId="45902" xr:uid="{00000000-0005-0000-0000-000051AB0000}"/>
    <cellStyle name="Normal 7 2 5 5 2" xfId="45903" xr:uid="{00000000-0005-0000-0000-000052AB0000}"/>
    <cellStyle name="Normal 7 2 5 5 2 2" xfId="45904" xr:uid="{00000000-0005-0000-0000-000053AB0000}"/>
    <cellStyle name="Normal 7 2 5 5 3" xfId="45905" xr:uid="{00000000-0005-0000-0000-000054AB0000}"/>
    <cellStyle name="Normal 7 2 5 6" xfId="45906" xr:uid="{00000000-0005-0000-0000-000055AB0000}"/>
    <cellStyle name="Normal 7 2 5 6 2" xfId="45907" xr:uid="{00000000-0005-0000-0000-000056AB0000}"/>
    <cellStyle name="Normal 7 2 5 6 2 2" xfId="45908" xr:uid="{00000000-0005-0000-0000-000057AB0000}"/>
    <cellStyle name="Normal 7 2 5 6 3" xfId="45909" xr:uid="{00000000-0005-0000-0000-000058AB0000}"/>
    <cellStyle name="Normal 7 2 5 7" xfId="45910" xr:uid="{00000000-0005-0000-0000-000059AB0000}"/>
    <cellStyle name="Normal 7 2 5 7 2" xfId="45911" xr:uid="{00000000-0005-0000-0000-00005AAB0000}"/>
    <cellStyle name="Normal 7 2 5 8" xfId="45912" xr:uid="{00000000-0005-0000-0000-00005BAB0000}"/>
    <cellStyle name="Normal 7 2 5 9" xfId="45913" xr:uid="{00000000-0005-0000-0000-00005CAB0000}"/>
    <cellStyle name="Normal 7 2 6" xfId="45914" xr:uid="{00000000-0005-0000-0000-00005DAB0000}"/>
    <cellStyle name="Normal 7 2 6 2" xfId="45915" xr:uid="{00000000-0005-0000-0000-00005EAB0000}"/>
    <cellStyle name="Normal 7 2 6 2 2" xfId="45916" xr:uid="{00000000-0005-0000-0000-00005FAB0000}"/>
    <cellStyle name="Normal 7 2 6 2 2 2" xfId="45917" xr:uid="{00000000-0005-0000-0000-000060AB0000}"/>
    <cellStyle name="Normal 7 2 6 2 2 2 2" xfId="45918" xr:uid="{00000000-0005-0000-0000-000061AB0000}"/>
    <cellStyle name="Normal 7 2 6 2 2 3" xfId="45919" xr:uid="{00000000-0005-0000-0000-000062AB0000}"/>
    <cellStyle name="Normal 7 2 6 2 3" xfId="45920" xr:uid="{00000000-0005-0000-0000-000063AB0000}"/>
    <cellStyle name="Normal 7 2 6 2 3 2" xfId="45921" xr:uid="{00000000-0005-0000-0000-000064AB0000}"/>
    <cellStyle name="Normal 7 2 6 2 4" xfId="45922" xr:uid="{00000000-0005-0000-0000-000065AB0000}"/>
    <cellStyle name="Normal 7 2 6 2 5" xfId="45923" xr:uid="{00000000-0005-0000-0000-000066AB0000}"/>
    <cellStyle name="Normal 7 2 6 2 6" xfId="45924" xr:uid="{00000000-0005-0000-0000-000067AB0000}"/>
    <cellStyle name="Normal 7 2 6 3" xfId="45925" xr:uid="{00000000-0005-0000-0000-000068AB0000}"/>
    <cellStyle name="Normal 7 2 6 3 2" xfId="45926" xr:uid="{00000000-0005-0000-0000-000069AB0000}"/>
    <cellStyle name="Normal 7 2 6 3 2 2" xfId="45927" xr:uid="{00000000-0005-0000-0000-00006AAB0000}"/>
    <cellStyle name="Normal 7 2 6 3 3" xfId="45928" xr:uid="{00000000-0005-0000-0000-00006BAB0000}"/>
    <cellStyle name="Normal 7 2 6 4" xfId="45929" xr:uid="{00000000-0005-0000-0000-00006CAB0000}"/>
    <cellStyle name="Normal 7 2 6 4 2" xfId="45930" xr:uid="{00000000-0005-0000-0000-00006DAB0000}"/>
    <cellStyle name="Normal 7 2 6 4 2 2" xfId="45931" xr:uid="{00000000-0005-0000-0000-00006EAB0000}"/>
    <cellStyle name="Normal 7 2 6 4 3" xfId="45932" xr:uid="{00000000-0005-0000-0000-00006FAB0000}"/>
    <cellStyle name="Normal 7 2 6 5" xfId="45933" xr:uid="{00000000-0005-0000-0000-000070AB0000}"/>
    <cellStyle name="Normal 7 2 6 5 2" xfId="45934" xr:uid="{00000000-0005-0000-0000-000071AB0000}"/>
    <cellStyle name="Normal 7 2 6 6" xfId="45935" xr:uid="{00000000-0005-0000-0000-000072AB0000}"/>
    <cellStyle name="Normal 7 2 6 7" xfId="45936" xr:uid="{00000000-0005-0000-0000-000073AB0000}"/>
    <cellStyle name="Normal 7 2 6 8" xfId="45937" xr:uid="{00000000-0005-0000-0000-000074AB0000}"/>
    <cellStyle name="Normal 7 2 7" xfId="45938" xr:uid="{00000000-0005-0000-0000-000075AB0000}"/>
    <cellStyle name="Normal 7 2 7 2" xfId="45939" xr:uid="{00000000-0005-0000-0000-000076AB0000}"/>
    <cellStyle name="Normal 7 2 7 2 2" xfId="45940" xr:uid="{00000000-0005-0000-0000-000077AB0000}"/>
    <cellStyle name="Normal 7 2 7 2 2 2" xfId="45941" xr:uid="{00000000-0005-0000-0000-000078AB0000}"/>
    <cellStyle name="Normal 7 2 7 2 2 2 2" xfId="45942" xr:uid="{00000000-0005-0000-0000-000079AB0000}"/>
    <cellStyle name="Normal 7 2 7 2 2 3" xfId="45943" xr:uid="{00000000-0005-0000-0000-00007AAB0000}"/>
    <cellStyle name="Normal 7 2 7 2 3" xfId="45944" xr:uid="{00000000-0005-0000-0000-00007BAB0000}"/>
    <cellStyle name="Normal 7 2 7 2 3 2" xfId="45945" xr:uid="{00000000-0005-0000-0000-00007CAB0000}"/>
    <cellStyle name="Normal 7 2 7 2 4" xfId="45946" xr:uid="{00000000-0005-0000-0000-00007DAB0000}"/>
    <cellStyle name="Normal 7 2 7 2 5" xfId="45947" xr:uid="{00000000-0005-0000-0000-00007EAB0000}"/>
    <cellStyle name="Normal 7 2 7 2 6" xfId="45948" xr:uid="{00000000-0005-0000-0000-00007FAB0000}"/>
    <cellStyle name="Normal 7 2 7 3" xfId="45949" xr:uid="{00000000-0005-0000-0000-000080AB0000}"/>
    <cellStyle name="Normal 7 2 7 3 2" xfId="45950" xr:uid="{00000000-0005-0000-0000-000081AB0000}"/>
    <cellStyle name="Normal 7 2 7 3 2 2" xfId="45951" xr:uid="{00000000-0005-0000-0000-000082AB0000}"/>
    <cellStyle name="Normal 7 2 7 3 3" xfId="45952" xr:uid="{00000000-0005-0000-0000-000083AB0000}"/>
    <cellStyle name="Normal 7 2 7 4" xfId="45953" xr:uid="{00000000-0005-0000-0000-000084AB0000}"/>
    <cellStyle name="Normal 7 2 7 4 2" xfId="45954" xr:uid="{00000000-0005-0000-0000-000085AB0000}"/>
    <cellStyle name="Normal 7 2 7 4 2 2" xfId="45955" xr:uid="{00000000-0005-0000-0000-000086AB0000}"/>
    <cellStyle name="Normal 7 2 7 4 3" xfId="45956" xr:uid="{00000000-0005-0000-0000-000087AB0000}"/>
    <cellStyle name="Normal 7 2 7 5" xfId="45957" xr:uid="{00000000-0005-0000-0000-000088AB0000}"/>
    <cellStyle name="Normal 7 2 7 5 2" xfId="45958" xr:uid="{00000000-0005-0000-0000-000089AB0000}"/>
    <cellStyle name="Normal 7 2 7 6" xfId="45959" xr:uid="{00000000-0005-0000-0000-00008AAB0000}"/>
    <cellStyle name="Normal 7 2 7 7" xfId="45960" xr:uid="{00000000-0005-0000-0000-00008BAB0000}"/>
    <cellStyle name="Normal 7 2 7 8" xfId="45961" xr:uid="{00000000-0005-0000-0000-00008CAB0000}"/>
    <cellStyle name="Normal 7 2 8" xfId="45962" xr:uid="{00000000-0005-0000-0000-00008DAB0000}"/>
    <cellStyle name="Normal 7 2 8 2" xfId="45963" xr:uid="{00000000-0005-0000-0000-00008EAB0000}"/>
    <cellStyle name="Normal 7 2 8 2 2" xfId="45964" xr:uid="{00000000-0005-0000-0000-00008FAB0000}"/>
    <cellStyle name="Normal 7 2 8 2 2 2" xfId="45965" xr:uid="{00000000-0005-0000-0000-000090AB0000}"/>
    <cellStyle name="Normal 7 2 8 2 3" xfId="45966" xr:uid="{00000000-0005-0000-0000-000091AB0000}"/>
    <cellStyle name="Normal 7 2 8 3" xfId="45967" xr:uid="{00000000-0005-0000-0000-000092AB0000}"/>
    <cellStyle name="Normal 7 2 8 3 2" xfId="45968" xr:uid="{00000000-0005-0000-0000-000093AB0000}"/>
    <cellStyle name="Normal 7 2 8 4" xfId="45969" xr:uid="{00000000-0005-0000-0000-000094AB0000}"/>
    <cellStyle name="Normal 7 2 8 5" xfId="45970" xr:uid="{00000000-0005-0000-0000-000095AB0000}"/>
    <cellStyle name="Normal 7 2 8 6" xfId="45971" xr:uid="{00000000-0005-0000-0000-000096AB0000}"/>
    <cellStyle name="Normal 7 2 9" xfId="45972" xr:uid="{00000000-0005-0000-0000-000097AB0000}"/>
    <cellStyle name="Normal 7 2 9 2" xfId="45973" xr:uid="{00000000-0005-0000-0000-000098AB0000}"/>
    <cellStyle name="Normal 7 2 9 2 2" xfId="45974" xr:uid="{00000000-0005-0000-0000-000099AB0000}"/>
    <cellStyle name="Normal 7 2 9 2 2 2" xfId="45975" xr:uid="{00000000-0005-0000-0000-00009AAB0000}"/>
    <cellStyle name="Normal 7 2 9 2 3" xfId="45976" xr:uid="{00000000-0005-0000-0000-00009BAB0000}"/>
    <cellStyle name="Normal 7 2 9 3" xfId="45977" xr:uid="{00000000-0005-0000-0000-00009CAB0000}"/>
    <cellStyle name="Normal 7 2 9 3 2" xfId="45978" xr:uid="{00000000-0005-0000-0000-00009DAB0000}"/>
    <cellStyle name="Normal 7 2 9 4" xfId="45979" xr:uid="{00000000-0005-0000-0000-00009EAB0000}"/>
    <cellStyle name="Normal 7 3" xfId="45980" xr:uid="{00000000-0005-0000-0000-00009FAB0000}"/>
    <cellStyle name="Normal 7 3 10" xfId="45981" xr:uid="{00000000-0005-0000-0000-0000A0AB0000}"/>
    <cellStyle name="Normal 7 3 10 2" xfId="45982" xr:uid="{00000000-0005-0000-0000-0000A1AB0000}"/>
    <cellStyle name="Normal 7 3 11" xfId="45983" xr:uid="{00000000-0005-0000-0000-0000A2AB0000}"/>
    <cellStyle name="Normal 7 3 12" xfId="45984" xr:uid="{00000000-0005-0000-0000-0000A3AB0000}"/>
    <cellStyle name="Normal 7 3 13" xfId="45985" xr:uid="{00000000-0005-0000-0000-0000A4AB0000}"/>
    <cellStyle name="Normal 7 3 14" xfId="45986" xr:uid="{00000000-0005-0000-0000-0000A5AB0000}"/>
    <cellStyle name="Normal 7 3 2" xfId="45987" xr:uid="{00000000-0005-0000-0000-0000A6AB0000}"/>
    <cellStyle name="Normal 7 3 2 10" xfId="45988" xr:uid="{00000000-0005-0000-0000-0000A7AB0000}"/>
    <cellStyle name="Normal 7 3 2 11" xfId="45989" xr:uid="{00000000-0005-0000-0000-0000A8AB0000}"/>
    <cellStyle name="Normal 7 3 2 2" xfId="45990" xr:uid="{00000000-0005-0000-0000-0000A9AB0000}"/>
    <cellStyle name="Normal 7 3 2 2 10" xfId="45991" xr:uid="{00000000-0005-0000-0000-0000AAAB0000}"/>
    <cellStyle name="Normal 7 3 2 2 2" xfId="45992" xr:uid="{00000000-0005-0000-0000-0000ABAB0000}"/>
    <cellStyle name="Normal 7 3 2 2 2 2" xfId="45993" xr:uid="{00000000-0005-0000-0000-0000ACAB0000}"/>
    <cellStyle name="Normal 7 3 2 2 2 2 2" xfId="45994" xr:uid="{00000000-0005-0000-0000-0000ADAB0000}"/>
    <cellStyle name="Normal 7 3 2 2 2 2 2 2" xfId="45995" xr:uid="{00000000-0005-0000-0000-0000AEAB0000}"/>
    <cellStyle name="Normal 7 3 2 2 2 2 2 2 2" xfId="45996" xr:uid="{00000000-0005-0000-0000-0000AFAB0000}"/>
    <cellStyle name="Normal 7 3 2 2 2 2 2 3" xfId="45997" xr:uid="{00000000-0005-0000-0000-0000B0AB0000}"/>
    <cellStyle name="Normal 7 3 2 2 2 2 3" xfId="45998" xr:uid="{00000000-0005-0000-0000-0000B1AB0000}"/>
    <cellStyle name="Normal 7 3 2 2 2 2 3 2" xfId="45999" xr:uid="{00000000-0005-0000-0000-0000B2AB0000}"/>
    <cellStyle name="Normal 7 3 2 2 2 2 4" xfId="46000" xr:uid="{00000000-0005-0000-0000-0000B3AB0000}"/>
    <cellStyle name="Normal 7 3 2 2 2 2 5" xfId="46001" xr:uid="{00000000-0005-0000-0000-0000B4AB0000}"/>
    <cellStyle name="Normal 7 3 2 2 2 2 6" xfId="46002" xr:uid="{00000000-0005-0000-0000-0000B5AB0000}"/>
    <cellStyle name="Normal 7 3 2 2 2 3" xfId="46003" xr:uid="{00000000-0005-0000-0000-0000B6AB0000}"/>
    <cellStyle name="Normal 7 3 2 2 2 3 2" xfId="46004" xr:uid="{00000000-0005-0000-0000-0000B7AB0000}"/>
    <cellStyle name="Normal 7 3 2 2 2 3 2 2" xfId="46005" xr:uid="{00000000-0005-0000-0000-0000B8AB0000}"/>
    <cellStyle name="Normal 7 3 2 2 2 3 3" xfId="46006" xr:uid="{00000000-0005-0000-0000-0000B9AB0000}"/>
    <cellStyle name="Normal 7 3 2 2 2 4" xfId="46007" xr:uid="{00000000-0005-0000-0000-0000BAAB0000}"/>
    <cellStyle name="Normal 7 3 2 2 2 4 2" xfId="46008" xr:uid="{00000000-0005-0000-0000-0000BBAB0000}"/>
    <cellStyle name="Normal 7 3 2 2 2 4 2 2" xfId="46009" xr:uid="{00000000-0005-0000-0000-0000BCAB0000}"/>
    <cellStyle name="Normal 7 3 2 2 2 4 3" xfId="46010" xr:uid="{00000000-0005-0000-0000-0000BDAB0000}"/>
    <cellStyle name="Normal 7 3 2 2 2 5" xfId="46011" xr:uid="{00000000-0005-0000-0000-0000BEAB0000}"/>
    <cellStyle name="Normal 7 3 2 2 2 5 2" xfId="46012" xr:uid="{00000000-0005-0000-0000-0000BFAB0000}"/>
    <cellStyle name="Normal 7 3 2 2 2 6" xfId="46013" xr:uid="{00000000-0005-0000-0000-0000C0AB0000}"/>
    <cellStyle name="Normal 7 3 2 2 2 7" xfId="46014" xr:uid="{00000000-0005-0000-0000-0000C1AB0000}"/>
    <cellStyle name="Normal 7 3 2 2 2 8" xfId="46015" xr:uid="{00000000-0005-0000-0000-0000C2AB0000}"/>
    <cellStyle name="Normal 7 3 2 2 3" xfId="46016" xr:uid="{00000000-0005-0000-0000-0000C3AB0000}"/>
    <cellStyle name="Normal 7 3 2 2 3 2" xfId="46017" xr:uid="{00000000-0005-0000-0000-0000C4AB0000}"/>
    <cellStyle name="Normal 7 3 2 2 3 2 2" xfId="46018" xr:uid="{00000000-0005-0000-0000-0000C5AB0000}"/>
    <cellStyle name="Normal 7 3 2 2 3 2 2 2" xfId="46019" xr:uid="{00000000-0005-0000-0000-0000C6AB0000}"/>
    <cellStyle name="Normal 7 3 2 2 3 2 2 2 2" xfId="46020" xr:uid="{00000000-0005-0000-0000-0000C7AB0000}"/>
    <cellStyle name="Normal 7 3 2 2 3 2 2 3" xfId="46021" xr:uid="{00000000-0005-0000-0000-0000C8AB0000}"/>
    <cellStyle name="Normal 7 3 2 2 3 2 3" xfId="46022" xr:uid="{00000000-0005-0000-0000-0000C9AB0000}"/>
    <cellStyle name="Normal 7 3 2 2 3 2 3 2" xfId="46023" xr:uid="{00000000-0005-0000-0000-0000CAAB0000}"/>
    <cellStyle name="Normal 7 3 2 2 3 2 4" xfId="46024" xr:uid="{00000000-0005-0000-0000-0000CBAB0000}"/>
    <cellStyle name="Normal 7 3 2 2 3 2 5" xfId="46025" xr:uid="{00000000-0005-0000-0000-0000CCAB0000}"/>
    <cellStyle name="Normal 7 3 2 2 3 2 6" xfId="46026" xr:uid="{00000000-0005-0000-0000-0000CDAB0000}"/>
    <cellStyle name="Normal 7 3 2 2 3 3" xfId="46027" xr:uid="{00000000-0005-0000-0000-0000CEAB0000}"/>
    <cellStyle name="Normal 7 3 2 2 3 3 2" xfId="46028" xr:uid="{00000000-0005-0000-0000-0000CFAB0000}"/>
    <cellStyle name="Normal 7 3 2 2 3 3 2 2" xfId="46029" xr:uid="{00000000-0005-0000-0000-0000D0AB0000}"/>
    <cellStyle name="Normal 7 3 2 2 3 3 3" xfId="46030" xr:uid="{00000000-0005-0000-0000-0000D1AB0000}"/>
    <cellStyle name="Normal 7 3 2 2 3 4" xfId="46031" xr:uid="{00000000-0005-0000-0000-0000D2AB0000}"/>
    <cellStyle name="Normal 7 3 2 2 3 4 2" xfId="46032" xr:uid="{00000000-0005-0000-0000-0000D3AB0000}"/>
    <cellStyle name="Normal 7 3 2 2 3 5" xfId="46033" xr:uid="{00000000-0005-0000-0000-0000D4AB0000}"/>
    <cellStyle name="Normal 7 3 2 2 3 6" xfId="46034" xr:uid="{00000000-0005-0000-0000-0000D5AB0000}"/>
    <cellStyle name="Normal 7 3 2 2 3 7" xfId="46035" xr:uid="{00000000-0005-0000-0000-0000D6AB0000}"/>
    <cellStyle name="Normal 7 3 2 2 4" xfId="46036" xr:uid="{00000000-0005-0000-0000-0000D7AB0000}"/>
    <cellStyle name="Normal 7 3 2 2 4 2" xfId="46037" xr:uid="{00000000-0005-0000-0000-0000D8AB0000}"/>
    <cellStyle name="Normal 7 3 2 2 4 2 2" xfId="46038" xr:uid="{00000000-0005-0000-0000-0000D9AB0000}"/>
    <cellStyle name="Normal 7 3 2 2 4 2 2 2" xfId="46039" xr:uid="{00000000-0005-0000-0000-0000DAAB0000}"/>
    <cellStyle name="Normal 7 3 2 2 4 2 3" xfId="46040" xr:uid="{00000000-0005-0000-0000-0000DBAB0000}"/>
    <cellStyle name="Normal 7 3 2 2 4 3" xfId="46041" xr:uid="{00000000-0005-0000-0000-0000DCAB0000}"/>
    <cellStyle name="Normal 7 3 2 2 4 3 2" xfId="46042" xr:uid="{00000000-0005-0000-0000-0000DDAB0000}"/>
    <cellStyle name="Normal 7 3 2 2 4 4" xfId="46043" xr:uid="{00000000-0005-0000-0000-0000DEAB0000}"/>
    <cellStyle name="Normal 7 3 2 2 4 5" xfId="46044" xr:uid="{00000000-0005-0000-0000-0000DFAB0000}"/>
    <cellStyle name="Normal 7 3 2 2 4 6" xfId="46045" xr:uid="{00000000-0005-0000-0000-0000E0AB0000}"/>
    <cellStyle name="Normal 7 3 2 2 5" xfId="46046" xr:uid="{00000000-0005-0000-0000-0000E1AB0000}"/>
    <cellStyle name="Normal 7 3 2 2 5 2" xfId="46047" xr:uid="{00000000-0005-0000-0000-0000E2AB0000}"/>
    <cellStyle name="Normal 7 3 2 2 5 2 2" xfId="46048" xr:uid="{00000000-0005-0000-0000-0000E3AB0000}"/>
    <cellStyle name="Normal 7 3 2 2 5 3" xfId="46049" xr:uid="{00000000-0005-0000-0000-0000E4AB0000}"/>
    <cellStyle name="Normal 7 3 2 2 6" xfId="46050" xr:uid="{00000000-0005-0000-0000-0000E5AB0000}"/>
    <cellStyle name="Normal 7 3 2 2 6 2" xfId="46051" xr:uid="{00000000-0005-0000-0000-0000E6AB0000}"/>
    <cellStyle name="Normal 7 3 2 2 6 2 2" xfId="46052" xr:uid="{00000000-0005-0000-0000-0000E7AB0000}"/>
    <cellStyle name="Normal 7 3 2 2 6 3" xfId="46053" xr:uid="{00000000-0005-0000-0000-0000E8AB0000}"/>
    <cellStyle name="Normal 7 3 2 2 7" xfId="46054" xr:uid="{00000000-0005-0000-0000-0000E9AB0000}"/>
    <cellStyle name="Normal 7 3 2 2 7 2" xfId="46055" xr:uid="{00000000-0005-0000-0000-0000EAAB0000}"/>
    <cellStyle name="Normal 7 3 2 2 8" xfId="46056" xr:uid="{00000000-0005-0000-0000-0000EBAB0000}"/>
    <cellStyle name="Normal 7 3 2 2 9" xfId="46057" xr:uid="{00000000-0005-0000-0000-0000ECAB0000}"/>
    <cellStyle name="Normal 7 3 2 3" xfId="46058" xr:uid="{00000000-0005-0000-0000-0000EDAB0000}"/>
    <cellStyle name="Normal 7 3 2 3 2" xfId="46059" xr:uid="{00000000-0005-0000-0000-0000EEAB0000}"/>
    <cellStyle name="Normal 7 3 2 3 2 2" xfId="46060" xr:uid="{00000000-0005-0000-0000-0000EFAB0000}"/>
    <cellStyle name="Normal 7 3 2 3 2 2 2" xfId="46061" xr:uid="{00000000-0005-0000-0000-0000F0AB0000}"/>
    <cellStyle name="Normal 7 3 2 3 2 2 2 2" xfId="46062" xr:uid="{00000000-0005-0000-0000-0000F1AB0000}"/>
    <cellStyle name="Normal 7 3 2 3 2 2 3" xfId="46063" xr:uid="{00000000-0005-0000-0000-0000F2AB0000}"/>
    <cellStyle name="Normal 7 3 2 3 2 3" xfId="46064" xr:uid="{00000000-0005-0000-0000-0000F3AB0000}"/>
    <cellStyle name="Normal 7 3 2 3 2 3 2" xfId="46065" xr:uid="{00000000-0005-0000-0000-0000F4AB0000}"/>
    <cellStyle name="Normal 7 3 2 3 2 4" xfId="46066" xr:uid="{00000000-0005-0000-0000-0000F5AB0000}"/>
    <cellStyle name="Normal 7 3 2 3 2 5" xfId="46067" xr:uid="{00000000-0005-0000-0000-0000F6AB0000}"/>
    <cellStyle name="Normal 7 3 2 3 2 6" xfId="46068" xr:uid="{00000000-0005-0000-0000-0000F7AB0000}"/>
    <cellStyle name="Normal 7 3 2 3 3" xfId="46069" xr:uid="{00000000-0005-0000-0000-0000F8AB0000}"/>
    <cellStyle name="Normal 7 3 2 3 3 2" xfId="46070" xr:uid="{00000000-0005-0000-0000-0000F9AB0000}"/>
    <cellStyle name="Normal 7 3 2 3 3 2 2" xfId="46071" xr:uid="{00000000-0005-0000-0000-0000FAAB0000}"/>
    <cellStyle name="Normal 7 3 2 3 3 3" xfId="46072" xr:uid="{00000000-0005-0000-0000-0000FBAB0000}"/>
    <cellStyle name="Normal 7 3 2 3 4" xfId="46073" xr:uid="{00000000-0005-0000-0000-0000FCAB0000}"/>
    <cellStyle name="Normal 7 3 2 3 4 2" xfId="46074" xr:uid="{00000000-0005-0000-0000-0000FDAB0000}"/>
    <cellStyle name="Normal 7 3 2 3 4 2 2" xfId="46075" xr:uid="{00000000-0005-0000-0000-0000FEAB0000}"/>
    <cellStyle name="Normal 7 3 2 3 4 3" xfId="46076" xr:uid="{00000000-0005-0000-0000-0000FFAB0000}"/>
    <cellStyle name="Normal 7 3 2 3 5" xfId="46077" xr:uid="{00000000-0005-0000-0000-000000AC0000}"/>
    <cellStyle name="Normal 7 3 2 3 5 2" xfId="46078" xr:uid="{00000000-0005-0000-0000-000001AC0000}"/>
    <cellStyle name="Normal 7 3 2 3 6" xfId="46079" xr:uid="{00000000-0005-0000-0000-000002AC0000}"/>
    <cellStyle name="Normal 7 3 2 3 7" xfId="46080" xr:uid="{00000000-0005-0000-0000-000003AC0000}"/>
    <cellStyle name="Normal 7 3 2 3 8" xfId="46081" xr:uid="{00000000-0005-0000-0000-000004AC0000}"/>
    <cellStyle name="Normal 7 3 2 4" xfId="46082" xr:uid="{00000000-0005-0000-0000-000005AC0000}"/>
    <cellStyle name="Normal 7 3 2 4 2" xfId="46083" xr:uid="{00000000-0005-0000-0000-000006AC0000}"/>
    <cellStyle name="Normal 7 3 2 4 2 2" xfId="46084" xr:uid="{00000000-0005-0000-0000-000007AC0000}"/>
    <cellStyle name="Normal 7 3 2 4 2 2 2" xfId="46085" xr:uid="{00000000-0005-0000-0000-000008AC0000}"/>
    <cellStyle name="Normal 7 3 2 4 2 2 2 2" xfId="46086" xr:uid="{00000000-0005-0000-0000-000009AC0000}"/>
    <cellStyle name="Normal 7 3 2 4 2 2 3" xfId="46087" xr:uid="{00000000-0005-0000-0000-00000AAC0000}"/>
    <cellStyle name="Normal 7 3 2 4 2 3" xfId="46088" xr:uid="{00000000-0005-0000-0000-00000BAC0000}"/>
    <cellStyle name="Normal 7 3 2 4 2 3 2" xfId="46089" xr:uid="{00000000-0005-0000-0000-00000CAC0000}"/>
    <cellStyle name="Normal 7 3 2 4 2 4" xfId="46090" xr:uid="{00000000-0005-0000-0000-00000DAC0000}"/>
    <cellStyle name="Normal 7 3 2 4 2 5" xfId="46091" xr:uid="{00000000-0005-0000-0000-00000EAC0000}"/>
    <cellStyle name="Normal 7 3 2 4 2 6" xfId="46092" xr:uid="{00000000-0005-0000-0000-00000FAC0000}"/>
    <cellStyle name="Normal 7 3 2 4 3" xfId="46093" xr:uid="{00000000-0005-0000-0000-000010AC0000}"/>
    <cellStyle name="Normal 7 3 2 4 3 2" xfId="46094" xr:uid="{00000000-0005-0000-0000-000011AC0000}"/>
    <cellStyle name="Normal 7 3 2 4 3 2 2" xfId="46095" xr:uid="{00000000-0005-0000-0000-000012AC0000}"/>
    <cellStyle name="Normal 7 3 2 4 3 3" xfId="46096" xr:uid="{00000000-0005-0000-0000-000013AC0000}"/>
    <cellStyle name="Normal 7 3 2 4 4" xfId="46097" xr:uid="{00000000-0005-0000-0000-000014AC0000}"/>
    <cellStyle name="Normal 7 3 2 4 4 2" xfId="46098" xr:uid="{00000000-0005-0000-0000-000015AC0000}"/>
    <cellStyle name="Normal 7 3 2 4 4 2 2" xfId="46099" xr:uid="{00000000-0005-0000-0000-000016AC0000}"/>
    <cellStyle name="Normal 7 3 2 4 4 3" xfId="46100" xr:uid="{00000000-0005-0000-0000-000017AC0000}"/>
    <cellStyle name="Normal 7 3 2 4 5" xfId="46101" xr:uid="{00000000-0005-0000-0000-000018AC0000}"/>
    <cellStyle name="Normal 7 3 2 4 5 2" xfId="46102" xr:uid="{00000000-0005-0000-0000-000019AC0000}"/>
    <cellStyle name="Normal 7 3 2 4 6" xfId="46103" xr:uid="{00000000-0005-0000-0000-00001AAC0000}"/>
    <cellStyle name="Normal 7 3 2 4 7" xfId="46104" xr:uid="{00000000-0005-0000-0000-00001BAC0000}"/>
    <cellStyle name="Normal 7 3 2 4 8" xfId="46105" xr:uid="{00000000-0005-0000-0000-00001CAC0000}"/>
    <cellStyle name="Normal 7 3 2 5" xfId="46106" xr:uid="{00000000-0005-0000-0000-00001DAC0000}"/>
    <cellStyle name="Normal 7 3 2 5 2" xfId="46107" xr:uid="{00000000-0005-0000-0000-00001EAC0000}"/>
    <cellStyle name="Normal 7 3 2 5 2 2" xfId="46108" xr:uid="{00000000-0005-0000-0000-00001FAC0000}"/>
    <cellStyle name="Normal 7 3 2 5 2 2 2" xfId="46109" xr:uid="{00000000-0005-0000-0000-000020AC0000}"/>
    <cellStyle name="Normal 7 3 2 5 2 3" xfId="46110" xr:uid="{00000000-0005-0000-0000-000021AC0000}"/>
    <cellStyle name="Normal 7 3 2 5 3" xfId="46111" xr:uid="{00000000-0005-0000-0000-000022AC0000}"/>
    <cellStyle name="Normal 7 3 2 5 3 2" xfId="46112" xr:uid="{00000000-0005-0000-0000-000023AC0000}"/>
    <cellStyle name="Normal 7 3 2 5 4" xfId="46113" xr:uid="{00000000-0005-0000-0000-000024AC0000}"/>
    <cellStyle name="Normal 7 3 2 5 5" xfId="46114" xr:uid="{00000000-0005-0000-0000-000025AC0000}"/>
    <cellStyle name="Normal 7 3 2 5 6" xfId="46115" xr:uid="{00000000-0005-0000-0000-000026AC0000}"/>
    <cellStyle name="Normal 7 3 2 6" xfId="46116" xr:uid="{00000000-0005-0000-0000-000027AC0000}"/>
    <cellStyle name="Normal 7 3 2 6 2" xfId="46117" xr:uid="{00000000-0005-0000-0000-000028AC0000}"/>
    <cellStyle name="Normal 7 3 2 6 2 2" xfId="46118" xr:uid="{00000000-0005-0000-0000-000029AC0000}"/>
    <cellStyle name="Normal 7 3 2 6 3" xfId="46119" xr:uid="{00000000-0005-0000-0000-00002AAC0000}"/>
    <cellStyle name="Normal 7 3 2 7" xfId="46120" xr:uid="{00000000-0005-0000-0000-00002BAC0000}"/>
    <cellStyle name="Normal 7 3 2 7 2" xfId="46121" xr:uid="{00000000-0005-0000-0000-00002CAC0000}"/>
    <cellStyle name="Normal 7 3 2 7 2 2" xfId="46122" xr:uid="{00000000-0005-0000-0000-00002DAC0000}"/>
    <cellStyle name="Normal 7 3 2 7 3" xfId="46123" xr:uid="{00000000-0005-0000-0000-00002EAC0000}"/>
    <cellStyle name="Normal 7 3 2 8" xfId="46124" xr:uid="{00000000-0005-0000-0000-00002FAC0000}"/>
    <cellStyle name="Normal 7 3 2 8 2" xfId="46125" xr:uid="{00000000-0005-0000-0000-000030AC0000}"/>
    <cellStyle name="Normal 7 3 2 9" xfId="46126" xr:uid="{00000000-0005-0000-0000-000031AC0000}"/>
    <cellStyle name="Normal 7 3 3" xfId="46127" xr:uid="{00000000-0005-0000-0000-000032AC0000}"/>
    <cellStyle name="Normal 7 3 3 10" xfId="46128" xr:uid="{00000000-0005-0000-0000-000033AC0000}"/>
    <cellStyle name="Normal 7 3 3 2" xfId="46129" xr:uid="{00000000-0005-0000-0000-000034AC0000}"/>
    <cellStyle name="Normal 7 3 3 2 2" xfId="46130" xr:uid="{00000000-0005-0000-0000-000035AC0000}"/>
    <cellStyle name="Normal 7 3 3 2 2 2" xfId="46131" xr:uid="{00000000-0005-0000-0000-000036AC0000}"/>
    <cellStyle name="Normal 7 3 3 2 2 2 2" xfId="46132" xr:uid="{00000000-0005-0000-0000-000037AC0000}"/>
    <cellStyle name="Normal 7 3 3 2 2 2 2 2" xfId="46133" xr:uid="{00000000-0005-0000-0000-000038AC0000}"/>
    <cellStyle name="Normal 7 3 3 2 2 2 3" xfId="46134" xr:uid="{00000000-0005-0000-0000-000039AC0000}"/>
    <cellStyle name="Normal 7 3 3 2 2 3" xfId="46135" xr:uid="{00000000-0005-0000-0000-00003AAC0000}"/>
    <cellStyle name="Normal 7 3 3 2 2 3 2" xfId="46136" xr:uid="{00000000-0005-0000-0000-00003BAC0000}"/>
    <cellStyle name="Normal 7 3 3 2 2 4" xfId="46137" xr:uid="{00000000-0005-0000-0000-00003CAC0000}"/>
    <cellStyle name="Normal 7 3 3 2 2 5" xfId="46138" xr:uid="{00000000-0005-0000-0000-00003DAC0000}"/>
    <cellStyle name="Normal 7 3 3 2 2 6" xfId="46139" xr:uid="{00000000-0005-0000-0000-00003EAC0000}"/>
    <cellStyle name="Normal 7 3 3 2 3" xfId="46140" xr:uid="{00000000-0005-0000-0000-00003FAC0000}"/>
    <cellStyle name="Normal 7 3 3 2 3 2" xfId="46141" xr:uid="{00000000-0005-0000-0000-000040AC0000}"/>
    <cellStyle name="Normal 7 3 3 2 3 2 2" xfId="46142" xr:uid="{00000000-0005-0000-0000-000041AC0000}"/>
    <cellStyle name="Normal 7 3 3 2 3 3" xfId="46143" xr:uid="{00000000-0005-0000-0000-000042AC0000}"/>
    <cellStyle name="Normal 7 3 3 2 4" xfId="46144" xr:uid="{00000000-0005-0000-0000-000043AC0000}"/>
    <cellStyle name="Normal 7 3 3 2 4 2" xfId="46145" xr:uid="{00000000-0005-0000-0000-000044AC0000}"/>
    <cellStyle name="Normal 7 3 3 2 4 2 2" xfId="46146" xr:uid="{00000000-0005-0000-0000-000045AC0000}"/>
    <cellStyle name="Normal 7 3 3 2 4 3" xfId="46147" xr:uid="{00000000-0005-0000-0000-000046AC0000}"/>
    <cellStyle name="Normal 7 3 3 2 5" xfId="46148" xr:uid="{00000000-0005-0000-0000-000047AC0000}"/>
    <cellStyle name="Normal 7 3 3 2 5 2" xfId="46149" xr:uid="{00000000-0005-0000-0000-000048AC0000}"/>
    <cellStyle name="Normal 7 3 3 2 6" xfId="46150" xr:uid="{00000000-0005-0000-0000-000049AC0000}"/>
    <cellStyle name="Normal 7 3 3 2 7" xfId="46151" xr:uid="{00000000-0005-0000-0000-00004AAC0000}"/>
    <cellStyle name="Normal 7 3 3 2 8" xfId="46152" xr:uid="{00000000-0005-0000-0000-00004BAC0000}"/>
    <cellStyle name="Normal 7 3 3 3" xfId="46153" xr:uid="{00000000-0005-0000-0000-00004CAC0000}"/>
    <cellStyle name="Normal 7 3 3 3 2" xfId="46154" xr:uid="{00000000-0005-0000-0000-00004DAC0000}"/>
    <cellStyle name="Normal 7 3 3 3 2 2" xfId="46155" xr:uid="{00000000-0005-0000-0000-00004EAC0000}"/>
    <cellStyle name="Normal 7 3 3 3 2 2 2" xfId="46156" xr:uid="{00000000-0005-0000-0000-00004FAC0000}"/>
    <cellStyle name="Normal 7 3 3 3 2 2 2 2" xfId="46157" xr:uid="{00000000-0005-0000-0000-000050AC0000}"/>
    <cellStyle name="Normal 7 3 3 3 2 2 3" xfId="46158" xr:uid="{00000000-0005-0000-0000-000051AC0000}"/>
    <cellStyle name="Normal 7 3 3 3 2 3" xfId="46159" xr:uid="{00000000-0005-0000-0000-000052AC0000}"/>
    <cellStyle name="Normal 7 3 3 3 2 3 2" xfId="46160" xr:uid="{00000000-0005-0000-0000-000053AC0000}"/>
    <cellStyle name="Normal 7 3 3 3 2 4" xfId="46161" xr:uid="{00000000-0005-0000-0000-000054AC0000}"/>
    <cellStyle name="Normal 7 3 3 3 2 5" xfId="46162" xr:uid="{00000000-0005-0000-0000-000055AC0000}"/>
    <cellStyle name="Normal 7 3 3 3 2 6" xfId="46163" xr:uid="{00000000-0005-0000-0000-000056AC0000}"/>
    <cellStyle name="Normal 7 3 3 3 3" xfId="46164" xr:uid="{00000000-0005-0000-0000-000057AC0000}"/>
    <cellStyle name="Normal 7 3 3 3 3 2" xfId="46165" xr:uid="{00000000-0005-0000-0000-000058AC0000}"/>
    <cellStyle name="Normal 7 3 3 3 3 2 2" xfId="46166" xr:uid="{00000000-0005-0000-0000-000059AC0000}"/>
    <cellStyle name="Normal 7 3 3 3 3 3" xfId="46167" xr:uid="{00000000-0005-0000-0000-00005AAC0000}"/>
    <cellStyle name="Normal 7 3 3 3 4" xfId="46168" xr:uid="{00000000-0005-0000-0000-00005BAC0000}"/>
    <cellStyle name="Normal 7 3 3 3 4 2" xfId="46169" xr:uid="{00000000-0005-0000-0000-00005CAC0000}"/>
    <cellStyle name="Normal 7 3 3 3 5" xfId="46170" xr:uid="{00000000-0005-0000-0000-00005DAC0000}"/>
    <cellStyle name="Normal 7 3 3 3 6" xfId="46171" xr:uid="{00000000-0005-0000-0000-00005EAC0000}"/>
    <cellStyle name="Normal 7 3 3 3 7" xfId="46172" xr:uid="{00000000-0005-0000-0000-00005FAC0000}"/>
    <cellStyle name="Normal 7 3 3 4" xfId="46173" xr:uid="{00000000-0005-0000-0000-000060AC0000}"/>
    <cellStyle name="Normal 7 3 3 4 2" xfId="46174" xr:uid="{00000000-0005-0000-0000-000061AC0000}"/>
    <cellStyle name="Normal 7 3 3 4 2 2" xfId="46175" xr:uid="{00000000-0005-0000-0000-000062AC0000}"/>
    <cellStyle name="Normal 7 3 3 4 2 2 2" xfId="46176" xr:uid="{00000000-0005-0000-0000-000063AC0000}"/>
    <cellStyle name="Normal 7 3 3 4 2 3" xfId="46177" xr:uid="{00000000-0005-0000-0000-000064AC0000}"/>
    <cellStyle name="Normal 7 3 3 4 3" xfId="46178" xr:uid="{00000000-0005-0000-0000-000065AC0000}"/>
    <cellStyle name="Normal 7 3 3 4 3 2" xfId="46179" xr:uid="{00000000-0005-0000-0000-000066AC0000}"/>
    <cellStyle name="Normal 7 3 3 4 4" xfId="46180" xr:uid="{00000000-0005-0000-0000-000067AC0000}"/>
    <cellStyle name="Normal 7 3 3 4 5" xfId="46181" xr:uid="{00000000-0005-0000-0000-000068AC0000}"/>
    <cellStyle name="Normal 7 3 3 4 6" xfId="46182" xr:uid="{00000000-0005-0000-0000-000069AC0000}"/>
    <cellStyle name="Normal 7 3 3 5" xfId="46183" xr:uid="{00000000-0005-0000-0000-00006AAC0000}"/>
    <cellStyle name="Normal 7 3 3 5 2" xfId="46184" xr:uid="{00000000-0005-0000-0000-00006BAC0000}"/>
    <cellStyle name="Normal 7 3 3 5 2 2" xfId="46185" xr:uid="{00000000-0005-0000-0000-00006CAC0000}"/>
    <cellStyle name="Normal 7 3 3 5 3" xfId="46186" xr:uid="{00000000-0005-0000-0000-00006DAC0000}"/>
    <cellStyle name="Normal 7 3 3 6" xfId="46187" xr:uid="{00000000-0005-0000-0000-00006EAC0000}"/>
    <cellStyle name="Normal 7 3 3 6 2" xfId="46188" xr:uid="{00000000-0005-0000-0000-00006FAC0000}"/>
    <cellStyle name="Normal 7 3 3 6 2 2" xfId="46189" xr:uid="{00000000-0005-0000-0000-000070AC0000}"/>
    <cellStyle name="Normal 7 3 3 6 3" xfId="46190" xr:uid="{00000000-0005-0000-0000-000071AC0000}"/>
    <cellStyle name="Normal 7 3 3 7" xfId="46191" xr:uid="{00000000-0005-0000-0000-000072AC0000}"/>
    <cellStyle name="Normal 7 3 3 7 2" xfId="46192" xr:uid="{00000000-0005-0000-0000-000073AC0000}"/>
    <cellStyle name="Normal 7 3 3 8" xfId="46193" xr:uid="{00000000-0005-0000-0000-000074AC0000}"/>
    <cellStyle name="Normal 7 3 3 9" xfId="46194" xr:uid="{00000000-0005-0000-0000-000075AC0000}"/>
    <cellStyle name="Normal 7 3 4" xfId="46195" xr:uid="{00000000-0005-0000-0000-000076AC0000}"/>
    <cellStyle name="Normal 7 3 4 2" xfId="46196" xr:uid="{00000000-0005-0000-0000-000077AC0000}"/>
    <cellStyle name="Normal 7 3 4 2 2" xfId="46197" xr:uid="{00000000-0005-0000-0000-000078AC0000}"/>
    <cellStyle name="Normal 7 3 4 2 2 2" xfId="46198" xr:uid="{00000000-0005-0000-0000-000079AC0000}"/>
    <cellStyle name="Normal 7 3 4 2 2 2 2" xfId="46199" xr:uid="{00000000-0005-0000-0000-00007AAC0000}"/>
    <cellStyle name="Normal 7 3 4 2 2 3" xfId="46200" xr:uid="{00000000-0005-0000-0000-00007BAC0000}"/>
    <cellStyle name="Normal 7 3 4 2 3" xfId="46201" xr:uid="{00000000-0005-0000-0000-00007CAC0000}"/>
    <cellStyle name="Normal 7 3 4 2 3 2" xfId="46202" xr:uid="{00000000-0005-0000-0000-00007DAC0000}"/>
    <cellStyle name="Normal 7 3 4 2 4" xfId="46203" xr:uid="{00000000-0005-0000-0000-00007EAC0000}"/>
    <cellStyle name="Normal 7 3 4 2 5" xfId="46204" xr:uid="{00000000-0005-0000-0000-00007FAC0000}"/>
    <cellStyle name="Normal 7 3 4 2 6" xfId="46205" xr:uid="{00000000-0005-0000-0000-000080AC0000}"/>
    <cellStyle name="Normal 7 3 4 3" xfId="46206" xr:uid="{00000000-0005-0000-0000-000081AC0000}"/>
    <cellStyle name="Normal 7 3 4 3 2" xfId="46207" xr:uid="{00000000-0005-0000-0000-000082AC0000}"/>
    <cellStyle name="Normal 7 3 4 3 2 2" xfId="46208" xr:uid="{00000000-0005-0000-0000-000083AC0000}"/>
    <cellStyle name="Normal 7 3 4 3 3" xfId="46209" xr:uid="{00000000-0005-0000-0000-000084AC0000}"/>
    <cellStyle name="Normal 7 3 4 4" xfId="46210" xr:uid="{00000000-0005-0000-0000-000085AC0000}"/>
    <cellStyle name="Normal 7 3 4 4 2" xfId="46211" xr:uid="{00000000-0005-0000-0000-000086AC0000}"/>
    <cellStyle name="Normal 7 3 4 4 2 2" xfId="46212" xr:uid="{00000000-0005-0000-0000-000087AC0000}"/>
    <cellStyle name="Normal 7 3 4 4 3" xfId="46213" xr:uid="{00000000-0005-0000-0000-000088AC0000}"/>
    <cellStyle name="Normal 7 3 4 5" xfId="46214" xr:uid="{00000000-0005-0000-0000-000089AC0000}"/>
    <cellStyle name="Normal 7 3 4 5 2" xfId="46215" xr:uid="{00000000-0005-0000-0000-00008AAC0000}"/>
    <cellStyle name="Normal 7 3 4 6" xfId="46216" xr:uid="{00000000-0005-0000-0000-00008BAC0000}"/>
    <cellStyle name="Normal 7 3 4 7" xfId="46217" xr:uid="{00000000-0005-0000-0000-00008CAC0000}"/>
    <cellStyle name="Normal 7 3 4 8" xfId="46218" xr:uid="{00000000-0005-0000-0000-00008DAC0000}"/>
    <cellStyle name="Normal 7 3 5" xfId="46219" xr:uid="{00000000-0005-0000-0000-00008EAC0000}"/>
    <cellStyle name="Normal 7 3 5 2" xfId="46220" xr:uid="{00000000-0005-0000-0000-00008FAC0000}"/>
    <cellStyle name="Normal 7 3 5 2 2" xfId="46221" xr:uid="{00000000-0005-0000-0000-000090AC0000}"/>
    <cellStyle name="Normal 7 3 5 2 2 2" xfId="46222" xr:uid="{00000000-0005-0000-0000-000091AC0000}"/>
    <cellStyle name="Normal 7 3 5 2 2 2 2" xfId="46223" xr:uid="{00000000-0005-0000-0000-000092AC0000}"/>
    <cellStyle name="Normal 7 3 5 2 2 3" xfId="46224" xr:uid="{00000000-0005-0000-0000-000093AC0000}"/>
    <cellStyle name="Normal 7 3 5 2 3" xfId="46225" xr:uid="{00000000-0005-0000-0000-000094AC0000}"/>
    <cellStyle name="Normal 7 3 5 2 3 2" xfId="46226" xr:uid="{00000000-0005-0000-0000-000095AC0000}"/>
    <cellStyle name="Normal 7 3 5 2 4" xfId="46227" xr:uid="{00000000-0005-0000-0000-000096AC0000}"/>
    <cellStyle name="Normal 7 3 5 2 5" xfId="46228" xr:uid="{00000000-0005-0000-0000-000097AC0000}"/>
    <cellStyle name="Normal 7 3 5 2 6" xfId="46229" xr:uid="{00000000-0005-0000-0000-000098AC0000}"/>
    <cellStyle name="Normal 7 3 5 3" xfId="46230" xr:uid="{00000000-0005-0000-0000-000099AC0000}"/>
    <cellStyle name="Normal 7 3 5 3 2" xfId="46231" xr:uid="{00000000-0005-0000-0000-00009AAC0000}"/>
    <cellStyle name="Normal 7 3 5 3 2 2" xfId="46232" xr:uid="{00000000-0005-0000-0000-00009BAC0000}"/>
    <cellStyle name="Normal 7 3 5 3 3" xfId="46233" xr:uid="{00000000-0005-0000-0000-00009CAC0000}"/>
    <cellStyle name="Normal 7 3 5 4" xfId="46234" xr:uid="{00000000-0005-0000-0000-00009DAC0000}"/>
    <cellStyle name="Normal 7 3 5 4 2" xfId="46235" xr:uid="{00000000-0005-0000-0000-00009EAC0000}"/>
    <cellStyle name="Normal 7 3 5 4 2 2" xfId="46236" xr:uid="{00000000-0005-0000-0000-00009FAC0000}"/>
    <cellStyle name="Normal 7 3 5 4 3" xfId="46237" xr:uid="{00000000-0005-0000-0000-0000A0AC0000}"/>
    <cellStyle name="Normal 7 3 5 5" xfId="46238" xr:uid="{00000000-0005-0000-0000-0000A1AC0000}"/>
    <cellStyle name="Normal 7 3 5 5 2" xfId="46239" xr:uid="{00000000-0005-0000-0000-0000A2AC0000}"/>
    <cellStyle name="Normal 7 3 5 6" xfId="46240" xr:uid="{00000000-0005-0000-0000-0000A3AC0000}"/>
    <cellStyle name="Normal 7 3 5 7" xfId="46241" xr:uid="{00000000-0005-0000-0000-0000A4AC0000}"/>
    <cellStyle name="Normal 7 3 5 8" xfId="46242" xr:uid="{00000000-0005-0000-0000-0000A5AC0000}"/>
    <cellStyle name="Normal 7 3 6" xfId="46243" xr:uid="{00000000-0005-0000-0000-0000A6AC0000}"/>
    <cellStyle name="Normal 7 3 6 2" xfId="46244" xr:uid="{00000000-0005-0000-0000-0000A7AC0000}"/>
    <cellStyle name="Normal 7 3 6 2 2" xfId="46245" xr:uid="{00000000-0005-0000-0000-0000A8AC0000}"/>
    <cellStyle name="Normal 7 3 6 2 2 2" xfId="46246" xr:uid="{00000000-0005-0000-0000-0000A9AC0000}"/>
    <cellStyle name="Normal 7 3 6 2 3" xfId="46247" xr:uid="{00000000-0005-0000-0000-0000AAAC0000}"/>
    <cellStyle name="Normal 7 3 6 3" xfId="46248" xr:uid="{00000000-0005-0000-0000-0000ABAC0000}"/>
    <cellStyle name="Normal 7 3 6 3 2" xfId="46249" xr:uid="{00000000-0005-0000-0000-0000ACAC0000}"/>
    <cellStyle name="Normal 7 3 6 4" xfId="46250" xr:uid="{00000000-0005-0000-0000-0000ADAC0000}"/>
    <cellStyle name="Normal 7 3 6 5" xfId="46251" xr:uid="{00000000-0005-0000-0000-0000AEAC0000}"/>
    <cellStyle name="Normal 7 3 6 6" xfId="46252" xr:uid="{00000000-0005-0000-0000-0000AFAC0000}"/>
    <cellStyle name="Normal 7 3 7" xfId="46253" xr:uid="{00000000-0005-0000-0000-0000B0AC0000}"/>
    <cellStyle name="Normal 7 3 7 2" xfId="46254" xr:uid="{00000000-0005-0000-0000-0000B1AC0000}"/>
    <cellStyle name="Normal 7 3 7 2 2" xfId="46255" xr:uid="{00000000-0005-0000-0000-0000B2AC0000}"/>
    <cellStyle name="Normal 7 3 7 3" xfId="46256" xr:uid="{00000000-0005-0000-0000-0000B3AC0000}"/>
    <cellStyle name="Normal 7 3 8" xfId="46257" xr:uid="{00000000-0005-0000-0000-0000B4AC0000}"/>
    <cellStyle name="Normal 7 3 8 2" xfId="46258" xr:uid="{00000000-0005-0000-0000-0000B5AC0000}"/>
    <cellStyle name="Normal 7 3 8 2 2" xfId="46259" xr:uid="{00000000-0005-0000-0000-0000B6AC0000}"/>
    <cellStyle name="Normal 7 3 8 3" xfId="46260" xr:uid="{00000000-0005-0000-0000-0000B7AC0000}"/>
    <cellStyle name="Normal 7 3 9" xfId="46261" xr:uid="{00000000-0005-0000-0000-0000B8AC0000}"/>
    <cellStyle name="Normal 7 3 9 2" xfId="46262" xr:uid="{00000000-0005-0000-0000-0000B9AC0000}"/>
    <cellStyle name="Normal 7 4" xfId="46263" xr:uid="{00000000-0005-0000-0000-0000BAAC0000}"/>
    <cellStyle name="Normal 7 4 10" xfId="46264" xr:uid="{00000000-0005-0000-0000-0000BBAC0000}"/>
    <cellStyle name="Normal 7 4 11" xfId="46265" xr:uid="{00000000-0005-0000-0000-0000BCAC0000}"/>
    <cellStyle name="Normal 7 4 2" xfId="46266" xr:uid="{00000000-0005-0000-0000-0000BDAC0000}"/>
    <cellStyle name="Normal 7 4 2 10" xfId="46267" xr:uid="{00000000-0005-0000-0000-0000BEAC0000}"/>
    <cellStyle name="Normal 7 4 2 2" xfId="46268" xr:uid="{00000000-0005-0000-0000-0000BFAC0000}"/>
    <cellStyle name="Normal 7 4 2 2 2" xfId="46269" xr:uid="{00000000-0005-0000-0000-0000C0AC0000}"/>
    <cellStyle name="Normal 7 4 2 2 2 2" xfId="46270" xr:uid="{00000000-0005-0000-0000-0000C1AC0000}"/>
    <cellStyle name="Normal 7 4 2 2 2 2 2" xfId="46271" xr:uid="{00000000-0005-0000-0000-0000C2AC0000}"/>
    <cellStyle name="Normal 7 4 2 2 2 2 2 2" xfId="46272" xr:uid="{00000000-0005-0000-0000-0000C3AC0000}"/>
    <cellStyle name="Normal 7 4 2 2 2 2 3" xfId="46273" xr:uid="{00000000-0005-0000-0000-0000C4AC0000}"/>
    <cellStyle name="Normal 7 4 2 2 2 3" xfId="46274" xr:uid="{00000000-0005-0000-0000-0000C5AC0000}"/>
    <cellStyle name="Normal 7 4 2 2 2 3 2" xfId="46275" xr:uid="{00000000-0005-0000-0000-0000C6AC0000}"/>
    <cellStyle name="Normal 7 4 2 2 2 4" xfId="46276" xr:uid="{00000000-0005-0000-0000-0000C7AC0000}"/>
    <cellStyle name="Normal 7 4 2 2 2 5" xfId="46277" xr:uid="{00000000-0005-0000-0000-0000C8AC0000}"/>
    <cellStyle name="Normal 7 4 2 2 2 6" xfId="46278" xr:uid="{00000000-0005-0000-0000-0000C9AC0000}"/>
    <cellStyle name="Normal 7 4 2 2 3" xfId="46279" xr:uid="{00000000-0005-0000-0000-0000CAAC0000}"/>
    <cellStyle name="Normal 7 4 2 2 3 2" xfId="46280" xr:uid="{00000000-0005-0000-0000-0000CBAC0000}"/>
    <cellStyle name="Normal 7 4 2 2 3 2 2" xfId="46281" xr:uid="{00000000-0005-0000-0000-0000CCAC0000}"/>
    <cellStyle name="Normal 7 4 2 2 3 3" xfId="46282" xr:uid="{00000000-0005-0000-0000-0000CDAC0000}"/>
    <cellStyle name="Normal 7 4 2 2 4" xfId="46283" xr:uid="{00000000-0005-0000-0000-0000CEAC0000}"/>
    <cellStyle name="Normal 7 4 2 2 4 2" xfId="46284" xr:uid="{00000000-0005-0000-0000-0000CFAC0000}"/>
    <cellStyle name="Normal 7 4 2 2 4 2 2" xfId="46285" xr:uid="{00000000-0005-0000-0000-0000D0AC0000}"/>
    <cellStyle name="Normal 7 4 2 2 4 3" xfId="46286" xr:uid="{00000000-0005-0000-0000-0000D1AC0000}"/>
    <cellStyle name="Normal 7 4 2 2 5" xfId="46287" xr:uid="{00000000-0005-0000-0000-0000D2AC0000}"/>
    <cellStyle name="Normal 7 4 2 2 5 2" xfId="46288" xr:uid="{00000000-0005-0000-0000-0000D3AC0000}"/>
    <cellStyle name="Normal 7 4 2 2 6" xfId="46289" xr:uid="{00000000-0005-0000-0000-0000D4AC0000}"/>
    <cellStyle name="Normal 7 4 2 2 7" xfId="46290" xr:uid="{00000000-0005-0000-0000-0000D5AC0000}"/>
    <cellStyle name="Normal 7 4 2 2 8" xfId="46291" xr:uid="{00000000-0005-0000-0000-0000D6AC0000}"/>
    <cellStyle name="Normal 7 4 2 3" xfId="46292" xr:uid="{00000000-0005-0000-0000-0000D7AC0000}"/>
    <cellStyle name="Normal 7 4 2 3 2" xfId="46293" xr:uid="{00000000-0005-0000-0000-0000D8AC0000}"/>
    <cellStyle name="Normal 7 4 2 3 2 2" xfId="46294" xr:uid="{00000000-0005-0000-0000-0000D9AC0000}"/>
    <cellStyle name="Normal 7 4 2 3 2 2 2" xfId="46295" xr:uid="{00000000-0005-0000-0000-0000DAAC0000}"/>
    <cellStyle name="Normal 7 4 2 3 2 2 2 2" xfId="46296" xr:uid="{00000000-0005-0000-0000-0000DBAC0000}"/>
    <cellStyle name="Normal 7 4 2 3 2 2 3" xfId="46297" xr:uid="{00000000-0005-0000-0000-0000DCAC0000}"/>
    <cellStyle name="Normal 7 4 2 3 2 3" xfId="46298" xr:uid="{00000000-0005-0000-0000-0000DDAC0000}"/>
    <cellStyle name="Normal 7 4 2 3 2 3 2" xfId="46299" xr:uid="{00000000-0005-0000-0000-0000DEAC0000}"/>
    <cellStyle name="Normal 7 4 2 3 2 4" xfId="46300" xr:uid="{00000000-0005-0000-0000-0000DFAC0000}"/>
    <cellStyle name="Normal 7 4 2 3 2 5" xfId="46301" xr:uid="{00000000-0005-0000-0000-0000E0AC0000}"/>
    <cellStyle name="Normal 7 4 2 3 2 6" xfId="46302" xr:uid="{00000000-0005-0000-0000-0000E1AC0000}"/>
    <cellStyle name="Normal 7 4 2 3 3" xfId="46303" xr:uid="{00000000-0005-0000-0000-0000E2AC0000}"/>
    <cellStyle name="Normal 7 4 2 3 3 2" xfId="46304" xr:uid="{00000000-0005-0000-0000-0000E3AC0000}"/>
    <cellStyle name="Normal 7 4 2 3 3 2 2" xfId="46305" xr:uid="{00000000-0005-0000-0000-0000E4AC0000}"/>
    <cellStyle name="Normal 7 4 2 3 3 3" xfId="46306" xr:uid="{00000000-0005-0000-0000-0000E5AC0000}"/>
    <cellStyle name="Normal 7 4 2 3 4" xfId="46307" xr:uid="{00000000-0005-0000-0000-0000E6AC0000}"/>
    <cellStyle name="Normal 7 4 2 3 4 2" xfId="46308" xr:uid="{00000000-0005-0000-0000-0000E7AC0000}"/>
    <cellStyle name="Normal 7 4 2 3 5" xfId="46309" xr:uid="{00000000-0005-0000-0000-0000E8AC0000}"/>
    <cellStyle name="Normal 7 4 2 3 6" xfId="46310" xr:uid="{00000000-0005-0000-0000-0000E9AC0000}"/>
    <cellStyle name="Normal 7 4 2 3 7" xfId="46311" xr:uid="{00000000-0005-0000-0000-0000EAAC0000}"/>
    <cellStyle name="Normal 7 4 2 4" xfId="46312" xr:uid="{00000000-0005-0000-0000-0000EBAC0000}"/>
    <cellStyle name="Normal 7 4 2 4 2" xfId="46313" xr:uid="{00000000-0005-0000-0000-0000ECAC0000}"/>
    <cellStyle name="Normal 7 4 2 4 2 2" xfId="46314" xr:uid="{00000000-0005-0000-0000-0000EDAC0000}"/>
    <cellStyle name="Normal 7 4 2 4 2 2 2" xfId="46315" xr:uid="{00000000-0005-0000-0000-0000EEAC0000}"/>
    <cellStyle name="Normal 7 4 2 4 2 3" xfId="46316" xr:uid="{00000000-0005-0000-0000-0000EFAC0000}"/>
    <cellStyle name="Normal 7 4 2 4 3" xfId="46317" xr:uid="{00000000-0005-0000-0000-0000F0AC0000}"/>
    <cellStyle name="Normal 7 4 2 4 3 2" xfId="46318" xr:uid="{00000000-0005-0000-0000-0000F1AC0000}"/>
    <cellStyle name="Normal 7 4 2 4 4" xfId="46319" xr:uid="{00000000-0005-0000-0000-0000F2AC0000}"/>
    <cellStyle name="Normal 7 4 2 4 5" xfId="46320" xr:uid="{00000000-0005-0000-0000-0000F3AC0000}"/>
    <cellStyle name="Normal 7 4 2 4 6" xfId="46321" xr:uid="{00000000-0005-0000-0000-0000F4AC0000}"/>
    <cellStyle name="Normal 7 4 2 5" xfId="46322" xr:uid="{00000000-0005-0000-0000-0000F5AC0000}"/>
    <cellStyle name="Normal 7 4 2 5 2" xfId="46323" xr:uid="{00000000-0005-0000-0000-0000F6AC0000}"/>
    <cellStyle name="Normal 7 4 2 5 2 2" xfId="46324" xr:uid="{00000000-0005-0000-0000-0000F7AC0000}"/>
    <cellStyle name="Normal 7 4 2 5 3" xfId="46325" xr:uid="{00000000-0005-0000-0000-0000F8AC0000}"/>
    <cellStyle name="Normal 7 4 2 6" xfId="46326" xr:uid="{00000000-0005-0000-0000-0000F9AC0000}"/>
    <cellStyle name="Normal 7 4 2 6 2" xfId="46327" xr:uid="{00000000-0005-0000-0000-0000FAAC0000}"/>
    <cellStyle name="Normal 7 4 2 6 2 2" xfId="46328" xr:uid="{00000000-0005-0000-0000-0000FBAC0000}"/>
    <cellStyle name="Normal 7 4 2 6 3" xfId="46329" xr:uid="{00000000-0005-0000-0000-0000FCAC0000}"/>
    <cellStyle name="Normal 7 4 2 7" xfId="46330" xr:uid="{00000000-0005-0000-0000-0000FDAC0000}"/>
    <cellStyle name="Normal 7 4 2 7 2" xfId="46331" xr:uid="{00000000-0005-0000-0000-0000FEAC0000}"/>
    <cellStyle name="Normal 7 4 2 8" xfId="46332" xr:uid="{00000000-0005-0000-0000-0000FFAC0000}"/>
    <cellStyle name="Normal 7 4 2 9" xfId="46333" xr:uid="{00000000-0005-0000-0000-000000AD0000}"/>
    <cellStyle name="Normal 7 4 3" xfId="46334" xr:uid="{00000000-0005-0000-0000-000001AD0000}"/>
    <cellStyle name="Normal 7 4 3 2" xfId="46335" xr:uid="{00000000-0005-0000-0000-000002AD0000}"/>
    <cellStyle name="Normal 7 4 3 2 2" xfId="46336" xr:uid="{00000000-0005-0000-0000-000003AD0000}"/>
    <cellStyle name="Normal 7 4 3 2 2 2" xfId="46337" xr:uid="{00000000-0005-0000-0000-000004AD0000}"/>
    <cellStyle name="Normal 7 4 3 2 2 2 2" xfId="46338" xr:uid="{00000000-0005-0000-0000-000005AD0000}"/>
    <cellStyle name="Normal 7 4 3 2 2 3" xfId="46339" xr:uid="{00000000-0005-0000-0000-000006AD0000}"/>
    <cellStyle name="Normal 7 4 3 2 3" xfId="46340" xr:uid="{00000000-0005-0000-0000-000007AD0000}"/>
    <cellStyle name="Normal 7 4 3 2 3 2" xfId="46341" xr:uid="{00000000-0005-0000-0000-000008AD0000}"/>
    <cellStyle name="Normal 7 4 3 2 4" xfId="46342" xr:uid="{00000000-0005-0000-0000-000009AD0000}"/>
    <cellStyle name="Normal 7 4 3 2 5" xfId="46343" xr:uid="{00000000-0005-0000-0000-00000AAD0000}"/>
    <cellStyle name="Normal 7 4 3 2 6" xfId="46344" xr:uid="{00000000-0005-0000-0000-00000BAD0000}"/>
    <cellStyle name="Normal 7 4 3 3" xfId="46345" xr:uid="{00000000-0005-0000-0000-00000CAD0000}"/>
    <cellStyle name="Normal 7 4 3 3 2" xfId="46346" xr:uid="{00000000-0005-0000-0000-00000DAD0000}"/>
    <cellStyle name="Normal 7 4 3 3 2 2" xfId="46347" xr:uid="{00000000-0005-0000-0000-00000EAD0000}"/>
    <cellStyle name="Normal 7 4 3 3 3" xfId="46348" xr:uid="{00000000-0005-0000-0000-00000FAD0000}"/>
    <cellStyle name="Normal 7 4 3 4" xfId="46349" xr:uid="{00000000-0005-0000-0000-000010AD0000}"/>
    <cellStyle name="Normal 7 4 3 4 2" xfId="46350" xr:uid="{00000000-0005-0000-0000-000011AD0000}"/>
    <cellStyle name="Normal 7 4 3 4 2 2" xfId="46351" xr:uid="{00000000-0005-0000-0000-000012AD0000}"/>
    <cellStyle name="Normal 7 4 3 4 3" xfId="46352" xr:uid="{00000000-0005-0000-0000-000013AD0000}"/>
    <cellStyle name="Normal 7 4 3 5" xfId="46353" xr:uid="{00000000-0005-0000-0000-000014AD0000}"/>
    <cellStyle name="Normal 7 4 3 5 2" xfId="46354" xr:uid="{00000000-0005-0000-0000-000015AD0000}"/>
    <cellStyle name="Normal 7 4 3 6" xfId="46355" xr:uid="{00000000-0005-0000-0000-000016AD0000}"/>
    <cellStyle name="Normal 7 4 3 7" xfId="46356" xr:uid="{00000000-0005-0000-0000-000017AD0000}"/>
    <cellStyle name="Normal 7 4 3 8" xfId="46357" xr:uid="{00000000-0005-0000-0000-000018AD0000}"/>
    <cellStyle name="Normal 7 4 4" xfId="46358" xr:uid="{00000000-0005-0000-0000-000019AD0000}"/>
    <cellStyle name="Normal 7 4 4 2" xfId="46359" xr:uid="{00000000-0005-0000-0000-00001AAD0000}"/>
    <cellStyle name="Normal 7 4 4 2 2" xfId="46360" xr:uid="{00000000-0005-0000-0000-00001BAD0000}"/>
    <cellStyle name="Normal 7 4 4 2 2 2" xfId="46361" xr:uid="{00000000-0005-0000-0000-00001CAD0000}"/>
    <cellStyle name="Normal 7 4 4 2 2 2 2" xfId="46362" xr:uid="{00000000-0005-0000-0000-00001DAD0000}"/>
    <cellStyle name="Normal 7 4 4 2 2 3" xfId="46363" xr:uid="{00000000-0005-0000-0000-00001EAD0000}"/>
    <cellStyle name="Normal 7 4 4 2 3" xfId="46364" xr:uid="{00000000-0005-0000-0000-00001FAD0000}"/>
    <cellStyle name="Normal 7 4 4 2 3 2" xfId="46365" xr:uid="{00000000-0005-0000-0000-000020AD0000}"/>
    <cellStyle name="Normal 7 4 4 2 4" xfId="46366" xr:uid="{00000000-0005-0000-0000-000021AD0000}"/>
    <cellStyle name="Normal 7 4 4 2 5" xfId="46367" xr:uid="{00000000-0005-0000-0000-000022AD0000}"/>
    <cellStyle name="Normal 7 4 4 2 6" xfId="46368" xr:uid="{00000000-0005-0000-0000-000023AD0000}"/>
    <cellStyle name="Normal 7 4 4 3" xfId="46369" xr:uid="{00000000-0005-0000-0000-000024AD0000}"/>
    <cellStyle name="Normal 7 4 4 3 2" xfId="46370" xr:uid="{00000000-0005-0000-0000-000025AD0000}"/>
    <cellStyle name="Normal 7 4 4 3 2 2" xfId="46371" xr:uid="{00000000-0005-0000-0000-000026AD0000}"/>
    <cellStyle name="Normal 7 4 4 3 3" xfId="46372" xr:uid="{00000000-0005-0000-0000-000027AD0000}"/>
    <cellStyle name="Normal 7 4 4 4" xfId="46373" xr:uid="{00000000-0005-0000-0000-000028AD0000}"/>
    <cellStyle name="Normal 7 4 4 4 2" xfId="46374" xr:uid="{00000000-0005-0000-0000-000029AD0000}"/>
    <cellStyle name="Normal 7 4 4 4 2 2" xfId="46375" xr:uid="{00000000-0005-0000-0000-00002AAD0000}"/>
    <cellStyle name="Normal 7 4 4 4 3" xfId="46376" xr:uid="{00000000-0005-0000-0000-00002BAD0000}"/>
    <cellStyle name="Normal 7 4 4 5" xfId="46377" xr:uid="{00000000-0005-0000-0000-00002CAD0000}"/>
    <cellStyle name="Normal 7 4 4 5 2" xfId="46378" xr:uid="{00000000-0005-0000-0000-00002DAD0000}"/>
    <cellStyle name="Normal 7 4 4 6" xfId="46379" xr:uid="{00000000-0005-0000-0000-00002EAD0000}"/>
    <cellStyle name="Normal 7 4 4 7" xfId="46380" xr:uid="{00000000-0005-0000-0000-00002FAD0000}"/>
    <cellStyle name="Normal 7 4 4 8" xfId="46381" xr:uid="{00000000-0005-0000-0000-000030AD0000}"/>
    <cellStyle name="Normal 7 4 5" xfId="46382" xr:uid="{00000000-0005-0000-0000-000031AD0000}"/>
    <cellStyle name="Normal 7 4 5 2" xfId="46383" xr:uid="{00000000-0005-0000-0000-000032AD0000}"/>
    <cellStyle name="Normal 7 4 5 2 2" xfId="46384" xr:uid="{00000000-0005-0000-0000-000033AD0000}"/>
    <cellStyle name="Normal 7 4 5 2 2 2" xfId="46385" xr:uid="{00000000-0005-0000-0000-000034AD0000}"/>
    <cellStyle name="Normal 7 4 5 2 3" xfId="46386" xr:uid="{00000000-0005-0000-0000-000035AD0000}"/>
    <cellStyle name="Normal 7 4 5 3" xfId="46387" xr:uid="{00000000-0005-0000-0000-000036AD0000}"/>
    <cellStyle name="Normal 7 4 5 3 2" xfId="46388" xr:uid="{00000000-0005-0000-0000-000037AD0000}"/>
    <cellStyle name="Normal 7 4 5 4" xfId="46389" xr:uid="{00000000-0005-0000-0000-000038AD0000}"/>
    <cellStyle name="Normal 7 4 5 5" xfId="46390" xr:uid="{00000000-0005-0000-0000-000039AD0000}"/>
    <cellStyle name="Normal 7 4 5 6" xfId="46391" xr:uid="{00000000-0005-0000-0000-00003AAD0000}"/>
    <cellStyle name="Normal 7 4 6" xfId="46392" xr:uid="{00000000-0005-0000-0000-00003BAD0000}"/>
    <cellStyle name="Normal 7 4 6 2" xfId="46393" xr:uid="{00000000-0005-0000-0000-00003CAD0000}"/>
    <cellStyle name="Normal 7 4 6 2 2" xfId="46394" xr:uid="{00000000-0005-0000-0000-00003DAD0000}"/>
    <cellStyle name="Normal 7 4 6 3" xfId="46395" xr:uid="{00000000-0005-0000-0000-00003EAD0000}"/>
    <cellStyle name="Normal 7 4 7" xfId="46396" xr:uid="{00000000-0005-0000-0000-00003FAD0000}"/>
    <cellStyle name="Normal 7 4 7 2" xfId="46397" xr:uid="{00000000-0005-0000-0000-000040AD0000}"/>
    <cellStyle name="Normal 7 4 7 2 2" xfId="46398" xr:uid="{00000000-0005-0000-0000-000041AD0000}"/>
    <cellStyle name="Normal 7 4 7 3" xfId="46399" xr:uid="{00000000-0005-0000-0000-000042AD0000}"/>
    <cellStyle name="Normal 7 4 8" xfId="46400" xr:uid="{00000000-0005-0000-0000-000043AD0000}"/>
    <cellStyle name="Normal 7 4 8 2" xfId="46401" xr:uid="{00000000-0005-0000-0000-000044AD0000}"/>
    <cellStyle name="Normal 7 4 9" xfId="46402" xr:uid="{00000000-0005-0000-0000-000045AD0000}"/>
    <cellStyle name="Normal 7 5" xfId="46403" xr:uid="{00000000-0005-0000-0000-000046AD0000}"/>
    <cellStyle name="Normal 7 5 10" xfId="46404" xr:uid="{00000000-0005-0000-0000-000047AD0000}"/>
    <cellStyle name="Normal 7 5 11" xfId="46405" xr:uid="{00000000-0005-0000-0000-000048AD0000}"/>
    <cellStyle name="Normal 7 5 2" xfId="46406" xr:uid="{00000000-0005-0000-0000-000049AD0000}"/>
    <cellStyle name="Normal 7 5 2 10" xfId="46407" xr:uid="{00000000-0005-0000-0000-00004AAD0000}"/>
    <cellStyle name="Normal 7 5 2 2" xfId="46408" xr:uid="{00000000-0005-0000-0000-00004BAD0000}"/>
    <cellStyle name="Normal 7 5 2 2 2" xfId="46409" xr:uid="{00000000-0005-0000-0000-00004CAD0000}"/>
    <cellStyle name="Normal 7 5 2 2 2 2" xfId="46410" xr:uid="{00000000-0005-0000-0000-00004DAD0000}"/>
    <cellStyle name="Normal 7 5 2 2 2 2 2" xfId="46411" xr:uid="{00000000-0005-0000-0000-00004EAD0000}"/>
    <cellStyle name="Normal 7 5 2 2 2 2 2 2" xfId="46412" xr:uid="{00000000-0005-0000-0000-00004FAD0000}"/>
    <cellStyle name="Normal 7 5 2 2 2 2 3" xfId="46413" xr:uid="{00000000-0005-0000-0000-000050AD0000}"/>
    <cellStyle name="Normal 7 5 2 2 2 3" xfId="46414" xr:uid="{00000000-0005-0000-0000-000051AD0000}"/>
    <cellStyle name="Normal 7 5 2 2 2 3 2" xfId="46415" xr:uid="{00000000-0005-0000-0000-000052AD0000}"/>
    <cellStyle name="Normal 7 5 2 2 2 4" xfId="46416" xr:uid="{00000000-0005-0000-0000-000053AD0000}"/>
    <cellStyle name="Normal 7 5 2 2 2 5" xfId="46417" xr:uid="{00000000-0005-0000-0000-000054AD0000}"/>
    <cellStyle name="Normal 7 5 2 2 2 6" xfId="46418" xr:uid="{00000000-0005-0000-0000-000055AD0000}"/>
    <cellStyle name="Normal 7 5 2 2 3" xfId="46419" xr:uid="{00000000-0005-0000-0000-000056AD0000}"/>
    <cellStyle name="Normal 7 5 2 2 3 2" xfId="46420" xr:uid="{00000000-0005-0000-0000-000057AD0000}"/>
    <cellStyle name="Normal 7 5 2 2 3 2 2" xfId="46421" xr:uid="{00000000-0005-0000-0000-000058AD0000}"/>
    <cellStyle name="Normal 7 5 2 2 3 3" xfId="46422" xr:uid="{00000000-0005-0000-0000-000059AD0000}"/>
    <cellStyle name="Normal 7 5 2 2 4" xfId="46423" xr:uid="{00000000-0005-0000-0000-00005AAD0000}"/>
    <cellStyle name="Normal 7 5 2 2 4 2" xfId="46424" xr:uid="{00000000-0005-0000-0000-00005BAD0000}"/>
    <cellStyle name="Normal 7 5 2 2 4 2 2" xfId="46425" xr:uid="{00000000-0005-0000-0000-00005CAD0000}"/>
    <cellStyle name="Normal 7 5 2 2 4 3" xfId="46426" xr:uid="{00000000-0005-0000-0000-00005DAD0000}"/>
    <cellStyle name="Normal 7 5 2 2 5" xfId="46427" xr:uid="{00000000-0005-0000-0000-00005EAD0000}"/>
    <cellStyle name="Normal 7 5 2 2 5 2" xfId="46428" xr:uid="{00000000-0005-0000-0000-00005FAD0000}"/>
    <cellStyle name="Normal 7 5 2 2 6" xfId="46429" xr:uid="{00000000-0005-0000-0000-000060AD0000}"/>
    <cellStyle name="Normal 7 5 2 2 7" xfId="46430" xr:uid="{00000000-0005-0000-0000-000061AD0000}"/>
    <cellStyle name="Normal 7 5 2 2 8" xfId="46431" xr:uid="{00000000-0005-0000-0000-000062AD0000}"/>
    <cellStyle name="Normal 7 5 2 3" xfId="46432" xr:uid="{00000000-0005-0000-0000-000063AD0000}"/>
    <cellStyle name="Normal 7 5 2 3 2" xfId="46433" xr:uid="{00000000-0005-0000-0000-000064AD0000}"/>
    <cellStyle name="Normal 7 5 2 3 2 2" xfId="46434" xr:uid="{00000000-0005-0000-0000-000065AD0000}"/>
    <cellStyle name="Normal 7 5 2 3 2 2 2" xfId="46435" xr:uid="{00000000-0005-0000-0000-000066AD0000}"/>
    <cellStyle name="Normal 7 5 2 3 2 2 2 2" xfId="46436" xr:uid="{00000000-0005-0000-0000-000067AD0000}"/>
    <cellStyle name="Normal 7 5 2 3 2 2 3" xfId="46437" xr:uid="{00000000-0005-0000-0000-000068AD0000}"/>
    <cellStyle name="Normal 7 5 2 3 2 3" xfId="46438" xr:uid="{00000000-0005-0000-0000-000069AD0000}"/>
    <cellStyle name="Normal 7 5 2 3 2 3 2" xfId="46439" xr:uid="{00000000-0005-0000-0000-00006AAD0000}"/>
    <cellStyle name="Normal 7 5 2 3 2 4" xfId="46440" xr:uid="{00000000-0005-0000-0000-00006BAD0000}"/>
    <cellStyle name="Normal 7 5 2 3 2 5" xfId="46441" xr:uid="{00000000-0005-0000-0000-00006CAD0000}"/>
    <cellStyle name="Normal 7 5 2 3 2 6" xfId="46442" xr:uid="{00000000-0005-0000-0000-00006DAD0000}"/>
    <cellStyle name="Normal 7 5 2 3 3" xfId="46443" xr:uid="{00000000-0005-0000-0000-00006EAD0000}"/>
    <cellStyle name="Normal 7 5 2 3 3 2" xfId="46444" xr:uid="{00000000-0005-0000-0000-00006FAD0000}"/>
    <cellStyle name="Normal 7 5 2 3 3 2 2" xfId="46445" xr:uid="{00000000-0005-0000-0000-000070AD0000}"/>
    <cellStyle name="Normal 7 5 2 3 3 3" xfId="46446" xr:uid="{00000000-0005-0000-0000-000071AD0000}"/>
    <cellStyle name="Normal 7 5 2 3 4" xfId="46447" xr:uid="{00000000-0005-0000-0000-000072AD0000}"/>
    <cellStyle name="Normal 7 5 2 3 4 2" xfId="46448" xr:uid="{00000000-0005-0000-0000-000073AD0000}"/>
    <cellStyle name="Normal 7 5 2 3 5" xfId="46449" xr:uid="{00000000-0005-0000-0000-000074AD0000}"/>
    <cellStyle name="Normal 7 5 2 3 6" xfId="46450" xr:uid="{00000000-0005-0000-0000-000075AD0000}"/>
    <cellStyle name="Normal 7 5 2 3 7" xfId="46451" xr:uid="{00000000-0005-0000-0000-000076AD0000}"/>
    <cellStyle name="Normal 7 5 2 4" xfId="46452" xr:uid="{00000000-0005-0000-0000-000077AD0000}"/>
    <cellStyle name="Normal 7 5 2 4 2" xfId="46453" xr:uid="{00000000-0005-0000-0000-000078AD0000}"/>
    <cellStyle name="Normal 7 5 2 4 2 2" xfId="46454" xr:uid="{00000000-0005-0000-0000-000079AD0000}"/>
    <cellStyle name="Normal 7 5 2 4 2 2 2" xfId="46455" xr:uid="{00000000-0005-0000-0000-00007AAD0000}"/>
    <cellStyle name="Normal 7 5 2 4 2 3" xfId="46456" xr:uid="{00000000-0005-0000-0000-00007BAD0000}"/>
    <cellStyle name="Normal 7 5 2 4 3" xfId="46457" xr:uid="{00000000-0005-0000-0000-00007CAD0000}"/>
    <cellStyle name="Normal 7 5 2 4 3 2" xfId="46458" xr:uid="{00000000-0005-0000-0000-00007DAD0000}"/>
    <cellStyle name="Normal 7 5 2 4 4" xfId="46459" xr:uid="{00000000-0005-0000-0000-00007EAD0000}"/>
    <cellStyle name="Normal 7 5 2 4 5" xfId="46460" xr:uid="{00000000-0005-0000-0000-00007FAD0000}"/>
    <cellStyle name="Normal 7 5 2 4 6" xfId="46461" xr:uid="{00000000-0005-0000-0000-000080AD0000}"/>
    <cellStyle name="Normal 7 5 2 5" xfId="46462" xr:uid="{00000000-0005-0000-0000-000081AD0000}"/>
    <cellStyle name="Normal 7 5 2 5 2" xfId="46463" xr:uid="{00000000-0005-0000-0000-000082AD0000}"/>
    <cellStyle name="Normal 7 5 2 5 2 2" xfId="46464" xr:uid="{00000000-0005-0000-0000-000083AD0000}"/>
    <cellStyle name="Normal 7 5 2 5 3" xfId="46465" xr:uid="{00000000-0005-0000-0000-000084AD0000}"/>
    <cellStyle name="Normal 7 5 2 6" xfId="46466" xr:uid="{00000000-0005-0000-0000-000085AD0000}"/>
    <cellStyle name="Normal 7 5 2 6 2" xfId="46467" xr:uid="{00000000-0005-0000-0000-000086AD0000}"/>
    <cellStyle name="Normal 7 5 2 6 2 2" xfId="46468" xr:uid="{00000000-0005-0000-0000-000087AD0000}"/>
    <cellStyle name="Normal 7 5 2 6 3" xfId="46469" xr:uid="{00000000-0005-0000-0000-000088AD0000}"/>
    <cellStyle name="Normal 7 5 2 7" xfId="46470" xr:uid="{00000000-0005-0000-0000-000089AD0000}"/>
    <cellStyle name="Normal 7 5 2 7 2" xfId="46471" xr:uid="{00000000-0005-0000-0000-00008AAD0000}"/>
    <cellStyle name="Normal 7 5 2 8" xfId="46472" xr:uid="{00000000-0005-0000-0000-00008BAD0000}"/>
    <cellStyle name="Normal 7 5 2 9" xfId="46473" xr:uid="{00000000-0005-0000-0000-00008CAD0000}"/>
    <cellStyle name="Normal 7 5 3" xfId="46474" xr:uid="{00000000-0005-0000-0000-00008DAD0000}"/>
    <cellStyle name="Normal 7 5 3 2" xfId="46475" xr:uid="{00000000-0005-0000-0000-00008EAD0000}"/>
    <cellStyle name="Normal 7 5 3 2 2" xfId="46476" xr:uid="{00000000-0005-0000-0000-00008FAD0000}"/>
    <cellStyle name="Normal 7 5 3 2 2 2" xfId="46477" xr:uid="{00000000-0005-0000-0000-000090AD0000}"/>
    <cellStyle name="Normal 7 5 3 2 2 2 2" xfId="46478" xr:uid="{00000000-0005-0000-0000-000091AD0000}"/>
    <cellStyle name="Normal 7 5 3 2 2 3" xfId="46479" xr:uid="{00000000-0005-0000-0000-000092AD0000}"/>
    <cellStyle name="Normal 7 5 3 2 3" xfId="46480" xr:uid="{00000000-0005-0000-0000-000093AD0000}"/>
    <cellStyle name="Normal 7 5 3 2 3 2" xfId="46481" xr:uid="{00000000-0005-0000-0000-000094AD0000}"/>
    <cellStyle name="Normal 7 5 3 2 4" xfId="46482" xr:uid="{00000000-0005-0000-0000-000095AD0000}"/>
    <cellStyle name="Normal 7 5 3 2 5" xfId="46483" xr:uid="{00000000-0005-0000-0000-000096AD0000}"/>
    <cellStyle name="Normal 7 5 3 2 6" xfId="46484" xr:uid="{00000000-0005-0000-0000-000097AD0000}"/>
    <cellStyle name="Normal 7 5 3 3" xfId="46485" xr:uid="{00000000-0005-0000-0000-000098AD0000}"/>
    <cellStyle name="Normal 7 5 3 3 2" xfId="46486" xr:uid="{00000000-0005-0000-0000-000099AD0000}"/>
    <cellStyle name="Normal 7 5 3 3 2 2" xfId="46487" xr:uid="{00000000-0005-0000-0000-00009AAD0000}"/>
    <cellStyle name="Normal 7 5 3 3 3" xfId="46488" xr:uid="{00000000-0005-0000-0000-00009BAD0000}"/>
    <cellStyle name="Normal 7 5 3 4" xfId="46489" xr:uid="{00000000-0005-0000-0000-00009CAD0000}"/>
    <cellStyle name="Normal 7 5 3 4 2" xfId="46490" xr:uid="{00000000-0005-0000-0000-00009DAD0000}"/>
    <cellStyle name="Normal 7 5 3 4 2 2" xfId="46491" xr:uid="{00000000-0005-0000-0000-00009EAD0000}"/>
    <cellStyle name="Normal 7 5 3 4 3" xfId="46492" xr:uid="{00000000-0005-0000-0000-00009FAD0000}"/>
    <cellStyle name="Normal 7 5 3 5" xfId="46493" xr:uid="{00000000-0005-0000-0000-0000A0AD0000}"/>
    <cellStyle name="Normal 7 5 3 5 2" xfId="46494" xr:uid="{00000000-0005-0000-0000-0000A1AD0000}"/>
    <cellStyle name="Normal 7 5 3 6" xfId="46495" xr:uid="{00000000-0005-0000-0000-0000A2AD0000}"/>
    <cellStyle name="Normal 7 5 3 7" xfId="46496" xr:uid="{00000000-0005-0000-0000-0000A3AD0000}"/>
    <cellStyle name="Normal 7 5 3 8" xfId="46497" xr:uid="{00000000-0005-0000-0000-0000A4AD0000}"/>
    <cellStyle name="Normal 7 5 4" xfId="46498" xr:uid="{00000000-0005-0000-0000-0000A5AD0000}"/>
    <cellStyle name="Normal 7 5 4 2" xfId="46499" xr:uid="{00000000-0005-0000-0000-0000A6AD0000}"/>
    <cellStyle name="Normal 7 5 4 2 2" xfId="46500" xr:uid="{00000000-0005-0000-0000-0000A7AD0000}"/>
    <cellStyle name="Normal 7 5 4 2 2 2" xfId="46501" xr:uid="{00000000-0005-0000-0000-0000A8AD0000}"/>
    <cellStyle name="Normal 7 5 4 2 2 2 2" xfId="46502" xr:uid="{00000000-0005-0000-0000-0000A9AD0000}"/>
    <cellStyle name="Normal 7 5 4 2 2 3" xfId="46503" xr:uid="{00000000-0005-0000-0000-0000AAAD0000}"/>
    <cellStyle name="Normal 7 5 4 2 3" xfId="46504" xr:uid="{00000000-0005-0000-0000-0000ABAD0000}"/>
    <cellStyle name="Normal 7 5 4 2 3 2" xfId="46505" xr:uid="{00000000-0005-0000-0000-0000ACAD0000}"/>
    <cellStyle name="Normal 7 5 4 2 4" xfId="46506" xr:uid="{00000000-0005-0000-0000-0000ADAD0000}"/>
    <cellStyle name="Normal 7 5 4 2 5" xfId="46507" xr:uid="{00000000-0005-0000-0000-0000AEAD0000}"/>
    <cellStyle name="Normal 7 5 4 2 6" xfId="46508" xr:uid="{00000000-0005-0000-0000-0000AFAD0000}"/>
    <cellStyle name="Normal 7 5 4 3" xfId="46509" xr:uid="{00000000-0005-0000-0000-0000B0AD0000}"/>
    <cellStyle name="Normal 7 5 4 3 2" xfId="46510" xr:uid="{00000000-0005-0000-0000-0000B1AD0000}"/>
    <cellStyle name="Normal 7 5 4 3 2 2" xfId="46511" xr:uid="{00000000-0005-0000-0000-0000B2AD0000}"/>
    <cellStyle name="Normal 7 5 4 3 3" xfId="46512" xr:uid="{00000000-0005-0000-0000-0000B3AD0000}"/>
    <cellStyle name="Normal 7 5 4 4" xfId="46513" xr:uid="{00000000-0005-0000-0000-0000B4AD0000}"/>
    <cellStyle name="Normal 7 5 4 4 2" xfId="46514" xr:uid="{00000000-0005-0000-0000-0000B5AD0000}"/>
    <cellStyle name="Normal 7 5 4 4 2 2" xfId="46515" xr:uid="{00000000-0005-0000-0000-0000B6AD0000}"/>
    <cellStyle name="Normal 7 5 4 4 3" xfId="46516" xr:uid="{00000000-0005-0000-0000-0000B7AD0000}"/>
    <cellStyle name="Normal 7 5 4 5" xfId="46517" xr:uid="{00000000-0005-0000-0000-0000B8AD0000}"/>
    <cellStyle name="Normal 7 5 4 5 2" xfId="46518" xr:uid="{00000000-0005-0000-0000-0000B9AD0000}"/>
    <cellStyle name="Normal 7 5 4 6" xfId="46519" xr:uid="{00000000-0005-0000-0000-0000BAAD0000}"/>
    <cellStyle name="Normal 7 5 4 7" xfId="46520" xr:uid="{00000000-0005-0000-0000-0000BBAD0000}"/>
    <cellStyle name="Normal 7 5 4 8" xfId="46521" xr:uid="{00000000-0005-0000-0000-0000BCAD0000}"/>
    <cellStyle name="Normal 7 5 5" xfId="46522" xr:uid="{00000000-0005-0000-0000-0000BDAD0000}"/>
    <cellStyle name="Normal 7 5 5 2" xfId="46523" xr:uid="{00000000-0005-0000-0000-0000BEAD0000}"/>
    <cellStyle name="Normal 7 5 5 2 2" xfId="46524" xr:uid="{00000000-0005-0000-0000-0000BFAD0000}"/>
    <cellStyle name="Normal 7 5 5 2 2 2" xfId="46525" xr:uid="{00000000-0005-0000-0000-0000C0AD0000}"/>
    <cellStyle name="Normal 7 5 5 2 3" xfId="46526" xr:uid="{00000000-0005-0000-0000-0000C1AD0000}"/>
    <cellStyle name="Normal 7 5 5 3" xfId="46527" xr:uid="{00000000-0005-0000-0000-0000C2AD0000}"/>
    <cellStyle name="Normal 7 5 5 3 2" xfId="46528" xr:uid="{00000000-0005-0000-0000-0000C3AD0000}"/>
    <cellStyle name="Normal 7 5 5 4" xfId="46529" xr:uid="{00000000-0005-0000-0000-0000C4AD0000}"/>
    <cellStyle name="Normal 7 5 5 5" xfId="46530" xr:uid="{00000000-0005-0000-0000-0000C5AD0000}"/>
    <cellStyle name="Normal 7 5 5 6" xfId="46531" xr:uid="{00000000-0005-0000-0000-0000C6AD0000}"/>
    <cellStyle name="Normal 7 5 6" xfId="46532" xr:uid="{00000000-0005-0000-0000-0000C7AD0000}"/>
    <cellStyle name="Normal 7 5 6 2" xfId="46533" xr:uid="{00000000-0005-0000-0000-0000C8AD0000}"/>
    <cellStyle name="Normal 7 5 6 2 2" xfId="46534" xr:uid="{00000000-0005-0000-0000-0000C9AD0000}"/>
    <cellStyle name="Normal 7 5 6 3" xfId="46535" xr:uid="{00000000-0005-0000-0000-0000CAAD0000}"/>
    <cellStyle name="Normal 7 5 7" xfId="46536" xr:uid="{00000000-0005-0000-0000-0000CBAD0000}"/>
    <cellStyle name="Normal 7 5 7 2" xfId="46537" xr:uid="{00000000-0005-0000-0000-0000CCAD0000}"/>
    <cellStyle name="Normal 7 5 7 2 2" xfId="46538" xr:uid="{00000000-0005-0000-0000-0000CDAD0000}"/>
    <cellStyle name="Normal 7 5 7 3" xfId="46539" xr:uid="{00000000-0005-0000-0000-0000CEAD0000}"/>
    <cellStyle name="Normal 7 5 8" xfId="46540" xr:uid="{00000000-0005-0000-0000-0000CFAD0000}"/>
    <cellStyle name="Normal 7 5 8 2" xfId="46541" xr:uid="{00000000-0005-0000-0000-0000D0AD0000}"/>
    <cellStyle name="Normal 7 5 8 2 2" xfId="46542" xr:uid="{00000000-0005-0000-0000-0000D1AD0000}"/>
    <cellStyle name="Normal 7 5 8 3" xfId="46543" xr:uid="{00000000-0005-0000-0000-0000D2AD0000}"/>
    <cellStyle name="Normal 7 5 9" xfId="46544" xr:uid="{00000000-0005-0000-0000-0000D3AD0000}"/>
    <cellStyle name="Normal 7 5 9 2" xfId="46545" xr:uid="{00000000-0005-0000-0000-0000D4AD0000}"/>
    <cellStyle name="Normal 7 6" xfId="46546" xr:uid="{00000000-0005-0000-0000-0000D5AD0000}"/>
    <cellStyle name="Normal 7 6 2" xfId="46547" xr:uid="{00000000-0005-0000-0000-0000D6AD0000}"/>
    <cellStyle name="Normal 7 6 2 2" xfId="46548" xr:uid="{00000000-0005-0000-0000-0000D7AD0000}"/>
    <cellStyle name="Normal 7 6 2 2 2" xfId="46549" xr:uid="{00000000-0005-0000-0000-0000D8AD0000}"/>
    <cellStyle name="Normal 7 6 2 3" xfId="46550" xr:uid="{00000000-0005-0000-0000-0000D9AD0000}"/>
    <cellStyle name="Normal 7 7" xfId="46551" xr:uid="{00000000-0005-0000-0000-0000DAAD0000}"/>
    <cellStyle name="Normal 7 7 10" xfId="46552" xr:uid="{00000000-0005-0000-0000-0000DBAD0000}"/>
    <cellStyle name="Normal 7 7 2" xfId="46553" xr:uid="{00000000-0005-0000-0000-0000DCAD0000}"/>
    <cellStyle name="Normal 7 7 2 2" xfId="46554" xr:uid="{00000000-0005-0000-0000-0000DDAD0000}"/>
    <cellStyle name="Normal 7 7 2 2 2" xfId="46555" xr:uid="{00000000-0005-0000-0000-0000DEAD0000}"/>
    <cellStyle name="Normal 7 7 2 2 2 2" xfId="46556" xr:uid="{00000000-0005-0000-0000-0000DFAD0000}"/>
    <cellStyle name="Normal 7 7 2 2 2 2 2" xfId="46557" xr:uid="{00000000-0005-0000-0000-0000E0AD0000}"/>
    <cellStyle name="Normal 7 7 2 2 2 3" xfId="46558" xr:uid="{00000000-0005-0000-0000-0000E1AD0000}"/>
    <cellStyle name="Normal 7 7 2 2 3" xfId="46559" xr:uid="{00000000-0005-0000-0000-0000E2AD0000}"/>
    <cellStyle name="Normal 7 7 2 2 3 2" xfId="46560" xr:uid="{00000000-0005-0000-0000-0000E3AD0000}"/>
    <cellStyle name="Normal 7 7 2 2 4" xfId="46561" xr:uid="{00000000-0005-0000-0000-0000E4AD0000}"/>
    <cellStyle name="Normal 7 7 2 2 5" xfId="46562" xr:uid="{00000000-0005-0000-0000-0000E5AD0000}"/>
    <cellStyle name="Normal 7 7 2 2 6" xfId="46563" xr:uid="{00000000-0005-0000-0000-0000E6AD0000}"/>
    <cellStyle name="Normal 7 7 2 3" xfId="46564" xr:uid="{00000000-0005-0000-0000-0000E7AD0000}"/>
    <cellStyle name="Normal 7 7 2 3 2" xfId="46565" xr:uid="{00000000-0005-0000-0000-0000E8AD0000}"/>
    <cellStyle name="Normal 7 7 2 3 2 2" xfId="46566" xr:uid="{00000000-0005-0000-0000-0000E9AD0000}"/>
    <cellStyle name="Normal 7 7 2 3 3" xfId="46567" xr:uid="{00000000-0005-0000-0000-0000EAAD0000}"/>
    <cellStyle name="Normal 7 7 2 4" xfId="46568" xr:uid="{00000000-0005-0000-0000-0000EBAD0000}"/>
    <cellStyle name="Normal 7 7 2 4 2" xfId="46569" xr:uid="{00000000-0005-0000-0000-0000ECAD0000}"/>
    <cellStyle name="Normal 7 7 2 4 2 2" xfId="46570" xr:uid="{00000000-0005-0000-0000-0000EDAD0000}"/>
    <cellStyle name="Normal 7 7 2 4 3" xfId="46571" xr:uid="{00000000-0005-0000-0000-0000EEAD0000}"/>
    <cellStyle name="Normal 7 7 2 5" xfId="46572" xr:uid="{00000000-0005-0000-0000-0000EFAD0000}"/>
    <cellStyle name="Normal 7 7 2 5 2" xfId="46573" xr:uid="{00000000-0005-0000-0000-0000F0AD0000}"/>
    <cellStyle name="Normal 7 7 2 6" xfId="46574" xr:uid="{00000000-0005-0000-0000-0000F1AD0000}"/>
    <cellStyle name="Normal 7 7 2 7" xfId="46575" xr:uid="{00000000-0005-0000-0000-0000F2AD0000}"/>
    <cellStyle name="Normal 7 7 2 8" xfId="46576" xr:uid="{00000000-0005-0000-0000-0000F3AD0000}"/>
    <cellStyle name="Normal 7 7 3" xfId="46577" xr:uid="{00000000-0005-0000-0000-0000F4AD0000}"/>
    <cellStyle name="Normal 7 7 3 2" xfId="46578" xr:uid="{00000000-0005-0000-0000-0000F5AD0000}"/>
    <cellStyle name="Normal 7 7 3 2 2" xfId="46579" xr:uid="{00000000-0005-0000-0000-0000F6AD0000}"/>
    <cellStyle name="Normal 7 7 3 2 2 2" xfId="46580" xr:uid="{00000000-0005-0000-0000-0000F7AD0000}"/>
    <cellStyle name="Normal 7 7 3 2 2 2 2" xfId="46581" xr:uid="{00000000-0005-0000-0000-0000F8AD0000}"/>
    <cellStyle name="Normal 7 7 3 2 2 3" xfId="46582" xr:uid="{00000000-0005-0000-0000-0000F9AD0000}"/>
    <cellStyle name="Normal 7 7 3 2 3" xfId="46583" xr:uid="{00000000-0005-0000-0000-0000FAAD0000}"/>
    <cellStyle name="Normal 7 7 3 2 3 2" xfId="46584" xr:uid="{00000000-0005-0000-0000-0000FBAD0000}"/>
    <cellStyle name="Normal 7 7 3 2 4" xfId="46585" xr:uid="{00000000-0005-0000-0000-0000FCAD0000}"/>
    <cellStyle name="Normal 7 7 3 2 5" xfId="46586" xr:uid="{00000000-0005-0000-0000-0000FDAD0000}"/>
    <cellStyle name="Normal 7 7 3 2 6" xfId="46587" xr:uid="{00000000-0005-0000-0000-0000FEAD0000}"/>
    <cellStyle name="Normal 7 7 3 3" xfId="46588" xr:uid="{00000000-0005-0000-0000-0000FFAD0000}"/>
    <cellStyle name="Normal 7 7 3 3 2" xfId="46589" xr:uid="{00000000-0005-0000-0000-000000AE0000}"/>
    <cellStyle name="Normal 7 7 3 3 2 2" xfId="46590" xr:uid="{00000000-0005-0000-0000-000001AE0000}"/>
    <cellStyle name="Normal 7 7 3 3 3" xfId="46591" xr:uid="{00000000-0005-0000-0000-000002AE0000}"/>
    <cellStyle name="Normal 7 7 3 4" xfId="46592" xr:uid="{00000000-0005-0000-0000-000003AE0000}"/>
    <cellStyle name="Normal 7 7 3 4 2" xfId="46593" xr:uid="{00000000-0005-0000-0000-000004AE0000}"/>
    <cellStyle name="Normal 7 7 3 5" xfId="46594" xr:uid="{00000000-0005-0000-0000-000005AE0000}"/>
    <cellStyle name="Normal 7 7 3 6" xfId="46595" xr:uid="{00000000-0005-0000-0000-000006AE0000}"/>
    <cellStyle name="Normal 7 7 3 7" xfId="46596" xr:uid="{00000000-0005-0000-0000-000007AE0000}"/>
    <cellStyle name="Normal 7 7 4" xfId="46597" xr:uid="{00000000-0005-0000-0000-000008AE0000}"/>
    <cellStyle name="Normal 7 7 4 2" xfId="46598" xr:uid="{00000000-0005-0000-0000-000009AE0000}"/>
    <cellStyle name="Normal 7 7 4 2 2" xfId="46599" xr:uid="{00000000-0005-0000-0000-00000AAE0000}"/>
    <cellStyle name="Normal 7 7 4 2 2 2" xfId="46600" xr:uid="{00000000-0005-0000-0000-00000BAE0000}"/>
    <cellStyle name="Normal 7 7 4 2 3" xfId="46601" xr:uid="{00000000-0005-0000-0000-00000CAE0000}"/>
    <cellStyle name="Normal 7 7 4 3" xfId="46602" xr:uid="{00000000-0005-0000-0000-00000DAE0000}"/>
    <cellStyle name="Normal 7 7 4 3 2" xfId="46603" xr:uid="{00000000-0005-0000-0000-00000EAE0000}"/>
    <cellStyle name="Normal 7 7 4 4" xfId="46604" xr:uid="{00000000-0005-0000-0000-00000FAE0000}"/>
    <cellStyle name="Normal 7 7 4 5" xfId="46605" xr:uid="{00000000-0005-0000-0000-000010AE0000}"/>
    <cellStyle name="Normal 7 7 4 6" xfId="46606" xr:uid="{00000000-0005-0000-0000-000011AE0000}"/>
    <cellStyle name="Normal 7 7 5" xfId="46607" xr:uid="{00000000-0005-0000-0000-000012AE0000}"/>
    <cellStyle name="Normal 7 7 5 2" xfId="46608" xr:uid="{00000000-0005-0000-0000-000013AE0000}"/>
    <cellStyle name="Normal 7 7 5 2 2" xfId="46609" xr:uid="{00000000-0005-0000-0000-000014AE0000}"/>
    <cellStyle name="Normal 7 7 5 3" xfId="46610" xr:uid="{00000000-0005-0000-0000-000015AE0000}"/>
    <cellStyle name="Normal 7 7 6" xfId="46611" xr:uid="{00000000-0005-0000-0000-000016AE0000}"/>
    <cellStyle name="Normal 7 7 6 2" xfId="46612" xr:uid="{00000000-0005-0000-0000-000017AE0000}"/>
    <cellStyle name="Normal 7 7 6 2 2" xfId="46613" xr:uid="{00000000-0005-0000-0000-000018AE0000}"/>
    <cellStyle name="Normal 7 7 6 3" xfId="46614" xr:uid="{00000000-0005-0000-0000-000019AE0000}"/>
    <cellStyle name="Normal 7 7 7" xfId="46615" xr:uid="{00000000-0005-0000-0000-00001AAE0000}"/>
    <cellStyle name="Normal 7 7 7 2" xfId="46616" xr:uid="{00000000-0005-0000-0000-00001BAE0000}"/>
    <cellStyle name="Normal 7 7 8" xfId="46617" xr:uid="{00000000-0005-0000-0000-00001CAE0000}"/>
    <cellStyle name="Normal 7 7 9" xfId="46618" xr:uid="{00000000-0005-0000-0000-00001DAE0000}"/>
    <cellStyle name="Normal 7 8" xfId="46619" xr:uid="{00000000-0005-0000-0000-00001EAE0000}"/>
    <cellStyle name="Normal 7 8 2" xfId="46620" xr:uid="{00000000-0005-0000-0000-00001FAE0000}"/>
    <cellStyle name="Normal 7 8 2 2" xfId="46621" xr:uid="{00000000-0005-0000-0000-000020AE0000}"/>
    <cellStyle name="Normal 7 8 2 2 2" xfId="46622" xr:uid="{00000000-0005-0000-0000-000021AE0000}"/>
    <cellStyle name="Normal 7 8 2 2 2 2" xfId="46623" xr:uid="{00000000-0005-0000-0000-000022AE0000}"/>
    <cellStyle name="Normal 7 8 2 2 2 2 2" xfId="46624" xr:uid="{00000000-0005-0000-0000-000023AE0000}"/>
    <cellStyle name="Normal 7 8 2 2 2 3" xfId="46625" xr:uid="{00000000-0005-0000-0000-000024AE0000}"/>
    <cellStyle name="Normal 7 8 2 2 3" xfId="46626" xr:uid="{00000000-0005-0000-0000-000025AE0000}"/>
    <cellStyle name="Normal 7 8 2 2 3 2" xfId="46627" xr:uid="{00000000-0005-0000-0000-000026AE0000}"/>
    <cellStyle name="Normal 7 8 2 2 4" xfId="46628" xr:uid="{00000000-0005-0000-0000-000027AE0000}"/>
    <cellStyle name="Normal 7 8 2 2 5" xfId="46629" xr:uid="{00000000-0005-0000-0000-000028AE0000}"/>
    <cellStyle name="Normal 7 8 2 2 6" xfId="46630" xr:uid="{00000000-0005-0000-0000-000029AE0000}"/>
    <cellStyle name="Normal 7 8 2 3" xfId="46631" xr:uid="{00000000-0005-0000-0000-00002AAE0000}"/>
    <cellStyle name="Normal 7 8 2 3 2" xfId="46632" xr:uid="{00000000-0005-0000-0000-00002BAE0000}"/>
    <cellStyle name="Normal 7 8 2 3 2 2" xfId="46633" xr:uid="{00000000-0005-0000-0000-00002CAE0000}"/>
    <cellStyle name="Normal 7 8 2 3 3" xfId="46634" xr:uid="{00000000-0005-0000-0000-00002DAE0000}"/>
    <cellStyle name="Normal 7 8 2 4" xfId="46635" xr:uid="{00000000-0005-0000-0000-00002EAE0000}"/>
    <cellStyle name="Normal 7 8 2 4 2" xfId="46636" xr:uid="{00000000-0005-0000-0000-00002FAE0000}"/>
    <cellStyle name="Normal 7 8 2 5" xfId="46637" xr:uid="{00000000-0005-0000-0000-000030AE0000}"/>
    <cellStyle name="Normal 7 8 2 6" xfId="46638" xr:uid="{00000000-0005-0000-0000-000031AE0000}"/>
    <cellStyle name="Normal 7 8 2 7" xfId="46639" xr:uid="{00000000-0005-0000-0000-000032AE0000}"/>
    <cellStyle name="Normal 7 8 3" xfId="46640" xr:uid="{00000000-0005-0000-0000-000033AE0000}"/>
    <cellStyle name="Normal 7 8 3 2" xfId="46641" xr:uid="{00000000-0005-0000-0000-000034AE0000}"/>
    <cellStyle name="Normal 7 8 3 2 2" xfId="46642" xr:uid="{00000000-0005-0000-0000-000035AE0000}"/>
    <cellStyle name="Normal 7 8 3 2 2 2" xfId="46643" xr:uid="{00000000-0005-0000-0000-000036AE0000}"/>
    <cellStyle name="Normal 7 8 3 2 3" xfId="46644" xr:uid="{00000000-0005-0000-0000-000037AE0000}"/>
    <cellStyle name="Normal 7 8 3 3" xfId="46645" xr:uid="{00000000-0005-0000-0000-000038AE0000}"/>
    <cellStyle name="Normal 7 8 3 3 2" xfId="46646" xr:uid="{00000000-0005-0000-0000-000039AE0000}"/>
    <cellStyle name="Normal 7 8 3 4" xfId="46647" xr:uid="{00000000-0005-0000-0000-00003AAE0000}"/>
    <cellStyle name="Normal 7 8 3 5" xfId="46648" xr:uid="{00000000-0005-0000-0000-00003BAE0000}"/>
    <cellStyle name="Normal 7 8 3 6" xfId="46649" xr:uid="{00000000-0005-0000-0000-00003CAE0000}"/>
    <cellStyle name="Normal 7 8 4" xfId="46650" xr:uid="{00000000-0005-0000-0000-00003DAE0000}"/>
    <cellStyle name="Normal 7 8 4 2" xfId="46651" xr:uid="{00000000-0005-0000-0000-00003EAE0000}"/>
    <cellStyle name="Normal 7 8 4 2 2" xfId="46652" xr:uid="{00000000-0005-0000-0000-00003FAE0000}"/>
    <cellStyle name="Normal 7 8 4 3" xfId="46653" xr:uid="{00000000-0005-0000-0000-000040AE0000}"/>
    <cellStyle name="Normal 7 8 5" xfId="46654" xr:uid="{00000000-0005-0000-0000-000041AE0000}"/>
    <cellStyle name="Normal 7 8 5 2" xfId="46655" xr:uid="{00000000-0005-0000-0000-000042AE0000}"/>
    <cellStyle name="Normal 7 8 5 2 2" xfId="46656" xr:uid="{00000000-0005-0000-0000-000043AE0000}"/>
    <cellStyle name="Normal 7 8 5 3" xfId="46657" xr:uid="{00000000-0005-0000-0000-000044AE0000}"/>
    <cellStyle name="Normal 7 8 6" xfId="46658" xr:uid="{00000000-0005-0000-0000-000045AE0000}"/>
    <cellStyle name="Normal 7 8 6 2" xfId="46659" xr:uid="{00000000-0005-0000-0000-000046AE0000}"/>
    <cellStyle name="Normal 7 8 7" xfId="46660" xr:uid="{00000000-0005-0000-0000-000047AE0000}"/>
    <cellStyle name="Normal 7 8 8" xfId="46661" xr:uid="{00000000-0005-0000-0000-000048AE0000}"/>
    <cellStyle name="Normal 7 8 9" xfId="46662" xr:uid="{00000000-0005-0000-0000-000049AE0000}"/>
    <cellStyle name="Normal 7 9" xfId="46663" xr:uid="{00000000-0005-0000-0000-00004AAE0000}"/>
    <cellStyle name="Normal 7 9 2" xfId="46664" xr:uid="{00000000-0005-0000-0000-00004BAE0000}"/>
    <cellStyle name="Normal 7 9 2 2" xfId="46665" xr:uid="{00000000-0005-0000-0000-00004CAE0000}"/>
    <cellStyle name="Normal 7 9 2 2 2" xfId="46666" xr:uid="{00000000-0005-0000-0000-00004DAE0000}"/>
    <cellStyle name="Normal 7 9 2 3" xfId="46667" xr:uid="{00000000-0005-0000-0000-00004EAE0000}"/>
    <cellStyle name="Normal 7 9 3" xfId="46668" xr:uid="{00000000-0005-0000-0000-00004FAE0000}"/>
    <cellStyle name="Normal 7 9 3 2" xfId="46669" xr:uid="{00000000-0005-0000-0000-000050AE0000}"/>
    <cellStyle name="Normal 7 9 3 2 2" xfId="46670" xr:uid="{00000000-0005-0000-0000-000051AE0000}"/>
    <cellStyle name="Normal 7 9 3 3" xfId="46671" xr:uid="{00000000-0005-0000-0000-000052AE0000}"/>
    <cellStyle name="Normal 7 9 4" xfId="46672" xr:uid="{00000000-0005-0000-0000-000053AE0000}"/>
    <cellStyle name="Normal 7 9 4 2" xfId="46673" xr:uid="{00000000-0005-0000-0000-000054AE0000}"/>
    <cellStyle name="Normal 7 9 5" xfId="46674" xr:uid="{00000000-0005-0000-0000-000055AE0000}"/>
    <cellStyle name="Normal 7 9 6" xfId="46675" xr:uid="{00000000-0005-0000-0000-000056AE0000}"/>
    <cellStyle name="Normal 7 9 7" xfId="46676" xr:uid="{00000000-0005-0000-0000-000057AE0000}"/>
    <cellStyle name="Normal 70" xfId="46677" xr:uid="{00000000-0005-0000-0000-000058AE0000}"/>
    <cellStyle name="Normal 70 10" xfId="46678" xr:uid="{00000000-0005-0000-0000-000059AE0000}"/>
    <cellStyle name="Normal 70 10 2" xfId="46679" xr:uid="{00000000-0005-0000-0000-00005AAE0000}"/>
    <cellStyle name="Normal 70 11" xfId="46680" xr:uid="{00000000-0005-0000-0000-00005BAE0000}"/>
    <cellStyle name="Normal 70 12" xfId="46681" xr:uid="{00000000-0005-0000-0000-00005CAE0000}"/>
    <cellStyle name="Normal 70 13" xfId="46682" xr:uid="{00000000-0005-0000-0000-00005DAE0000}"/>
    <cellStyle name="Normal 70 2" xfId="46683" xr:uid="{00000000-0005-0000-0000-00005EAE0000}"/>
    <cellStyle name="Normal 70 2 10" xfId="46684" xr:uid="{00000000-0005-0000-0000-00005FAE0000}"/>
    <cellStyle name="Normal 70 2 11" xfId="46685" xr:uid="{00000000-0005-0000-0000-000060AE0000}"/>
    <cellStyle name="Normal 70 2 2" xfId="46686" xr:uid="{00000000-0005-0000-0000-000061AE0000}"/>
    <cellStyle name="Normal 70 2 2 2" xfId="46687" xr:uid="{00000000-0005-0000-0000-000062AE0000}"/>
    <cellStyle name="Normal 70 2 2 2 2" xfId="46688" xr:uid="{00000000-0005-0000-0000-000063AE0000}"/>
    <cellStyle name="Normal 70 2 2 2 2 2" xfId="46689" xr:uid="{00000000-0005-0000-0000-000064AE0000}"/>
    <cellStyle name="Normal 70 2 2 2 2 2 2" xfId="46690" xr:uid="{00000000-0005-0000-0000-000065AE0000}"/>
    <cellStyle name="Normal 70 2 2 2 2 3" xfId="46691" xr:uid="{00000000-0005-0000-0000-000066AE0000}"/>
    <cellStyle name="Normal 70 2 2 2 3" xfId="46692" xr:uid="{00000000-0005-0000-0000-000067AE0000}"/>
    <cellStyle name="Normal 70 2 2 2 3 2" xfId="46693" xr:uid="{00000000-0005-0000-0000-000068AE0000}"/>
    <cellStyle name="Normal 70 2 2 2 4" xfId="46694" xr:uid="{00000000-0005-0000-0000-000069AE0000}"/>
    <cellStyle name="Normal 70 2 2 2 5" xfId="46695" xr:uid="{00000000-0005-0000-0000-00006AAE0000}"/>
    <cellStyle name="Normal 70 2 2 2 6" xfId="46696" xr:uid="{00000000-0005-0000-0000-00006BAE0000}"/>
    <cellStyle name="Normal 70 2 2 3" xfId="46697" xr:uid="{00000000-0005-0000-0000-00006CAE0000}"/>
    <cellStyle name="Normal 70 2 2 3 2" xfId="46698" xr:uid="{00000000-0005-0000-0000-00006DAE0000}"/>
    <cellStyle name="Normal 70 2 2 3 2 2" xfId="46699" xr:uid="{00000000-0005-0000-0000-00006EAE0000}"/>
    <cellStyle name="Normal 70 2 2 3 3" xfId="46700" xr:uid="{00000000-0005-0000-0000-00006FAE0000}"/>
    <cellStyle name="Normal 70 2 2 4" xfId="46701" xr:uid="{00000000-0005-0000-0000-000070AE0000}"/>
    <cellStyle name="Normal 70 2 2 4 2" xfId="46702" xr:uid="{00000000-0005-0000-0000-000071AE0000}"/>
    <cellStyle name="Normal 70 2 2 5" xfId="46703" xr:uid="{00000000-0005-0000-0000-000072AE0000}"/>
    <cellStyle name="Normal 70 2 2 5 2" xfId="46704" xr:uid="{00000000-0005-0000-0000-000073AE0000}"/>
    <cellStyle name="Normal 70 2 2 6" xfId="46705" xr:uid="{00000000-0005-0000-0000-000074AE0000}"/>
    <cellStyle name="Normal 70 2 2 7" xfId="46706" xr:uid="{00000000-0005-0000-0000-000075AE0000}"/>
    <cellStyle name="Normal 70 2 2 8" xfId="46707" xr:uid="{00000000-0005-0000-0000-000076AE0000}"/>
    <cellStyle name="Normal 70 2 3" xfId="46708" xr:uid="{00000000-0005-0000-0000-000077AE0000}"/>
    <cellStyle name="Normal 70 2 3 2" xfId="46709" xr:uid="{00000000-0005-0000-0000-000078AE0000}"/>
    <cellStyle name="Normal 70 2 3 2 2" xfId="46710" xr:uid="{00000000-0005-0000-0000-000079AE0000}"/>
    <cellStyle name="Normal 70 2 3 2 2 2" xfId="46711" xr:uid="{00000000-0005-0000-0000-00007AAE0000}"/>
    <cellStyle name="Normal 70 2 3 2 2 2 2" xfId="46712" xr:uid="{00000000-0005-0000-0000-00007BAE0000}"/>
    <cellStyle name="Normal 70 2 3 2 2 3" xfId="46713" xr:uid="{00000000-0005-0000-0000-00007CAE0000}"/>
    <cellStyle name="Normal 70 2 3 2 3" xfId="46714" xr:uid="{00000000-0005-0000-0000-00007DAE0000}"/>
    <cellStyle name="Normal 70 2 3 2 3 2" xfId="46715" xr:uid="{00000000-0005-0000-0000-00007EAE0000}"/>
    <cellStyle name="Normal 70 2 3 2 4" xfId="46716" xr:uid="{00000000-0005-0000-0000-00007FAE0000}"/>
    <cellStyle name="Normal 70 2 3 2 5" xfId="46717" xr:uid="{00000000-0005-0000-0000-000080AE0000}"/>
    <cellStyle name="Normal 70 2 3 2 6" xfId="46718" xr:uid="{00000000-0005-0000-0000-000081AE0000}"/>
    <cellStyle name="Normal 70 2 3 3" xfId="46719" xr:uid="{00000000-0005-0000-0000-000082AE0000}"/>
    <cellStyle name="Normal 70 2 3 3 2" xfId="46720" xr:uid="{00000000-0005-0000-0000-000083AE0000}"/>
    <cellStyle name="Normal 70 2 3 3 2 2" xfId="46721" xr:uid="{00000000-0005-0000-0000-000084AE0000}"/>
    <cellStyle name="Normal 70 2 3 3 3" xfId="46722" xr:uid="{00000000-0005-0000-0000-000085AE0000}"/>
    <cellStyle name="Normal 70 2 3 4" xfId="46723" xr:uid="{00000000-0005-0000-0000-000086AE0000}"/>
    <cellStyle name="Normal 70 2 3 4 2" xfId="46724" xr:uid="{00000000-0005-0000-0000-000087AE0000}"/>
    <cellStyle name="Normal 70 2 3 5" xfId="46725" xr:uid="{00000000-0005-0000-0000-000088AE0000}"/>
    <cellStyle name="Normal 70 2 3 6" xfId="46726" xr:uid="{00000000-0005-0000-0000-000089AE0000}"/>
    <cellStyle name="Normal 70 2 3 7" xfId="46727" xr:uid="{00000000-0005-0000-0000-00008AAE0000}"/>
    <cellStyle name="Normal 70 2 4" xfId="46728" xr:uid="{00000000-0005-0000-0000-00008BAE0000}"/>
    <cellStyle name="Normal 70 2 4 2" xfId="46729" xr:uid="{00000000-0005-0000-0000-00008CAE0000}"/>
    <cellStyle name="Normal 70 2 4 2 2" xfId="46730" xr:uid="{00000000-0005-0000-0000-00008DAE0000}"/>
    <cellStyle name="Normal 70 2 4 2 2 2" xfId="46731" xr:uid="{00000000-0005-0000-0000-00008EAE0000}"/>
    <cellStyle name="Normal 70 2 4 2 3" xfId="46732" xr:uid="{00000000-0005-0000-0000-00008FAE0000}"/>
    <cellStyle name="Normal 70 2 4 3" xfId="46733" xr:uid="{00000000-0005-0000-0000-000090AE0000}"/>
    <cellStyle name="Normal 70 2 4 3 2" xfId="46734" xr:uid="{00000000-0005-0000-0000-000091AE0000}"/>
    <cellStyle name="Normal 70 2 4 4" xfId="46735" xr:uid="{00000000-0005-0000-0000-000092AE0000}"/>
    <cellStyle name="Normal 70 2 4 5" xfId="46736" xr:uid="{00000000-0005-0000-0000-000093AE0000}"/>
    <cellStyle name="Normal 70 2 4 6" xfId="46737" xr:uid="{00000000-0005-0000-0000-000094AE0000}"/>
    <cellStyle name="Normal 70 2 5" xfId="46738" xr:uid="{00000000-0005-0000-0000-000095AE0000}"/>
    <cellStyle name="Normal 70 2 5 2" xfId="46739" xr:uid="{00000000-0005-0000-0000-000096AE0000}"/>
    <cellStyle name="Normal 70 2 5 2 2" xfId="46740" xr:uid="{00000000-0005-0000-0000-000097AE0000}"/>
    <cellStyle name="Normal 70 2 5 3" xfId="46741" xr:uid="{00000000-0005-0000-0000-000098AE0000}"/>
    <cellStyle name="Normal 70 2 6" xfId="46742" xr:uid="{00000000-0005-0000-0000-000099AE0000}"/>
    <cellStyle name="Normal 70 2 6 2" xfId="46743" xr:uid="{00000000-0005-0000-0000-00009AAE0000}"/>
    <cellStyle name="Normal 70 2 6 2 2" xfId="46744" xr:uid="{00000000-0005-0000-0000-00009BAE0000}"/>
    <cellStyle name="Normal 70 2 6 3" xfId="46745" xr:uid="{00000000-0005-0000-0000-00009CAE0000}"/>
    <cellStyle name="Normal 70 2 7" xfId="46746" xr:uid="{00000000-0005-0000-0000-00009DAE0000}"/>
    <cellStyle name="Normal 70 2 7 2" xfId="46747" xr:uid="{00000000-0005-0000-0000-00009EAE0000}"/>
    <cellStyle name="Normal 70 2 8" xfId="46748" xr:uid="{00000000-0005-0000-0000-00009FAE0000}"/>
    <cellStyle name="Normal 70 2 8 2" xfId="46749" xr:uid="{00000000-0005-0000-0000-0000A0AE0000}"/>
    <cellStyle name="Normal 70 2 9" xfId="46750" xr:uid="{00000000-0005-0000-0000-0000A1AE0000}"/>
    <cellStyle name="Normal 70 3" xfId="46751" xr:uid="{00000000-0005-0000-0000-0000A2AE0000}"/>
    <cellStyle name="Normal 70 3 10" xfId="46752" xr:uid="{00000000-0005-0000-0000-0000A3AE0000}"/>
    <cellStyle name="Normal 70 3 11" xfId="46753" xr:uid="{00000000-0005-0000-0000-0000A4AE0000}"/>
    <cellStyle name="Normal 70 3 2" xfId="46754" xr:uid="{00000000-0005-0000-0000-0000A5AE0000}"/>
    <cellStyle name="Normal 70 3 2 2" xfId="46755" xr:uid="{00000000-0005-0000-0000-0000A6AE0000}"/>
    <cellStyle name="Normal 70 3 2 2 2" xfId="46756" xr:uid="{00000000-0005-0000-0000-0000A7AE0000}"/>
    <cellStyle name="Normal 70 3 2 2 2 2" xfId="46757" xr:uid="{00000000-0005-0000-0000-0000A8AE0000}"/>
    <cellStyle name="Normal 70 3 2 2 2 2 2" xfId="46758" xr:uid="{00000000-0005-0000-0000-0000A9AE0000}"/>
    <cellStyle name="Normal 70 3 2 2 2 3" xfId="46759" xr:uid="{00000000-0005-0000-0000-0000AAAE0000}"/>
    <cellStyle name="Normal 70 3 2 2 3" xfId="46760" xr:uid="{00000000-0005-0000-0000-0000ABAE0000}"/>
    <cellStyle name="Normal 70 3 2 2 3 2" xfId="46761" xr:uid="{00000000-0005-0000-0000-0000ACAE0000}"/>
    <cellStyle name="Normal 70 3 2 2 4" xfId="46762" xr:uid="{00000000-0005-0000-0000-0000ADAE0000}"/>
    <cellStyle name="Normal 70 3 2 2 5" xfId="46763" xr:uid="{00000000-0005-0000-0000-0000AEAE0000}"/>
    <cellStyle name="Normal 70 3 2 2 6" xfId="46764" xr:uid="{00000000-0005-0000-0000-0000AFAE0000}"/>
    <cellStyle name="Normal 70 3 2 3" xfId="46765" xr:uid="{00000000-0005-0000-0000-0000B0AE0000}"/>
    <cellStyle name="Normal 70 3 2 3 2" xfId="46766" xr:uid="{00000000-0005-0000-0000-0000B1AE0000}"/>
    <cellStyle name="Normal 70 3 2 3 2 2" xfId="46767" xr:uid="{00000000-0005-0000-0000-0000B2AE0000}"/>
    <cellStyle name="Normal 70 3 2 3 3" xfId="46768" xr:uid="{00000000-0005-0000-0000-0000B3AE0000}"/>
    <cellStyle name="Normal 70 3 2 4" xfId="46769" xr:uid="{00000000-0005-0000-0000-0000B4AE0000}"/>
    <cellStyle name="Normal 70 3 2 4 2" xfId="46770" xr:uid="{00000000-0005-0000-0000-0000B5AE0000}"/>
    <cellStyle name="Normal 70 3 2 5" xfId="46771" xr:uid="{00000000-0005-0000-0000-0000B6AE0000}"/>
    <cellStyle name="Normal 70 3 2 5 2" xfId="46772" xr:uid="{00000000-0005-0000-0000-0000B7AE0000}"/>
    <cellStyle name="Normal 70 3 2 6" xfId="46773" xr:uid="{00000000-0005-0000-0000-0000B8AE0000}"/>
    <cellStyle name="Normal 70 3 2 7" xfId="46774" xr:uid="{00000000-0005-0000-0000-0000B9AE0000}"/>
    <cellStyle name="Normal 70 3 2 8" xfId="46775" xr:uid="{00000000-0005-0000-0000-0000BAAE0000}"/>
    <cellStyle name="Normal 70 3 3" xfId="46776" xr:uid="{00000000-0005-0000-0000-0000BBAE0000}"/>
    <cellStyle name="Normal 70 3 3 2" xfId="46777" xr:uid="{00000000-0005-0000-0000-0000BCAE0000}"/>
    <cellStyle name="Normal 70 3 3 2 2" xfId="46778" xr:uid="{00000000-0005-0000-0000-0000BDAE0000}"/>
    <cellStyle name="Normal 70 3 3 2 2 2" xfId="46779" xr:uid="{00000000-0005-0000-0000-0000BEAE0000}"/>
    <cellStyle name="Normal 70 3 3 2 2 2 2" xfId="46780" xr:uid="{00000000-0005-0000-0000-0000BFAE0000}"/>
    <cellStyle name="Normal 70 3 3 2 2 3" xfId="46781" xr:uid="{00000000-0005-0000-0000-0000C0AE0000}"/>
    <cellStyle name="Normal 70 3 3 2 3" xfId="46782" xr:uid="{00000000-0005-0000-0000-0000C1AE0000}"/>
    <cellStyle name="Normal 70 3 3 2 3 2" xfId="46783" xr:uid="{00000000-0005-0000-0000-0000C2AE0000}"/>
    <cellStyle name="Normal 70 3 3 2 4" xfId="46784" xr:uid="{00000000-0005-0000-0000-0000C3AE0000}"/>
    <cellStyle name="Normal 70 3 3 2 5" xfId="46785" xr:uid="{00000000-0005-0000-0000-0000C4AE0000}"/>
    <cellStyle name="Normal 70 3 3 2 6" xfId="46786" xr:uid="{00000000-0005-0000-0000-0000C5AE0000}"/>
    <cellStyle name="Normal 70 3 3 3" xfId="46787" xr:uid="{00000000-0005-0000-0000-0000C6AE0000}"/>
    <cellStyle name="Normal 70 3 3 3 2" xfId="46788" xr:uid="{00000000-0005-0000-0000-0000C7AE0000}"/>
    <cellStyle name="Normal 70 3 3 3 2 2" xfId="46789" xr:uid="{00000000-0005-0000-0000-0000C8AE0000}"/>
    <cellStyle name="Normal 70 3 3 3 3" xfId="46790" xr:uid="{00000000-0005-0000-0000-0000C9AE0000}"/>
    <cellStyle name="Normal 70 3 3 4" xfId="46791" xr:uid="{00000000-0005-0000-0000-0000CAAE0000}"/>
    <cellStyle name="Normal 70 3 3 4 2" xfId="46792" xr:uid="{00000000-0005-0000-0000-0000CBAE0000}"/>
    <cellStyle name="Normal 70 3 3 5" xfId="46793" xr:uid="{00000000-0005-0000-0000-0000CCAE0000}"/>
    <cellStyle name="Normal 70 3 3 6" xfId="46794" xr:uid="{00000000-0005-0000-0000-0000CDAE0000}"/>
    <cellStyle name="Normal 70 3 3 7" xfId="46795" xr:uid="{00000000-0005-0000-0000-0000CEAE0000}"/>
    <cellStyle name="Normal 70 3 4" xfId="46796" xr:uid="{00000000-0005-0000-0000-0000CFAE0000}"/>
    <cellStyle name="Normal 70 3 4 2" xfId="46797" xr:uid="{00000000-0005-0000-0000-0000D0AE0000}"/>
    <cellStyle name="Normal 70 3 4 2 2" xfId="46798" xr:uid="{00000000-0005-0000-0000-0000D1AE0000}"/>
    <cellStyle name="Normal 70 3 4 2 2 2" xfId="46799" xr:uid="{00000000-0005-0000-0000-0000D2AE0000}"/>
    <cellStyle name="Normal 70 3 4 2 3" xfId="46800" xr:uid="{00000000-0005-0000-0000-0000D3AE0000}"/>
    <cellStyle name="Normal 70 3 4 3" xfId="46801" xr:uid="{00000000-0005-0000-0000-0000D4AE0000}"/>
    <cellStyle name="Normal 70 3 4 3 2" xfId="46802" xr:uid="{00000000-0005-0000-0000-0000D5AE0000}"/>
    <cellStyle name="Normal 70 3 4 4" xfId="46803" xr:uid="{00000000-0005-0000-0000-0000D6AE0000}"/>
    <cellStyle name="Normal 70 3 4 5" xfId="46804" xr:uid="{00000000-0005-0000-0000-0000D7AE0000}"/>
    <cellStyle name="Normal 70 3 4 6" xfId="46805" xr:uid="{00000000-0005-0000-0000-0000D8AE0000}"/>
    <cellStyle name="Normal 70 3 5" xfId="46806" xr:uid="{00000000-0005-0000-0000-0000D9AE0000}"/>
    <cellStyle name="Normal 70 3 5 2" xfId="46807" xr:uid="{00000000-0005-0000-0000-0000DAAE0000}"/>
    <cellStyle name="Normal 70 3 5 2 2" xfId="46808" xr:uid="{00000000-0005-0000-0000-0000DBAE0000}"/>
    <cellStyle name="Normal 70 3 5 3" xfId="46809" xr:uid="{00000000-0005-0000-0000-0000DCAE0000}"/>
    <cellStyle name="Normal 70 3 6" xfId="46810" xr:uid="{00000000-0005-0000-0000-0000DDAE0000}"/>
    <cellStyle name="Normal 70 3 6 2" xfId="46811" xr:uid="{00000000-0005-0000-0000-0000DEAE0000}"/>
    <cellStyle name="Normal 70 3 6 2 2" xfId="46812" xr:uid="{00000000-0005-0000-0000-0000DFAE0000}"/>
    <cellStyle name="Normal 70 3 6 3" xfId="46813" xr:uid="{00000000-0005-0000-0000-0000E0AE0000}"/>
    <cellStyle name="Normal 70 3 7" xfId="46814" xr:uid="{00000000-0005-0000-0000-0000E1AE0000}"/>
    <cellStyle name="Normal 70 3 7 2" xfId="46815" xr:uid="{00000000-0005-0000-0000-0000E2AE0000}"/>
    <cellStyle name="Normal 70 3 8" xfId="46816" xr:uid="{00000000-0005-0000-0000-0000E3AE0000}"/>
    <cellStyle name="Normal 70 3 8 2" xfId="46817" xr:uid="{00000000-0005-0000-0000-0000E4AE0000}"/>
    <cellStyle name="Normal 70 3 9" xfId="46818" xr:uid="{00000000-0005-0000-0000-0000E5AE0000}"/>
    <cellStyle name="Normal 70 4" xfId="46819" xr:uid="{00000000-0005-0000-0000-0000E6AE0000}"/>
    <cellStyle name="Normal 70 4 2" xfId="46820" xr:uid="{00000000-0005-0000-0000-0000E7AE0000}"/>
    <cellStyle name="Normal 70 4 2 2" xfId="46821" xr:uid="{00000000-0005-0000-0000-0000E8AE0000}"/>
    <cellStyle name="Normal 70 4 2 2 2" xfId="46822" xr:uid="{00000000-0005-0000-0000-0000E9AE0000}"/>
    <cellStyle name="Normal 70 4 2 2 2 2" xfId="46823" xr:uid="{00000000-0005-0000-0000-0000EAAE0000}"/>
    <cellStyle name="Normal 70 4 2 2 3" xfId="46824" xr:uid="{00000000-0005-0000-0000-0000EBAE0000}"/>
    <cellStyle name="Normal 70 4 2 3" xfId="46825" xr:uid="{00000000-0005-0000-0000-0000ECAE0000}"/>
    <cellStyle name="Normal 70 4 2 3 2" xfId="46826" xr:uid="{00000000-0005-0000-0000-0000EDAE0000}"/>
    <cellStyle name="Normal 70 4 2 4" xfId="46827" xr:uid="{00000000-0005-0000-0000-0000EEAE0000}"/>
    <cellStyle name="Normal 70 4 2 5" xfId="46828" xr:uid="{00000000-0005-0000-0000-0000EFAE0000}"/>
    <cellStyle name="Normal 70 4 2 6" xfId="46829" xr:uid="{00000000-0005-0000-0000-0000F0AE0000}"/>
    <cellStyle name="Normal 70 4 3" xfId="46830" xr:uid="{00000000-0005-0000-0000-0000F1AE0000}"/>
    <cellStyle name="Normal 70 4 3 2" xfId="46831" xr:uid="{00000000-0005-0000-0000-0000F2AE0000}"/>
    <cellStyle name="Normal 70 4 3 2 2" xfId="46832" xr:uid="{00000000-0005-0000-0000-0000F3AE0000}"/>
    <cellStyle name="Normal 70 4 3 3" xfId="46833" xr:uid="{00000000-0005-0000-0000-0000F4AE0000}"/>
    <cellStyle name="Normal 70 4 4" xfId="46834" xr:uid="{00000000-0005-0000-0000-0000F5AE0000}"/>
    <cellStyle name="Normal 70 4 4 2" xfId="46835" xr:uid="{00000000-0005-0000-0000-0000F6AE0000}"/>
    <cellStyle name="Normal 70 4 5" xfId="46836" xr:uid="{00000000-0005-0000-0000-0000F7AE0000}"/>
    <cellStyle name="Normal 70 4 5 2" xfId="46837" xr:uid="{00000000-0005-0000-0000-0000F8AE0000}"/>
    <cellStyle name="Normal 70 4 6" xfId="46838" xr:uid="{00000000-0005-0000-0000-0000F9AE0000}"/>
    <cellStyle name="Normal 70 4 7" xfId="46839" xr:uid="{00000000-0005-0000-0000-0000FAAE0000}"/>
    <cellStyle name="Normal 70 4 8" xfId="46840" xr:uid="{00000000-0005-0000-0000-0000FBAE0000}"/>
    <cellStyle name="Normal 70 5" xfId="46841" xr:uid="{00000000-0005-0000-0000-0000FCAE0000}"/>
    <cellStyle name="Normal 70 5 2" xfId="46842" xr:uid="{00000000-0005-0000-0000-0000FDAE0000}"/>
    <cellStyle name="Normal 70 5 2 2" xfId="46843" xr:uid="{00000000-0005-0000-0000-0000FEAE0000}"/>
    <cellStyle name="Normal 70 5 2 2 2" xfId="46844" xr:uid="{00000000-0005-0000-0000-0000FFAE0000}"/>
    <cellStyle name="Normal 70 5 2 2 2 2" xfId="46845" xr:uid="{00000000-0005-0000-0000-000000AF0000}"/>
    <cellStyle name="Normal 70 5 2 2 3" xfId="46846" xr:uid="{00000000-0005-0000-0000-000001AF0000}"/>
    <cellStyle name="Normal 70 5 2 3" xfId="46847" xr:uid="{00000000-0005-0000-0000-000002AF0000}"/>
    <cellStyle name="Normal 70 5 2 3 2" xfId="46848" xr:uid="{00000000-0005-0000-0000-000003AF0000}"/>
    <cellStyle name="Normal 70 5 2 4" xfId="46849" xr:uid="{00000000-0005-0000-0000-000004AF0000}"/>
    <cellStyle name="Normal 70 5 2 5" xfId="46850" xr:uid="{00000000-0005-0000-0000-000005AF0000}"/>
    <cellStyle name="Normal 70 5 2 6" xfId="46851" xr:uid="{00000000-0005-0000-0000-000006AF0000}"/>
    <cellStyle name="Normal 70 5 3" xfId="46852" xr:uid="{00000000-0005-0000-0000-000007AF0000}"/>
    <cellStyle name="Normal 70 5 3 2" xfId="46853" xr:uid="{00000000-0005-0000-0000-000008AF0000}"/>
    <cellStyle name="Normal 70 5 3 2 2" xfId="46854" xr:uid="{00000000-0005-0000-0000-000009AF0000}"/>
    <cellStyle name="Normal 70 5 3 3" xfId="46855" xr:uid="{00000000-0005-0000-0000-00000AAF0000}"/>
    <cellStyle name="Normal 70 5 4" xfId="46856" xr:uid="{00000000-0005-0000-0000-00000BAF0000}"/>
    <cellStyle name="Normal 70 5 4 2" xfId="46857" xr:uid="{00000000-0005-0000-0000-00000CAF0000}"/>
    <cellStyle name="Normal 70 5 5" xfId="46858" xr:uid="{00000000-0005-0000-0000-00000DAF0000}"/>
    <cellStyle name="Normal 70 5 6" xfId="46859" xr:uid="{00000000-0005-0000-0000-00000EAF0000}"/>
    <cellStyle name="Normal 70 5 7" xfId="46860" xr:uid="{00000000-0005-0000-0000-00000FAF0000}"/>
    <cellStyle name="Normal 70 6" xfId="46861" xr:uid="{00000000-0005-0000-0000-000010AF0000}"/>
    <cellStyle name="Normal 70 6 2" xfId="46862" xr:uid="{00000000-0005-0000-0000-000011AF0000}"/>
    <cellStyle name="Normal 70 6 2 2" xfId="46863" xr:uid="{00000000-0005-0000-0000-000012AF0000}"/>
    <cellStyle name="Normal 70 6 2 2 2" xfId="46864" xr:uid="{00000000-0005-0000-0000-000013AF0000}"/>
    <cellStyle name="Normal 70 6 2 3" xfId="46865" xr:uid="{00000000-0005-0000-0000-000014AF0000}"/>
    <cellStyle name="Normal 70 6 3" xfId="46866" xr:uid="{00000000-0005-0000-0000-000015AF0000}"/>
    <cellStyle name="Normal 70 6 3 2" xfId="46867" xr:uid="{00000000-0005-0000-0000-000016AF0000}"/>
    <cellStyle name="Normal 70 6 4" xfId="46868" xr:uid="{00000000-0005-0000-0000-000017AF0000}"/>
    <cellStyle name="Normal 70 6 5" xfId="46869" xr:uid="{00000000-0005-0000-0000-000018AF0000}"/>
    <cellStyle name="Normal 70 6 6" xfId="46870" xr:uid="{00000000-0005-0000-0000-000019AF0000}"/>
    <cellStyle name="Normal 70 7" xfId="46871" xr:uid="{00000000-0005-0000-0000-00001AAF0000}"/>
    <cellStyle name="Normal 70 7 2" xfId="46872" xr:uid="{00000000-0005-0000-0000-00001BAF0000}"/>
    <cellStyle name="Normal 70 7 2 2" xfId="46873" xr:uid="{00000000-0005-0000-0000-00001CAF0000}"/>
    <cellStyle name="Normal 70 7 3" xfId="46874" xr:uid="{00000000-0005-0000-0000-00001DAF0000}"/>
    <cellStyle name="Normal 70 8" xfId="46875" xr:uid="{00000000-0005-0000-0000-00001EAF0000}"/>
    <cellStyle name="Normal 70 8 2" xfId="46876" xr:uid="{00000000-0005-0000-0000-00001FAF0000}"/>
    <cellStyle name="Normal 70 8 2 2" xfId="46877" xr:uid="{00000000-0005-0000-0000-000020AF0000}"/>
    <cellStyle name="Normal 70 8 3" xfId="46878" xr:uid="{00000000-0005-0000-0000-000021AF0000}"/>
    <cellStyle name="Normal 70 9" xfId="46879" xr:uid="{00000000-0005-0000-0000-000022AF0000}"/>
    <cellStyle name="Normal 70 9 2" xfId="46880" xr:uid="{00000000-0005-0000-0000-000023AF0000}"/>
    <cellStyle name="Normal 71" xfId="46881" xr:uid="{00000000-0005-0000-0000-000024AF0000}"/>
    <cellStyle name="Normal 71 2" xfId="46882" xr:uid="{00000000-0005-0000-0000-000025AF0000}"/>
    <cellStyle name="Normal 71 2 2" xfId="46883" xr:uid="{00000000-0005-0000-0000-000026AF0000}"/>
    <cellStyle name="Normal 71 2 3" xfId="46884" xr:uid="{00000000-0005-0000-0000-000027AF0000}"/>
    <cellStyle name="Normal 71 3" xfId="46885" xr:uid="{00000000-0005-0000-0000-000028AF0000}"/>
    <cellStyle name="Normal 71 3 2" xfId="46886" xr:uid="{00000000-0005-0000-0000-000029AF0000}"/>
    <cellStyle name="Normal 71 4" xfId="46887" xr:uid="{00000000-0005-0000-0000-00002AAF0000}"/>
    <cellStyle name="Normal 71 4 2" xfId="46888" xr:uid="{00000000-0005-0000-0000-00002BAF0000}"/>
    <cellStyle name="Normal 71 5" xfId="46889" xr:uid="{00000000-0005-0000-0000-00002CAF0000}"/>
    <cellStyle name="Normal 72" xfId="46890" xr:uid="{00000000-0005-0000-0000-00002DAF0000}"/>
    <cellStyle name="Normal 72 2" xfId="46891" xr:uid="{00000000-0005-0000-0000-00002EAF0000}"/>
    <cellStyle name="Normal 72 2 2" xfId="46892" xr:uid="{00000000-0005-0000-0000-00002FAF0000}"/>
    <cellStyle name="Normal 72 2 3" xfId="46893" xr:uid="{00000000-0005-0000-0000-000030AF0000}"/>
    <cellStyle name="Normal 72 3" xfId="46894" xr:uid="{00000000-0005-0000-0000-000031AF0000}"/>
    <cellStyle name="Normal 72 3 2" xfId="46895" xr:uid="{00000000-0005-0000-0000-000032AF0000}"/>
    <cellStyle name="Normal 72 3 3" xfId="46896" xr:uid="{00000000-0005-0000-0000-000033AF0000}"/>
    <cellStyle name="Normal 72 3 3 2" xfId="46897" xr:uid="{00000000-0005-0000-0000-000034AF0000}"/>
    <cellStyle name="Normal 72 3 4" xfId="46898" xr:uid="{00000000-0005-0000-0000-000035AF0000}"/>
    <cellStyle name="Normal 72 4" xfId="46899" xr:uid="{00000000-0005-0000-0000-000036AF0000}"/>
    <cellStyle name="Normal 72 4 2" xfId="46900" xr:uid="{00000000-0005-0000-0000-000037AF0000}"/>
    <cellStyle name="Normal 72 5" xfId="46901" xr:uid="{00000000-0005-0000-0000-000038AF0000}"/>
    <cellStyle name="Normal 72 6" xfId="46902" xr:uid="{00000000-0005-0000-0000-000039AF0000}"/>
    <cellStyle name="Normal 72 6 2" xfId="46903" xr:uid="{00000000-0005-0000-0000-00003AAF0000}"/>
    <cellStyle name="Normal 72 7" xfId="46904" xr:uid="{00000000-0005-0000-0000-00003BAF0000}"/>
    <cellStyle name="Normal 73" xfId="46905" xr:uid="{00000000-0005-0000-0000-00003CAF0000}"/>
    <cellStyle name="Normal 73 2" xfId="46906" xr:uid="{00000000-0005-0000-0000-00003DAF0000}"/>
    <cellStyle name="Normal 73 2 2" xfId="46907" xr:uid="{00000000-0005-0000-0000-00003EAF0000}"/>
    <cellStyle name="Normal 73 2 2 2" xfId="46908" xr:uid="{00000000-0005-0000-0000-00003FAF0000}"/>
    <cellStyle name="Normal 73 2 2 3" xfId="46909" xr:uid="{00000000-0005-0000-0000-000040AF0000}"/>
    <cellStyle name="Normal 73 2 3" xfId="46910" xr:uid="{00000000-0005-0000-0000-000041AF0000}"/>
    <cellStyle name="Normal 73 2 4" xfId="46911" xr:uid="{00000000-0005-0000-0000-000042AF0000}"/>
    <cellStyle name="Normal 73 3" xfId="46912" xr:uid="{00000000-0005-0000-0000-000043AF0000}"/>
    <cellStyle name="Normal 73 3 2" xfId="46913" xr:uid="{00000000-0005-0000-0000-000044AF0000}"/>
    <cellStyle name="Normal 73 3 2 2" xfId="46914" xr:uid="{00000000-0005-0000-0000-000045AF0000}"/>
    <cellStyle name="Normal 73 3 2 3" xfId="46915" xr:uid="{00000000-0005-0000-0000-000046AF0000}"/>
    <cellStyle name="Normal 73 3 3" xfId="46916" xr:uid="{00000000-0005-0000-0000-000047AF0000}"/>
    <cellStyle name="Normal 73 3 4" xfId="46917" xr:uid="{00000000-0005-0000-0000-000048AF0000}"/>
    <cellStyle name="Normal 73 4" xfId="46918" xr:uid="{00000000-0005-0000-0000-000049AF0000}"/>
    <cellStyle name="Normal 73 4 2" xfId="46919" xr:uid="{00000000-0005-0000-0000-00004AAF0000}"/>
    <cellStyle name="Normal 73 4 3" xfId="46920" xr:uid="{00000000-0005-0000-0000-00004BAF0000}"/>
    <cellStyle name="Normal 73 5" xfId="46921" xr:uid="{00000000-0005-0000-0000-00004CAF0000}"/>
    <cellStyle name="Normal 73 6" xfId="46922" xr:uid="{00000000-0005-0000-0000-00004DAF0000}"/>
    <cellStyle name="Normal 74" xfId="46923" xr:uid="{00000000-0005-0000-0000-00004EAF0000}"/>
    <cellStyle name="Normal 74 2" xfId="46924" xr:uid="{00000000-0005-0000-0000-00004FAF0000}"/>
    <cellStyle name="Normal 74 2 2" xfId="46925" xr:uid="{00000000-0005-0000-0000-000050AF0000}"/>
    <cellStyle name="Normal 74 2 2 2" xfId="46926" xr:uid="{00000000-0005-0000-0000-000051AF0000}"/>
    <cellStyle name="Normal 74 2 2 3" xfId="46927" xr:uid="{00000000-0005-0000-0000-000052AF0000}"/>
    <cellStyle name="Normal 74 2 3" xfId="46928" xr:uid="{00000000-0005-0000-0000-000053AF0000}"/>
    <cellStyle name="Normal 74 2 4" xfId="46929" xr:uid="{00000000-0005-0000-0000-000054AF0000}"/>
    <cellStyle name="Normal 74 3" xfId="46930" xr:uid="{00000000-0005-0000-0000-000055AF0000}"/>
    <cellStyle name="Normal 74 3 2" xfId="46931" xr:uid="{00000000-0005-0000-0000-000056AF0000}"/>
    <cellStyle name="Normal 74 3 2 2" xfId="46932" xr:uid="{00000000-0005-0000-0000-000057AF0000}"/>
    <cellStyle name="Normal 74 3 2 3" xfId="46933" xr:uid="{00000000-0005-0000-0000-000058AF0000}"/>
    <cellStyle name="Normal 74 3 3" xfId="46934" xr:uid="{00000000-0005-0000-0000-000059AF0000}"/>
    <cellStyle name="Normal 74 3 4" xfId="46935" xr:uid="{00000000-0005-0000-0000-00005AAF0000}"/>
    <cellStyle name="Normal 74 4" xfId="46936" xr:uid="{00000000-0005-0000-0000-00005BAF0000}"/>
    <cellStyle name="Normal 74 4 2" xfId="46937" xr:uid="{00000000-0005-0000-0000-00005CAF0000}"/>
    <cellStyle name="Normal 74 4 3" xfId="46938" xr:uid="{00000000-0005-0000-0000-00005DAF0000}"/>
    <cellStyle name="Normal 74 5" xfId="46939" xr:uid="{00000000-0005-0000-0000-00005EAF0000}"/>
    <cellStyle name="Normal 74 6" xfId="46940" xr:uid="{00000000-0005-0000-0000-00005FAF0000}"/>
    <cellStyle name="Normal 75" xfId="46941" xr:uid="{00000000-0005-0000-0000-000060AF0000}"/>
    <cellStyle name="Normal 75 2" xfId="46942" xr:uid="{00000000-0005-0000-0000-000061AF0000}"/>
    <cellStyle name="Normal 75 2 2" xfId="46943" xr:uid="{00000000-0005-0000-0000-000062AF0000}"/>
    <cellStyle name="Normal 76" xfId="46944" xr:uid="{00000000-0005-0000-0000-000063AF0000}"/>
    <cellStyle name="Normal 76 2" xfId="46945" xr:uid="{00000000-0005-0000-0000-000064AF0000}"/>
    <cellStyle name="Normal 76 2 2" xfId="46946" xr:uid="{00000000-0005-0000-0000-000065AF0000}"/>
    <cellStyle name="Normal 76 2 2 2" xfId="46947" xr:uid="{00000000-0005-0000-0000-000066AF0000}"/>
    <cellStyle name="Normal 76 2 3" xfId="46948" xr:uid="{00000000-0005-0000-0000-000067AF0000}"/>
    <cellStyle name="Normal 76 3" xfId="46949" xr:uid="{00000000-0005-0000-0000-000068AF0000}"/>
    <cellStyle name="Normal 76 3 2" xfId="46950" xr:uid="{00000000-0005-0000-0000-000069AF0000}"/>
    <cellStyle name="Normal 76 3 2 2" xfId="46951" xr:uid="{00000000-0005-0000-0000-00006AAF0000}"/>
    <cellStyle name="Normal 76 3 3" xfId="46952" xr:uid="{00000000-0005-0000-0000-00006BAF0000}"/>
    <cellStyle name="Normal 76 4" xfId="46953" xr:uid="{00000000-0005-0000-0000-00006CAF0000}"/>
    <cellStyle name="Normal 76 4 2" xfId="46954" xr:uid="{00000000-0005-0000-0000-00006DAF0000}"/>
    <cellStyle name="Normal 76 5" xfId="46955" xr:uid="{00000000-0005-0000-0000-00006EAF0000}"/>
    <cellStyle name="Normal 76 6" xfId="46956" xr:uid="{00000000-0005-0000-0000-00006FAF0000}"/>
    <cellStyle name="Normal 76 7" xfId="46957" xr:uid="{00000000-0005-0000-0000-000070AF0000}"/>
    <cellStyle name="Normal 77" xfId="46958" xr:uid="{00000000-0005-0000-0000-000071AF0000}"/>
    <cellStyle name="Normal 77 2" xfId="46959" xr:uid="{00000000-0005-0000-0000-000072AF0000}"/>
    <cellStyle name="Normal 77 2 2" xfId="46960" xr:uid="{00000000-0005-0000-0000-000073AF0000}"/>
    <cellStyle name="Normal 77 3" xfId="46961" xr:uid="{00000000-0005-0000-0000-000074AF0000}"/>
    <cellStyle name="Normal 77 3 2" xfId="46962" xr:uid="{00000000-0005-0000-0000-000075AF0000}"/>
    <cellStyle name="Normal 77 4" xfId="46963" xr:uid="{00000000-0005-0000-0000-000076AF0000}"/>
    <cellStyle name="Normal 78" xfId="46964" xr:uid="{00000000-0005-0000-0000-000077AF0000}"/>
    <cellStyle name="Normal 78 2" xfId="46965" xr:uid="{00000000-0005-0000-0000-000078AF0000}"/>
    <cellStyle name="Normal 78 2 2" xfId="46966" xr:uid="{00000000-0005-0000-0000-000079AF0000}"/>
    <cellStyle name="Normal 78 3" xfId="46967" xr:uid="{00000000-0005-0000-0000-00007AAF0000}"/>
    <cellStyle name="Normal 78 3 2" xfId="46968" xr:uid="{00000000-0005-0000-0000-00007BAF0000}"/>
    <cellStyle name="Normal 78 4" xfId="46969" xr:uid="{00000000-0005-0000-0000-00007CAF0000}"/>
    <cellStyle name="Normal 79" xfId="46970" xr:uid="{00000000-0005-0000-0000-00007DAF0000}"/>
    <cellStyle name="Normal 79 2" xfId="46971" xr:uid="{00000000-0005-0000-0000-00007EAF0000}"/>
    <cellStyle name="Normal 79 2 2" xfId="46972" xr:uid="{00000000-0005-0000-0000-00007FAF0000}"/>
    <cellStyle name="Normal 79 3" xfId="46973" xr:uid="{00000000-0005-0000-0000-000080AF0000}"/>
    <cellStyle name="Normal 79 3 2" xfId="46974" xr:uid="{00000000-0005-0000-0000-000081AF0000}"/>
    <cellStyle name="Normal 79 4" xfId="46975" xr:uid="{00000000-0005-0000-0000-000082AF0000}"/>
    <cellStyle name="Normal 8" xfId="1642" xr:uid="{00000000-0005-0000-0000-000083AF0000}"/>
    <cellStyle name="Normal 8 10" xfId="46976" xr:uid="{00000000-0005-0000-0000-000084AF0000}"/>
    <cellStyle name="Normal 8 10 2" xfId="46977" xr:uid="{00000000-0005-0000-0000-000085AF0000}"/>
    <cellStyle name="Normal 8 10 2 2" xfId="46978" xr:uid="{00000000-0005-0000-0000-000086AF0000}"/>
    <cellStyle name="Normal 8 10 2 2 2" xfId="46979" xr:uid="{00000000-0005-0000-0000-000087AF0000}"/>
    <cellStyle name="Normal 8 10 2 3" xfId="46980" xr:uid="{00000000-0005-0000-0000-000088AF0000}"/>
    <cellStyle name="Normal 8 10 3" xfId="46981" xr:uid="{00000000-0005-0000-0000-000089AF0000}"/>
    <cellStyle name="Normal 8 10 3 2" xfId="46982" xr:uid="{00000000-0005-0000-0000-00008AAF0000}"/>
    <cellStyle name="Normal 8 10 4" xfId="46983" xr:uid="{00000000-0005-0000-0000-00008BAF0000}"/>
    <cellStyle name="Normal 8 11" xfId="46984" xr:uid="{00000000-0005-0000-0000-00008CAF0000}"/>
    <cellStyle name="Normal 8 11 2" xfId="46985" xr:uid="{00000000-0005-0000-0000-00008DAF0000}"/>
    <cellStyle name="Normal 8 11 2 2" xfId="46986" xr:uid="{00000000-0005-0000-0000-00008EAF0000}"/>
    <cellStyle name="Normal 8 11 2 2 2" xfId="46987" xr:uid="{00000000-0005-0000-0000-00008FAF0000}"/>
    <cellStyle name="Normal 8 11 2 3" xfId="46988" xr:uid="{00000000-0005-0000-0000-000090AF0000}"/>
    <cellStyle name="Normal 8 11 3" xfId="46989" xr:uid="{00000000-0005-0000-0000-000091AF0000}"/>
    <cellStyle name="Normal 8 11 3 2" xfId="46990" xr:uid="{00000000-0005-0000-0000-000092AF0000}"/>
    <cellStyle name="Normal 8 11 4" xfId="46991" xr:uid="{00000000-0005-0000-0000-000093AF0000}"/>
    <cellStyle name="Normal 8 12" xfId="46992" xr:uid="{00000000-0005-0000-0000-000094AF0000}"/>
    <cellStyle name="Normal 8 12 2" xfId="46993" xr:uid="{00000000-0005-0000-0000-000095AF0000}"/>
    <cellStyle name="Normal 8 12 2 2" xfId="46994" xr:uid="{00000000-0005-0000-0000-000096AF0000}"/>
    <cellStyle name="Normal 8 12 3" xfId="46995" xr:uid="{00000000-0005-0000-0000-000097AF0000}"/>
    <cellStyle name="Normal 8 13" xfId="46996" xr:uid="{00000000-0005-0000-0000-000098AF0000}"/>
    <cellStyle name="Normal 8 13 2" xfId="46997" xr:uid="{00000000-0005-0000-0000-000099AF0000}"/>
    <cellStyle name="Normal 8 14" xfId="46998" xr:uid="{00000000-0005-0000-0000-00009AAF0000}"/>
    <cellStyle name="Normal 8 15" xfId="46999" xr:uid="{00000000-0005-0000-0000-00009BAF0000}"/>
    <cellStyle name="Normal 8 2" xfId="47000" xr:uid="{00000000-0005-0000-0000-00009CAF0000}"/>
    <cellStyle name="Normal 8 2 2" xfId="47001" xr:uid="{00000000-0005-0000-0000-00009DAF0000}"/>
    <cellStyle name="Normal 8 2 2 10" xfId="47002" xr:uid="{00000000-0005-0000-0000-00009EAF0000}"/>
    <cellStyle name="Normal 8 2 2 11" xfId="47003" xr:uid="{00000000-0005-0000-0000-00009FAF0000}"/>
    <cellStyle name="Normal 8 2 2 12" xfId="47004" xr:uid="{00000000-0005-0000-0000-0000A0AF0000}"/>
    <cellStyle name="Normal 8 2 2 2" xfId="47005" xr:uid="{00000000-0005-0000-0000-0000A1AF0000}"/>
    <cellStyle name="Normal 8 2 2 2 10" xfId="47006" xr:uid="{00000000-0005-0000-0000-0000A2AF0000}"/>
    <cellStyle name="Normal 8 2 2 2 2" xfId="47007" xr:uid="{00000000-0005-0000-0000-0000A3AF0000}"/>
    <cellStyle name="Normal 8 2 2 2 2 2" xfId="47008" xr:uid="{00000000-0005-0000-0000-0000A4AF0000}"/>
    <cellStyle name="Normal 8 2 2 2 2 2 2" xfId="47009" xr:uid="{00000000-0005-0000-0000-0000A5AF0000}"/>
    <cellStyle name="Normal 8 2 2 2 2 2 2 2" xfId="47010" xr:uid="{00000000-0005-0000-0000-0000A6AF0000}"/>
    <cellStyle name="Normal 8 2 2 2 2 2 2 2 2" xfId="47011" xr:uid="{00000000-0005-0000-0000-0000A7AF0000}"/>
    <cellStyle name="Normal 8 2 2 2 2 2 2 3" xfId="47012" xr:uid="{00000000-0005-0000-0000-0000A8AF0000}"/>
    <cellStyle name="Normal 8 2 2 2 2 2 3" xfId="47013" xr:uid="{00000000-0005-0000-0000-0000A9AF0000}"/>
    <cellStyle name="Normal 8 2 2 2 2 2 3 2" xfId="47014" xr:uid="{00000000-0005-0000-0000-0000AAAF0000}"/>
    <cellStyle name="Normal 8 2 2 2 2 2 4" xfId="47015" xr:uid="{00000000-0005-0000-0000-0000ABAF0000}"/>
    <cellStyle name="Normal 8 2 2 2 2 2 5" xfId="47016" xr:uid="{00000000-0005-0000-0000-0000ACAF0000}"/>
    <cellStyle name="Normal 8 2 2 2 2 2 6" xfId="47017" xr:uid="{00000000-0005-0000-0000-0000ADAF0000}"/>
    <cellStyle name="Normal 8 2 2 2 2 3" xfId="47018" xr:uid="{00000000-0005-0000-0000-0000AEAF0000}"/>
    <cellStyle name="Normal 8 2 2 2 2 3 2" xfId="47019" xr:uid="{00000000-0005-0000-0000-0000AFAF0000}"/>
    <cellStyle name="Normal 8 2 2 2 2 3 2 2" xfId="47020" xr:uid="{00000000-0005-0000-0000-0000B0AF0000}"/>
    <cellStyle name="Normal 8 2 2 2 2 3 3" xfId="47021" xr:uid="{00000000-0005-0000-0000-0000B1AF0000}"/>
    <cellStyle name="Normal 8 2 2 2 2 4" xfId="47022" xr:uid="{00000000-0005-0000-0000-0000B2AF0000}"/>
    <cellStyle name="Normal 8 2 2 2 2 4 2" xfId="47023" xr:uid="{00000000-0005-0000-0000-0000B3AF0000}"/>
    <cellStyle name="Normal 8 2 2 2 2 4 2 2" xfId="47024" xr:uid="{00000000-0005-0000-0000-0000B4AF0000}"/>
    <cellStyle name="Normal 8 2 2 2 2 4 3" xfId="47025" xr:uid="{00000000-0005-0000-0000-0000B5AF0000}"/>
    <cellStyle name="Normal 8 2 2 2 2 5" xfId="47026" xr:uid="{00000000-0005-0000-0000-0000B6AF0000}"/>
    <cellStyle name="Normal 8 2 2 2 2 5 2" xfId="47027" xr:uid="{00000000-0005-0000-0000-0000B7AF0000}"/>
    <cellStyle name="Normal 8 2 2 2 2 6" xfId="47028" xr:uid="{00000000-0005-0000-0000-0000B8AF0000}"/>
    <cellStyle name="Normal 8 2 2 2 2 7" xfId="47029" xr:uid="{00000000-0005-0000-0000-0000B9AF0000}"/>
    <cellStyle name="Normal 8 2 2 2 2 8" xfId="47030" xr:uid="{00000000-0005-0000-0000-0000BAAF0000}"/>
    <cellStyle name="Normal 8 2 2 2 3" xfId="47031" xr:uid="{00000000-0005-0000-0000-0000BBAF0000}"/>
    <cellStyle name="Normal 8 2 2 2 3 2" xfId="47032" xr:uid="{00000000-0005-0000-0000-0000BCAF0000}"/>
    <cellStyle name="Normal 8 2 2 2 3 2 2" xfId="47033" xr:uid="{00000000-0005-0000-0000-0000BDAF0000}"/>
    <cellStyle name="Normal 8 2 2 2 3 2 2 2" xfId="47034" xr:uid="{00000000-0005-0000-0000-0000BEAF0000}"/>
    <cellStyle name="Normal 8 2 2 2 3 2 2 2 2" xfId="47035" xr:uid="{00000000-0005-0000-0000-0000BFAF0000}"/>
    <cellStyle name="Normal 8 2 2 2 3 2 2 3" xfId="47036" xr:uid="{00000000-0005-0000-0000-0000C0AF0000}"/>
    <cellStyle name="Normal 8 2 2 2 3 2 3" xfId="47037" xr:uid="{00000000-0005-0000-0000-0000C1AF0000}"/>
    <cellStyle name="Normal 8 2 2 2 3 2 3 2" xfId="47038" xr:uid="{00000000-0005-0000-0000-0000C2AF0000}"/>
    <cellStyle name="Normal 8 2 2 2 3 2 4" xfId="47039" xr:uid="{00000000-0005-0000-0000-0000C3AF0000}"/>
    <cellStyle name="Normal 8 2 2 2 3 2 5" xfId="47040" xr:uid="{00000000-0005-0000-0000-0000C4AF0000}"/>
    <cellStyle name="Normal 8 2 2 2 3 2 6" xfId="47041" xr:uid="{00000000-0005-0000-0000-0000C5AF0000}"/>
    <cellStyle name="Normal 8 2 2 2 3 3" xfId="47042" xr:uid="{00000000-0005-0000-0000-0000C6AF0000}"/>
    <cellStyle name="Normal 8 2 2 2 3 3 2" xfId="47043" xr:uid="{00000000-0005-0000-0000-0000C7AF0000}"/>
    <cellStyle name="Normal 8 2 2 2 3 3 2 2" xfId="47044" xr:uid="{00000000-0005-0000-0000-0000C8AF0000}"/>
    <cellStyle name="Normal 8 2 2 2 3 3 3" xfId="47045" xr:uid="{00000000-0005-0000-0000-0000C9AF0000}"/>
    <cellStyle name="Normal 8 2 2 2 3 4" xfId="47046" xr:uid="{00000000-0005-0000-0000-0000CAAF0000}"/>
    <cellStyle name="Normal 8 2 2 2 3 4 2" xfId="47047" xr:uid="{00000000-0005-0000-0000-0000CBAF0000}"/>
    <cellStyle name="Normal 8 2 2 2 3 5" xfId="47048" xr:uid="{00000000-0005-0000-0000-0000CCAF0000}"/>
    <cellStyle name="Normal 8 2 2 2 3 6" xfId="47049" xr:uid="{00000000-0005-0000-0000-0000CDAF0000}"/>
    <cellStyle name="Normal 8 2 2 2 3 7" xfId="47050" xr:uid="{00000000-0005-0000-0000-0000CEAF0000}"/>
    <cellStyle name="Normal 8 2 2 2 4" xfId="47051" xr:uid="{00000000-0005-0000-0000-0000CFAF0000}"/>
    <cellStyle name="Normal 8 2 2 2 4 2" xfId="47052" xr:uid="{00000000-0005-0000-0000-0000D0AF0000}"/>
    <cellStyle name="Normal 8 2 2 2 4 2 2" xfId="47053" xr:uid="{00000000-0005-0000-0000-0000D1AF0000}"/>
    <cellStyle name="Normal 8 2 2 2 4 2 2 2" xfId="47054" xr:uid="{00000000-0005-0000-0000-0000D2AF0000}"/>
    <cellStyle name="Normal 8 2 2 2 4 2 3" xfId="47055" xr:uid="{00000000-0005-0000-0000-0000D3AF0000}"/>
    <cellStyle name="Normal 8 2 2 2 4 3" xfId="47056" xr:uid="{00000000-0005-0000-0000-0000D4AF0000}"/>
    <cellStyle name="Normal 8 2 2 2 4 3 2" xfId="47057" xr:uid="{00000000-0005-0000-0000-0000D5AF0000}"/>
    <cellStyle name="Normal 8 2 2 2 4 4" xfId="47058" xr:uid="{00000000-0005-0000-0000-0000D6AF0000}"/>
    <cellStyle name="Normal 8 2 2 2 4 5" xfId="47059" xr:uid="{00000000-0005-0000-0000-0000D7AF0000}"/>
    <cellStyle name="Normal 8 2 2 2 4 6" xfId="47060" xr:uid="{00000000-0005-0000-0000-0000D8AF0000}"/>
    <cellStyle name="Normal 8 2 2 2 5" xfId="47061" xr:uid="{00000000-0005-0000-0000-0000D9AF0000}"/>
    <cellStyle name="Normal 8 2 2 2 5 2" xfId="47062" xr:uid="{00000000-0005-0000-0000-0000DAAF0000}"/>
    <cellStyle name="Normal 8 2 2 2 5 2 2" xfId="47063" xr:uid="{00000000-0005-0000-0000-0000DBAF0000}"/>
    <cellStyle name="Normal 8 2 2 2 5 3" xfId="47064" xr:uid="{00000000-0005-0000-0000-0000DCAF0000}"/>
    <cellStyle name="Normal 8 2 2 2 6" xfId="47065" xr:uid="{00000000-0005-0000-0000-0000DDAF0000}"/>
    <cellStyle name="Normal 8 2 2 2 6 2" xfId="47066" xr:uid="{00000000-0005-0000-0000-0000DEAF0000}"/>
    <cellStyle name="Normal 8 2 2 2 6 2 2" xfId="47067" xr:uid="{00000000-0005-0000-0000-0000DFAF0000}"/>
    <cellStyle name="Normal 8 2 2 2 6 3" xfId="47068" xr:uid="{00000000-0005-0000-0000-0000E0AF0000}"/>
    <cellStyle name="Normal 8 2 2 2 7" xfId="47069" xr:uid="{00000000-0005-0000-0000-0000E1AF0000}"/>
    <cellStyle name="Normal 8 2 2 2 7 2" xfId="47070" xr:uid="{00000000-0005-0000-0000-0000E2AF0000}"/>
    <cellStyle name="Normal 8 2 2 2 8" xfId="47071" xr:uid="{00000000-0005-0000-0000-0000E3AF0000}"/>
    <cellStyle name="Normal 8 2 2 2 9" xfId="47072" xr:uid="{00000000-0005-0000-0000-0000E4AF0000}"/>
    <cellStyle name="Normal 8 2 2 3" xfId="47073" xr:uid="{00000000-0005-0000-0000-0000E5AF0000}"/>
    <cellStyle name="Normal 8 2 2 3 2" xfId="47074" xr:uid="{00000000-0005-0000-0000-0000E6AF0000}"/>
    <cellStyle name="Normal 8 2 2 3 2 2" xfId="47075" xr:uid="{00000000-0005-0000-0000-0000E7AF0000}"/>
    <cellStyle name="Normal 8 2 2 3 2 2 2" xfId="47076" xr:uid="{00000000-0005-0000-0000-0000E8AF0000}"/>
    <cellStyle name="Normal 8 2 2 3 2 2 2 2" xfId="47077" xr:uid="{00000000-0005-0000-0000-0000E9AF0000}"/>
    <cellStyle name="Normal 8 2 2 3 2 2 3" xfId="47078" xr:uid="{00000000-0005-0000-0000-0000EAAF0000}"/>
    <cellStyle name="Normal 8 2 2 3 2 3" xfId="47079" xr:uid="{00000000-0005-0000-0000-0000EBAF0000}"/>
    <cellStyle name="Normal 8 2 2 3 2 3 2" xfId="47080" xr:uid="{00000000-0005-0000-0000-0000ECAF0000}"/>
    <cellStyle name="Normal 8 2 2 3 2 4" xfId="47081" xr:uid="{00000000-0005-0000-0000-0000EDAF0000}"/>
    <cellStyle name="Normal 8 2 2 3 2 5" xfId="47082" xr:uid="{00000000-0005-0000-0000-0000EEAF0000}"/>
    <cellStyle name="Normal 8 2 2 3 2 6" xfId="47083" xr:uid="{00000000-0005-0000-0000-0000EFAF0000}"/>
    <cellStyle name="Normal 8 2 2 3 3" xfId="47084" xr:uid="{00000000-0005-0000-0000-0000F0AF0000}"/>
    <cellStyle name="Normal 8 2 2 3 3 2" xfId="47085" xr:uid="{00000000-0005-0000-0000-0000F1AF0000}"/>
    <cellStyle name="Normal 8 2 2 3 3 2 2" xfId="47086" xr:uid="{00000000-0005-0000-0000-0000F2AF0000}"/>
    <cellStyle name="Normal 8 2 2 3 3 3" xfId="47087" xr:uid="{00000000-0005-0000-0000-0000F3AF0000}"/>
    <cellStyle name="Normal 8 2 2 3 4" xfId="47088" xr:uid="{00000000-0005-0000-0000-0000F4AF0000}"/>
    <cellStyle name="Normal 8 2 2 3 4 2" xfId="47089" xr:uid="{00000000-0005-0000-0000-0000F5AF0000}"/>
    <cellStyle name="Normal 8 2 2 3 4 2 2" xfId="47090" xr:uid="{00000000-0005-0000-0000-0000F6AF0000}"/>
    <cellStyle name="Normal 8 2 2 3 4 3" xfId="47091" xr:uid="{00000000-0005-0000-0000-0000F7AF0000}"/>
    <cellStyle name="Normal 8 2 2 3 5" xfId="47092" xr:uid="{00000000-0005-0000-0000-0000F8AF0000}"/>
    <cellStyle name="Normal 8 2 2 3 5 2" xfId="47093" xr:uid="{00000000-0005-0000-0000-0000F9AF0000}"/>
    <cellStyle name="Normal 8 2 2 3 6" xfId="47094" xr:uid="{00000000-0005-0000-0000-0000FAAF0000}"/>
    <cellStyle name="Normal 8 2 2 3 7" xfId="47095" xr:uid="{00000000-0005-0000-0000-0000FBAF0000}"/>
    <cellStyle name="Normal 8 2 2 3 8" xfId="47096" xr:uid="{00000000-0005-0000-0000-0000FCAF0000}"/>
    <cellStyle name="Normal 8 2 2 4" xfId="47097" xr:uid="{00000000-0005-0000-0000-0000FDAF0000}"/>
    <cellStyle name="Normal 8 2 2 4 2" xfId="47098" xr:uid="{00000000-0005-0000-0000-0000FEAF0000}"/>
    <cellStyle name="Normal 8 2 2 4 2 2" xfId="47099" xr:uid="{00000000-0005-0000-0000-0000FFAF0000}"/>
    <cellStyle name="Normal 8 2 2 4 2 2 2" xfId="47100" xr:uid="{00000000-0005-0000-0000-000000B00000}"/>
    <cellStyle name="Normal 8 2 2 4 2 2 2 2" xfId="47101" xr:uid="{00000000-0005-0000-0000-000001B00000}"/>
    <cellStyle name="Normal 8 2 2 4 2 2 3" xfId="47102" xr:uid="{00000000-0005-0000-0000-000002B00000}"/>
    <cellStyle name="Normal 8 2 2 4 2 3" xfId="47103" xr:uid="{00000000-0005-0000-0000-000003B00000}"/>
    <cellStyle name="Normal 8 2 2 4 2 3 2" xfId="47104" xr:uid="{00000000-0005-0000-0000-000004B00000}"/>
    <cellStyle name="Normal 8 2 2 4 2 4" xfId="47105" xr:uid="{00000000-0005-0000-0000-000005B00000}"/>
    <cellStyle name="Normal 8 2 2 4 2 5" xfId="47106" xr:uid="{00000000-0005-0000-0000-000006B00000}"/>
    <cellStyle name="Normal 8 2 2 4 2 6" xfId="47107" xr:uid="{00000000-0005-0000-0000-000007B00000}"/>
    <cellStyle name="Normal 8 2 2 4 3" xfId="47108" xr:uid="{00000000-0005-0000-0000-000008B00000}"/>
    <cellStyle name="Normal 8 2 2 4 3 2" xfId="47109" xr:uid="{00000000-0005-0000-0000-000009B00000}"/>
    <cellStyle name="Normal 8 2 2 4 3 2 2" xfId="47110" xr:uid="{00000000-0005-0000-0000-00000AB00000}"/>
    <cellStyle name="Normal 8 2 2 4 3 3" xfId="47111" xr:uid="{00000000-0005-0000-0000-00000BB00000}"/>
    <cellStyle name="Normal 8 2 2 4 4" xfId="47112" xr:uid="{00000000-0005-0000-0000-00000CB00000}"/>
    <cellStyle name="Normal 8 2 2 4 4 2" xfId="47113" xr:uid="{00000000-0005-0000-0000-00000DB00000}"/>
    <cellStyle name="Normal 8 2 2 4 4 2 2" xfId="47114" xr:uid="{00000000-0005-0000-0000-00000EB00000}"/>
    <cellStyle name="Normal 8 2 2 4 4 3" xfId="47115" xr:uid="{00000000-0005-0000-0000-00000FB00000}"/>
    <cellStyle name="Normal 8 2 2 4 5" xfId="47116" xr:uid="{00000000-0005-0000-0000-000010B00000}"/>
    <cellStyle name="Normal 8 2 2 4 5 2" xfId="47117" xr:uid="{00000000-0005-0000-0000-000011B00000}"/>
    <cellStyle name="Normal 8 2 2 4 6" xfId="47118" xr:uid="{00000000-0005-0000-0000-000012B00000}"/>
    <cellStyle name="Normal 8 2 2 4 7" xfId="47119" xr:uid="{00000000-0005-0000-0000-000013B00000}"/>
    <cellStyle name="Normal 8 2 2 4 8" xfId="47120" xr:uid="{00000000-0005-0000-0000-000014B00000}"/>
    <cellStyle name="Normal 8 2 2 5" xfId="47121" xr:uid="{00000000-0005-0000-0000-000015B00000}"/>
    <cellStyle name="Normal 8 2 2 5 2" xfId="47122" xr:uid="{00000000-0005-0000-0000-000016B00000}"/>
    <cellStyle name="Normal 8 2 2 5 2 2" xfId="47123" xr:uid="{00000000-0005-0000-0000-000017B00000}"/>
    <cellStyle name="Normal 8 2 2 5 2 2 2" xfId="47124" xr:uid="{00000000-0005-0000-0000-000018B00000}"/>
    <cellStyle name="Normal 8 2 2 5 2 3" xfId="47125" xr:uid="{00000000-0005-0000-0000-000019B00000}"/>
    <cellStyle name="Normal 8 2 2 5 3" xfId="47126" xr:uid="{00000000-0005-0000-0000-00001AB00000}"/>
    <cellStyle name="Normal 8 2 2 5 3 2" xfId="47127" xr:uid="{00000000-0005-0000-0000-00001BB00000}"/>
    <cellStyle name="Normal 8 2 2 5 4" xfId="47128" xr:uid="{00000000-0005-0000-0000-00001CB00000}"/>
    <cellStyle name="Normal 8 2 2 5 5" xfId="47129" xr:uid="{00000000-0005-0000-0000-00001DB00000}"/>
    <cellStyle name="Normal 8 2 2 5 6" xfId="47130" xr:uid="{00000000-0005-0000-0000-00001EB00000}"/>
    <cellStyle name="Normal 8 2 2 6" xfId="47131" xr:uid="{00000000-0005-0000-0000-00001FB00000}"/>
    <cellStyle name="Normal 8 2 2 6 2" xfId="47132" xr:uid="{00000000-0005-0000-0000-000020B00000}"/>
    <cellStyle name="Normal 8 2 2 6 2 2" xfId="47133" xr:uid="{00000000-0005-0000-0000-000021B00000}"/>
    <cellStyle name="Normal 8 2 2 6 3" xfId="47134" xr:uid="{00000000-0005-0000-0000-000022B00000}"/>
    <cellStyle name="Normal 8 2 2 7" xfId="47135" xr:uid="{00000000-0005-0000-0000-000023B00000}"/>
    <cellStyle name="Normal 8 2 2 7 2" xfId="47136" xr:uid="{00000000-0005-0000-0000-000024B00000}"/>
    <cellStyle name="Normal 8 2 2 7 2 2" xfId="47137" xr:uid="{00000000-0005-0000-0000-000025B00000}"/>
    <cellStyle name="Normal 8 2 2 7 3" xfId="47138" xr:uid="{00000000-0005-0000-0000-000026B00000}"/>
    <cellStyle name="Normal 8 2 2 8" xfId="47139" xr:uid="{00000000-0005-0000-0000-000027B00000}"/>
    <cellStyle name="Normal 8 2 2 8 2" xfId="47140" xr:uid="{00000000-0005-0000-0000-000028B00000}"/>
    <cellStyle name="Normal 8 2 2 9" xfId="47141" xr:uid="{00000000-0005-0000-0000-000029B00000}"/>
    <cellStyle name="Normal 8 2 2 9 2" xfId="47142" xr:uid="{00000000-0005-0000-0000-00002AB00000}"/>
    <cellStyle name="Normal 8 2 3" xfId="47143" xr:uid="{00000000-0005-0000-0000-00002BB00000}"/>
    <cellStyle name="Normal 8 2 3 10" xfId="47144" xr:uid="{00000000-0005-0000-0000-00002CB00000}"/>
    <cellStyle name="Normal 8 2 3 2" xfId="47145" xr:uid="{00000000-0005-0000-0000-00002DB00000}"/>
    <cellStyle name="Normal 8 2 3 2 2" xfId="47146" xr:uid="{00000000-0005-0000-0000-00002EB00000}"/>
    <cellStyle name="Normal 8 2 3 2 2 2" xfId="47147" xr:uid="{00000000-0005-0000-0000-00002FB00000}"/>
    <cellStyle name="Normal 8 2 3 2 2 2 2" xfId="47148" xr:uid="{00000000-0005-0000-0000-000030B00000}"/>
    <cellStyle name="Normal 8 2 3 2 2 2 2 2" xfId="47149" xr:uid="{00000000-0005-0000-0000-000031B00000}"/>
    <cellStyle name="Normal 8 2 3 2 2 2 3" xfId="47150" xr:uid="{00000000-0005-0000-0000-000032B00000}"/>
    <cellStyle name="Normal 8 2 3 2 2 3" xfId="47151" xr:uid="{00000000-0005-0000-0000-000033B00000}"/>
    <cellStyle name="Normal 8 2 3 2 2 3 2" xfId="47152" xr:uid="{00000000-0005-0000-0000-000034B00000}"/>
    <cellStyle name="Normal 8 2 3 2 2 4" xfId="47153" xr:uid="{00000000-0005-0000-0000-000035B00000}"/>
    <cellStyle name="Normal 8 2 3 2 2 5" xfId="47154" xr:uid="{00000000-0005-0000-0000-000036B00000}"/>
    <cellStyle name="Normal 8 2 3 2 2 6" xfId="47155" xr:uid="{00000000-0005-0000-0000-000037B00000}"/>
    <cellStyle name="Normal 8 2 3 2 3" xfId="47156" xr:uid="{00000000-0005-0000-0000-000038B00000}"/>
    <cellStyle name="Normal 8 2 3 2 3 2" xfId="47157" xr:uid="{00000000-0005-0000-0000-000039B00000}"/>
    <cellStyle name="Normal 8 2 3 2 3 2 2" xfId="47158" xr:uid="{00000000-0005-0000-0000-00003AB00000}"/>
    <cellStyle name="Normal 8 2 3 2 3 3" xfId="47159" xr:uid="{00000000-0005-0000-0000-00003BB00000}"/>
    <cellStyle name="Normal 8 2 3 2 4" xfId="47160" xr:uid="{00000000-0005-0000-0000-00003CB00000}"/>
    <cellStyle name="Normal 8 2 3 2 4 2" xfId="47161" xr:uid="{00000000-0005-0000-0000-00003DB00000}"/>
    <cellStyle name="Normal 8 2 3 2 4 2 2" xfId="47162" xr:uid="{00000000-0005-0000-0000-00003EB00000}"/>
    <cellStyle name="Normal 8 2 3 2 4 3" xfId="47163" xr:uid="{00000000-0005-0000-0000-00003FB00000}"/>
    <cellStyle name="Normal 8 2 3 2 5" xfId="47164" xr:uid="{00000000-0005-0000-0000-000040B00000}"/>
    <cellStyle name="Normal 8 2 3 2 5 2" xfId="47165" xr:uid="{00000000-0005-0000-0000-000041B00000}"/>
    <cellStyle name="Normal 8 2 3 2 6" xfId="47166" xr:uid="{00000000-0005-0000-0000-000042B00000}"/>
    <cellStyle name="Normal 8 2 3 2 7" xfId="47167" xr:uid="{00000000-0005-0000-0000-000043B00000}"/>
    <cellStyle name="Normal 8 2 3 2 8" xfId="47168" xr:uid="{00000000-0005-0000-0000-000044B00000}"/>
    <cellStyle name="Normal 8 2 3 3" xfId="47169" xr:uid="{00000000-0005-0000-0000-000045B00000}"/>
    <cellStyle name="Normal 8 2 3 3 2" xfId="47170" xr:uid="{00000000-0005-0000-0000-000046B00000}"/>
    <cellStyle name="Normal 8 2 3 3 2 2" xfId="47171" xr:uid="{00000000-0005-0000-0000-000047B00000}"/>
    <cellStyle name="Normal 8 2 3 3 2 2 2" xfId="47172" xr:uid="{00000000-0005-0000-0000-000048B00000}"/>
    <cellStyle name="Normal 8 2 3 3 2 2 2 2" xfId="47173" xr:uid="{00000000-0005-0000-0000-000049B00000}"/>
    <cellStyle name="Normal 8 2 3 3 2 2 3" xfId="47174" xr:uid="{00000000-0005-0000-0000-00004AB00000}"/>
    <cellStyle name="Normal 8 2 3 3 2 3" xfId="47175" xr:uid="{00000000-0005-0000-0000-00004BB00000}"/>
    <cellStyle name="Normal 8 2 3 3 2 3 2" xfId="47176" xr:uid="{00000000-0005-0000-0000-00004CB00000}"/>
    <cellStyle name="Normal 8 2 3 3 2 4" xfId="47177" xr:uid="{00000000-0005-0000-0000-00004DB00000}"/>
    <cellStyle name="Normal 8 2 3 3 2 5" xfId="47178" xr:uid="{00000000-0005-0000-0000-00004EB00000}"/>
    <cellStyle name="Normal 8 2 3 3 2 6" xfId="47179" xr:uid="{00000000-0005-0000-0000-00004FB00000}"/>
    <cellStyle name="Normal 8 2 3 3 3" xfId="47180" xr:uid="{00000000-0005-0000-0000-000050B00000}"/>
    <cellStyle name="Normal 8 2 3 3 3 2" xfId="47181" xr:uid="{00000000-0005-0000-0000-000051B00000}"/>
    <cellStyle name="Normal 8 2 3 3 3 2 2" xfId="47182" xr:uid="{00000000-0005-0000-0000-000052B00000}"/>
    <cellStyle name="Normal 8 2 3 3 3 3" xfId="47183" xr:uid="{00000000-0005-0000-0000-000053B00000}"/>
    <cellStyle name="Normal 8 2 3 3 4" xfId="47184" xr:uid="{00000000-0005-0000-0000-000054B00000}"/>
    <cellStyle name="Normal 8 2 3 3 4 2" xfId="47185" xr:uid="{00000000-0005-0000-0000-000055B00000}"/>
    <cellStyle name="Normal 8 2 3 3 5" xfId="47186" xr:uid="{00000000-0005-0000-0000-000056B00000}"/>
    <cellStyle name="Normal 8 2 3 3 6" xfId="47187" xr:uid="{00000000-0005-0000-0000-000057B00000}"/>
    <cellStyle name="Normal 8 2 3 3 7" xfId="47188" xr:uid="{00000000-0005-0000-0000-000058B00000}"/>
    <cellStyle name="Normal 8 2 3 4" xfId="47189" xr:uid="{00000000-0005-0000-0000-000059B00000}"/>
    <cellStyle name="Normal 8 2 3 4 2" xfId="47190" xr:uid="{00000000-0005-0000-0000-00005AB00000}"/>
    <cellStyle name="Normal 8 2 3 4 2 2" xfId="47191" xr:uid="{00000000-0005-0000-0000-00005BB00000}"/>
    <cellStyle name="Normal 8 2 3 4 2 2 2" xfId="47192" xr:uid="{00000000-0005-0000-0000-00005CB00000}"/>
    <cellStyle name="Normal 8 2 3 4 2 3" xfId="47193" xr:uid="{00000000-0005-0000-0000-00005DB00000}"/>
    <cellStyle name="Normal 8 2 3 4 3" xfId="47194" xr:uid="{00000000-0005-0000-0000-00005EB00000}"/>
    <cellStyle name="Normal 8 2 3 4 3 2" xfId="47195" xr:uid="{00000000-0005-0000-0000-00005FB00000}"/>
    <cellStyle name="Normal 8 2 3 4 4" xfId="47196" xr:uid="{00000000-0005-0000-0000-000060B00000}"/>
    <cellStyle name="Normal 8 2 3 4 5" xfId="47197" xr:uid="{00000000-0005-0000-0000-000061B00000}"/>
    <cellStyle name="Normal 8 2 3 4 6" xfId="47198" xr:uid="{00000000-0005-0000-0000-000062B00000}"/>
    <cellStyle name="Normal 8 2 3 5" xfId="47199" xr:uid="{00000000-0005-0000-0000-000063B00000}"/>
    <cellStyle name="Normal 8 2 3 5 2" xfId="47200" xr:uid="{00000000-0005-0000-0000-000064B00000}"/>
    <cellStyle name="Normal 8 2 3 5 2 2" xfId="47201" xr:uid="{00000000-0005-0000-0000-000065B00000}"/>
    <cellStyle name="Normal 8 2 3 5 3" xfId="47202" xr:uid="{00000000-0005-0000-0000-000066B00000}"/>
    <cellStyle name="Normal 8 2 3 6" xfId="47203" xr:uid="{00000000-0005-0000-0000-000067B00000}"/>
    <cellStyle name="Normal 8 2 3 6 2" xfId="47204" xr:uid="{00000000-0005-0000-0000-000068B00000}"/>
    <cellStyle name="Normal 8 2 3 6 2 2" xfId="47205" xr:uid="{00000000-0005-0000-0000-000069B00000}"/>
    <cellStyle name="Normal 8 2 3 6 3" xfId="47206" xr:uid="{00000000-0005-0000-0000-00006AB00000}"/>
    <cellStyle name="Normal 8 2 3 7" xfId="47207" xr:uid="{00000000-0005-0000-0000-00006BB00000}"/>
    <cellStyle name="Normal 8 2 3 7 2" xfId="47208" xr:uid="{00000000-0005-0000-0000-00006CB00000}"/>
    <cellStyle name="Normal 8 2 3 8" xfId="47209" xr:uid="{00000000-0005-0000-0000-00006DB00000}"/>
    <cellStyle name="Normal 8 2 3 9" xfId="47210" xr:uid="{00000000-0005-0000-0000-00006EB00000}"/>
    <cellStyle name="Normal 8 2 4" xfId="47211" xr:uid="{00000000-0005-0000-0000-00006FB00000}"/>
    <cellStyle name="Normal 8 2 4 2" xfId="47212" xr:uid="{00000000-0005-0000-0000-000070B00000}"/>
    <cellStyle name="Normal 8 2 4 3" xfId="47213" xr:uid="{00000000-0005-0000-0000-000071B00000}"/>
    <cellStyle name="Normal 8 2 4 3 2" xfId="47214" xr:uid="{00000000-0005-0000-0000-000072B00000}"/>
    <cellStyle name="Normal 8 2 4 4" xfId="47215" xr:uid="{00000000-0005-0000-0000-000073B00000}"/>
    <cellStyle name="Normal 8 2 4 5" xfId="47216" xr:uid="{00000000-0005-0000-0000-000074B00000}"/>
    <cellStyle name="Normal 8 2 5" xfId="47217" xr:uid="{00000000-0005-0000-0000-000075B00000}"/>
    <cellStyle name="Normal 8 2 5 2" xfId="47218" xr:uid="{00000000-0005-0000-0000-000076B00000}"/>
    <cellStyle name="Normal 8 2 5 2 2" xfId="47219" xr:uid="{00000000-0005-0000-0000-000077B00000}"/>
    <cellStyle name="Normal 8 2 5 2 2 2" xfId="47220" xr:uid="{00000000-0005-0000-0000-000078B00000}"/>
    <cellStyle name="Normal 8 2 5 2 3" xfId="47221" xr:uid="{00000000-0005-0000-0000-000079B00000}"/>
    <cellStyle name="Normal 8 2 5 3" xfId="47222" xr:uid="{00000000-0005-0000-0000-00007AB00000}"/>
    <cellStyle name="Normal 8 2 5 3 2" xfId="47223" xr:uid="{00000000-0005-0000-0000-00007BB00000}"/>
    <cellStyle name="Normal 8 2 5 3 2 2" xfId="47224" xr:uid="{00000000-0005-0000-0000-00007CB00000}"/>
    <cellStyle name="Normal 8 2 5 3 3" xfId="47225" xr:uid="{00000000-0005-0000-0000-00007DB00000}"/>
    <cellStyle name="Normal 8 2 5 4" xfId="47226" xr:uid="{00000000-0005-0000-0000-00007EB00000}"/>
    <cellStyle name="Normal 8 2 5 4 2" xfId="47227" xr:uid="{00000000-0005-0000-0000-00007FB00000}"/>
    <cellStyle name="Normal 8 2 5 5" xfId="47228" xr:uid="{00000000-0005-0000-0000-000080B00000}"/>
    <cellStyle name="Normal 8 2 5 6" xfId="47229" xr:uid="{00000000-0005-0000-0000-000081B00000}"/>
    <cellStyle name="Normal 8 2 5 7" xfId="47230" xr:uid="{00000000-0005-0000-0000-000082B00000}"/>
    <cellStyle name="Normal 8 2 6" xfId="47231" xr:uid="{00000000-0005-0000-0000-000083B00000}"/>
    <cellStyle name="Normal 8 2 6 2" xfId="47232" xr:uid="{00000000-0005-0000-0000-000084B00000}"/>
    <cellStyle name="Normal 8 2 6 2 2" xfId="47233" xr:uid="{00000000-0005-0000-0000-000085B00000}"/>
    <cellStyle name="Normal 8 2 6 3" xfId="47234" xr:uid="{00000000-0005-0000-0000-000086B00000}"/>
    <cellStyle name="Normal 8 2 7" xfId="47235" xr:uid="{00000000-0005-0000-0000-000087B00000}"/>
    <cellStyle name="Normal 8 2 7 2" xfId="47236" xr:uid="{00000000-0005-0000-0000-000088B00000}"/>
    <cellStyle name="Normal 8 2 7 2 2" xfId="47237" xr:uid="{00000000-0005-0000-0000-000089B00000}"/>
    <cellStyle name="Normal 8 2 7 3" xfId="47238" xr:uid="{00000000-0005-0000-0000-00008AB00000}"/>
    <cellStyle name="Normal 8 2 8" xfId="47239" xr:uid="{00000000-0005-0000-0000-00008BB00000}"/>
    <cellStyle name="Normal 8 2 9" xfId="47240" xr:uid="{00000000-0005-0000-0000-00008CB00000}"/>
    <cellStyle name="Normal 8 3" xfId="47241" xr:uid="{00000000-0005-0000-0000-00008DB00000}"/>
    <cellStyle name="Normal 8 3 10" xfId="47242" xr:uid="{00000000-0005-0000-0000-00008EB00000}"/>
    <cellStyle name="Normal 8 3 11" xfId="47243" xr:uid="{00000000-0005-0000-0000-00008FB00000}"/>
    <cellStyle name="Normal 8 3 12" xfId="47244" xr:uid="{00000000-0005-0000-0000-000090B00000}"/>
    <cellStyle name="Normal 8 3 13" xfId="47245" xr:uid="{00000000-0005-0000-0000-000091B00000}"/>
    <cellStyle name="Normal 8 3 2" xfId="47246" xr:uid="{00000000-0005-0000-0000-000092B00000}"/>
    <cellStyle name="Normal 8 3 2 10" xfId="47247" xr:uid="{00000000-0005-0000-0000-000093B00000}"/>
    <cellStyle name="Normal 8 3 2 2" xfId="47248" xr:uid="{00000000-0005-0000-0000-000094B00000}"/>
    <cellStyle name="Normal 8 3 2 2 2" xfId="47249" xr:uid="{00000000-0005-0000-0000-000095B00000}"/>
    <cellStyle name="Normal 8 3 2 2 2 2" xfId="47250" xr:uid="{00000000-0005-0000-0000-000096B00000}"/>
    <cellStyle name="Normal 8 3 2 2 2 2 2" xfId="47251" xr:uid="{00000000-0005-0000-0000-000097B00000}"/>
    <cellStyle name="Normal 8 3 2 2 2 2 2 2" xfId="47252" xr:uid="{00000000-0005-0000-0000-000098B00000}"/>
    <cellStyle name="Normal 8 3 2 2 2 2 3" xfId="47253" xr:uid="{00000000-0005-0000-0000-000099B00000}"/>
    <cellStyle name="Normal 8 3 2 2 2 3" xfId="47254" xr:uid="{00000000-0005-0000-0000-00009AB00000}"/>
    <cellStyle name="Normal 8 3 2 2 2 3 2" xfId="47255" xr:uid="{00000000-0005-0000-0000-00009BB00000}"/>
    <cellStyle name="Normal 8 3 2 2 2 4" xfId="47256" xr:uid="{00000000-0005-0000-0000-00009CB00000}"/>
    <cellStyle name="Normal 8 3 2 2 2 5" xfId="47257" xr:uid="{00000000-0005-0000-0000-00009DB00000}"/>
    <cellStyle name="Normal 8 3 2 2 2 6" xfId="47258" xr:uid="{00000000-0005-0000-0000-00009EB00000}"/>
    <cellStyle name="Normal 8 3 2 2 3" xfId="47259" xr:uid="{00000000-0005-0000-0000-00009FB00000}"/>
    <cellStyle name="Normal 8 3 2 2 3 2" xfId="47260" xr:uid="{00000000-0005-0000-0000-0000A0B00000}"/>
    <cellStyle name="Normal 8 3 2 2 3 2 2" xfId="47261" xr:uid="{00000000-0005-0000-0000-0000A1B00000}"/>
    <cellStyle name="Normal 8 3 2 2 3 3" xfId="47262" xr:uid="{00000000-0005-0000-0000-0000A2B00000}"/>
    <cellStyle name="Normal 8 3 2 2 4" xfId="47263" xr:uid="{00000000-0005-0000-0000-0000A3B00000}"/>
    <cellStyle name="Normal 8 3 2 2 4 2" xfId="47264" xr:uid="{00000000-0005-0000-0000-0000A4B00000}"/>
    <cellStyle name="Normal 8 3 2 2 4 2 2" xfId="47265" xr:uid="{00000000-0005-0000-0000-0000A5B00000}"/>
    <cellStyle name="Normal 8 3 2 2 4 3" xfId="47266" xr:uid="{00000000-0005-0000-0000-0000A6B00000}"/>
    <cellStyle name="Normal 8 3 2 2 5" xfId="47267" xr:uid="{00000000-0005-0000-0000-0000A7B00000}"/>
    <cellStyle name="Normal 8 3 2 2 5 2" xfId="47268" xr:uid="{00000000-0005-0000-0000-0000A8B00000}"/>
    <cellStyle name="Normal 8 3 2 2 6" xfId="47269" xr:uid="{00000000-0005-0000-0000-0000A9B00000}"/>
    <cellStyle name="Normal 8 3 2 2 7" xfId="47270" xr:uid="{00000000-0005-0000-0000-0000AAB00000}"/>
    <cellStyle name="Normal 8 3 2 2 8" xfId="47271" xr:uid="{00000000-0005-0000-0000-0000ABB00000}"/>
    <cellStyle name="Normal 8 3 2 3" xfId="47272" xr:uid="{00000000-0005-0000-0000-0000ACB00000}"/>
    <cellStyle name="Normal 8 3 2 3 2" xfId="47273" xr:uid="{00000000-0005-0000-0000-0000ADB00000}"/>
    <cellStyle name="Normal 8 3 2 3 2 2" xfId="47274" xr:uid="{00000000-0005-0000-0000-0000AEB00000}"/>
    <cellStyle name="Normal 8 3 2 3 2 2 2" xfId="47275" xr:uid="{00000000-0005-0000-0000-0000AFB00000}"/>
    <cellStyle name="Normal 8 3 2 3 2 2 2 2" xfId="47276" xr:uid="{00000000-0005-0000-0000-0000B0B00000}"/>
    <cellStyle name="Normal 8 3 2 3 2 2 3" xfId="47277" xr:uid="{00000000-0005-0000-0000-0000B1B00000}"/>
    <cellStyle name="Normal 8 3 2 3 2 3" xfId="47278" xr:uid="{00000000-0005-0000-0000-0000B2B00000}"/>
    <cellStyle name="Normal 8 3 2 3 2 3 2" xfId="47279" xr:uid="{00000000-0005-0000-0000-0000B3B00000}"/>
    <cellStyle name="Normal 8 3 2 3 2 4" xfId="47280" xr:uid="{00000000-0005-0000-0000-0000B4B00000}"/>
    <cellStyle name="Normal 8 3 2 3 2 5" xfId="47281" xr:uid="{00000000-0005-0000-0000-0000B5B00000}"/>
    <cellStyle name="Normal 8 3 2 3 2 6" xfId="47282" xr:uid="{00000000-0005-0000-0000-0000B6B00000}"/>
    <cellStyle name="Normal 8 3 2 3 3" xfId="47283" xr:uid="{00000000-0005-0000-0000-0000B7B00000}"/>
    <cellStyle name="Normal 8 3 2 3 3 2" xfId="47284" xr:uid="{00000000-0005-0000-0000-0000B8B00000}"/>
    <cellStyle name="Normal 8 3 2 3 3 2 2" xfId="47285" xr:uid="{00000000-0005-0000-0000-0000B9B00000}"/>
    <cellStyle name="Normal 8 3 2 3 3 3" xfId="47286" xr:uid="{00000000-0005-0000-0000-0000BAB00000}"/>
    <cellStyle name="Normal 8 3 2 3 4" xfId="47287" xr:uid="{00000000-0005-0000-0000-0000BBB00000}"/>
    <cellStyle name="Normal 8 3 2 3 4 2" xfId="47288" xr:uid="{00000000-0005-0000-0000-0000BCB00000}"/>
    <cellStyle name="Normal 8 3 2 3 5" xfId="47289" xr:uid="{00000000-0005-0000-0000-0000BDB00000}"/>
    <cellStyle name="Normal 8 3 2 3 6" xfId="47290" xr:uid="{00000000-0005-0000-0000-0000BEB00000}"/>
    <cellStyle name="Normal 8 3 2 3 7" xfId="47291" xr:uid="{00000000-0005-0000-0000-0000BFB00000}"/>
    <cellStyle name="Normal 8 3 2 4" xfId="47292" xr:uid="{00000000-0005-0000-0000-0000C0B00000}"/>
    <cellStyle name="Normal 8 3 2 4 2" xfId="47293" xr:uid="{00000000-0005-0000-0000-0000C1B00000}"/>
    <cellStyle name="Normal 8 3 2 4 2 2" xfId="47294" xr:uid="{00000000-0005-0000-0000-0000C2B00000}"/>
    <cellStyle name="Normal 8 3 2 4 2 2 2" xfId="47295" xr:uid="{00000000-0005-0000-0000-0000C3B00000}"/>
    <cellStyle name="Normal 8 3 2 4 2 3" xfId="47296" xr:uid="{00000000-0005-0000-0000-0000C4B00000}"/>
    <cellStyle name="Normal 8 3 2 4 3" xfId="47297" xr:uid="{00000000-0005-0000-0000-0000C5B00000}"/>
    <cellStyle name="Normal 8 3 2 4 3 2" xfId="47298" xr:uid="{00000000-0005-0000-0000-0000C6B00000}"/>
    <cellStyle name="Normal 8 3 2 4 4" xfId="47299" xr:uid="{00000000-0005-0000-0000-0000C7B00000}"/>
    <cellStyle name="Normal 8 3 2 4 5" xfId="47300" xr:uid="{00000000-0005-0000-0000-0000C8B00000}"/>
    <cellStyle name="Normal 8 3 2 4 6" xfId="47301" xr:uid="{00000000-0005-0000-0000-0000C9B00000}"/>
    <cellStyle name="Normal 8 3 2 5" xfId="47302" xr:uid="{00000000-0005-0000-0000-0000CAB00000}"/>
    <cellStyle name="Normal 8 3 2 5 2" xfId="47303" xr:uid="{00000000-0005-0000-0000-0000CBB00000}"/>
    <cellStyle name="Normal 8 3 2 5 2 2" xfId="47304" xr:uid="{00000000-0005-0000-0000-0000CCB00000}"/>
    <cellStyle name="Normal 8 3 2 5 3" xfId="47305" xr:uid="{00000000-0005-0000-0000-0000CDB00000}"/>
    <cellStyle name="Normal 8 3 2 6" xfId="47306" xr:uid="{00000000-0005-0000-0000-0000CEB00000}"/>
    <cellStyle name="Normal 8 3 2 6 2" xfId="47307" xr:uid="{00000000-0005-0000-0000-0000CFB00000}"/>
    <cellStyle name="Normal 8 3 2 6 2 2" xfId="47308" xr:uid="{00000000-0005-0000-0000-0000D0B00000}"/>
    <cellStyle name="Normal 8 3 2 6 3" xfId="47309" xr:uid="{00000000-0005-0000-0000-0000D1B00000}"/>
    <cellStyle name="Normal 8 3 2 7" xfId="47310" xr:uid="{00000000-0005-0000-0000-0000D2B00000}"/>
    <cellStyle name="Normal 8 3 2 7 2" xfId="47311" xr:uid="{00000000-0005-0000-0000-0000D3B00000}"/>
    <cellStyle name="Normal 8 3 2 8" xfId="47312" xr:uid="{00000000-0005-0000-0000-0000D4B00000}"/>
    <cellStyle name="Normal 8 3 2 9" xfId="47313" xr:uid="{00000000-0005-0000-0000-0000D5B00000}"/>
    <cellStyle name="Normal 8 3 3" xfId="47314" xr:uid="{00000000-0005-0000-0000-0000D6B00000}"/>
    <cellStyle name="Normal 8 3 3 2" xfId="47315" xr:uid="{00000000-0005-0000-0000-0000D7B00000}"/>
    <cellStyle name="Normal 8 3 3 2 2" xfId="47316" xr:uid="{00000000-0005-0000-0000-0000D8B00000}"/>
    <cellStyle name="Normal 8 3 3 2 2 2" xfId="47317" xr:uid="{00000000-0005-0000-0000-0000D9B00000}"/>
    <cellStyle name="Normal 8 3 3 2 2 2 2" xfId="47318" xr:uid="{00000000-0005-0000-0000-0000DAB00000}"/>
    <cellStyle name="Normal 8 3 3 2 2 3" xfId="47319" xr:uid="{00000000-0005-0000-0000-0000DBB00000}"/>
    <cellStyle name="Normal 8 3 3 2 3" xfId="47320" xr:uid="{00000000-0005-0000-0000-0000DCB00000}"/>
    <cellStyle name="Normal 8 3 3 2 3 2" xfId="47321" xr:uid="{00000000-0005-0000-0000-0000DDB00000}"/>
    <cellStyle name="Normal 8 3 3 2 4" xfId="47322" xr:uid="{00000000-0005-0000-0000-0000DEB00000}"/>
    <cellStyle name="Normal 8 3 3 2 5" xfId="47323" xr:uid="{00000000-0005-0000-0000-0000DFB00000}"/>
    <cellStyle name="Normal 8 3 3 2 6" xfId="47324" xr:uid="{00000000-0005-0000-0000-0000E0B00000}"/>
    <cellStyle name="Normal 8 3 3 3" xfId="47325" xr:uid="{00000000-0005-0000-0000-0000E1B00000}"/>
    <cellStyle name="Normal 8 3 3 3 2" xfId="47326" xr:uid="{00000000-0005-0000-0000-0000E2B00000}"/>
    <cellStyle name="Normal 8 3 3 3 2 2" xfId="47327" xr:uid="{00000000-0005-0000-0000-0000E3B00000}"/>
    <cellStyle name="Normal 8 3 3 3 3" xfId="47328" xr:uid="{00000000-0005-0000-0000-0000E4B00000}"/>
    <cellStyle name="Normal 8 3 3 4" xfId="47329" xr:uid="{00000000-0005-0000-0000-0000E5B00000}"/>
    <cellStyle name="Normal 8 3 3 4 2" xfId="47330" xr:uid="{00000000-0005-0000-0000-0000E6B00000}"/>
    <cellStyle name="Normal 8 3 3 4 2 2" xfId="47331" xr:uid="{00000000-0005-0000-0000-0000E7B00000}"/>
    <cellStyle name="Normal 8 3 3 4 3" xfId="47332" xr:uid="{00000000-0005-0000-0000-0000E8B00000}"/>
    <cellStyle name="Normal 8 3 3 5" xfId="47333" xr:uid="{00000000-0005-0000-0000-0000E9B00000}"/>
    <cellStyle name="Normal 8 3 3 5 2" xfId="47334" xr:uid="{00000000-0005-0000-0000-0000EAB00000}"/>
    <cellStyle name="Normal 8 3 3 6" xfId="47335" xr:uid="{00000000-0005-0000-0000-0000EBB00000}"/>
    <cellStyle name="Normal 8 3 3 7" xfId="47336" xr:uid="{00000000-0005-0000-0000-0000ECB00000}"/>
    <cellStyle name="Normal 8 3 3 8" xfId="47337" xr:uid="{00000000-0005-0000-0000-0000EDB00000}"/>
    <cellStyle name="Normal 8 3 4" xfId="47338" xr:uid="{00000000-0005-0000-0000-0000EEB00000}"/>
    <cellStyle name="Normal 8 3 4 2" xfId="47339" xr:uid="{00000000-0005-0000-0000-0000EFB00000}"/>
    <cellStyle name="Normal 8 3 4 2 2" xfId="47340" xr:uid="{00000000-0005-0000-0000-0000F0B00000}"/>
    <cellStyle name="Normal 8 3 4 2 2 2" xfId="47341" xr:uid="{00000000-0005-0000-0000-0000F1B00000}"/>
    <cellStyle name="Normal 8 3 4 2 2 2 2" xfId="47342" xr:uid="{00000000-0005-0000-0000-0000F2B00000}"/>
    <cellStyle name="Normal 8 3 4 2 2 3" xfId="47343" xr:uid="{00000000-0005-0000-0000-0000F3B00000}"/>
    <cellStyle name="Normal 8 3 4 2 3" xfId="47344" xr:uid="{00000000-0005-0000-0000-0000F4B00000}"/>
    <cellStyle name="Normal 8 3 4 2 3 2" xfId="47345" xr:uid="{00000000-0005-0000-0000-0000F5B00000}"/>
    <cellStyle name="Normal 8 3 4 2 4" xfId="47346" xr:uid="{00000000-0005-0000-0000-0000F6B00000}"/>
    <cellStyle name="Normal 8 3 4 2 5" xfId="47347" xr:uid="{00000000-0005-0000-0000-0000F7B00000}"/>
    <cellStyle name="Normal 8 3 4 2 6" xfId="47348" xr:uid="{00000000-0005-0000-0000-0000F8B00000}"/>
    <cellStyle name="Normal 8 3 4 3" xfId="47349" xr:uid="{00000000-0005-0000-0000-0000F9B00000}"/>
    <cellStyle name="Normal 8 3 4 3 2" xfId="47350" xr:uid="{00000000-0005-0000-0000-0000FAB00000}"/>
    <cellStyle name="Normal 8 3 4 3 2 2" xfId="47351" xr:uid="{00000000-0005-0000-0000-0000FBB00000}"/>
    <cellStyle name="Normal 8 3 4 3 3" xfId="47352" xr:uid="{00000000-0005-0000-0000-0000FCB00000}"/>
    <cellStyle name="Normal 8 3 4 4" xfId="47353" xr:uid="{00000000-0005-0000-0000-0000FDB00000}"/>
    <cellStyle name="Normal 8 3 4 4 2" xfId="47354" xr:uid="{00000000-0005-0000-0000-0000FEB00000}"/>
    <cellStyle name="Normal 8 3 4 4 2 2" xfId="47355" xr:uid="{00000000-0005-0000-0000-0000FFB00000}"/>
    <cellStyle name="Normal 8 3 4 4 3" xfId="47356" xr:uid="{00000000-0005-0000-0000-000000B10000}"/>
    <cellStyle name="Normal 8 3 4 5" xfId="47357" xr:uid="{00000000-0005-0000-0000-000001B10000}"/>
    <cellStyle name="Normal 8 3 4 5 2" xfId="47358" xr:uid="{00000000-0005-0000-0000-000002B10000}"/>
    <cellStyle name="Normal 8 3 4 6" xfId="47359" xr:uid="{00000000-0005-0000-0000-000003B10000}"/>
    <cellStyle name="Normal 8 3 4 7" xfId="47360" xr:uid="{00000000-0005-0000-0000-000004B10000}"/>
    <cellStyle name="Normal 8 3 4 8" xfId="47361" xr:uid="{00000000-0005-0000-0000-000005B10000}"/>
    <cellStyle name="Normal 8 3 5" xfId="47362" xr:uid="{00000000-0005-0000-0000-000006B10000}"/>
    <cellStyle name="Normal 8 3 5 2" xfId="47363" xr:uid="{00000000-0005-0000-0000-000007B10000}"/>
    <cellStyle name="Normal 8 3 5 2 2" xfId="47364" xr:uid="{00000000-0005-0000-0000-000008B10000}"/>
    <cellStyle name="Normal 8 3 5 2 2 2" xfId="47365" xr:uid="{00000000-0005-0000-0000-000009B10000}"/>
    <cellStyle name="Normal 8 3 5 2 3" xfId="47366" xr:uid="{00000000-0005-0000-0000-00000AB10000}"/>
    <cellStyle name="Normal 8 3 5 3" xfId="47367" xr:uid="{00000000-0005-0000-0000-00000BB10000}"/>
    <cellStyle name="Normal 8 3 5 3 2" xfId="47368" xr:uid="{00000000-0005-0000-0000-00000CB10000}"/>
    <cellStyle name="Normal 8 3 5 4" xfId="47369" xr:uid="{00000000-0005-0000-0000-00000DB10000}"/>
    <cellStyle name="Normal 8 3 5 5" xfId="47370" xr:uid="{00000000-0005-0000-0000-00000EB10000}"/>
    <cellStyle name="Normal 8 3 5 6" xfId="47371" xr:uid="{00000000-0005-0000-0000-00000FB10000}"/>
    <cellStyle name="Normal 8 3 6" xfId="47372" xr:uid="{00000000-0005-0000-0000-000010B10000}"/>
    <cellStyle name="Normal 8 3 6 2" xfId="47373" xr:uid="{00000000-0005-0000-0000-000011B10000}"/>
    <cellStyle name="Normal 8 3 6 2 2" xfId="47374" xr:uid="{00000000-0005-0000-0000-000012B10000}"/>
    <cellStyle name="Normal 8 3 6 3" xfId="47375" xr:uid="{00000000-0005-0000-0000-000013B10000}"/>
    <cellStyle name="Normal 8 3 7" xfId="47376" xr:uid="{00000000-0005-0000-0000-000014B10000}"/>
    <cellStyle name="Normal 8 3 7 2" xfId="47377" xr:uid="{00000000-0005-0000-0000-000015B10000}"/>
    <cellStyle name="Normal 8 3 7 2 2" xfId="47378" xr:uid="{00000000-0005-0000-0000-000016B10000}"/>
    <cellStyle name="Normal 8 3 7 3" xfId="47379" xr:uid="{00000000-0005-0000-0000-000017B10000}"/>
    <cellStyle name="Normal 8 3 8" xfId="47380" xr:uid="{00000000-0005-0000-0000-000018B10000}"/>
    <cellStyle name="Normal 8 3 8 2" xfId="47381" xr:uid="{00000000-0005-0000-0000-000019B10000}"/>
    <cellStyle name="Normal 8 3 9" xfId="47382" xr:uid="{00000000-0005-0000-0000-00001AB10000}"/>
    <cellStyle name="Normal 8 3 9 2" xfId="47383" xr:uid="{00000000-0005-0000-0000-00001BB10000}"/>
    <cellStyle name="Normal 8 4" xfId="47384" xr:uid="{00000000-0005-0000-0000-00001CB10000}"/>
    <cellStyle name="Normal 8 4 10" xfId="47385" xr:uid="{00000000-0005-0000-0000-00001DB10000}"/>
    <cellStyle name="Normal 8 4 11" xfId="47386" xr:uid="{00000000-0005-0000-0000-00001EB10000}"/>
    <cellStyle name="Normal 8 4 2" xfId="47387" xr:uid="{00000000-0005-0000-0000-00001FB10000}"/>
    <cellStyle name="Normal 8 4 2 10" xfId="47388" xr:uid="{00000000-0005-0000-0000-000020B10000}"/>
    <cellStyle name="Normal 8 4 2 2" xfId="47389" xr:uid="{00000000-0005-0000-0000-000021B10000}"/>
    <cellStyle name="Normal 8 4 2 2 2" xfId="47390" xr:uid="{00000000-0005-0000-0000-000022B10000}"/>
    <cellStyle name="Normal 8 4 2 2 2 2" xfId="47391" xr:uid="{00000000-0005-0000-0000-000023B10000}"/>
    <cellStyle name="Normal 8 4 2 2 2 2 2" xfId="47392" xr:uid="{00000000-0005-0000-0000-000024B10000}"/>
    <cellStyle name="Normal 8 4 2 2 2 2 2 2" xfId="47393" xr:uid="{00000000-0005-0000-0000-000025B10000}"/>
    <cellStyle name="Normal 8 4 2 2 2 2 3" xfId="47394" xr:uid="{00000000-0005-0000-0000-000026B10000}"/>
    <cellStyle name="Normal 8 4 2 2 2 3" xfId="47395" xr:uid="{00000000-0005-0000-0000-000027B10000}"/>
    <cellStyle name="Normal 8 4 2 2 2 3 2" xfId="47396" xr:uid="{00000000-0005-0000-0000-000028B10000}"/>
    <cellStyle name="Normal 8 4 2 2 2 4" xfId="47397" xr:uid="{00000000-0005-0000-0000-000029B10000}"/>
    <cellStyle name="Normal 8 4 2 2 2 5" xfId="47398" xr:uid="{00000000-0005-0000-0000-00002AB10000}"/>
    <cellStyle name="Normal 8 4 2 2 2 6" xfId="47399" xr:uid="{00000000-0005-0000-0000-00002BB10000}"/>
    <cellStyle name="Normal 8 4 2 2 3" xfId="47400" xr:uid="{00000000-0005-0000-0000-00002CB10000}"/>
    <cellStyle name="Normal 8 4 2 2 3 2" xfId="47401" xr:uid="{00000000-0005-0000-0000-00002DB10000}"/>
    <cellStyle name="Normal 8 4 2 2 3 2 2" xfId="47402" xr:uid="{00000000-0005-0000-0000-00002EB10000}"/>
    <cellStyle name="Normal 8 4 2 2 3 3" xfId="47403" xr:uid="{00000000-0005-0000-0000-00002FB10000}"/>
    <cellStyle name="Normal 8 4 2 2 4" xfId="47404" xr:uid="{00000000-0005-0000-0000-000030B10000}"/>
    <cellStyle name="Normal 8 4 2 2 4 2" xfId="47405" xr:uid="{00000000-0005-0000-0000-000031B10000}"/>
    <cellStyle name="Normal 8 4 2 2 4 2 2" xfId="47406" xr:uid="{00000000-0005-0000-0000-000032B10000}"/>
    <cellStyle name="Normal 8 4 2 2 4 3" xfId="47407" xr:uid="{00000000-0005-0000-0000-000033B10000}"/>
    <cellStyle name="Normal 8 4 2 2 5" xfId="47408" xr:uid="{00000000-0005-0000-0000-000034B10000}"/>
    <cellStyle name="Normal 8 4 2 2 5 2" xfId="47409" xr:uid="{00000000-0005-0000-0000-000035B10000}"/>
    <cellStyle name="Normal 8 4 2 2 6" xfId="47410" xr:uid="{00000000-0005-0000-0000-000036B10000}"/>
    <cellStyle name="Normal 8 4 2 2 7" xfId="47411" xr:uid="{00000000-0005-0000-0000-000037B10000}"/>
    <cellStyle name="Normal 8 4 2 2 8" xfId="47412" xr:uid="{00000000-0005-0000-0000-000038B10000}"/>
    <cellStyle name="Normal 8 4 2 3" xfId="47413" xr:uid="{00000000-0005-0000-0000-000039B10000}"/>
    <cellStyle name="Normal 8 4 2 3 2" xfId="47414" xr:uid="{00000000-0005-0000-0000-00003AB10000}"/>
    <cellStyle name="Normal 8 4 2 3 2 2" xfId="47415" xr:uid="{00000000-0005-0000-0000-00003BB10000}"/>
    <cellStyle name="Normal 8 4 2 3 2 2 2" xfId="47416" xr:uid="{00000000-0005-0000-0000-00003CB10000}"/>
    <cellStyle name="Normal 8 4 2 3 2 2 2 2" xfId="47417" xr:uid="{00000000-0005-0000-0000-00003DB10000}"/>
    <cellStyle name="Normal 8 4 2 3 2 2 3" xfId="47418" xr:uid="{00000000-0005-0000-0000-00003EB10000}"/>
    <cellStyle name="Normal 8 4 2 3 2 3" xfId="47419" xr:uid="{00000000-0005-0000-0000-00003FB10000}"/>
    <cellStyle name="Normal 8 4 2 3 2 3 2" xfId="47420" xr:uid="{00000000-0005-0000-0000-000040B10000}"/>
    <cellStyle name="Normal 8 4 2 3 2 4" xfId="47421" xr:uid="{00000000-0005-0000-0000-000041B10000}"/>
    <cellStyle name="Normal 8 4 2 3 2 5" xfId="47422" xr:uid="{00000000-0005-0000-0000-000042B10000}"/>
    <cellStyle name="Normal 8 4 2 3 2 6" xfId="47423" xr:uid="{00000000-0005-0000-0000-000043B10000}"/>
    <cellStyle name="Normal 8 4 2 3 3" xfId="47424" xr:uid="{00000000-0005-0000-0000-000044B10000}"/>
    <cellStyle name="Normal 8 4 2 3 3 2" xfId="47425" xr:uid="{00000000-0005-0000-0000-000045B10000}"/>
    <cellStyle name="Normal 8 4 2 3 3 2 2" xfId="47426" xr:uid="{00000000-0005-0000-0000-000046B10000}"/>
    <cellStyle name="Normal 8 4 2 3 3 3" xfId="47427" xr:uid="{00000000-0005-0000-0000-000047B10000}"/>
    <cellStyle name="Normal 8 4 2 3 4" xfId="47428" xr:uid="{00000000-0005-0000-0000-000048B10000}"/>
    <cellStyle name="Normal 8 4 2 3 4 2" xfId="47429" xr:uid="{00000000-0005-0000-0000-000049B10000}"/>
    <cellStyle name="Normal 8 4 2 3 5" xfId="47430" xr:uid="{00000000-0005-0000-0000-00004AB10000}"/>
    <cellStyle name="Normal 8 4 2 3 6" xfId="47431" xr:uid="{00000000-0005-0000-0000-00004BB10000}"/>
    <cellStyle name="Normal 8 4 2 3 7" xfId="47432" xr:uid="{00000000-0005-0000-0000-00004CB10000}"/>
    <cellStyle name="Normal 8 4 2 4" xfId="47433" xr:uid="{00000000-0005-0000-0000-00004DB10000}"/>
    <cellStyle name="Normal 8 4 2 4 2" xfId="47434" xr:uid="{00000000-0005-0000-0000-00004EB10000}"/>
    <cellStyle name="Normal 8 4 2 4 2 2" xfId="47435" xr:uid="{00000000-0005-0000-0000-00004FB10000}"/>
    <cellStyle name="Normal 8 4 2 4 2 2 2" xfId="47436" xr:uid="{00000000-0005-0000-0000-000050B10000}"/>
    <cellStyle name="Normal 8 4 2 4 2 3" xfId="47437" xr:uid="{00000000-0005-0000-0000-000051B10000}"/>
    <cellStyle name="Normal 8 4 2 4 3" xfId="47438" xr:uid="{00000000-0005-0000-0000-000052B10000}"/>
    <cellStyle name="Normal 8 4 2 4 3 2" xfId="47439" xr:uid="{00000000-0005-0000-0000-000053B10000}"/>
    <cellStyle name="Normal 8 4 2 4 4" xfId="47440" xr:uid="{00000000-0005-0000-0000-000054B10000}"/>
    <cellStyle name="Normal 8 4 2 4 5" xfId="47441" xr:uid="{00000000-0005-0000-0000-000055B10000}"/>
    <cellStyle name="Normal 8 4 2 4 6" xfId="47442" xr:uid="{00000000-0005-0000-0000-000056B10000}"/>
    <cellStyle name="Normal 8 4 2 5" xfId="47443" xr:uid="{00000000-0005-0000-0000-000057B10000}"/>
    <cellStyle name="Normal 8 4 2 5 2" xfId="47444" xr:uid="{00000000-0005-0000-0000-000058B10000}"/>
    <cellStyle name="Normal 8 4 2 5 2 2" xfId="47445" xr:uid="{00000000-0005-0000-0000-000059B10000}"/>
    <cellStyle name="Normal 8 4 2 5 3" xfId="47446" xr:uid="{00000000-0005-0000-0000-00005AB10000}"/>
    <cellStyle name="Normal 8 4 2 6" xfId="47447" xr:uid="{00000000-0005-0000-0000-00005BB10000}"/>
    <cellStyle name="Normal 8 4 2 6 2" xfId="47448" xr:uid="{00000000-0005-0000-0000-00005CB10000}"/>
    <cellStyle name="Normal 8 4 2 6 2 2" xfId="47449" xr:uid="{00000000-0005-0000-0000-00005DB10000}"/>
    <cellStyle name="Normal 8 4 2 6 3" xfId="47450" xr:uid="{00000000-0005-0000-0000-00005EB10000}"/>
    <cellStyle name="Normal 8 4 2 7" xfId="47451" xr:uid="{00000000-0005-0000-0000-00005FB10000}"/>
    <cellStyle name="Normal 8 4 2 7 2" xfId="47452" xr:uid="{00000000-0005-0000-0000-000060B10000}"/>
    <cellStyle name="Normal 8 4 2 8" xfId="47453" xr:uid="{00000000-0005-0000-0000-000061B10000}"/>
    <cellStyle name="Normal 8 4 2 9" xfId="47454" xr:uid="{00000000-0005-0000-0000-000062B10000}"/>
    <cellStyle name="Normal 8 4 3" xfId="47455" xr:uid="{00000000-0005-0000-0000-000063B10000}"/>
    <cellStyle name="Normal 8 4 3 2" xfId="47456" xr:uid="{00000000-0005-0000-0000-000064B10000}"/>
    <cellStyle name="Normal 8 4 3 2 2" xfId="47457" xr:uid="{00000000-0005-0000-0000-000065B10000}"/>
    <cellStyle name="Normal 8 4 3 2 2 2" xfId="47458" xr:uid="{00000000-0005-0000-0000-000066B10000}"/>
    <cellStyle name="Normal 8 4 3 2 2 2 2" xfId="47459" xr:uid="{00000000-0005-0000-0000-000067B10000}"/>
    <cellStyle name="Normal 8 4 3 2 2 3" xfId="47460" xr:uid="{00000000-0005-0000-0000-000068B10000}"/>
    <cellStyle name="Normal 8 4 3 2 3" xfId="47461" xr:uid="{00000000-0005-0000-0000-000069B10000}"/>
    <cellStyle name="Normal 8 4 3 2 3 2" xfId="47462" xr:uid="{00000000-0005-0000-0000-00006AB10000}"/>
    <cellStyle name="Normal 8 4 3 2 4" xfId="47463" xr:uid="{00000000-0005-0000-0000-00006BB10000}"/>
    <cellStyle name="Normal 8 4 3 2 5" xfId="47464" xr:uid="{00000000-0005-0000-0000-00006CB10000}"/>
    <cellStyle name="Normal 8 4 3 2 6" xfId="47465" xr:uid="{00000000-0005-0000-0000-00006DB10000}"/>
    <cellStyle name="Normal 8 4 3 3" xfId="47466" xr:uid="{00000000-0005-0000-0000-00006EB10000}"/>
    <cellStyle name="Normal 8 4 3 3 2" xfId="47467" xr:uid="{00000000-0005-0000-0000-00006FB10000}"/>
    <cellStyle name="Normal 8 4 3 3 2 2" xfId="47468" xr:uid="{00000000-0005-0000-0000-000070B10000}"/>
    <cellStyle name="Normal 8 4 3 3 3" xfId="47469" xr:uid="{00000000-0005-0000-0000-000071B10000}"/>
    <cellStyle name="Normal 8 4 3 4" xfId="47470" xr:uid="{00000000-0005-0000-0000-000072B10000}"/>
    <cellStyle name="Normal 8 4 3 4 2" xfId="47471" xr:uid="{00000000-0005-0000-0000-000073B10000}"/>
    <cellStyle name="Normal 8 4 3 4 2 2" xfId="47472" xr:uid="{00000000-0005-0000-0000-000074B10000}"/>
    <cellStyle name="Normal 8 4 3 4 3" xfId="47473" xr:uid="{00000000-0005-0000-0000-000075B10000}"/>
    <cellStyle name="Normal 8 4 3 5" xfId="47474" xr:uid="{00000000-0005-0000-0000-000076B10000}"/>
    <cellStyle name="Normal 8 4 3 5 2" xfId="47475" xr:uid="{00000000-0005-0000-0000-000077B10000}"/>
    <cellStyle name="Normal 8 4 3 6" xfId="47476" xr:uid="{00000000-0005-0000-0000-000078B10000}"/>
    <cellStyle name="Normal 8 4 3 7" xfId="47477" xr:uid="{00000000-0005-0000-0000-000079B10000}"/>
    <cellStyle name="Normal 8 4 3 8" xfId="47478" xr:uid="{00000000-0005-0000-0000-00007AB10000}"/>
    <cellStyle name="Normal 8 4 4" xfId="47479" xr:uid="{00000000-0005-0000-0000-00007BB10000}"/>
    <cellStyle name="Normal 8 4 4 2" xfId="47480" xr:uid="{00000000-0005-0000-0000-00007CB10000}"/>
    <cellStyle name="Normal 8 4 4 2 2" xfId="47481" xr:uid="{00000000-0005-0000-0000-00007DB10000}"/>
    <cellStyle name="Normal 8 4 4 2 2 2" xfId="47482" xr:uid="{00000000-0005-0000-0000-00007EB10000}"/>
    <cellStyle name="Normal 8 4 4 2 2 2 2" xfId="47483" xr:uid="{00000000-0005-0000-0000-00007FB10000}"/>
    <cellStyle name="Normal 8 4 4 2 2 3" xfId="47484" xr:uid="{00000000-0005-0000-0000-000080B10000}"/>
    <cellStyle name="Normal 8 4 4 2 3" xfId="47485" xr:uid="{00000000-0005-0000-0000-000081B10000}"/>
    <cellStyle name="Normal 8 4 4 2 3 2" xfId="47486" xr:uid="{00000000-0005-0000-0000-000082B10000}"/>
    <cellStyle name="Normal 8 4 4 2 4" xfId="47487" xr:uid="{00000000-0005-0000-0000-000083B10000}"/>
    <cellStyle name="Normal 8 4 4 2 5" xfId="47488" xr:uid="{00000000-0005-0000-0000-000084B10000}"/>
    <cellStyle name="Normal 8 4 4 2 6" xfId="47489" xr:uid="{00000000-0005-0000-0000-000085B10000}"/>
    <cellStyle name="Normal 8 4 4 3" xfId="47490" xr:uid="{00000000-0005-0000-0000-000086B10000}"/>
    <cellStyle name="Normal 8 4 4 3 2" xfId="47491" xr:uid="{00000000-0005-0000-0000-000087B10000}"/>
    <cellStyle name="Normal 8 4 4 3 2 2" xfId="47492" xr:uid="{00000000-0005-0000-0000-000088B10000}"/>
    <cellStyle name="Normal 8 4 4 3 3" xfId="47493" xr:uid="{00000000-0005-0000-0000-000089B10000}"/>
    <cellStyle name="Normal 8 4 4 4" xfId="47494" xr:uid="{00000000-0005-0000-0000-00008AB10000}"/>
    <cellStyle name="Normal 8 4 4 4 2" xfId="47495" xr:uid="{00000000-0005-0000-0000-00008BB10000}"/>
    <cellStyle name="Normal 8 4 4 4 2 2" xfId="47496" xr:uid="{00000000-0005-0000-0000-00008CB10000}"/>
    <cellStyle name="Normal 8 4 4 4 3" xfId="47497" xr:uid="{00000000-0005-0000-0000-00008DB10000}"/>
    <cellStyle name="Normal 8 4 4 5" xfId="47498" xr:uid="{00000000-0005-0000-0000-00008EB10000}"/>
    <cellStyle name="Normal 8 4 4 5 2" xfId="47499" xr:uid="{00000000-0005-0000-0000-00008FB10000}"/>
    <cellStyle name="Normal 8 4 4 6" xfId="47500" xr:uid="{00000000-0005-0000-0000-000090B10000}"/>
    <cellStyle name="Normal 8 4 4 7" xfId="47501" xr:uid="{00000000-0005-0000-0000-000091B10000}"/>
    <cellStyle name="Normal 8 4 4 8" xfId="47502" xr:uid="{00000000-0005-0000-0000-000092B10000}"/>
    <cellStyle name="Normal 8 4 5" xfId="47503" xr:uid="{00000000-0005-0000-0000-000093B10000}"/>
    <cellStyle name="Normal 8 4 5 2" xfId="47504" xr:uid="{00000000-0005-0000-0000-000094B10000}"/>
    <cellStyle name="Normal 8 4 5 2 2" xfId="47505" xr:uid="{00000000-0005-0000-0000-000095B10000}"/>
    <cellStyle name="Normal 8 4 5 2 2 2" xfId="47506" xr:uid="{00000000-0005-0000-0000-000096B10000}"/>
    <cellStyle name="Normal 8 4 5 2 3" xfId="47507" xr:uid="{00000000-0005-0000-0000-000097B10000}"/>
    <cellStyle name="Normal 8 4 5 3" xfId="47508" xr:uid="{00000000-0005-0000-0000-000098B10000}"/>
    <cellStyle name="Normal 8 4 5 3 2" xfId="47509" xr:uid="{00000000-0005-0000-0000-000099B10000}"/>
    <cellStyle name="Normal 8 4 5 4" xfId="47510" xr:uid="{00000000-0005-0000-0000-00009AB10000}"/>
    <cellStyle name="Normal 8 4 5 5" xfId="47511" xr:uid="{00000000-0005-0000-0000-00009BB10000}"/>
    <cellStyle name="Normal 8 4 5 6" xfId="47512" xr:uid="{00000000-0005-0000-0000-00009CB10000}"/>
    <cellStyle name="Normal 8 4 6" xfId="47513" xr:uid="{00000000-0005-0000-0000-00009DB10000}"/>
    <cellStyle name="Normal 8 4 6 2" xfId="47514" xr:uid="{00000000-0005-0000-0000-00009EB10000}"/>
    <cellStyle name="Normal 8 4 6 2 2" xfId="47515" xr:uid="{00000000-0005-0000-0000-00009FB10000}"/>
    <cellStyle name="Normal 8 4 6 3" xfId="47516" xr:uid="{00000000-0005-0000-0000-0000A0B10000}"/>
    <cellStyle name="Normal 8 4 7" xfId="47517" xr:uid="{00000000-0005-0000-0000-0000A1B10000}"/>
    <cellStyle name="Normal 8 4 7 2" xfId="47518" xr:uid="{00000000-0005-0000-0000-0000A2B10000}"/>
    <cellStyle name="Normal 8 4 7 2 2" xfId="47519" xr:uid="{00000000-0005-0000-0000-0000A3B10000}"/>
    <cellStyle name="Normal 8 4 7 3" xfId="47520" xr:uid="{00000000-0005-0000-0000-0000A4B10000}"/>
    <cellStyle name="Normal 8 4 8" xfId="47521" xr:uid="{00000000-0005-0000-0000-0000A5B10000}"/>
    <cellStyle name="Normal 8 4 8 2" xfId="47522" xr:uid="{00000000-0005-0000-0000-0000A6B10000}"/>
    <cellStyle name="Normal 8 4 9" xfId="47523" xr:uid="{00000000-0005-0000-0000-0000A7B10000}"/>
    <cellStyle name="Normal 8 5" xfId="47524" xr:uid="{00000000-0005-0000-0000-0000A8B10000}"/>
    <cellStyle name="Normal 8 5 10" xfId="47525" xr:uid="{00000000-0005-0000-0000-0000A9B10000}"/>
    <cellStyle name="Normal 8 5 2" xfId="47526" xr:uid="{00000000-0005-0000-0000-0000AAB10000}"/>
    <cellStyle name="Normal 8 5 2 2" xfId="47527" xr:uid="{00000000-0005-0000-0000-0000ABB10000}"/>
    <cellStyle name="Normal 8 5 2 2 2" xfId="47528" xr:uid="{00000000-0005-0000-0000-0000ACB10000}"/>
    <cellStyle name="Normal 8 5 2 2 2 2" xfId="47529" xr:uid="{00000000-0005-0000-0000-0000ADB10000}"/>
    <cellStyle name="Normal 8 5 2 2 2 2 2" xfId="47530" xr:uid="{00000000-0005-0000-0000-0000AEB10000}"/>
    <cellStyle name="Normal 8 5 2 2 2 3" xfId="47531" xr:uid="{00000000-0005-0000-0000-0000AFB10000}"/>
    <cellStyle name="Normal 8 5 2 2 3" xfId="47532" xr:uid="{00000000-0005-0000-0000-0000B0B10000}"/>
    <cellStyle name="Normal 8 5 2 2 3 2" xfId="47533" xr:uid="{00000000-0005-0000-0000-0000B1B10000}"/>
    <cellStyle name="Normal 8 5 2 2 4" xfId="47534" xr:uid="{00000000-0005-0000-0000-0000B2B10000}"/>
    <cellStyle name="Normal 8 5 2 2 5" xfId="47535" xr:uid="{00000000-0005-0000-0000-0000B3B10000}"/>
    <cellStyle name="Normal 8 5 2 2 6" xfId="47536" xr:uid="{00000000-0005-0000-0000-0000B4B10000}"/>
    <cellStyle name="Normal 8 5 2 3" xfId="47537" xr:uid="{00000000-0005-0000-0000-0000B5B10000}"/>
    <cellStyle name="Normal 8 5 2 3 2" xfId="47538" xr:uid="{00000000-0005-0000-0000-0000B6B10000}"/>
    <cellStyle name="Normal 8 5 2 3 2 2" xfId="47539" xr:uid="{00000000-0005-0000-0000-0000B7B10000}"/>
    <cellStyle name="Normal 8 5 2 3 3" xfId="47540" xr:uid="{00000000-0005-0000-0000-0000B8B10000}"/>
    <cellStyle name="Normal 8 5 2 4" xfId="47541" xr:uid="{00000000-0005-0000-0000-0000B9B10000}"/>
    <cellStyle name="Normal 8 5 2 4 2" xfId="47542" xr:uid="{00000000-0005-0000-0000-0000BAB10000}"/>
    <cellStyle name="Normal 8 5 2 4 2 2" xfId="47543" xr:uid="{00000000-0005-0000-0000-0000BBB10000}"/>
    <cellStyle name="Normal 8 5 2 4 3" xfId="47544" xr:uid="{00000000-0005-0000-0000-0000BCB10000}"/>
    <cellStyle name="Normal 8 5 2 5" xfId="47545" xr:uid="{00000000-0005-0000-0000-0000BDB10000}"/>
    <cellStyle name="Normal 8 5 2 5 2" xfId="47546" xr:uid="{00000000-0005-0000-0000-0000BEB10000}"/>
    <cellStyle name="Normal 8 5 2 6" xfId="47547" xr:uid="{00000000-0005-0000-0000-0000BFB10000}"/>
    <cellStyle name="Normal 8 5 2 7" xfId="47548" xr:uid="{00000000-0005-0000-0000-0000C0B10000}"/>
    <cellStyle name="Normal 8 5 2 8" xfId="47549" xr:uid="{00000000-0005-0000-0000-0000C1B10000}"/>
    <cellStyle name="Normal 8 5 3" xfId="47550" xr:uid="{00000000-0005-0000-0000-0000C2B10000}"/>
    <cellStyle name="Normal 8 5 3 2" xfId="47551" xr:uid="{00000000-0005-0000-0000-0000C3B10000}"/>
    <cellStyle name="Normal 8 5 3 2 2" xfId="47552" xr:uid="{00000000-0005-0000-0000-0000C4B10000}"/>
    <cellStyle name="Normal 8 5 3 2 2 2" xfId="47553" xr:uid="{00000000-0005-0000-0000-0000C5B10000}"/>
    <cellStyle name="Normal 8 5 3 2 2 2 2" xfId="47554" xr:uid="{00000000-0005-0000-0000-0000C6B10000}"/>
    <cellStyle name="Normal 8 5 3 2 2 3" xfId="47555" xr:uid="{00000000-0005-0000-0000-0000C7B10000}"/>
    <cellStyle name="Normal 8 5 3 2 3" xfId="47556" xr:uid="{00000000-0005-0000-0000-0000C8B10000}"/>
    <cellStyle name="Normal 8 5 3 2 3 2" xfId="47557" xr:uid="{00000000-0005-0000-0000-0000C9B10000}"/>
    <cellStyle name="Normal 8 5 3 2 4" xfId="47558" xr:uid="{00000000-0005-0000-0000-0000CAB10000}"/>
    <cellStyle name="Normal 8 5 3 2 5" xfId="47559" xr:uid="{00000000-0005-0000-0000-0000CBB10000}"/>
    <cellStyle name="Normal 8 5 3 2 6" xfId="47560" xr:uid="{00000000-0005-0000-0000-0000CCB10000}"/>
    <cellStyle name="Normal 8 5 3 3" xfId="47561" xr:uid="{00000000-0005-0000-0000-0000CDB10000}"/>
    <cellStyle name="Normal 8 5 3 3 2" xfId="47562" xr:uid="{00000000-0005-0000-0000-0000CEB10000}"/>
    <cellStyle name="Normal 8 5 3 3 2 2" xfId="47563" xr:uid="{00000000-0005-0000-0000-0000CFB10000}"/>
    <cellStyle name="Normal 8 5 3 3 3" xfId="47564" xr:uid="{00000000-0005-0000-0000-0000D0B10000}"/>
    <cellStyle name="Normal 8 5 3 4" xfId="47565" xr:uid="{00000000-0005-0000-0000-0000D1B10000}"/>
    <cellStyle name="Normal 8 5 3 4 2" xfId="47566" xr:uid="{00000000-0005-0000-0000-0000D2B10000}"/>
    <cellStyle name="Normal 8 5 3 5" xfId="47567" xr:uid="{00000000-0005-0000-0000-0000D3B10000}"/>
    <cellStyle name="Normal 8 5 3 6" xfId="47568" xr:uid="{00000000-0005-0000-0000-0000D4B10000}"/>
    <cellStyle name="Normal 8 5 3 7" xfId="47569" xr:uid="{00000000-0005-0000-0000-0000D5B10000}"/>
    <cellStyle name="Normal 8 5 4" xfId="47570" xr:uid="{00000000-0005-0000-0000-0000D6B10000}"/>
    <cellStyle name="Normal 8 5 4 2" xfId="47571" xr:uid="{00000000-0005-0000-0000-0000D7B10000}"/>
    <cellStyle name="Normal 8 5 4 2 2" xfId="47572" xr:uid="{00000000-0005-0000-0000-0000D8B10000}"/>
    <cellStyle name="Normal 8 5 4 2 2 2" xfId="47573" xr:uid="{00000000-0005-0000-0000-0000D9B10000}"/>
    <cellStyle name="Normal 8 5 4 2 3" xfId="47574" xr:uid="{00000000-0005-0000-0000-0000DAB10000}"/>
    <cellStyle name="Normal 8 5 4 3" xfId="47575" xr:uid="{00000000-0005-0000-0000-0000DBB10000}"/>
    <cellStyle name="Normal 8 5 4 3 2" xfId="47576" xr:uid="{00000000-0005-0000-0000-0000DCB10000}"/>
    <cellStyle name="Normal 8 5 4 4" xfId="47577" xr:uid="{00000000-0005-0000-0000-0000DDB10000}"/>
    <cellStyle name="Normal 8 5 4 5" xfId="47578" xr:uid="{00000000-0005-0000-0000-0000DEB10000}"/>
    <cellStyle name="Normal 8 5 4 6" xfId="47579" xr:uid="{00000000-0005-0000-0000-0000DFB10000}"/>
    <cellStyle name="Normal 8 5 5" xfId="47580" xr:uid="{00000000-0005-0000-0000-0000E0B10000}"/>
    <cellStyle name="Normal 8 5 5 2" xfId="47581" xr:uid="{00000000-0005-0000-0000-0000E1B10000}"/>
    <cellStyle name="Normal 8 5 5 2 2" xfId="47582" xr:uid="{00000000-0005-0000-0000-0000E2B10000}"/>
    <cellStyle name="Normal 8 5 5 3" xfId="47583" xr:uid="{00000000-0005-0000-0000-0000E3B10000}"/>
    <cellStyle name="Normal 8 5 6" xfId="47584" xr:uid="{00000000-0005-0000-0000-0000E4B10000}"/>
    <cellStyle name="Normal 8 5 6 2" xfId="47585" xr:uid="{00000000-0005-0000-0000-0000E5B10000}"/>
    <cellStyle name="Normal 8 5 6 2 2" xfId="47586" xr:uid="{00000000-0005-0000-0000-0000E6B10000}"/>
    <cellStyle name="Normal 8 5 6 3" xfId="47587" xr:uid="{00000000-0005-0000-0000-0000E7B10000}"/>
    <cellStyle name="Normal 8 5 7" xfId="47588" xr:uid="{00000000-0005-0000-0000-0000E8B10000}"/>
    <cellStyle name="Normal 8 5 7 2" xfId="47589" xr:uid="{00000000-0005-0000-0000-0000E9B10000}"/>
    <cellStyle name="Normal 8 5 7 2 2" xfId="47590" xr:uid="{00000000-0005-0000-0000-0000EAB10000}"/>
    <cellStyle name="Normal 8 5 7 3" xfId="47591" xr:uid="{00000000-0005-0000-0000-0000EBB10000}"/>
    <cellStyle name="Normal 8 5 8" xfId="47592" xr:uid="{00000000-0005-0000-0000-0000ECB10000}"/>
    <cellStyle name="Normal 8 5 8 2" xfId="47593" xr:uid="{00000000-0005-0000-0000-0000EDB10000}"/>
    <cellStyle name="Normal 8 5 9" xfId="47594" xr:uid="{00000000-0005-0000-0000-0000EEB10000}"/>
    <cellStyle name="Normal 8 6" xfId="47595" xr:uid="{00000000-0005-0000-0000-0000EFB10000}"/>
    <cellStyle name="Normal 8 6 2" xfId="47596" xr:uid="{00000000-0005-0000-0000-0000F0B10000}"/>
    <cellStyle name="Normal 8 6 2 2" xfId="47597" xr:uid="{00000000-0005-0000-0000-0000F1B10000}"/>
    <cellStyle name="Normal 8 6 2 2 2" xfId="47598" xr:uid="{00000000-0005-0000-0000-0000F2B10000}"/>
    <cellStyle name="Normal 8 6 2 3" xfId="47599" xr:uid="{00000000-0005-0000-0000-0000F3B10000}"/>
    <cellStyle name="Normal 8 6 3" xfId="47600" xr:uid="{00000000-0005-0000-0000-0000F4B10000}"/>
    <cellStyle name="Normal 8 7" xfId="47601" xr:uid="{00000000-0005-0000-0000-0000F5B10000}"/>
    <cellStyle name="Normal 8 7 2" xfId="47602" xr:uid="{00000000-0005-0000-0000-0000F6B10000}"/>
    <cellStyle name="Normal 8 7 3" xfId="47603" xr:uid="{00000000-0005-0000-0000-0000F7B10000}"/>
    <cellStyle name="Normal 8 7 3 2" xfId="47604" xr:uid="{00000000-0005-0000-0000-0000F8B10000}"/>
    <cellStyle name="Normal 8 7 4" xfId="47605" xr:uid="{00000000-0005-0000-0000-0000F9B10000}"/>
    <cellStyle name="Normal 8 7 5" xfId="47606" xr:uid="{00000000-0005-0000-0000-0000FAB10000}"/>
    <cellStyle name="Normal 8 8" xfId="47607" xr:uid="{00000000-0005-0000-0000-0000FBB10000}"/>
    <cellStyle name="Normal 8 8 2" xfId="47608" xr:uid="{00000000-0005-0000-0000-0000FCB10000}"/>
    <cellStyle name="Normal 8 8 2 2" xfId="47609" xr:uid="{00000000-0005-0000-0000-0000FDB10000}"/>
    <cellStyle name="Normal 8 8 2 2 2" xfId="47610" xr:uid="{00000000-0005-0000-0000-0000FEB10000}"/>
    <cellStyle name="Normal 8 8 2 3" xfId="47611" xr:uid="{00000000-0005-0000-0000-0000FFB10000}"/>
    <cellStyle name="Normal 8 8 3" xfId="47612" xr:uid="{00000000-0005-0000-0000-000000B20000}"/>
    <cellStyle name="Normal 8 8 3 2" xfId="47613" xr:uid="{00000000-0005-0000-0000-000001B20000}"/>
    <cellStyle name="Normal 8 8 4" xfId="47614" xr:uid="{00000000-0005-0000-0000-000002B20000}"/>
    <cellStyle name="Normal 8 8 5" xfId="47615" xr:uid="{00000000-0005-0000-0000-000003B20000}"/>
    <cellStyle name="Normal 8 8 6" xfId="47616" xr:uid="{00000000-0005-0000-0000-000004B20000}"/>
    <cellStyle name="Normal 8 9" xfId="47617" xr:uid="{00000000-0005-0000-0000-000005B20000}"/>
    <cellStyle name="Normal 8 9 2" xfId="47618" xr:uid="{00000000-0005-0000-0000-000006B20000}"/>
    <cellStyle name="Normal 8 9 2 2" xfId="47619" xr:uid="{00000000-0005-0000-0000-000007B20000}"/>
    <cellStyle name="Normal 8 9 2 2 2" xfId="47620" xr:uid="{00000000-0005-0000-0000-000008B20000}"/>
    <cellStyle name="Normal 8 9 2 3" xfId="47621" xr:uid="{00000000-0005-0000-0000-000009B20000}"/>
    <cellStyle name="Normal 8 9 3" xfId="47622" xr:uid="{00000000-0005-0000-0000-00000AB20000}"/>
    <cellStyle name="Normal 8 9 3 2" xfId="47623" xr:uid="{00000000-0005-0000-0000-00000BB20000}"/>
    <cellStyle name="Normal 8 9 4" xfId="47624" xr:uid="{00000000-0005-0000-0000-00000CB20000}"/>
    <cellStyle name="Normal 80" xfId="47625" xr:uid="{00000000-0005-0000-0000-00000DB20000}"/>
    <cellStyle name="Normal 80 2" xfId="47626" xr:uid="{00000000-0005-0000-0000-00000EB20000}"/>
    <cellStyle name="Normal 80 2 2" xfId="47627" xr:uid="{00000000-0005-0000-0000-00000FB20000}"/>
    <cellStyle name="Normal 80 3" xfId="47628" xr:uid="{00000000-0005-0000-0000-000010B20000}"/>
    <cellStyle name="Normal 80 3 2" xfId="47629" xr:uid="{00000000-0005-0000-0000-000011B20000}"/>
    <cellStyle name="Normal 80 4" xfId="47630" xr:uid="{00000000-0005-0000-0000-000012B20000}"/>
    <cellStyle name="Normal 81" xfId="47631" xr:uid="{00000000-0005-0000-0000-000013B20000}"/>
    <cellStyle name="Normal 81 2" xfId="47632" xr:uid="{00000000-0005-0000-0000-000014B20000}"/>
    <cellStyle name="Normal 81 2 2" xfId="47633" xr:uid="{00000000-0005-0000-0000-000015B20000}"/>
    <cellStyle name="Normal 81 3" xfId="47634" xr:uid="{00000000-0005-0000-0000-000016B20000}"/>
    <cellStyle name="Normal 81 3 2" xfId="47635" xr:uid="{00000000-0005-0000-0000-000017B20000}"/>
    <cellStyle name="Normal 81 4" xfId="47636" xr:uid="{00000000-0005-0000-0000-000018B20000}"/>
    <cellStyle name="Normal 82" xfId="47637" xr:uid="{00000000-0005-0000-0000-000019B20000}"/>
    <cellStyle name="Normal 82 2" xfId="47638" xr:uid="{00000000-0005-0000-0000-00001AB20000}"/>
    <cellStyle name="Normal 82 2 2" xfId="47639" xr:uid="{00000000-0005-0000-0000-00001BB20000}"/>
    <cellStyle name="Normal 82 3" xfId="47640" xr:uid="{00000000-0005-0000-0000-00001CB20000}"/>
    <cellStyle name="Normal 83" xfId="47641" xr:uid="{00000000-0005-0000-0000-00001DB20000}"/>
    <cellStyle name="Normal 83 2" xfId="47642" xr:uid="{00000000-0005-0000-0000-00001EB20000}"/>
    <cellStyle name="Normal 83 2 2" xfId="47643" xr:uid="{00000000-0005-0000-0000-00001FB20000}"/>
    <cellStyle name="Normal 83 3" xfId="47644" xr:uid="{00000000-0005-0000-0000-000020B20000}"/>
    <cellStyle name="Normal 84" xfId="47645" xr:uid="{00000000-0005-0000-0000-000021B20000}"/>
    <cellStyle name="Normal 84 2" xfId="47646" xr:uid="{00000000-0005-0000-0000-000022B20000}"/>
    <cellStyle name="Normal 84 2 2" xfId="47647" xr:uid="{00000000-0005-0000-0000-000023B20000}"/>
    <cellStyle name="Normal 84 3" xfId="47648" xr:uid="{00000000-0005-0000-0000-000024B20000}"/>
    <cellStyle name="Normal 85" xfId="47649" xr:uid="{00000000-0005-0000-0000-000025B20000}"/>
    <cellStyle name="Normal 85 2" xfId="47650" xr:uid="{00000000-0005-0000-0000-000026B20000}"/>
    <cellStyle name="Normal 85 2 2" xfId="47651" xr:uid="{00000000-0005-0000-0000-000027B20000}"/>
    <cellStyle name="Normal 85 2 2 2" xfId="47652" xr:uid="{00000000-0005-0000-0000-000028B20000}"/>
    <cellStyle name="Normal 85 2 3" xfId="47653" xr:uid="{00000000-0005-0000-0000-000029B20000}"/>
    <cellStyle name="Normal 85 3" xfId="47654" xr:uid="{00000000-0005-0000-0000-00002AB20000}"/>
    <cellStyle name="Normal 85 3 2" xfId="47655" xr:uid="{00000000-0005-0000-0000-00002BB20000}"/>
    <cellStyle name="Normal 85 3 2 2" xfId="47656" xr:uid="{00000000-0005-0000-0000-00002CB20000}"/>
    <cellStyle name="Normal 85 3 3" xfId="47657" xr:uid="{00000000-0005-0000-0000-00002DB20000}"/>
    <cellStyle name="Normal 85 4" xfId="47658" xr:uid="{00000000-0005-0000-0000-00002EB20000}"/>
    <cellStyle name="Normal 85 4 2" xfId="47659" xr:uid="{00000000-0005-0000-0000-00002FB20000}"/>
    <cellStyle name="Normal 85 5" xfId="47660" xr:uid="{00000000-0005-0000-0000-000030B20000}"/>
    <cellStyle name="Normal 85 5 2" xfId="47661" xr:uid="{00000000-0005-0000-0000-000031B20000}"/>
    <cellStyle name="Normal 85 6" xfId="47662" xr:uid="{00000000-0005-0000-0000-000032B20000}"/>
    <cellStyle name="Normal 85 7" xfId="47663" xr:uid="{00000000-0005-0000-0000-000033B20000}"/>
    <cellStyle name="Normal 85 8" xfId="47664" xr:uid="{00000000-0005-0000-0000-000034B20000}"/>
    <cellStyle name="Normal 86" xfId="47665" xr:uid="{00000000-0005-0000-0000-000035B20000}"/>
    <cellStyle name="Normal 86 2" xfId="47666" xr:uid="{00000000-0005-0000-0000-000036B20000}"/>
    <cellStyle name="Normal 86 2 2" xfId="47667" xr:uid="{00000000-0005-0000-0000-000037B20000}"/>
    <cellStyle name="Normal 86 2 2 2" xfId="47668" xr:uid="{00000000-0005-0000-0000-000038B20000}"/>
    <cellStyle name="Normal 86 2 3" xfId="47669" xr:uid="{00000000-0005-0000-0000-000039B20000}"/>
    <cellStyle name="Normal 86 3" xfId="47670" xr:uid="{00000000-0005-0000-0000-00003AB20000}"/>
    <cellStyle name="Normal 86 3 2" xfId="47671" xr:uid="{00000000-0005-0000-0000-00003BB20000}"/>
    <cellStyle name="Normal 86 3 2 2" xfId="47672" xr:uid="{00000000-0005-0000-0000-00003CB20000}"/>
    <cellStyle name="Normal 86 3 3" xfId="47673" xr:uid="{00000000-0005-0000-0000-00003DB20000}"/>
    <cellStyle name="Normal 86 4" xfId="47674" xr:uid="{00000000-0005-0000-0000-00003EB20000}"/>
    <cellStyle name="Normal 86 4 2" xfId="47675" xr:uid="{00000000-0005-0000-0000-00003FB20000}"/>
    <cellStyle name="Normal 86 5" xfId="47676" xr:uid="{00000000-0005-0000-0000-000040B20000}"/>
    <cellStyle name="Normal 86 5 2" xfId="47677" xr:uid="{00000000-0005-0000-0000-000041B20000}"/>
    <cellStyle name="Normal 86 6" xfId="47678" xr:uid="{00000000-0005-0000-0000-000042B20000}"/>
    <cellStyle name="Normal 86 7" xfId="47679" xr:uid="{00000000-0005-0000-0000-000043B20000}"/>
    <cellStyle name="Normal 86 8" xfId="47680" xr:uid="{00000000-0005-0000-0000-000044B20000}"/>
    <cellStyle name="Normal 87" xfId="47681" xr:uid="{00000000-0005-0000-0000-000045B20000}"/>
    <cellStyle name="Normal 87 2" xfId="47682" xr:uid="{00000000-0005-0000-0000-000046B20000}"/>
    <cellStyle name="Normal 87 2 2" xfId="47683" xr:uid="{00000000-0005-0000-0000-000047B20000}"/>
    <cellStyle name="Normal 87 2 2 2" xfId="47684" xr:uid="{00000000-0005-0000-0000-000048B20000}"/>
    <cellStyle name="Normal 87 2 3" xfId="47685" xr:uid="{00000000-0005-0000-0000-000049B20000}"/>
    <cellStyle name="Normal 87 2 3 2" xfId="47686" xr:uid="{00000000-0005-0000-0000-00004AB20000}"/>
    <cellStyle name="Normal 87 2 4" xfId="47687" xr:uid="{00000000-0005-0000-0000-00004BB20000}"/>
    <cellStyle name="Normal 87 3" xfId="47688" xr:uid="{00000000-0005-0000-0000-00004CB20000}"/>
    <cellStyle name="Normal 87 3 2" xfId="47689" xr:uid="{00000000-0005-0000-0000-00004DB20000}"/>
    <cellStyle name="Normal 87 3 3" xfId="47690" xr:uid="{00000000-0005-0000-0000-00004EB20000}"/>
    <cellStyle name="Normal 87 3 3 2" xfId="47691" xr:uid="{00000000-0005-0000-0000-00004FB20000}"/>
    <cellStyle name="Normal 87 3 4" xfId="47692" xr:uid="{00000000-0005-0000-0000-000050B20000}"/>
    <cellStyle name="Normal 87 4" xfId="47693" xr:uid="{00000000-0005-0000-0000-000051B20000}"/>
    <cellStyle name="Normal 87 4 2" xfId="47694" xr:uid="{00000000-0005-0000-0000-000052B20000}"/>
    <cellStyle name="Normal 87 5" xfId="47695" xr:uid="{00000000-0005-0000-0000-000053B20000}"/>
    <cellStyle name="Normal 87 5 2" xfId="47696" xr:uid="{00000000-0005-0000-0000-000054B20000}"/>
    <cellStyle name="Normal 87 6" xfId="47697" xr:uid="{00000000-0005-0000-0000-000055B20000}"/>
    <cellStyle name="Normal 87 7" xfId="47698" xr:uid="{00000000-0005-0000-0000-000056B20000}"/>
    <cellStyle name="Normal 87 8" xfId="47699" xr:uid="{00000000-0005-0000-0000-000057B20000}"/>
    <cellStyle name="Normal 88" xfId="47700" xr:uid="{00000000-0005-0000-0000-000058B20000}"/>
    <cellStyle name="Normal 88 2" xfId="47701" xr:uid="{00000000-0005-0000-0000-000059B20000}"/>
    <cellStyle name="Normal 88 2 2" xfId="47702" xr:uid="{00000000-0005-0000-0000-00005AB20000}"/>
    <cellStyle name="Normal 88 2 2 2" xfId="47703" xr:uid="{00000000-0005-0000-0000-00005BB20000}"/>
    <cellStyle name="Normal 88 2 3" xfId="47704" xr:uid="{00000000-0005-0000-0000-00005CB20000}"/>
    <cellStyle name="Normal 88 3" xfId="47705" xr:uid="{00000000-0005-0000-0000-00005DB20000}"/>
    <cellStyle name="Normal 88 3 2" xfId="47706" xr:uid="{00000000-0005-0000-0000-00005EB20000}"/>
    <cellStyle name="Normal 88 4" xfId="47707" xr:uid="{00000000-0005-0000-0000-00005FB20000}"/>
    <cellStyle name="Normal 88 4 2" xfId="47708" xr:uid="{00000000-0005-0000-0000-000060B20000}"/>
    <cellStyle name="Normal 88 5" xfId="47709" xr:uid="{00000000-0005-0000-0000-000061B20000}"/>
    <cellStyle name="Normal 88 6" xfId="47710" xr:uid="{00000000-0005-0000-0000-000062B20000}"/>
    <cellStyle name="Normal 88 7" xfId="47711" xr:uid="{00000000-0005-0000-0000-000063B20000}"/>
    <cellStyle name="Normal 89" xfId="47712" xr:uid="{00000000-0005-0000-0000-000064B20000}"/>
    <cellStyle name="Normal 89 2" xfId="47713" xr:uid="{00000000-0005-0000-0000-000065B20000}"/>
    <cellStyle name="Normal 89 2 2" xfId="47714" xr:uid="{00000000-0005-0000-0000-000066B20000}"/>
    <cellStyle name="Normal 89 2 2 2" xfId="47715" xr:uid="{00000000-0005-0000-0000-000067B20000}"/>
    <cellStyle name="Normal 89 2 3" xfId="47716" xr:uid="{00000000-0005-0000-0000-000068B20000}"/>
    <cellStyle name="Normal 89 3" xfId="47717" xr:uid="{00000000-0005-0000-0000-000069B20000}"/>
    <cellStyle name="Normal 89 3 2" xfId="47718" xr:uid="{00000000-0005-0000-0000-00006AB20000}"/>
    <cellStyle name="Normal 89 4" xfId="47719" xr:uid="{00000000-0005-0000-0000-00006BB20000}"/>
    <cellStyle name="Normal 89 4 2" xfId="47720" xr:uid="{00000000-0005-0000-0000-00006CB20000}"/>
    <cellStyle name="Normal 89 5" xfId="47721" xr:uid="{00000000-0005-0000-0000-00006DB20000}"/>
    <cellStyle name="Normal 89 6" xfId="47722" xr:uid="{00000000-0005-0000-0000-00006EB20000}"/>
    <cellStyle name="Normal 89 7" xfId="47723" xr:uid="{00000000-0005-0000-0000-00006FB20000}"/>
    <cellStyle name="Normal 9" xfId="1643" xr:uid="{00000000-0005-0000-0000-000070B20000}"/>
    <cellStyle name="Normal 9 10" xfId="47724" xr:uid="{00000000-0005-0000-0000-000071B20000}"/>
    <cellStyle name="Normal 9 10 2" xfId="47725" xr:uid="{00000000-0005-0000-0000-000072B20000}"/>
    <cellStyle name="Normal 9 10 2 2" xfId="47726" xr:uid="{00000000-0005-0000-0000-000073B20000}"/>
    <cellStyle name="Normal 9 10 2 2 2" xfId="47727" xr:uid="{00000000-0005-0000-0000-000074B20000}"/>
    <cellStyle name="Normal 9 10 2 3" xfId="47728" xr:uid="{00000000-0005-0000-0000-000075B20000}"/>
    <cellStyle name="Normal 9 10 3" xfId="47729" xr:uid="{00000000-0005-0000-0000-000076B20000}"/>
    <cellStyle name="Normal 9 10 3 2" xfId="47730" xr:uid="{00000000-0005-0000-0000-000077B20000}"/>
    <cellStyle name="Normal 9 10 4" xfId="47731" xr:uid="{00000000-0005-0000-0000-000078B20000}"/>
    <cellStyle name="Normal 9 11" xfId="47732" xr:uid="{00000000-0005-0000-0000-000079B20000}"/>
    <cellStyle name="Normal 9 11 2" xfId="47733" xr:uid="{00000000-0005-0000-0000-00007AB20000}"/>
    <cellStyle name="Normal 9 11 2 2" xfId="47734" xr:uid="{00000000-0005-0000-0000-00007BB20000}"/>
    <cellStyle name="Normal 9 11 2 2 2" xfId="47735" xr:uid="{00000000-0005-0000-0000-00007CB20000}"/>
    <cellStyle name="Normal 9 11 2 3" xfId="47736" xr:uid="{00000000-0005-0000-0000-00007DB20000}"/>
    <cellStyle name="Normal 9 11 3" xfId="47737" xr:uid="{00000000-0005-0000-0000-00007EB20000}"/>
    <cellStyle name="Normal 9 11 3 2" xfId="47738" xr:uid="{00000000-0005-0000-0000-00007FB20000}"/>
    <cellStyle name="Normal 9 11 4" xfId="47739" xr:uid="{00000000-0005-0000-0000-000080B20000}"/>
    <cellStyle name="Normal 9 12" xfId="47740" xr:uid="{00000000-0005-0000-0000-000081B20000}"/>
    <cellStyle name="Normal 9 12 2" xfId="47741" xr:uid="{00000000-0005-0000-0000-000082B20000}"/>
    <cellStyle name="Normal 9 12 2 2" xfId="47742" xr:uid="{00000000-0005-0000-0000-000083B20000}"/>
    <cellStyle name="Normal 9 12 3" xfId="47743" xr:uid="{00000000-0005-0000-0000-000084B20000}"/>
    <cellStyle name="Normal 9 13" xfId="47744" xr:uid="{00000000-0005-0000-0000-000085B20000}"/>
    <cellStyle name="Normal 9 13 2" xfId="47745" xr:uid="{00000000-0005-0000-0000-000086B20000}"/>
    <cellStyle name="Normal 9 14" xfId="47746" xr:uid="{00000000-0005-0000-0000-000087B20000}"/>
    <cellStyle name="Normal 9 15" xfId="47747" xr:uid="{00000000-0005-0000-0000-000088B20000}"/>
    <cellStyle name="Normal 9 16" xfId="47748" xr:uid="{00000000-0005-0000-0000-000089B20000}"/>
    <cellStyle name="Normal 9 2" xfId="47749" xr:uid="{00000000-0005-0000-0000-00008AB20000}"/>
    <cellStyle name="Normal 9 2 2" xfId="47750" xr:uid="{00000000-0005-0000-0000-00008BB20000}"/>
    <cellStyle name="Normal 9 2 2 10" xfId="47751" xr:uid="{00000000-0005-0000-0000-00008CB20000}"/>
    <cellStyle name="Normal 9 2 2 11" xfId="47752" xr:uid="{00000000-0005-0000-0000-00008DB20000}"/>
    <cellStyle name="Normal 9 2 2 12" xfId="47753" xr:uid="{00000000-0005-0000-0000-00008EB20000}"/>
    <cellStyle name="Normal 9 2 2 2" xfId="47754" xr:uid="{00000000-0005-0000-0000-00008FB20000}"/>
    <cellStyle name="Normal 9 2 2 2 10" xfId="47755" xr:uid="{00000000-0005-0000-0000-000090B20000}"/>
    <cellStyle name="Normal 9 2 2 2 2" xfId="47756" xr:uid="{00000000-0005-0000-0000-000091B20000}"/>
    <cellStyle name="Normal 9 2 2 2 2 2" xfId="47757" xr:uid="{00000000-0005-0000-0000-000092B20000}"/>
    <cellStyle name="Normal 9 2 2 2 2 2 2" xfId="47758" xr:uid="{00000000-0005-0000-0000-000093B20000}"/>
    <cellStyle name="Normal 9 2 2 2 2 2 2 2" xfId="47759" xr:uid="{00000000-0005-0000-0000-000094B20000}"/>
    <cellStyle name="Normal 9 2 2 2 2 2 2 2 2" xfId="47760" xr:uid="{00000000-0005-0000-0000-000095B20000}"/>
    <cellStyle name="Normal 9 2 2 2 2 2 2 3" xfId="47761" xr:uid="{00000000-0005-0000-0000-000096B20000}"/>
    <cellStyle name="Normal 9 2 2 2 2 2 3" xfId="47762" xr:uid="{00000000-0005-0000-0000-000097B20000}"/>
    <cellStyle name="Normal 9 2 2 2 2 2 3 2" xfId="47763" xr:uid="{00000000-0005-0000-0000-000098B20000}"/>
    <cellStyle name="Normal 9 2 2 2 2 2 4" xfId="47764" xr:uid="{00000000-0005-0000-0000-000099B20000}"/>
    <cellStyle name="Normal 9 2 2 2 2 2 5" xfId="47765" xr:uid="{00000000-0005-0000-0000-00009AB20000}"/>
    <cellStyle name="Normal 9 2 2 2 2 2 6" xfId="47766" xr:uid="{00000000-0005-0000-0000-00009BB20000}"/>
    <cellStyle name="Normal 9 2 2 2 2 3" xfId="47767" xr:uid="{00000000-0005-0000-0000-00009CB20000}"/>
    <cellStyle name="Normal 9 2 2 2 2 3 2" xfId="47768" xr:uid="{00000000-0005-0000-0000-00009DB20000}"/>
    <cellStyle name="Normal 9 2 2 2 2 3 2 2" xfId="47769" xr:uid="{00000000-0005-0000-0000-00009EB20000}"/>
    <cellStyle name="Normal 9 2 2 2 2 3 3" xfId="47770" xr:uid="{00000000-0005-0000-0000-00009FB20000}"/>
    <cellStyle name="Normal 9 2 2 2 2 4" xfId="47771" xr:uid="{00000000-0005-0000-0000-0000A0B20000}"/>
    <cellStyle name="Normal 9 2 2 2 2 4 2" xfId="47772" xr:uid="{00000000-0005-0000-0000-0000A1B20000}"/>
    <cellStyle name="Normal 9 2 2 2 2 4 2 2" xfId="47773" xr:uid="{00000000-0005-0000-0000-0000A2B20000}"/>
    <cellStyle name="Normal 9 2 2 2 2 4 3" xfId="47774" xr:uid="{00000000-0005-0000-0000-0000A3B20000}"/>
    <cellStyle name="Normal 9 2 2 2 2 5" xfId="47775" xr:uid="{00000000-0005-0000-0000-0000A4B20000}"/>
    <cellStyle name="Normal 9 2 2 2 2 5 2" xfId="47776" xr:uid="{00000000-0005-0000-0000-0000A5B20000}"/>
    <cellStyle name="Normal 9 2 2 2 2 6" xfId="47777" xr:uid="{00000000-0005-0000-0000-0000A6B20000}"/>
    <cellStyle name="Normal 9 2 2 2 2 7" xfId="47778" xr:uid="{00000000-0005-0000-0000-0000A7B20000}"/>
    <cellStyle name="Normal 9 2 2 2 2 8" xfId="47779" xr:uid="{00000000-0005-0000-0000-0000A8B20000}"/>
    <cellStyle name="Normal 9 2 2 2 3" xfId="47780" xr:uid="{00000000-0005-0000-0000-0000A9B20000}"/>
    <cellStyle name="Normal 9 2 2 2 3 2" xfId="47781" xr:uid="{00000000-0005-0000-0000-0000AAB20000}"/>
    <cellStyle name="Normal 9 2 2 2 3 2 2" xfId="47782" xr:uid="{00000000-0005-0000-0000-0000ABB20000}"/>
    <cellStyle name="Normal 9 2 2 2 3 2 2 2" xfId="47783" xr:uid="{00000000-0005-0000-0000-0000ACB20000}"/>
    <cellStyle name="Normal 9 2 2 2 3 2 2 2 2" xfId="47784" xr:uid="{00000000-0005-0000-0000-0000ADB20000}"/>
    <cellStyle name="Normal 9 2 2 2 3 2 2 3" xfId="47785" xr:uid="{00000000-0005-0000-0000-0000AEB20000}"/>
    <cellStyle name="Normal 9 2 2 2 3 2 3" xfId="47786" xr:uid="{00000000-0005-0000-0000-0000AFB20000}"/>
    <cellStyle name="Normal 9 2 2 2 3 2 3 2" xfId="47787" xr:uid="{00000000-0005-0000-0000-0000B0B20000}"/>
    <cellStyle name="Normal 9 2 2 2 3 2 4" xfId="47788" xr:uid="{00000000-0005-0000-0000-0000B1B20000}"/>
    <cellStyle name="Normal 9 2 2 2 3 2 5" xfId="47789" xr:uid="{00000000-0005-0000-0000-0000B2B20000}"/>
    <cellStyle name="Normal 9 2 2 2 3 2 6" xfId="47790" xr:uid="{00000000-0005-0000-0000-0000B3B20000}"/>
    <cellStyle name="Normal 9 2 2 2 3 3" xfId="47791" xr:uid="{00000000-0005-0000-0000-0000B4B20000}"/>
    <cellStyle name="Normal 9 2 2 2 3 3 2" xfId="47792" xr:uid="{00000000-0005-0000-0000-0000B5B20000}"/>
    <cellStyle name="Normal 9 2 2 2 3 3 2 2" xfId="47793" xr:uid="{00000000-0005-0000-0000-0000B6B20000}"/>
    <cellStyle name="Normal 9 2 2 2 3 3 3" xfId="47794" xr:uid="{00000000-0005-0000-0000-0000B7B20000}"/>
    <cellStyle name="Normal 9 2 2 2 3 4" xfId="47795" xr:uid="{00000000-0005-0000-0000-0000B8B20000}"/>
    <cellStyle name="Normal 9 2 2 2 3 4 2" xfId="47796" xr:uid="{00000000-0005-0000-0000-0000B9B20000}"/>
    <cellStyle name="Normal 9 2 2 2 3 5" xfId="47797" xr:uid="{00000000-0005-0000-0000-0000BAB20000}"/>
    <cellStyle name="Normal 9 2 2 2 3 6" xfId="47798" xr:uid="{00000000-0005-0000-0000-0000BBB20000}"/>
    <cellStyle name="Normal 9 2 2 2 3 7" xfId="47799" xr:uid="{00000000-0005-0000-0000-0000BCB20000}"/>
    <cellStyle name="Normal 9 2 2 2 4" xfId="47800" xr:uid="{00000000-0005-0000-0000-0000BDB20000}"/>
    <cellStyle name="Normal 9 2 2 2 4 2" xfId="47801" xr:uid="{00000000-0005-0000-0000-0000BEB20000}"/>
    <cellStyle name="Normal 9 2 2 2 4 2 2" xfId="47802" xr:uid="{00000000-0005-0000-0000-0000BFB20000}"/>
    <cellStyle name="Normal 9 2 2 2 4 2 2 2" xfId="47803" xr:uid="{00000000-0005-0000-0000-0000C0B20000}"/>
    <cellStyle name="Normal 9 2 2 2 4 2 3" xfId="47804" xr:uid="{00000000-0005-0000-0000-0000C1B20000}"/>
    <cellStyle name="Normal 9 2 2 2 4 3" xfId="47805" xr:uid="{00000000-0005-0000-0000-0000C2B20000}"/>
    <cellStyle name="Normal 9 2 2 2 4 3 2" xfId="47806" xr:uid="{00000000-0005-0000-0000-0000C3B20000}"/>
    <cellStyle name="Normal 9 2 2 2 4 4" xfId="47807" xr:uid="{00000000-0005-0000-0000-0000C4B20000}"/>
    <cellStyle name="Normal 9 2 2 2 4 5" xfId="47808" xr:uid="{00000000-0005-0000-0000-0000C5B20000}"/>
    <cellStyle name="Normal 9 2 2 2 4 6" xfId="47809" xr:uid="{00000000-0005-0000-0000-0000C6B20000}"/>
    <cellStyle name="Normal 9 2 2 2 5" xfId="47810" xr:uid="{00000000-0005-0000-0000-0000C7B20000}"/>
    <cellStyle name="Normal 9 2 2 2 5 2" xfId="47811" xr:uid="{00000000-0005-0000-0000-0000C8B20000}"/>
    <cellStyle name="Normal 9 2 2 2 5 2 2" xfId="47812" xr:uid="{00000000-0005-0000-0000-0000C9B20000}"/>
    <cellStyle name="Normal 9 2 2 2 5 3" xfId="47813" xr:uid="{00000000-0005-0000-0000-0000CAB20000}"/>
    <cellStyle name="Normal 9 2 2 2 6" xfId="47814" xr:uid="{00000000-0005-0000-0000-0000CBB20000}"/>
    <cellStyle name="Normal 9 2 2 2 6 2" xfId="47815" xr:uid="{00000000-0005-0000-0000-0000CCB20000}"/>
    <cellStyle name="Normal 9 2 2 2 6 2 2" xfId="47816" xr:uid="{00000000-0005-0000-0000-0000CDB20000}"/>
    <cellStyle name="Normal 9 2 2 2 6 3" xfId="47817" xr:uid="{00000000-0005-0000-0000-0000CEB20000}"/>
    <cellStyle name="Normal 9 2 2 2 7" xfId="47818" xr:uid="{00000000-0005-0000-0000-0000CFB20000}"/>
    <cellStyle name="Normal 9 2 2 2 7 2" xfId="47819" xr:uid="{00000000-0005-0000-0000-0000D0B20000}"/>
    <cellStyle name="Normal 9 2 2 2 8" xfId="47820" xr:uid="{00000000-0005-0000-0000-0000D1B20000}"/>
    <cellStyle name="Normal 9 2 2 2 9" xfId="47821" xr:uid="{00000000-0005-0000-0000-0000D2B20000}"/>
    <cellStyle name="Normal 9 2 2 3" xfId="47822" xr:uid="{00000000-0005-0000-0000-0000D3B20000}"/>
    <cellStyle name="Normal 9 2 2 3 2" xfId="47823" xr:uid="{00000000-0005-0000-0000-0000D4B20000}"/>
    <cellStyle name="Normal 9 2 2 3 2 2" xfId="47824" xr:uid="{00000000-0005-0000-0000-0000D5B20000}"/>
    <cellStyle name="Normal 9 2 2 3 2 2 2" xfId="47825" xr:uid="{00000000-0005-0000-0000-0000D6B20000}"/>
    <cellStyle name="Normal 9 2 2 3 2 2 2 2" xfId="47826" xr:uid="{00000000-0005-0000-0000-0000D7B20000}"/>
    <cellStyle name="Normal 9 2 2 3 2 2 3" xfId="47827" xr:uid="{00000000-0005-0000-0000-0000D8B20000}"/>
    <cellStyle name="Normal 9 2 2 3 2 3" xfId="47828" xr:uid="{00000000-0005-0000-0000-0000D9B20000}"/>
    <cellStyle name="Normal 9 2 2 3 2 3 2" xfId="47829" xr:uid="{00000000-0005-0000-0000-0000DAB20000}"/>
    <cellStyle name="Normal 9 2 2 3 2 4" xfId="47830" xr:uid="{00000000-0005-0000-0000-0000DBB20000}"/>
    <cellStyle name="Normal 9 2 2 3 2 5" xfId="47831" xr:uid="{00000000-0005-0000-0000-0000DCB20000}"/>
    <cellStyle name="Normal 9 2 2 3 2 6" xfId="47832" xr:uid="{00000000-0005-0000-0000-0000DDB20000}"/>
    <cellStyle name="Normal 9 2 2 3 3" xfId="47833" xr:uid="{00000000-0005-0000-0000-0000DEB20000}"/>
    <cellStyle name="Normal 9 2 2 3 3 2" xfId="47834" xr:uid="{00000000-0005-0000-0000-0000DFB20000}"/>
    <cellStyle name="Normal 9 2 2 3 3 2 2" xfId="47835" xr:uid="{00000000-0005-0000-0000-0000E0B20000}"/>
    <cellStyle name="Normal 9 2 2 3 3 3" xfId="47836" xr:uid="{00000000-0005-0000-0000-0000E1B20000}"/>
    <cellStyle name="Normal 9 2 2 3 4" xfId="47837" xr:uid="{00000000-0005-0000-0000-0000E2B20000}"/>
    <cellStyle name="Normal 9 2 2 3 4 2" xfId="47838" xr:uid="{00000000-0005-0000-0000-0000E3B20000}"/>
    <cellStyle name="Normal 9 2 2 3 4 2 2" xfId="47839" xr:uid="{00000000-0005-0000-0000-0000E4B20000}"/>
    <cellStyle name="Normal 9 2 2 3 4 3" xfId="47840" xr:uid="{00000000-0005-0000-0000-0000E5B20000}"/>
    <cellStyle name="Normal 9 2 2 3 5" xfId="47841" xr:uid="{00000000-0005-0000-0000-0000E6B20000}"/>
    <cellStyle name="Normal 9 2 2 3 5 2" xfId="47842" xr:uid="{00000000-0005-0000-0000-0000E7B20000}"/>
    <cellStyle name="Normal 9 2 2 3 6" xfId="47843" xr:uid="{00000000-0005-0000-0000-0000E8B20000}"/>
    <cellStyle name="Normal 9 2 2 3 7" xfId="47844" xr:uid="{00000000-0005-0000-0000-0000E9B20000}"/>
    <cellStyle name="Normal 9 2 2 3 8" xfId="47845" xr:uid="{00000000-0005-0000-0000-0000EAB20000}"/>
    <cellStyle name="Normal 9 2 2 4" xfId="47846" xr:uid="{00000000-0005-0000-0000-0000EBB20000}"/>
    <cellStyle name="Normal 9 2 2 4 2" xfId="47847" xr:uid="{00000000-0005-0000-0000-0000ECB20000}"/>
    <cellStyle name="Normal 9 2 2 4 2 2" xfId="47848" xr:uid="{00000000-0005-0000-0000-0000EDB20000}"/>
    <cellStyle name="Normal 9 2 2 4 2 2 2" xfId="47849" xr:uid="{00000000-0005-0000-0000-0000EEB20000}"/>
    <cellStyle name="Normal 9 2 2 4 2 2 2 2" xfId="47850" xr:uid="{00000000-0005-0000-0000-0000EFB20000}"/>
    <cellStyle name="Normal 9 2 2 4 2 2 3" xfId="47851" xr:uid="{00000000-0005-0000-0000-0000F0B20000}"/>
    <cellStyle name="Normal 9 2 2 4 2 3" xfId="47852" xr:uid="{00000000-0005-0000-0000-0000F1B20000}"/>
    <cellStyle name="Normal 9 2 2 4 2 3 2" xfId="47853" xr:uid="{00000000-0005-0000-0000-0000F2B20000}"/>
    <cellStyle name="Normal 9 2 2 4 2 4" xfId="47854" xr:uid="{00000000-0005-0000-0000-0000F3B20000}"/>
    <cellStyle name="Normal 9 2 2 4 2 5" xfId="47855" xr:uid="{00000000-0005-0000-0000-0000F4B20000}"/>
    <cellStyle name="Normal 9 2 2 4 2 6" xfId="47856" xr:uid="{00000000-0005-0000-0000-0000F5B20000}"/>
    <cellStyle name="Normal 9 2 2 4 3" xfId="47857" xr:uid="{00000000-0005-0000-0000-0000F6B20000}"/>
    <cellStyle name="Normal 9 2 2 4 3 2" xfId="47858" xr:uid="{00000000-0005-0000-0000-0000F7B20000}"/>
    <cellStyle name="Normal 9 2 2 4 3 2 2" xfId="47859" xr:uid="{00000000-0005-0000-0000-0000F8B20000}"/>
    <cellStyle name="Normal 9 2 2 4 3 3" xfId="47860" xr:uid="{00000000-0005-0000-0000-0000F9B20000}"/>
    <cellStyle name="Normal 9 2 2 4 4" xfId="47861" xr:uid="{00000000-0005-0000-0000-0000FAB20000}"/>
    <cellStyle name="Normal 9 2 2 4 4 2" xfId="47862" xr:uid="{00000000-0005-0000-0000-0000FBB20000}"/>
    <cellStyle name="Normal 9 2 2 4 4 2 2" xfId="47863" xr:uid="{00000000-0005-0000-0000-0000FCB20000}"/>
    <cellStyle name="Normal 9 2 2 4 4 3" xfId="47864" xr:uid="{00000000-0005-0000-0000-0000FDB20000}"/>
    <cellStyle name="Normal 9 2 2 4 5" xfId="47865" xr:uid="{00000000-0005-0000-0000-0000FEB20000}"/>
    <cellStyle name="Normal 9 2 2 4 5 2" xfId="47866" xr:uid="{00000000-0005-0000-0000-0000FFB20000}"/>
    <cellStyle name="Normal 9 2 2 4 6" xfId="47867" xr:uid="{00000000-0005-0000-0000-000000B30000}"/>
    <cellStyle name="Normal 9 2 2 4 7" xfId="47868" xr:uid="{00000000-0005-0000-0000-000001B30000}"/>
    <cellStyle name="Normal 9 2 2 4 8" xfId="47869" xr:uid="{00000000-0005-0000-0000-000002B30000}"/>
    <cellStyle name="Normal 9 2 2 5" xfId="47870" xr:uid="{00000000-0005-0000-0000-000003B30000}"/>
    <cellStyle name="Normal 9 2 2 5 2" xfId="47871" xr:uid="{00000000-0005-0000-0000-000004B30000}"/>
    <cellStyle name="Normal 9 2 2 5 2 2" xfId="47872" xr:uid="{00000000-0005-0000-0000-000005B30000}"/>
    <cellStyle name="Normal 9 2 2 5 2 2 2" xfId="47873" xr:uid="{00000000-0005-0000-0000-000006B30000}"/>
    <cellStyle name="Normal 9 2 2 5 2 3" xfId="47874" xr:uid="{00000000-0005-0000-0000-000007B30000}"/>
    <cellStyle name="Normal 9 2 2 5 3" xfId="47875" xr:uid="{00000000-0005-0000-0000-000008B30000}"/>
    <cellStyle name="Normal 9 2 2 5 3 2" xfId="47876" xr:uid="{00000000-0005-0000-0000-000009B30000}"/>
    <cellStyle name="Normal 9 2 2 5 4" xfId="47877" xr:uid="{00000000-0005-0000-0000-00000AB30000}"/>
    <cellStyle name="Normal 9 2 2 5 5" xfId="47878" xr:uid="{00000000-0005-0000-0000-00000BB30000}"/>
    <cellStyle name="Normal 9 2 2 5 6" xfId="47879" xr:uid="{00000000-0005-0000-0000-00000CB30000}"/>
    <cellStyle name="Normal 9 2 2 6" xfId="47880" xr:uid="{00000000-0005-0000-0000-00000DB30000}"/>
    <cellStyle name="Normal 9 2 2 6 2" xfId="47881" xr:uid="{00000000-0005-0000-0000-00000EB30000}"/>
    <cellStyle name="Normal 9 2 2 6 2 2" xfId="47882" xr:uid="{00000000-0005-0000-0000-00000FB30000}"/>
    <cellStyle name="Normal 9 2 2 6 3" xfId="47883" xr:uid="{00000000-0005-0000-0000-000010B30000}"/>
    <cellStyle name="Normal 9 2 2 7" xfId="47884" xr:uid="{00000000-0005-0000-0000-000011B30000}"/>
    <cellStyle name="Normal 9 2 2 7 2" xfId="47885" xr:uid="{00000000-0005-0000-0000-000012B30000}"/>
    <cellStyle name="Normal 9 2 2 7 2 2" xfId="47886" xr:uid="{00000000-0005-0000-0000-000013B30000}"/>
    <cellStyle name="Normal 9 2 2 7 3" xfId="47887" xr:uid="{00000000-0005-0000-0000-000014B30000}"/>
    <cellStyle name="Normal 9 2 2 8" xfId="47888" xr:uid="{00000000-0005-0000-0000-000015B30000}"/>
    <cellStyle name="Normal 9 2 2 8 2" xfId="47889" xr:uid="{00000000-0005-0000-0000-000016B30000}"/>
    <cellStyle name="Normal 9 2 2 9" xfId="47890" xr:uid="{00000000-0005-0000-0000-000017B30000}"/>
    <cellStyle name="Normal 9 2 2 9 2" xfId="47891" xr:uid="{00000000-0005-0000-0000-000018B30000}"/>
    <cellStyle name="Normal 9 2 3" xfId="47892" xr:uid="{00000000-0005-0000-0000-000019B30000}"/>
    <cellStyle name="Normal 9 2 3 10" xfId="47893" xr:uid="{00000000-0005-0000-0000-00001AB30000}"/>
    <cellStyle name="Normal 9 2 3 2" xfId="47894" xr:uid="{00000000-0005-0000-0000-00001BB30000}"/>
    <cellStyle name="Normal 9 2 3 2 2" xfId="47895" xr:uid="{00000000-0005-0000-0000-00001CB30000}"/>
    <cellStyle name="Normal 9 2 3 2 2 2" xfId="47896" xr:uid="{00000000-0005-0000-0000-00001DB30000}"/>
    <cellStyle name="Normal 9 2 3 2 2 2 2" xfId="47897" xr:uid="{00000000-0005-0000-0000-00001EB30000}"/>
    <cellStyle name="Normal 9 2 3 2 2 2 2 2" xfId="47898" xr:uid="{00000000-0005-0000-0000-00001FB30000}"/>
    <cellStyle name="Normal 9 2 3 2 2 2 3" xfId="47899" xr:uid="{00000000-0005-0000-0000-000020B30000}"/>
    <cellStyle name="Normal 9 2 3 2 2 3" xfId="47900" xr:uid="{00000000-0005-0000-0000-000021B30000}"/>
    <cellStyle name="Normal 9 2 3 2 2 3 2" xfId="47901" xr:uid="{00000000-0005-0000-0000-000022B30000}"/>
    <cellStyle name="Normal 9 2 3 2 2 4" xfId="47902" xr:uid="{00000000-0005-0000-0000-000023B30000}"/>
    <cellStyle name="Normal 9 2 3 2 2 5" xfId="47903" xr:uid="{00000000-0005-0000-0000-000024B30000}"/>
    <cellStyle name="Normal 9 2 3 2 2 6" xfId="47904" xr:uid="{00000000-0005-0000-0000-000025B30000}"/>
    <cellStyle name="Normal 9 2 3 2 3" xfId="47905" xr:uid="{00000000-0005-0000-0000-000026B30000}"/>
    <cellStyle name="Normal 9 2 3 2 3 2" xfId="47906" xr:uid="{00000000-0005-0000-0000-000027B30000}"/>
    <cellStyle name="Normal 9 2 3 2 3 2 2" xfId="47907" xr:uid="{00000000-0005-0000-0000-000028B30000}"/>
    <cellStyle name="Normal 9 2 3 2 3 3" xfId="47908" xr:uid="{00000000-0005-0000-0000-000029B30000}"/>
    <cellStyle name="Normal 9 2 3 2 4" xfId="47909" xr:uid="{00000000-0005-0000-0000-00002AB30000}"/>
    <cellStyle name="Normal 9 2 3 2 4 2" xfId="47910" xr:uid="{00000000-0005-0000-0000-00002BB30000}"/>
    <cellStyle name="Normal 9 2 3 2 4 2 2" xfId="47911" xr:uid="{00000000-0005-0000-0000-00002CB30000}"/>
    <cellStyle name="Normal 9 2 3 2 4 3" xfId="47912" xr:uid="{00000000-0005-0000-0000-00002DB30000}"/>
    <cellStyle name="Normal 9 2 3 2 5" xfId="47913" xr:uid="{00000000-0005-0000-0000-00002EB30000}"/>
    <cellStyle name="Normal 9 2 3 2 5 2" xfId="47914" xr:uid="{00000000-0005-0000-0000-00002FB30000}"/>
    <cellStyle name="Normal 9 2 3 2 6" xfId="47915" xr:uid="{00000000-0005-0000-0000-000030B30000}"/>
    <cellStyle name="Normal 9 2 3 2 7" xfId="47916" xr:uid="{00000000-0005-0000-0000-000031B30000}"/>
    <cellStyle name="Normal 9 2 3 2 8" xfId="47917" xr:uid="{00000000-0005-0000-0000-000032B30000}"/>
    <cellStyle name="Normal 9 2 3 3" xfId="47918" xr:uid="{00000000-0005-0000-0000-000033B30000}"/>
    <cellStyle name="Normal 9 2 3 3 2" xfId="47919" xr:uid="{00000000-0005-0000-0000-000034B30000}"/>
    <cellStyle name="Normal 9 2 3 3 2 2" xfId="47920" xr:uid="{00000000-0005-0000-0000-000035B30000}"/>
    <cellStyle name="Normal 9 2 3 3 2 2 2" xfId="47921" xr:uid="{00000000-0005-0000-0000-000036B30000}"/>
    <cellStyle name="Normal 9 2 3 3 2 2 2 2" xfId="47922" xr:uid="{00000000-0005-0000-0000-000037B30000}"/>
    <cellStyle name="Normal 9 2 3 3 2 2 3" xfId="47923" xr:uid="{00000000-0005-0000-0000-000038B30000}"/>
    <cellStyle name="Normal 9 2 3 3 2 3" xfId="47924" xr:uid="{00000000-0005-0000-0000-000039B30000}"/>
    <cellStyle name="Normal 9 2 3 3 2 3 2" xfId="47925" xr:uid="{00000000-0005-0000-0000-00003AB30000}"/>
    <cellStyle name="Normal 9 2 3 3 2 4" xfId="47926" xr:uid="{00000000-0005-0000-0000-00003BB30000}"/>
    <cellStyle name="Normal 9 2 3 3 2 5" xfId="47927" xr:uid="{00000000-0005-0000-0000-00003CB30000}"/>
    <cellStyle name="Normal 9 2 3 3 2 6" xfId="47928" xr:uid="{00000000-0005-0000-0000-00003DB30000}"/>
    <cellStyle name="Normal 9 2 3 3 3" xfId="47929" xr:uid="{00000000-0005-0000-0000-00003EB30000}"/>
    <cellStyle name="Normal 9 2 3 3 3 2" xfId="47930" xr:uid="{00000000-0005-0000-0000-00003FB30000}"/>
    <cellStyle name="Normal 9 2 3 3 3 2 2" xfId="47931" xr:uid="{00000000-0005-0000-0000-000040B30000}"/>
    <cellStyle name="Normal 9 2 3 3 3 3" xfId="47932" xr:uid="{00000000-0005-0000-0000-000041B30000}"/>
    <cellStyle name="Normal 9 2 3 3 4" xfId="47933" xr:uid="{00000000-0005-0000-0000-000042B30000}"/>
    <cellStyle name="Normal 9 2 3 3 4 2" xfId="47934" xr:uid="{00000000-0005-0000-0000-000043B30000}"/>
    <cellStyle name="Normal 9 2 3 3 5" xfId="47935" xr:uid="{00000000-0005-0000-0000-000044B30000}"/>
    <cellStyle name="Normal 9 2 3 3 6" xfId="47936" xr:uid="{00000000-0005-0000-0000-000045B30000}"/>
    <cellStyle name="Normal 9 2 3 3 7" xfId="47937" xr:uid="{00000000-0005-0000-0000-000046B30000}"/>
    <cellStyle name="Normal 9 2 3 4" xfId="47938" xr:uid="{00000000-0005-0000-0000-000047B30000}"/>
    <cellStyle name="Normal 9 2 3 4 2" xfId="47939" xr:uid="{00000000-0005-0000-0000-000048B30000}"/>
    <cellStyle name="Normal 9 2 3 4 2 2" xfId="47940" xr:uid="{00000000-0005-0000-0000-000049B30000}"/>
    <cellStyle name="Normal 9 2 3 4 2 2 2" xfId="47941" xr:uid="{00000000-0005-0000-0000-00004AB30000}"/>
    <cellStyle name="Normal 9 2 3 4 2 3" xfId="47942" xr:uid="{00000000-0005-0000-0000-00004BB30000}"/>
    <cellStyle name="Normal 9 2 3 4 3" xfId="47943" xr:uid="{00000000-0005-0000-0000-00004CB30000}"/>
    <cellStyle name="Normal 9 2 3 4 3 2" xfId="47944" xr:uid="{00000000-0005-0000-0000-00004DB30000}"/>
    <cellStyle name="Normal 9 2 3 4 4" xfId="47945" xr:uid="{00000000-0005-0000-0000-00004EB30000}"/>
    <cellStyle name="Normal 9 2 3 4 5" xfId="47946" xr:uid="{00000000-0005-0000-0000-00004FB30000}"/>
    <cellStyle name="Normal 9 2 3 4 6" xfId="47947" xr:uid="{00000000-0005-0000-0000-000050B30000}"/>
    <cellStyle name="Normal 9 2 3 5" xfId="47948" xr:uid="{00000000-0005-0000-0000-000051B30000}"/>
    <cellStyle name="Normal 9 2 3 5 2" xfId="47949" xr:uid="{00000000-0005-0000-0000-000052B30000}"/>
    <cellStyle name="Normal 9 2 3 5 2 2" xfId="47950" xr:uid="{00000000-0005-0000-0000-000053B30000}"/>
    <cellStyle name="Normal 9 2 3 5 3" xfId="47951" xr:uid="{00000000-0005-0000-0000-000054B30000}"/>
    <cellStyle name="Normal 9 2 3 6" xfId="47952" xr:uid="{00000000-0005-0000-0000-000055B30000}"/>
    <cellStyle name="Normal 9 2 3 6 2" xfId="47953" xr:uid="{00000000-0005-0000-0000-000056B30000}"/>
    <cellStyle name="Normal 9 2 3 6 2 2" xfId="47954" xr:uid="{00000000-0005-0000-0000-000057B30000}"/>
    <cellStyle name="Normal 9 2 3 6 3" xfId="47955" xr:uid="{00000000-0005-0000-0000-000058B30000}"/>
    <cellStyle name="Normal 9 2 3 7" xfId="47956" xr:uid="{00000000-0005-0000-0000-000059B30000}"/>
    <cellStyle name="Normal 9 2 3 7 2" xfId="47957" xr:uid="{00000000-0005-0000-0000-00005AB30000}"/>
    <cellStyle name="Normal 9 2 3 8" xfId="47958" xr:uid="{00000000-0005-0000-0000-00005BB30000}"/>
    <cellStyle name="Normal 9 2 3 9" xfId="47959" xr:uid="{00000000-0005-0000-0000-00005CB30000}"/>
    <cellStyle name="Normal 9 2 4" xfId="47960" xr:uid="{00000000-0005-0000-0000-00005DB30000}"/>
    <cellStyle name="Normal 9 2 4 2" xfId="47961" xr:uid="{00000000-0005-0000-0000-00005EB30000}"/>
    <cellStyle name="Normal 9 2 4 3" xfId="47962" xr:uid="{00000000-0005-0000-0000-00005FB30000}"/>
    <cellStyle name="Normal 9 2 4 3 2" xfId="47963" xr:uid="{00000000-0005-0000-0000-000060B30000}"/>
    <cellStyle name="Normal 9 2 4 4" xfId="47964" xr:uid="{00000000-0005-0000-0000-000061B30000}"/>
    <cellStyle name="Normal 9 2 4 5" xfId="47965" xr:uid="{00000000-0005-0000-0000-000062B30000}"/>
    <cellStyle name="Normal 9 2 5" xfId="47966" xr:uid="{00000000-0005-0000-0000-000063B30000}"/>
    <cellStyle name="Normal 9 2 5 2" xfId="47967" xr:uid="{00000000-0005-0000-0000-000064B30000}"/>
    <cellStyle name="Normal 9 2 5 2 2" xfId="47968" xr:uid="{00000000-0005-0000-0000-000065B30000}"/>
    <cellStyle name="Normal 9 2 5 2 2 2" xfId="47969" xr:uid="{00000000-0005-0000-0000-000066B30000}"/>
    <cellStyle name="Normal 9 2 5 2 3" xfId="47970" xr:uid="{00000000-0005-0000-0000-000067B30000}"/>
    <cellStyle name="Normal 9 2 5 3" xfId="47971" xr:uid="{00000000-0005-0000-0000-000068B30000}"/>
    <cellStyle name="Normal 9 2 5 3 2" xfId="47972" xr:uid="{00000000-0005-0000-0000-000069B30000}"/>
    <cellStyle name="Normal 9 2 5 3 2 2" xfId="47973" xr:uid="{00000000-0005-0000-0000-00006AB30000}"/>
    <cellStyle name="Normal 9 2 5 3 3" xfId="47974" xr:uid="{00000000-0005-0000-0000-00006BB30000}"/>
    <cellStyle name="Normal 9 2 5 4" xfId="47975" xr:uid="{00000000-0005-0000-0000-00006CB30000}"/>
    <cellStyle name="Normal 9 2 5 4 2" xfId="47976" xr:uid="{00000000-0005-0000-0000-00006DB30000}"/>
    <cellStyle name="Normal 9 2 5 5" xfId="47977" xr:uid="{00000000-0005-0000-0000-00006EB30000}"/>
    <cellStyle name="Normal 9 2 5 6" xfId="47978" xr:uid="{00000000-0005-0000-0000-00006FB30000}"/>
    <cellStyle name="Normal 9 2 5 7" xfId="47979" xr:uid="{00000000-0005-0000-0000-000070B30000}"/>
    <cellStyle name="Normal 9 2 6" xfId="47980" xr:uid="{00000000-0005-0000-0000-000071B30000}"/>
    <cellStyle name="Normal 9 2 6 2" xfId="47981" xr:uid="{00000000-0005-0000-0000-000072B30000}"/>
    <cellStyle name="Normal 9 2 6 2 2" xfId="47982" xr:uid="{00000000-0005-0000-0000-000073B30000}"/>
    <cellStyle name="Normal 9 2 6 3" xfId="47983" xr:uid="{00000000-0005-0000-0000-000074B30000}"/>
    <cellStyle name="Normal 9 2 7" xfId="47984" xr:uid="{00000000-0005-0000-0000-000075B30000}"/>
    <cellStyle name="Normal 9 2 7 2" xfId="47985" xr:uid="{00000000-0005-0000-0000-000076B30000}"/>
    <cellStyle name="Normal 9 2 7 2 2" xfId="47986" xr:uid="{00000000-0005-0000-0000-000077B30000}"/>
    <cellStyle name="Normal 9 2 7 3" xfId="47987" xr:uid="{00000000-0005-0000-0000-000078B30000}"/>
    <cellStyle name="Normal 9 2 8" xfId="47988" xr:uid="{00000000-0005-0000-0000-000079B30000}"/>
    <cellStyle name="Normal 9 2 9" xfId="47989" xr:uid="{00000000-0005-0000-0000-00007AB30000}"/>
    <cellStyle name="Normal 9 3" xfId="47990" xr:uid="{00000000-0005-0000-0000-00007BB30000}"/>
    <cellStyle name="Normal 9 3 10" xfId="47991" xr:uid="{00000000-0005-0000-0000-00007CB30000}"/>
    <cellStyle name="Normal 9 3 11" xfId="47992" xr:uid="{00000000-0005-0000-0000-00007DB30000}"/>
    <cellStyle name="Normal 9 3 12" xfId="47993" xr:uid="{00000000-0005-0000-0000-00007EB30000}"/>
    <cellStyle name="Normal 9 3 13" xfId="47994" xr:uid="{00000000-0005-0000-0000-00007FB30000}"/>
    <cellStyle name="Normal 9 3 2" xfId="47995" xr:uid="{00000000-0005-0000-0000-000080B30000}"/>
    <cellStyle name="Normal 9 3 2 10" xfId="47996" xr:uid="{00000000-0005-0000-0000-000081B30000}"/>
    <cellStyle name="Normal 9 3 2 2" xfId="47997" xr:uid="{00000000-0005-0000-0000-000082B30000}"/>
    <cellStyle name="Normal 9 3 2 2 2" xfId="47998" xr:uid="{00000000-0005-0000-0000-000083B30000}"/>
    <cellStyle name="Normal 9 3 2 2 2 2" xfId="47999" xr:uid="{00000000-0005-0000-0000-000084B30000}"/>
    <cellStyle name="Normal 9 3 2 2 2 2 2" xfId="48000" xr:uid="{00000000-0005-0000-0000-000085B30000}"/>
    <cellStyle name="Normal 9 3 2 2 2 2 2 2" xfId="48001" xr:uid="{00000000-0005-0000-0000-000086B30000}"/>
    <cellStyle name="Normal 9 3 2 2 2 2 3" xfId="48002" xr:uid="{00000000-0005-0000-0000-000087B30000}"/>
    <cellStyle name="Normal 9 3 2 2 2 3" xfId="48003" xr:uid="{00000000-0005-0000-0000-000088B30000}"/>
    <cellStyle name="Normal 9 3 2 2 2 3 2" xfId="48004" xr:uid="{00000000-0005-0000-0000-000089B30000}"/>
    <cellStyle name="Normal 9 3 2 2 2 4" xfId="48005" xr:uid="{00000000-0005-0000-0000-00008AB30000}"/>
    <cellStyle name="Normal 9 3 2 2 2 5" xfId="48006" xr:uid="{00000000-0005-0000-0000-00008BB30000}"/>
    <cellStyle name="Normal 9 3 2 2 2 6" xfId="48007" xr:uid="{00000000-0005-0000-0000-00008CB30000}"/>
    <cellStyle name="Normal 9 3 2 2 3" xfId="48008" xr:uid="{00000000-0005-0000-0000-00008DB30000}"/>
    <cellStyle name="Normal 9 3 2 2 3 2" xfId="48009" xr:uid="{00000000-0005-0000-0000-00008EB30000}"/>
    <cellStyle name="Normal 9 3 2 2 3 2 2" xfId="48010" xr:uid="{00000000-0005-0000-0000-00008FB30000}"/>
    <cellStyle name="Normal 9 3 2 2 3 3" xfId="48011" xr:uid="{00000000-0005-0000-0000-000090B30000}"/>
    <cellStyle name="Normal 9 3 2 2 4" xfId="48012" xr:uid="{00000000-0005-0000-0000-000091B30000}"/>
    <cellStyle name="Normal 9 3 2 2 4 2" xfId="48013" xr:uid="{00000000-0005-0000-0000-000092B30000}"/>
    <cellStyle name="Normal 9 3 2 2 4 2 2" xfId="48014" xr:uid="{00000000-0005-0000-0000-000093B30000}"/>
    <cellStyle name="Normal 9 3 2 2 4 3" xfId="48015" xr:uid="{00000000-0005-0000-0000-000094B30000}"/>
    <cellStyle name="Normal 9 3 2 2 5" xfId="48016" xr:uid="{00000000-0005-0000-0000-000095B30000}"/>
    <cellStyle name="Normal 9 3 2 2 5 2" xfId="48017" xr:uid="{00000000-0005-0000-0000-000096B30000}"/>
    <cellStyle name="Normal 9 3 2 2 6" xfId="48018" xr:uid="{00000000-0005-0000-0000-000097B30000}"/>
    <cellStyle name="Normal 9 3 2 2 7" xfId="48019" xr:uid="{00000000-0005-0000-0000-000098B30000}"/>
    <cellStyle name="Normal 9 3 2 2 8" xfId="48020" xr:uid="{00000000-0005-0000-0000-000099B30000}"/>
    <cellStyle name="Normal 9 3 2 3" xfId="48021" xr:uid="{00000000-0005-0000-0000-00009AB30000}"/>
    <cellStyle name="Normal 9 3 2 3 2" xfId="48022" xr:uid="{00000000-0005-0000-0000-00009BB30000}"/>
    <cellStyle name="Normal 9 3 2 3 2 2" xfId="48023" xr:uid="{00000000-0005-0000-0000-00009CB30000}"/>
    <cellStyle name="Normal 9 3 2 3 2 2 2" xfId="48024" xr:uid="{00000000-0005-0000-0000-00009DB30000}"/>
    <cellStyle name="Normal 9 3 2 3 2 2 2 2" xfId="48025" xr:uid="{00000000-0005-0000-0000-00009EB30000}"/>
    <cellStyle name="Normal 9 3 2 3 2 2 3" xfId="48026" xr:uid="{00000000-0005-0000-0000-00009FB30000}"/>
    <cellStyle name="Normal 9 3 2 3 2 3" xfId="48027" xr:uid="{00000000-0005-0000-0000-0000A0B30000}"/>
    <cellStyle name="Normal 9 3 2 3 2 3 2" xfId="48028" xr:uid="{00000000-0005-0000-0000-0000A1B30000}"/>
    <cellStyle name="Normal 9 3 2 3 2 4" xfId="48029" xr:uid="{00000000-0005-0000-0000-0000A2B30000}"/>
    <cellStyle name="Normal 9 3 2 3 2 5" xfId="48030" xr:uid="{00000000-0005-0000-0000-0000A3B30000}"/>
    <cellStyle name="Normal 9 3 2 3 2 6" xfId="48031" xr:uid="{00000000-0005-0000-0000-0000A4B30000}"/>
    <cellStyle name="Normal 9 3 2 3 3" xfId="48032" xr:uid="{00000000-0005-0000-0000-0000A5B30000}"/>
    <cellStyle name="Normal 9 3 2 3 3 2" xfId="48033" xr:uid="{00000000-0005-0000-0000-0000A6B30000}"/>
    <cellStyle name="Normal 9 3 2 3 3 2 2" xfId="48034" xr:uid="{00000000-0005-0000-0000-0000A7B30000}"/>
    <cellStyle name="Normal 9 3 2 3 3 3" xfId="48035" xr:uid="{00000000-0005-0000-0000-0000A8B30000}"/>
    <cellStyle name="Normal 9 3 2 3 4" xfId="48036" xr:uid="{00000000-0005-0000-0000-0000A9B30000}"/>
    <cellStyle name="Normal 9 3 2 3 4 2" xfId="48037" xr:uid="{00000000-0005-0000-0000-0000AAB30000}"/>
    <cellStyle name="Normal 9 3 2 3 5" xfId="48038" xr:uid="{00000000-0005-0000-0000-0000ABB30000}"/>
    <cellStyle name="Normal 9 3 2 3 6" xfId="48039" xr:uid="{00000000-0005-0000-0000-0000ACB30000}"/>
    <cellStyle name="Normal 9 3 2 3 7" xfId="48040" xr:uid="{00000000-0005-0000-0000-0000ADB30000}"/>
    <cellStyle name="Normal 9 3 2 4" xfId="48041" xr:uid="{00000000-0005-0000-0000-0000AEB30000}"/>
    <cellStyle name="Normal 9 3 2 4 2" xfId="48042" xr:uid="{00000000-0005-0000-0000-0000AFB30000}"/>
    <cellStyle name="Normal 9 3 2 4 2 2" xfId="48043" xr:uid="{00000000-0005-0000-0000-0000B0B30000}"/>
    <cellStyle name="Normal 9 3 2 4 2 2 2" xfId="48044" xr:uid="{00000000-0005-0000-0000-0000B1B30000}"/>
    <cellStyle name="Normal 9 3 2 4 2 3" xfId="48045" xr:uid="{00000000-0005-0000-0000-0000B2B30000}"/>
    <cellStyle name="Normal 9 3 2 4 3" xfId="48046" xr:uid="{00000000-0005-0000-0000-0000B3B30000}"/>
    <cellStyle name="Normal 9 3 2 4 3 2" xfId="48047" xr:uid="{00000000-0005-0000-0000-0000B4B30000}"/>
    <cellStyle name="Normal 9 3 2 4 4" xfId="48048" xr:uid="{00000000-0005-0000-0000-0000B5B30000}"/>
    <cellStyle name="Normal 9 3 2 4 5" xfId="48049" xr:uid="{00000000-0005-0000-0000-0000B6B30000}"/>
    <cellStyle name="Normal 9 3 2 4 6" xfId="48050" xr:uid="{00000000-0005-0000-0000-0000B7B30000}"/>
    <cellStyle name="Normal 9 3 2 5" xfId="48051" xr:uid="{00000000-0005-0000-0000-0000B8B30000}"/>
    <cellStyle name="Normal 9 3 2 5 2" xfId="48052" xr:uid="{00000000-0005-0000-0000-0000B9B30000}"/>
    <cellStyle name="Normal 9 3 2 5 2 2" xfId="48053" xr:uid="{00000000-0005-0000-0000-0000BAB30000}"/>
    <cellStyle name="Normal 9 3 2 5 3" xfId="48054" xr:uid="{00000000-0005-0000-0000-0000BBB30000}"/>
    <cellStyle name="Normal 9 3 2 6" xfId="48055" xr:uid="{00000000-0005-0000-0000-0000BCB30000}"/>
    <cellStyle name="Normal 9 3 2 6 2" xfId="48056" xr:uid="{00000000-0005-0000-0000-0000BDB30000}"/>
    <cellStyle name="Normal 9 3 2 6 2 2" xfId="48057" xr:uid="{00000000-0005-0000-0000-0000BEB30000}"/>
    <cellStyle name="Normal 9 3 2 6 3" xfId="48058" xr:uid="{00000000-0005-0000-0000-0000BFB30000}"/>
    <cellStyle name="Normal 9 3 2 7" xfId="48059" xr:uid="{00000000-0005-0000-0000-0000C0B30000}"/>
    <cellStyle name="Normal 9 3 2 7 2" xfId="48060" xr:uid="{00000000-0005-0000-0000-0000C1B30000}"/>
    <cellStyle name="Normal 9 3 2 8" xfId="48061" xr:uid="{00000000-0005-0000-0000-0000C2B30000}"/>
    <cellStyle name="Normal 9 3 2 9" xfId="48062" xr:uid="{00000000-0005-0000-0000-0000C3B30000}"/>
    <cellStyle name="Normal 9 3 3" xfId="48063" xr:uid="{00000000-0005-0000-0000-0000C4B30000}"/>
    <cellStyle name="Normal 9 3 3 2" xfId="48064" xr:uid="{00000000-0005-0000-0000-0000C5B30000}"/>
    <cellStyle name="Normal 9 3 3 2 2" xfId="48065" xr:uid="{00000000-0005-0000-0000-0000C6B30000}"/>
    <cellStyle name="Normal 9 3 3 2 2 2" xfId="48066" xr:uid="{00000000-0005-0000-0000-0000C7B30000}"/>
    <cellStyle name="Normal 9 3 3 2 2 2 2" xfId="48067" xr:uid="{00000000-0005-0000-0000-0000C8B30000}"/>
    <cellStyle name="Normal 9 3 3 2 2 3" xfId="48068" xr:uid="{00000000-0005-0000-0000-0000C9B30000}"/>
    <cellStyle name="Normal 9 3 3 2 3" xfId="48069" xr:uid="{00000000-0005-0000-0000-0000CAB30000}"/>
    <cellStyle name="Normal 9 3 3 2 3 2" xfId="48070" xr:uid="{00000000-0005-0000-0000-0000CBB30000}"/>
    <cellStyle name="Normal 9 3 3 2 4" xfId="48071" xr:uid="{00000000-0005-0000-0000-0000CCB30000}"/>
    <cellStyle name="Normal 9 3 3 2 5" xfId="48072" xr:uid="{00000000-0005-0000-0000-0000CDB30000}"/>
    <cellStyle name="Normal 9 3 3 2 6" xfId="48073" xr:uid="{00000000-0005-0000-0000-0000CEB30000}"/>
    <cellStyle name="Normal 9 3 3 3" xfId="48074" xr:uid="{00000000-0005-0000-0000-0000CFB30000}"/>
    <cellStyle name="Normal 9 3 3 3 2" xfId="48075" xr:uid="{00000000-0005-0000-0000-0000D0B30000}"/>
    <cellStyle name="Normal 9 3 3 3 2 2" xfId="48076" xr:uid="{00000000-0005-0000-0000-0000D1B30000}"/>
    <cellStyle name="Normal 9 3 3 3 3" xfId="48077" xr:uid="{00000000-0005-0000-0000-0000D2B30000}"/>
    <cellStyle name="Normal 9 3 3 4" xfId="48078" xr:uid="{00000000-0005-0000-0000-0000D3B30000}"/>
    <cellStyle name="Normal 9 3 3 4 2" xfId="48079" xr:uid="{00000000-0005-0000-0000-0000D4B30000}"/>
    <cellStyle name="Normal 9 3 3 4 2 2" xfId="48080" xr:uid="{00000000-0005-0000-0000-0000D5B30000}"/>
    <cellStyle name="Normal 9 3 3 4 3" xfId="48081" xr:uid="{00000000-0005-0000-0000-0000D6B30000}"/>
    <cellStyle name="Normal 9 3 3 5" xfId="48082" xr:uid="{00000000-0005-0000-0000-0000D7B30000}"/>
    <cellStyle name="Normal 9 3 3 5 2" xfId="48083" xr:uid="{00000000-0005-0000-0000-0000D8B30000}"/>
    <cellStyle name="Normal 9 3 3 6" xfId="48084" xr:uid="{00000000-0005-0000-0000-0000D9B30000}"/>
    <cellStyle name="Normal 9 3 3 7" xfId="48085" xr:uid="{00000000-0005-0000-0000-0000DAB30000}"/>
    <cellStyle name="Normal 9 3 3 8" xfId="48086" xr:uid="{00000000-0005-0000-0000-0000DBB30000}"/>
    <cellStyle name="Normal 9 3 4" xfId="48087" xr:uid="{00000000-0005-0000-0000-0000DCB30000}"/>
    <cellStyle name="Normal 9 3 4 2" xfId="48088" xr:uid="{00000000-0005-0000-0000-0000DDB30000}"/>
    <cellStyle name="Normal 9 3 4 2 2" xfId="48089" xr:uid="{00000000-0005-0000-0000-0000DEB30000}"/>
    <cellStyle name="Normal 9 3 4 2 2 2" xfId="48090" xr:uid="{00000000-0005-0000-0000-0000DFB30000}"/>
    <cellStyle name="Normal 9 3 4 2 2 2 2" xfId="48091" xr:uid="{00000000-0005-0000-0000-0000E0B30000}"/>
    <cellStyle name="Normal 9 3 4 2 2 3" xfId="48092" xr:uid="{00000000-0005-0000-0000-0000E1B30000}"/>
    <cellStyle name="Normal 9 3 4 2 3" xfId="48093" xr:uid="{00000000-0005-0000-0000-0000E2B30000}"/>
    <cellStyle name="Normal 9 3 4 2 3 2" xfId="48094" xr:uid="{00000000-0005-0000-0000-0000E3B30000}"/>
    <cellStyle name="Normal 9 3 4 2 4" xfId="48095" xr:uid="{00000000-0005-0000-0000-0000E4B30000}"/>
    <cellStyle name="Normal 9 3 4 2 5" xfId="48096" xr:uid="{00000000-0005-0000-0000-0000E5B30000}"/>
    <cellStyle name="Normal 9 3 4 2 6" xfId="48097" xr:uid="{00000000-0005-0000-0000-0000E6B30000}"/>
    <cellStyle name="Normal 9 3 4 3" xfId="48098" xr:uid="{00000000-0005-0000-0000-0000E7B30000}"/>
    <cellStyle name="Normal 9 3 4 3 2" xfId="48099" xr:uid="{00000000-0005-0000-0000-0000E8B30000}"/>
    <cellStyle name="Normal 9 3 4 3 2 2" xfId="48100" xr:uid="{00000000-0005-0000-0000-0000E9B30000}"/>
    <cellStyle name="Normal 9 3 4 3 3" xfId="48101" xr:uid="{00000000-0005-0000-0000-0000EAB30000}"/>
    <cellStyle name="Normal 9 3 4 4" xfId="48102" xr:uid="{00000000-0005-0000-0000-0000EBB30000}"/>
    <cellStyle name="Normal 9 3 4 4 2" xfId="48103" xr:uid="{00000000-0005-0000-0000-0000ECB30000}"/>
    <cellStyle name="Normal 9 3 4 4 2 2" xfId="48104" xr:uid="{00000000-0005-0000-0000-0000EDB30000}"/>
    <cellStyle name="Normal 9 3 4 4 3" xfId="48105" xr:uid="{00000000-0005-0000-0000-0000EEB30000}"/>
    <cellStyle name="Normal 9 3 4 5" xfId="48106" xr:uid="{00000000-0005-0000-0000-0000EFB30000}"/>
    <cellStyle name="Normal 9 3 4 5 2" xfId="48107" xr:uid="{00000000-0005-0000-0000-0000F0B30000}"/>
    <cellStyle name="Normal 9 3 4 6" xfId="48108" xr:uid="{00000000-0005-0000-0000-0000F1B30000}"/>
    <cellStyle name="Normal 9 3 4 7" xfId="48109" xr:uid="{00000000-0005-0000-0000-0000F2B30000}"/>
    <cellStyle name="Normal 9 3 4 8" xfId="48110" xr:uid="{00000000-0005-0000-0000-0000F3B30000}"/>
    <cellStyle name="Normal 9 3 5" xfId="48111" xr:uid="{00000000-0005-0000-0000-0000F4B30000}"/>
    <cellStyle name="Normal 9 3 5 2" xfId="48112" xr:uid="{00000000-0005-0000-0000-0000F5B30000}"/>
    <cellStyle name="Normal 9 3 5 2 2" xfId="48113" xr:uid="{00000000-0005-0000-0000-0000F6B30000}"/>
    <cellStyle name="Normal 9 3 5 2 2 2" xfId="48114" xr:uid="{00000000-0005-0000-0000-0000F7B30000}"/>
    <cellStyle name="Normal 9 3 5 2 3" xfId="48115" xr:uid="{00000000-0005-0000-0000-0000F8B30000}"/>
    <cellStyle name="Normal 9 3 5 3" xfId="48116" xr:uid="{00000000-0005-0000-0000-0000F9B30000}"/>
    <cellStyle name="Normal 9 3 5 3 2" xfId="48117" xr:uid="{00000000-0005-0000-0000-0000FAB30000}"/>
    <cellStyle name="Normal 9 3 5 4" xfId="48118" xr:uid="{00000000-0005-0000-0000-0000FBB30000}"/>
    <cellStyle name="Normal 9 3 5 5" xfId="48119" xr:uid="{00000000-0005-0000-0000-0000FCB30000}"/>
    <cellStyle name="Normal 9 3 5 6" xfId="48120" xr:uid="{00000000-0005-0000-0000-0000FDB30000}"/>
    <cellStyle name="Normal 9 3 6" xfId="48121" xr:uid="{00000000-0005-0000-0000-0000FEB30000}"/>
    <cellStyle name="Normal 9 3 6 2" xfId="48122" xr:uid="{00000000-0005-0000-0000-0000FFB30000}"/>
    <cellStyle name="Normal 9 3 6 2 2" xfId="48123" xr:uid="{00000000-0005-0000-0000-000000B40000}"/>
    <cellStyle name="Normal 9 3 6 3" xfId="48124" xr:uid="{00000000-0005-0000-0000-000001B40000}"/>
    <cellStyle name="Normal 9 3 7" xfId="48125" xr:uid="{00000000-0005-0000-0000-000002B40000}"/>
    <cellStyle name="Normal 9 3 7 2" xfId="48126" xr:uid="{00000000-0005-0000-0000-000003B40000}"/>
    <cellStyle name="Normal 9 3 7 2 2" xfId="48127" xr:uid="{00000000-0005-0000-0000-000004B40000}"/>
    <cellStyle name="Normal 9 3 7 3" xfId="48128" xr:uid="{00000000-0005-0000-0000-000005B40000}"/>
    <cellStyle name="Normal 9 3 8" xfId="48129" xr:uid="{00000000-0005-0000-0000-000006B40000}"/>
    <cellStyle name="Normal 9 3 8 2" xfId="48130" xr:uid="{00000000-0005-0000-0000-000007B40000}"/>
    <cellStyle name="Normal 9 3 9" xfId="48131" xr:uid="{00000000-0005-0000-0000-000008B40000}"/>
    <cellStyle name="Normal 9 3 9 2" xfId="48132" xr:uid="{00000000-0005-0000-0000-000009B40000}"/>
    <cellStyle name="Normal 9 4" xfId="48133" xr:uid="{00000000-0005-0000-0000-00000AB40000}"/>
    <cellStyle name="Normal 9 4 10" xfId="48134" xr:uid="{00000000-0005-0000-0000-00000BB40000}"/>
    <cellStyle name="Normal 9 4 11" xfId="48135" xr:uid="{00000000-0005-0000-0000-00000CB40000}"/>
    <cellStyle name="Normal 9 4 2" xfId="48136" xr:uid="{00000000-0005-0000-0000-00000DB40000}"/>
    <cellStyle name="Normal 9 4 2 10" xfId="48137" xr:uid="{00000000-0005-0000-0000-00000EB40000}"/>
    <cellStyle name="Normal 9 4 2 2" xfId="48138" xr:uid="{00000000-0005-0000-0000-00000FB40000}"/>
    <cellStyle name="Normal 9 4 2 2 2" xfId="48139" xr:uid="{00000000-0005-0000-0000-000010B40000}"/>
    <cellStyle name="Normal 9 4 2 2 2 2" xfId="48140" xr:uid="{00000000-0005-0000-0000-000011B40000}"/>
    <cellStyle name="Normal 9 4 2 2 2 2 2" xfId="48141" xr:uid="{00000000-0005-0000-0000-000012B40000}"/>
    <cellStyle name="Normal 9 4 2 2 2 2 2 2" xfId="48142" xr:uid="{00000000-0005-0000-0000-000013B40000}"/>
    <cellStyle name="Normal 9 4 2 2 2 2 3" xfId="48143" xr:uid="{00000000-0005-0000-0000-000014B40000}"/>
    <cellStyle name="Normal 9 4 2 2 2 3" xfId="48144" xr:uid="{00000000-0005-0000-0000-000015B40000}"/>
    <cellStyle name="Normal 9 4 2 2 2 3 2" xfId="48145" xr:uid="{00000000-0005-0000-0000-000016B40000}"/>
    <cellStyle name="Normal 9 4 2 2 2 4" xfId="48146" xr:uid="{00000000-0005-0000-0000-000017B40000}"/>
    <cellStyle name="Normal 9 4 2 2 2 5" xfId="48147" xr:uid="{00000000-0005-0000-0000-000018B40000}"/>
    <cellStyle name="Normal 9 4 2 2 2 6" xfId="48148" xr:uid="{00000000-0005-0000-0000-000019B40000}"/>
    <cellStyle name="Normal 9 4 2 2 3" xfId="48149" xr:uid="{00000000-0005-0000-0000-00001AB40000}"/>
    <cellStyle name="Normal 9 4 2 2 3 2" xfId="48150" xr:uid="{00000000-0005-0000-0000-00001BB40000}"/>
    <cellStyle name="Normal 9 4 2 2 3 2 2" xfId="48151" xr:uid="{00000000-0005-0000-0000-00001CB40000}"/>
    <cellStyle name="Normal 9 4 2 2 3 3" xfId="48152" xr:uid="{00000000-0005-0000-0000-00001DB40000}"/>
    <cellStyle name="Normal 9 4 2 2 4" xfId="48153" xr:uid="{00000000-0005-0000-0000-00001EB40000}"/>
    <cellStyle name="Normal 9 4 2 2 4 2" xfId="48154" xr:uid="{00000000-0005-0000-0000-00001FB40000}"/>
    <cellStyle name="Normal 9 4 2 2 4 2 2" xfId="48155" xr:uid="{00000000-0005-0000-0000-000020B40000}"/>
    <cellStyle name="Normal 9 4 2 2 4 3" xfId="48156" xr:uid="{00000000-0005-0000-0000-000021B40000}"/>
    <cellStyle name="Normal 9 4 2 2 5" xfId="48157" xr:uid="{00000000-0005-0000-0000-000022B40000}"/>
    <cellStyle name="Normal 9 4 2 2 5 2" xfId="48158" xr:uid="{00000000-0005-0000-0000-000023B40000}"/>
    <cellStyle name="Normal 9 4 2 2 6" xfId="48159" xr:uid="{00000000-0005-0000-0000-000024B40000}"/>
    <cellStyle name="Normal 9 4 2 2 7" xfId="48160" xr:uid="{00000000-0005-0000-0000-000025B40000}"/>
    <cellStyle name="Normal 9 4 2 2 8" xfId="48161" xr:uid="{00000000-0005-0000-0000-000026B40000}"/>
    <cellStyle name="Normal 9 4 2 3" xfId="48162" xr:uid="{00000000-0005-0000-0000-000027B40000}"/>
    <cellStyle name="Normal 9 4 2 3 2" xfId="48163" xr:uid="{00000000-0005-0000-0000-000028B40000}"/>
    <cellStyle name="Normal 9 4 2 3 2 2" xfId="48164" xr:uid="{00000000-0005-0000-0000-000029B40000}"/>
    <cellStyle name="Normal 9 4 2 3 2 2 2" xfId="48165" xr:uid="{00000000-0005-0000-0000-00002AB40000}"/>
    <cellStyle name="Normal 9 4 2 3 2 2 2 2" xfId="48166" xr:uid="{00000000-0005-0000-0000-00002BB40000}"/>
    <cellStyle name="Normal 9 4 2 3 2 2 3" xfId="48167" xr:uid="{00000000-0005-0000-0000-00002CB40000}"/>
    <cellStyle name="Normal 9 4 2 3 2 3" xfId="48168" xr:uid="{00000000-0005-0000-0000-00002DB40000}"/>
    <cellStyle name="Normal 9 4 2 3 2 3 2" xfId="48169" xr:uid="{00000000-0005-0000-0000-00002EB40000}"/>
    <cellStyle name="Normal 9 4 2 3 2 4" xfId="48170" xr:uid="{00000000-0005-0000-0000-00002FB40000}"/>
    <cellStyle name="Normal 9 4 2 3 2 5" xfId="48171" xr:uid="{00000000-0005-0000-0000-000030B40000}"/>
    <cellStyle name="Normal 9 4 2 3 2 6" xfId="48172" xr:uid="{00000000-0005-0000-0000-000031B40000}"/>
    <cellStyle name="Normal 9 4 2 3 3" xfId="48173" xr:uid="{00000000-0005-0000-0000-000032B40000}"/>
    <cellStyle name="Normal 9 4 2 3 3 2" xfId="48174" xr:uid="{00000000-0005-0000-0000-000033B40000}"/>
    <cellStyle name="Normal 9 4 2 3 3 2 2" xfId="48175" xr:uid="{00000000-0005-0000-0000-000034B40000}"/>
    <cellStyle name="Normal 9 4 2 3 3 3" xfId="48176" xr:uid="{00000000-0005-0000-0000-000035B40000}"/>
    <cellStyle name="Normal 9 4 2 3 4" xfId="48177" xr:uid="{00000000-0005-0000-0000-000036B40000}"/>
    <cellStyle name="Normal 9 4 2 3 4 2" xfId="48178" xr:uid="{00000000-0005-0000-0000-000037B40000}"/>
    <cellStyle name="Normal 9 4 2 3 5" xfId="48179" xr:uid="{00000000-0005-0000-0000-000038B40000}"/>
    <cellStyle name="Normal 9 4 2 3 6" xfId="48180" xr:uid="{00000000-0005-0000-0000-000039B40000}"/>
    <cellStyle name="Normal 9 4 2 3 7" xfId="48181" xr:uid="{00000000-0005-0000-0000-00003AB40000}"/>
    <cellStyle name="Normal 9 4 2 4" xfId="48182" xr:uid="{00000000-0005-0000-0000-00003BB40000}"/>
    <cellStyle name="Normal 9 4 2 4 2" xfId="48183" xr:uid="{00000000-0005-0000-0000-00003CB40000}"/>
    <cellStyle name="Normal 9 4 2 4 2 2" xfId="48184" xr:uid="{00000000-0005-0000-0000-00003DB40000}"/>
    <cellStyle name="Normal 9 4 2 4 2 2 2" xfId="48185" xr:uid="{00000000-0005-0000-0000-00003EB40000}"/>
    <cellStyle name="Normal 9 4 2 4 2 3" xfId="48186" xr:uid="{00000000-0005-0000-0000-00003FB40000}"/>
    <cellStyle name="Normal 9 4 2 4 3" xfId="48187" xr:uid="{00000000-0005-0000-0000-000040B40000}"/>
    <cellStyle name="Normal 9 4 2 4 3 2" xfId="48188" xr:uid="{00000000-0005-0000-0000-000041B40000}"/>
    <cellStyle name="Normal 9 4 2 4 4" xfId="48189" xr:uid="{00000000-0005-0000-0000-000042B40000}"/>
    <cellStyle name="Normal 9 4 2 4 5" xfId="48190" xr:uid="{00000000-0005-0000-0000-000043B40000}"/>
    <cellStyle name="Normal 9 4 2 4 6" xfId="48191" xr:uid="{00000000-0005-0000-0000-000044B40000}"/>
    <cellStyle name="Normal 9 4 2 5" xfId="48192" xr:uid="{00000000-0005-0000-0000-000045B40000}"/>
    <cellStyle name="Normal 9 4 2 5 2" xfId="48193" xr:uid="{00000000-0005-0000-0000-000046B40000}"/>
    <cellStyle name="Normal 9 4 2 5 2 2" xfId="48194" xr:uid="{00000000-0005-0000-0000-000047B40000}"/>
    <cellStyle name="Normal 9 4 2 5 3" xfId="48195" xr:uid="{00000000-0005-0000-0000-000048B40000}"/>
    <cellStyle name="Normal 9 4 2 6" xfId="48196" xr:uid="{00000000-0005-0000-0000-000049B40000}"/>
    <cellStyle name="Normal 9 4 2 6 2" xfId="48197" xr:uid="{00000000-0005-0000-0000-00004AB40000}"/>
    <cellStyle name="Normal 9 4 2 6 2 2" xfId="48198" xr:uid="{00000000-0005-0000-0000-00004BB40000}"/>
    <cellStyle name="Normal 9 4 2 6 3" xfId="48199" xr:uid="{00000000-0005-0000-0000-00004CB40000}"/>
    <cellStyle name="Normal 9 4 2 7" xfId="48200" xr:uid="{00000000-0005-0000-0000-00004DB40000}"/>
    <cellStyle name="Normal 9 4 2 7 2" xfId="48201" xr:uid="{00000000-0005-0000-0000-00004EB40000}"/>
    <cellStyle name="Normal 9 4 2 8" xfId="48202" xr:uid="{00000000-0005-0000-0000-00004FB40000}"/>
    <cellStyle name="Normal 9 4 2 9" xfId="48203" xr:uid="{00000000-0005-0000-0000-000050B40000}"/>
    <cellStyle name="Normal 9 4 3" xfId="48204" xr:uid="{00000000-0005-0000-0000-000051B40000}"/>
    <cellStyle name="Normal 9 4 3 2" xfId="48205" xr:uid="{00000000-0005-0000-0000-000052B40000}"/>
    <cellStyle name="Normal 9 4 3 2 2" xfId="48206" xr:uid="{00000000-0005-0000-0000-000053B40000}"/>
    <cellStyle name="Normal 9 4 3 2 2 2" xfId="48207" xr:uid="{00000000-0005-0000-0000-000054B40000}"/>
    <cellStyle name="Normal 9 4 3 2 2 2 2" xfId="48208" xr:uid="{00000000-0005-0000-0000-000055B40000}"/>
    <cellStyle name="Normal 9 4 3 2 2 3" xfId="48209" xr:uid="{00000000-0005-0000-0000-000056B40000}"/>
    <cellStyle name="Normal 9 4 3 2 3" xfId="48210" xr:uid="{00000000-0005-0000-0000-000057B40000}"/>
    <cellStyle name="Normal 9 4 3 2 3 2" xfId="48211" xr:uid="{00000000-0005-0000-0000-000058B40000}"/>
    <cellStyle name="Normal 9 4 3 2 4" xfId="48212" xr:uid="{00000000-0005-0000-0000-000059B40000}"/>
    <cellStyle name="Normal 9 4 3 2 5" xfId="48213" xr:uid="{00000000-0005-0000-0000-00005AB40000}"/>
    <cellStyle name="Normal 9 4 3 2 6" xfId="48214" xr:uid="{00000000-0005-0000-0000-00005BB40000}"/>
    <cellStyle name="Normal 9 4 3 3" xfId="48215" xr:uid="{00000000-0005-0000-0000-00005CB40000}"/>
    <cellStyle name="Normal 9 4 3 3 2" xfId="48216" xr:uid="{00000000-0005-0000-0000-00005DB40000}"/>
    <cellStyle name="Normal 9 4 3 3 2 2" xfId="48217" xr:uid="{00000000-0005-0000-0000-00005EB40000}"/>
    <cellStyle name="Normal 9 4 3 3 3" xfId="48218" xr:uid="{00000000-0005-0000-0000-00005FB40000}"/>
    <cellStyle name="Normal 9 4 3 4" xfId="48219" xr:uid="{00000000-0005-0000-0000-000060B40000}"/>
    <cellStyle name="Normal 9 4 3 4 2" xfId="48220" xr:uid="{00000000-0005-0000-0000-000061B40000}"/>
    <cellStyle name="Normal 9 4 3 4 2 2" xfId="48221" xr:uid="{00000000-0005-0000-0000-000062B40000}"/>
    <cellStyle name="Normal 9 4 3 4 3" xfId="48222" xr:uid="{00000000-0005-0000-0000-000063B40000}"/>
    <cellStyle name="Normal 9 4 3 5" xfId="48223" xr:uid="{00000000-0005-0000-0000-000064B40000}"/>
    <cellStyle name="Normal 9 4 3 5 2" xfId="48224" xr:uid="{00000000-0005-0000-0000-000065B40000}"/>
    <cellStyle name="Normal 9 4 3 6" xfId="48225" xr:uid="{00000000-0005-0000-0000-000066B40000}"/>
    <cellStyle name="Normal 9 4 3 7" xfId="48226" xr:uid="{00000000-0005-0000-0000-000067B40000}"/>
    <cellStyle name="Normal 9 4 3 8" xfId="48227" xr:uid="{00000000-0005-0000-0000-000068B40000}"/>
    <cellStyle name="Normal 9 4 4" xfId="48228" xr:uid="{00000000-0005-0000-0000-000069B40000}"/>
    <cellStyle name="Normal 9 4 4 2" xfId="48229" xr:uid="{00000000-0005-0000-0000-00006AB40000}"/>
    <cellStyle name="Normal 9 4 4 2 2" xfId="48230" xr:uid="{00000000-0005-0000-0000-00006BB40000}"/>
    <cellStyle name="Normal 9 4 4 2 2 2" xfId="48231" xr:uid="{00000000-0005-0000-0000-00006CB40000}"/>
    <cellStyle name="Normal 9 4 4 2 2 2 2" xfId="48232" xr:uid="{00000000-0005-0000-0000-00006DB40000}"/>
    <cellStyle name="Normal 9 4 4 2 2 3" xfId="48233" xr:uid="{00000000-0005-0000-0000-00006EB40000}"/>
    <cellStyle name="Normal 9 4 4 2 3" xfId="48234" xr:uid="{00000000-0005-0000-0000-00006FB40000}"/>
    <cellStyle name="Normal 9 4 4 2 3 2" xfId="48235" xr:uid="{00000000-0005-0000-0000-000070B40000}"/>
    <cellStyle name="Normal 9 4 4 2 4" xfId="48236" xr:uid="{00000000-0005-0000-0000-000071B40000}"/>
    <cellStyle name="Normal 9 4 4 2 5" xfId="48237" xr:uid="{00000000-0005-0000-0000-000072B40000}"/>
    <cellStyle name="Normal 9 4 4 2 6" xfId="48238" xr:uid="{00000000-0005-0000-0000-000073B40000}"/>
    <cellStyle name="Normal 9 4 4 3" xfId="48239" xr:uid="{00000000-0005-0000-0000-000074B40000}"/>
    <cellStyle name="Normal 9 4 4 3 2" xfId="48240" xr:uid="{00000000-0005-0000-0000-000075B40000}"/>
    <cellStyle name="Normal 9 4 4 3 2 2" xfId="48241" xr:uid="{00000000-0005-0000-0000-000076B40000}"/>
    <cellStyle name="Normal 9 4 4 3 3" xfId="48242" xr:uid="{00000000-0005-0000-0000-000077B40000}"/>
    <cellStyle name="Normal 9 4 4 4" xfId="48243" xr:uid="{00000000-0005-0000-0000-000078B40000}"/>
    <cellStyle name="Normal 9 4 4 4 2" xfId="48244" xr:uid="{00000000-0005-0000-0000-000079B40000}"/>
    <cellStyle name="Normal 9 4 4 4 2 2" xfId="48245" xr:uid="{00000000-0005-0000-0000-00007AB40000}"/>
    <cellStyle name="Normal 9 4 4 4 3" xfId="48246" xr:uid="{00000000-0005-0000-0000-00007BB40000}"/>
    <cellStyle name="Normal 9 4 4 5" xfId="48247" xr:uid="{00000000-0005-0000-0000-00007CB40000}"/>
    <cellStyle name="Normal 9 4 4 5 2" xfId="48248" xr:uid="{00000000-0005-0000-0000-00007DB40000}"/>
    <cellStyle name="Normal 9 4 4 6" xfId="48249" xr:uid="{00000000-0005-0000-0000-00007EB40000}"/>
    <cellStyle name="Normal 9 4 4 7" xfId="48250" xr:uid="{00000000-0005-0000-0000-00007FB40000}"/>
    <cellStyle name="Normal 9 4 4 8" xfId="48251" xr:uid="{00000000-0005-0000-0000-000080B40000}"/>
    <cellStyle name="Normal 9 4 5" xfId="48252" xr:uid="{00000000-0005-0000-0000-000081B40000}"/>
    <cellStyle name="Normal 9 4 5 2" xfId="48253" xr:uid="{00000000-0005-0000-0000-000082B40000}"/>
    <cellStyle name="Normal 9 4 5 2 2" xfId="48254" xr:uid="{00000000-0005-0000-0000-000083B40000}"/>
    <cellStyle name="Normal 9 4 5 2 2 2" xfId="48255" xr:uid="{00000000-0005-0000-0000-000084B40000}"/>
    <cellStyle name="Normal 9 4 5 2 3" xfId="48256" xr:uid="{00000000-0005-0000-0000-000085B40000}"/>
    <cellStyle name="Normal 9 4 5 3" xfId="48257" xr:uid="{00000000-0005-0000-0000-000086B40000}"/>
    <cellStyle name="Normal 9 4 5 3 2" xfId="48258" xr:uid="{00000000-0005-0000-0000-000087B40000}"/>
    <cellStyle name="Normal 9 4 5 4" xfId="48259" xr:uid="{00000000-0005-0000-0000-000088B40000}"/>
    <cellStyle name="Normal 9 4 5 5" xfId="48260" xr:uid="{00000000-0005-0000-0000-000089B40000}"/>
    <cellStyle name="Normal 9 4 5 6" xfId="48261" xr:uid="{00000000-0005-0000-0000-00008AB40000}"/>
    <cellStyle name="Normal 9 4 6" xfId="48262" xr:uid="{00000000-0005-0000-0000-00008BB40000}"/>
    <cellStyle name="Normal 9 4 6 2" xfId="48263" xr:uid="{00000000-0005-0000-0000-00008CB40000}"/>
    <cellStyle name="Normal 9 4 6 2 2" xfId="48264" xr:uid="{00000000-0005-0000-0000-00008DB40000}"/>
    <cellStyle name="Normal 9 4 6 3" xfId="48265" xr:uid="{00000000-0005-0000-0000-00008EB40000}"/>
    <cellStyle name="Normal 9 4 7" xfId="48266" xr:uid="{00000000-0005-0000-0000-00008FB40000}"/>
    <cellStyle name="Normal 9 4 7 2" xfId="48267" xr:uid="{00000000-0005-0000-0000-000090B40000}"/>
    <cellStyle name="Normal 9 4 7 2 2" xfId="48268" xr:uid="{00000000-0005-0000-0000-000091B40000}"/>
    <cellStyle name="Normal 9 4 7 3" xfId="48269" xr:uid="{00000000-0005-0000-0000-000092B40000}"/>
    <cellStyle name="Normal 9 4 8" xfId="48270" xr:uid="{00000000-0005-0000-0000-000093B40000}"/>
    <cellStyle name="Normal 9 4 8 2" xfId="48271" xr:uid="{00000000-0005-0000-0000-000094B40000}"/>
    <cellStyle name="Normal 9 4 9" xfId="48272" xr:uid="{00000000-0005-0000-0000-000095B40000}"/>
    <cellStyle name="Normal 9 5" xfId="48273" xr:uid="{00000000-0005-0000-0000-000096B40000}"/>
    <cellStyle name="Normal 9 5 10" xfId="48274" xr:uid="{00000000-0005-0000-0000-000097B40000}"/>
    <cellStyle name="Normal 9 5 2" xfId="48275" xr:uid="{00000000-0005-0000-0000-000098B40000}"/>
    <cellStyle name="Normal 9 5 2 2" xfId="48276" xr:uid="{00000000-0005-0000-0000-000099B40000}"/>
    <cellStyle name="Normal 9 5 2 2 2" xfId="48277" xr:uid="{00000000-0005-0000-0000-00009AB40000}"/>
    <cellStyle name="Normal 9 5 2 2 2 2" xfId="48278" xr:uid="{00000000-0005-0000-0000-00009BB40000}"/>
    <cellStyle name="Normal 9 5 2 2 2 2 2" xfId="48279" xr:uid="{00000000-0005-0000-0000-00009CB40000}"/>
    <cellStyle name="Normal 9 5 2 2 2 3" xfId="48280" xr:uid="{00000000-0005-0000-0000-00009DB40000}"/>
    <cellStyle name="Normal 9 5 2 2 3" xfId="48281" xr:uid="{00000000-0005-0000-0000-00009EB40000}"/>
    <cellStyle name="Normal 9 5 2 2 3 2" xfId="48282" xr:uid="{00000000-0005-0000-0000-00009FB40000}"/>
    <cellStyle name="Normal 9 5 2 2 4" xfId="48283" xr:uid="{00000000-0005-0000-0000-0000A0B40000}"/>
    <cellStyle name="Normal 9 5 2 2 5" xfId="48284" xr:uid="{00000000-0005-0000-0000-0000A1B40000}"/>
    <cellStyle name="Normal 9 5 2 2 6" xfId="48285" xr:uid="{00000000-0005-0000-0000-0000A2B40000}"/>
    <cellStyle name="Normal 9 5 2 3" xfId="48286" xr:uid="{00000000-0005-0000-0000-0000A3B40000}"/>
    <cellStyle name="Normal 9 5 2 3 2" xfId="48287" xr:uid="{00000000-0005-0000-0000-0000A4B40000}"/>
    <cellStyle name="Normal 9 5 2 3 2 2" xfId="48288" xr:uid="{00000000-0005-0000-0000-0000A5B40000}"/>
    <cellStyle name="Normal 9 5 2 3 3" xfId="48289" xr:uid="{00000000-0005-0000-0000-0000A6B40000}"/>
    <cellStyle name="Normal 9 5 2 4" xfId="48290" xr:uid="{00000000-0005-0000-0000-0000A7B40000}"/>
    <cellStyle name="Normal 9 5 2 4 2" xfId="48291" xr:uid="{00000000-0005-0000-0000-0000A8B40000}"/>
    <cellStyle name="Normal 9 5 2 4 2 2" xfId="48292" xr:uid="{00000000-0005-0000-0000-0000A9B40000}"/>
    <cellStyle name="Normal 9 5 2 4 3" xfId="48293" xr:uid="{00000000-0005-0000-0000-0000AAB40000}"/>
    <cellStyle name="Normal 9 5 2 5" xfId="48294" xr:uid="{00000000-0005-0000-0000-0000ABB40000}"/>
    <cellStyle name="Normal 9 5 2 5 2" xfId="48295" xr:uid="{00000000-0005-0000-0000-0000ACB40000}"/>
    <cellStyle name="Normal 9 5 2 6" xfId="48296" xr:uid="{00000000-0005-0000-0000-0000ADB40000}"/>
    <cellStyle name="Normal 9 5 2 7" xfId="48297" xr:uid="{00000000-0005-0000-0000-0000AEB40000}"/>
    <cellStyle name="Normal 9 5 2 8" xfId="48298" xr:uid="{00000000-0005-0000-0000-0000AFB40000}"/>
    <cellStyle name="Normal 9 5 3" xfId="48299" xr:uid="{00000000-0005-0000-0000-0000B0B40000}"/>
    <cellStyle name="Normal 9 5 3 2" xfId="48300" xr:uid="{00000000-0005-0000-0000-0000B1B40000}"/>
    <cellStyle name="Normal 9 5 3 2 2" xfId="48301" xr:uid="{00000000-0005-0000-0000-0000B2B40000}"/>
    <cellStyle name="Normal 9 5 3 2 2 2" xfId="48302" xr:uid="{00000000-0005-0000-0000-0000B3B40000}"/>
    <cellStyle name="Normal 9 5 3 2 2 2 2" xfId="48303" xr:uid="{00000000-0005-0000-0000-0000B4B40000}"/>
    <cellStyle name="Normal 9 5 3 2 2 3" xfId="48304" xr:uid="{00000000-0005-0000-0000-0000B5B40000}"/>
    <cellStyle name="Normal 9 5 3 2 3" xfId="48305" xr:uid="{00000000-0005-0000-0000-0000B6B40000}"/>
    <cellStyle name="Normal 9 5 3 2 3 2" xfId="48306" xr:uid="{00000000-0005-0000-0000-0000B7B40000}"/>
    <cellStyle name="Normal 9 5 3 2 4" xfId="48307" xr:uid="{00000000-0005-0000-0000-0000B8B40000}"/>
    <cellStyle name="Normal 9 5 3 2 5" xfId="48308" xr:uid="{00000000-0005-0000-0000-0000B9B40000}"/>
    <cellStyle name="Normal 9 5 3 2 6" xfId="48309" xr:uid="{00000000-0005-0000-0000-0000BAB40000}"/>
    <cellStyle name="Normal 9 5 3 3" xfId="48310" xr:uid="{00000000-0005-0000-0000-0000BBB40000}"/>
    <cellStyle name="Normal 9 5 3 3 2" xfId="48311" xr:uid="{00000000-0005-0000-0000-0000BCB40000}"/>
    <cellStyle name="Normal 9 5 3 3 2 2" xfId="48312" xr:uid="{00000000-0005-0000-0000-0000BDB40000}"/>
    <cellStyle name="Normal 9 5 3 3 3" xfId="48313" xr:uid="{00000000-0005-0000-0000-0000BEB40000}"/>
    <cellStyle name="Normal 9 5 3 4" xfId="48314" xr:uid="{00000000-0005-0000-0000-0000BFB40000}"/>
    <cellStyle name="Normal 9 5 3 4 2" xfId="48315" xr:uid="{00000000-0005-0000-0000-0000C0B40000}"/>
    <cellStyle name="Normal 9 5 3 5" xfId="48316" xr:uid="{00000000-0005-0000-0000-0000C1B40000}"/>
    <cellStyle name="Normal 9 5 3 6" xfId="48317" xr:uid="{00000000-0005-0000-0000-0000C2B40000}"/>
    <cellStyle name="Normal 9 5 3 7" xfId="48318" xr:uid="{00000000-0005-0000-0000-0000C3B40000}"/>
    <cellStyle name="Normal 9 5 4" xfId="48319" xr:uid="{00000000-0005-0000-0000-0000C4B40000}"/>
    <cellStyle name="Normal 9 5 4 2" xfId="48320" xr:uid="{00000000-0005-0000-0000-0000C5B40000}"/>
    <cellStyle name="Normal 9 5 4 2 2" xfId="48321" xr:uid="{00000000-0005-0000-0000-0000C6B40000}"/>
    <cellStyle name="Normal 9 5 4 2 2 2" xfId="48322" xr:uid="{00000000-0005-0000-0000-0000C7B40000}"/>
    <cellStyle name="Normal 9 5 4 2 3" xfId="48323" xr:uid="{00000000-0005-0000-0000-0000C8B40000}"/>
    <cellStyle name="Normal 9 5 4 3" xfId="48324" xr:uid="{00000000-0005-0000-0000-0000C9B40000}"/>
    <cellStyle name="Normal 9 5 4 3 2" xfId="48325" xr:uid="{00000000-0005-0000-0000-0000CAB40000}"/>
    <cellStyle name="Normal 9 5 4 4" xfId="48326" xr:uid="{00000000-0005-0000-0000-0000CBB40000}"/>
    <cellStyle name="Normal 9 5 4 5" xfId="48327" xr:uid="{00000000-0005-0000-0000-0000CCB40000}"/>
    <cellStyle name="Normal 9 5 4 6" xfId="48328" xr:uid="{00000000-0005-0000-0000-0000CDB40000}"/>
    <cellStyle name="Normal 9 5 5" xfId="48329" xr:uid="{00000000-0005-0000-0000-0000CEB40000}"/>
    <cellStyle name="Normal 9 5 5 2" xfId="48330" xr:uid="{00000000-0005-0000-0000-0000CFB40000}"/>
    <cellStyle name="Normal 9 5 5 2 2" xfId="48331" xr:uid="{00000000-0005-0000-0000-0000D0B40000}"/>
    <cellStyle name="Normal 9 5 5 3" xfId="48332" xr:uid="{00000000-0005-0000-0000-0000D1B40000}"/>
    <cellStyle name="Normal 9 5 6" xfId="48333" xr:uid="{00000000-0005-0000-0000-0000D2B40000}"/>
    <cellStyle name="Normal 9 5 6 2" xfId="48334" xr:uid="{00000000-0005-0000-0000-0000D3B40000}"/>
    <cellStyle name="Normal 9 5 6 2 2" xfId="48335" xr:uid="{00000000-0005-0000-0000-0000D4B40000}"/>
    <cellStyle name="Normal 9 5 6 3" xfId="48336" xr:uid="{00000000-0005-0000-0000-0000D5B40000}"/>
    <cellStyle name="Normal 9 5 7" xfId="48337" xr:uid="{00000000-0005-0000-0000-0000D6B40000}"/>
    <cellStyle name="Normal 9 5 7 2" xfId="48338" xr:uid="{00000000-0005-0000-0000-0000D7B40000}"/>
    <cellStyle name="Normal 9 5 7 2 2" xfId="48339" xr:uid="{00000000-0005-0000-0000-0000D8B40000}"/>
    <cellStyle name="Normal 9 5 7 3" xfId="48340" xr:uid="{00000000-0005-0000-0000-0000D9B40000}"/>
    <cellStyle name="Normal 9 5 8" xfId="48341" xr:uid="{00000000-0005-0000-0000-0000DAB40000}"/>
    <cellStyle name="Normal 9 5 8 2" xfId="48342" xr:uid="{00000000-0005-0000-0000-0000DBB40000}"/>
    <cellStyle name="Normal 9 5 9" xfId="48343" xr:uid="{00000000-0005-0000-0000-0000DCB40000}"/>
    <cellStyle name="Normal 9 6" xfId="48344" xr:uid="{00000000-0005-0000-0000-0000DDB40000}"/>
    <cellStyle name="Normal 9 6 2" xfId="48345" xr:uid="{00000000-0005-0000-0000-0000DEB40000}"/>
    <cellStyle name="Normal 9 6 2 2" xfId="48346" xr:uid="{00000000-0005-0000-0000-0000DFB40000}"/>
    <cellStyle name="Normal 9 6 2 2 2" xfId="48347" xr:uid="{00000000-0005-0000-0000-0000E0B40000}"/>
    <cellStyle name="Normal 9 6 2 2 2 2" xfId="48348" xr:uid="{00000000-0005-0000-0000-0000E1B40000}"/>
    <cellStyle name="Normal 9 6 2 2 3" xfId="48349" xr:uid="{00000000-0005-0000-0000-0000E2B40000}"/>
    <cellStyle name="Normal 9 6 2 3" xfId="48350" xr:uid="{00000000-0005-0000-0000-0000E3B40000}"/>
    <cellStyle name="Normal 9 6 2 3 2" xfId="48351" xr:uid="{00000000-0005-0000-0000-0000E4B40000}"/>
    <cellStyle name="Normal 9 6 2 4" xfId="48352" xr:uid="{00000000-0005-0000-0000-0000E5B40000}"/>
    <cellStyle name="Normal 9 6 2 5" xfId="48353" xr:uid="{00000000-0005-0000-0000-0000E6B40000}"/>
    <cellStyle name="Normal 9 6 2 6" xfId="48354" xr:uid="{00000000-0005-0000-0000-0000E7B40000}"/>
    <cellStyle name="Normal 9 6 3" xfId="48355" xr:uid="{00000000-0005-0000-0000-0000E8B40000}"/>
    <cellStyle name="Normal 9 6 3 2" xfId="48356" xr:uid="{00000000-0005-0000-0000-0000E9B40000}"/>
    <cellStyle name="Normal 9 6 3 2 2" xfId="48357" xr:uid="{00000000-0005-0000-0000-0000EAB40000}"/>
    <cellStyle name="Normal 9 6 3 3" xfId="48358" xr:uid="{00000000-0005-0000-0000-0000EBB40000}"/>
    <cellStyle name="Normal 9 6 4" xfId="48359" xr:uid="{00000000-0005-0000-0000-0000ECB40000}"/>
    <cellStyle name="Normal 9 6 4 2" xfId="48360" xr:uid="{00000000-0005-0000-0000-0000EDB40000}"/>
    <cellStyle name="Normal 9 6 4 2 2" xfId="48361" xr:uid="{00000000-0005-0000-0000-0000EEB40000}"/>
    <cellStyle name="Normal 9 6 4 3" xfId="48362" xr:uid="{00000000-0005-0000-0000-0000EFB40000}"/>
    <cellStyle name="Normal 9 6 5" xfId="48363" xr:uid="{00000000-0005-0000-0000-0000F0B40000}"/>
    <cellStyle name="Normal 9 6 5 2" xfId="48364" xr:uid="{00000000-0005-0000-0000-0000F1B40000}"/>
    <cellStyle name="Normal 9 6 6" xfId="48365" xr:uid="{00000000-0005-0000-0000-0000F2B40000}"/>
    <cellStyle name="Normal 9 6 7" xfId="48366" xr:uid="{00000000-0005-0000-0000-0000F3B40000}"/>
    <cellStyle name="Normal 9 6 8" xfId="48367" xr:uid="{00000000-0005-0000-0000-0000F4B40000}"/>
    <cellStyle name="Normal 9 7" xfId="48368" xr:uid="{00000000-0005-0000-0000-0000F5B40000}"/>
    <cellStyle name="Normal 9 7 2" xfId="48369" xr:uid="{00000000-0005-0000-0000-0000F6B40000}"/>
    <cellStyle name="Normal 9 7 2 2" xfId="48370" xr:uid="{00000000-0005-0000-0000-0000F7B40000}"/>
    <cellStyle name="Normal 9 7 2 2 2" xfId="48371" xr:uid="{00000000-0005-0000-0000-0000F8B40000}"/>
    <cellStyle name="Normal 9 7 2 2 2 2" xfId="48372" xr:uid="{00000000-0005-0000-0000-0000F9B40000}"/>
    <cellStyle name="Normal 9 7 2 2 3" xfId="48373" xr:uid="{00000000-0005-0000-0000-0000FAB40000}"/>
    <cellStyle name="Normal 9 7 2 3" xfId="48374" xr:uid="{00000000-0005-0000-0000-0000FBB40000}"/>
    <cellStyle name="Normal 9 7 2 3 2" xfId="48375" xr:uid="{00000000-0005-0000-0000-0000FCB40000}"/>
    <cellStyle name="Normal 9 7 2 4" xfId="48376" xr:uid="{00000000-0005-0000-0000-0000FDB40000}"/>
    <cellStyle name="Normal 9 7 2 5" xfId="48377" xr:uid="{00000000-0005-0000-0000-0000FEB40000}"/>
    <cellStyle name="Normal 9 7 2 6" xfId="48378" xr:uid="{00000000-0005-0000-0000-0000FFB40000}"/>
    <cellStyle name="Normal 9 7 3" xfId="48379" xr:uid="{00000000-0005-0000-0000-000000B50000}"/>
    <cellStyle name="Normal 9 7 3 2" xfId="48380" xr:uid="{00000000-0005-0000-0000-000001B50000}"/>
    <cellStyle name="Normal 9 7 3 2 2" xfId="48381" xr:uid="{00000000-0005-0000-0000-000002B50000}"/>
    <cellStyle name="Normal 9 7 3 3" xfId="48382" xr:uid="{00000000-0005-0000-0000-000003B50000}"/>
    <cellStyle name="Normal 9 7 4" xfId="48383" xr:uid="{00000000-0005-0000-0000-000004B50000}"/>
    <cellStyle name="Normal 9 7 4 2" xfId="48384" xr:uid="{00000000-0005-0000-0000-000005B50000}"/>
    <cellStyle name="Normal 9 7 4 2 2" xfId="48385" xr:uid="{00000000-0005-0000-0000-000006B50000}"/>
    <cellStyle name="Normal 9 7 4 3" xfId="48386" xr:uid="{00000000-0005-0000-0000-000007B50000}"/>
    <cellStyle name="Normal 9 7 5" xfId="48387" xr:uid="{00000000-0005-0000-0000-000008B50000}"/>
    <cellStyle name="Normal 9 7 5 2" xfId="48388" xr:uid="{00000000-0005-0000-0000-000009B50000}"/>
    <cellStyle name="Normal 9 7 6" xfId="48389" xr:uid="{00000000-0005-0000-0000-00000AB50000}"/>
    <cellStyle name="Normal 9 7 7" xfId="48390" xr:uid="{00000000-0005-0000-0000-00000BB50000}"/>
    <cellStyle name="Normal 9 7 8" xfId="48391" xr:uid="{00000000-0005-0000-0000-00000CB50000}"/>
    <cellStyle name="Normal 9 8" xfId="48392" xr:uid="{00000000-0005-0000-0000-00000DB50000}"/>
    <cellStyle name="Normal 9 8 2" xfId="48393" xr:uid="{00000000-0005-0000-0000-00000EB50000}"/>
    <cellStyle name="Normal 9 8 2 2" xfId="48394" xr:uid="{00000000-0005-0000-0000-00000FB50000}"/>
    <cellStyle name="Normal 9 8 2 2 2" xfId="48395" xr:uid="{00000000-0005-0000-0000-000010B50000}"/>
    <cellStyle name="Normal 9 8 2 3" xfId="48396" xr:uid="{00000000-0005-0000-0000-000011B50000}"/>
    <cellStyle name="Normal 9 8 3" xfId="48397" xr:uid="{00000000-0005-0000-0000-000012B50000}"/>
    <cellStyle name="Normal 9 8 3 2" xfId="48398" xr:uid="{00000000-0005-0000-0000-000013B50000}"/>
    <cellStyle name="Normal 9 8 4" xfId="48399" xr:uid="{00000000-0005-0000-0000-000014B50000}"/>
    <cellStyle name="Normal 9 8 5" xfId="48400" xr:uid="{00000000-0005-0000-0000-000015B50000}"/>
    <cellStyle name="Normal 9 8 6" xfId="48401" xr:uid="{00000000-0005-0000-0000-000016B50000}"/>
    <cellStyle name="Normal 9 9" xfId="48402" xr:uid="{00000000-0005-0000-0000-000017B50000}"/>
    <cellStyle name="Normal 9 9 2" xfId="48403" xr:uid="{00000000-0005-0000-0000-000018B50000}"/>
    <cellStyle name="Normal 9 9 2 2" xfId="48404" xr:uid="{00000000-0005-0000-0000-000019B50000}"/>
    <cellStyle name="Normal 9 9 2 2 2" xfId="48405" xr:uid="{00000000-0005-0000-0000-00001AB50000}"/>
    <cellStyle name="Normal 9 9 2 3" xfId="48406" xr:uid="{00000000-0005-0000-0000-00001BB50000}"/>
    <cellStyle name="Normal 9 9 3" xfId="48407" xr:uid="{00000000-0005-0000-0000-00001CB50000}"/>
    <cellStyle name="Normal 9 9 3 2" xfId="48408" xr:uid="{00000000-0005-0000-0000-00001DB50000}"/>
    <cellStyle name="Normal 9 9 4" xfId="48409" xr:uid="{00000000-0005-0000-0000-00001EB50000}"/>
    <cellStyle name="Normal 90" xfId="48410" xr:uid="{00000000-0005-0000-0000-00001FB50000}"/>
    <cellStyle name="Normal 90 2" xfId="48411" xr:uid="{00000000-0005-0000-0000-000020B50000}"/>
    <cellStyle name="Normal 90 2 2" xfId="48412" xr:uid="{00000000-0005-0000-0000-000021B50000}"/>
    <cellStyle name="Normal 90 3" xfId="48413" xr:uid="{00000000-0005-0000-0000-000022B50000}"/>
    <cellStyle name="Normal 90 3 2" xfId="48414" xr:uid="{00000000-0005-0000-0000-000023B50000}"/>
    <cellStyle name="Normal 90 4" xfId="48415" xr:uid="{00000000-0005-0000-0000-000024B50000}"/>
    <cellStyle name="Normal 91" xfId="48416" xr:uid="{00000000-0005-0000-0000-000025B50000}"/>
    <cellStyle name="Normal 91 2" xfId="48417" xr:uid="{00000000-0005-0000-0000-000026B50000}"/>
    <cellStyle name="Normal 91 2 2" xfId="48418" xr:uid="{00000000-0005-0000-0000-000027B50000}"/>
    <cellStyle name="Normal 91 3" xfId="48419" xr:uid="{00000000-0005-0000-0000-000028B50000}"/>
    <cellStyle name="Normal 91 3 2" xfId="48420" xr:uid="{00000000-0005-0000-0000-000029B50000}"/>
    <cellStyle name="Normal 91 4" xfId="48421" xr:uid="{00000000-0005-0000-0000-00002AB50000}"/>
    <cellStyle name="Normal 92" xfId="48422" xr:uid="{00000000-0005-0000-0000-00002BB50000}"/>
    <cellStyle name="Normal 92 2" xfId="48423" xr:uid="{00000000-0005-0000-0000-00002CB50000}"/>
    <cellStyle name="Normal 92 3" xfId="48424" xr:uid="{00000000-0005-0000-0000-00002DB50000}"/>
    <cellStyle name="Normal 92 4" xfId="48425" xr:uid="{00000000-0005-0000-0000-00002EB50000}"/>
    <cellStyle name="Normal 92 5" xfId="48426" xr:uid="{00000000-0005-0000-0000-00002FB50000}"/>
    <cellStyle name="Normal 93" xfId="48427" xr:uid="{00000000-0005-0000-0000-000030B50000}"/>
    <cellStyle name="Normal 93 2" xfId="48428" xr:uid="{00000000-0005-0000-0000-000031B50000}"/>
    <cellStyle name="Normal 93 3" xfId="48429" xr:uid="{00000000-0005-0000-0000-000032B50000}"/>
    <cellStyle name="Normal 94" xfId="48430" xr:uid="{00000000-0005-0000-0000-000033B50000}"/>
    <cellStyle name="Normal 94 2" xfId="48431" xr:uid="{00000000-0005-0000-0000-000034B50000}"/>
    <cellStyle name="Normal 94 3" xfId="48432" xr:uid="{00000000-0005-0000-0000-000035B50000}"/>
    <cellStyle name="Normal 94 4" xfId="48433" xr:uid="{00000000-0005-0000-0000-000036B50000}"/>
    <cellStyle name="Normal 94 4 2" xfId="48434" xr:uid="{00000000-0005-0000-0000-000037B50000}"/>
    <cellStyle name="Normal 94 5" xfId="48435" xr:uid="{00000000-0005-0000-0000-000038B50000}"/>
    <cellStyle name="Normal 94 6" xfId="48436" xr:uid="{00000000-0005-0000-0000-000039B50000}"/>
    <cellStyle name="Normal 95" xfId="48437" xr:uid="{00000000-0005-0000-0000-00003AB50000}"/>
    <cellStyle name="Normal 95 2" xfId="48438" xr:uid="{00000000-0005-0000-0000-00003BB50000}"/>
    <cellStyle name="Normal 95 3" xfId="48439" xr:uid="{00000000-0005-0000-0000-00003CB50000}"/>
    <cellStyle name="Normal 96" xfId="48440" xr:uid="{00000000-0005-0000-0000-00003DB50000}"/>
    <cellStyle name="Normal 96 2" xfId="48441" xr:uid="{00000000-0005-0000-0000-00003EB50000}"/>
    <cellStyle name="Normal 96 3" xfId="48442" xr:uid="{00000000-0005-0000-0000-00003FB50000}"/>
    <cellStyle name="Normal 97" xfId="48443" xr:uid="{00000000-0005-0000-0000-000040B50000}"/>
    <cellStyle name="Normal 97 2" xfId="48444" xr:uid="{00000000-0005-0000-0000-000041B50000}"/>
    <cellStyle name="Normal 97 3" xfId="48445" xr:uid="{00000000-0005-0000-0000-000042B50000}"/>
    <cellStyle name="Normal 97 3 2" xfId="48446" xr:uid="{00000000-0005-0000-0000-000043B50000}"/>
    <cellStyle name="Normal 97 4" xfId="48447" xr:uid="{00000000-0005-0000-0000-000044B50000}"/>
    <cellStyle name="Normal 98" xfId="48448" xr:uid="{00000000-0005-0000-0000-000045B50000}"/>
    <cellStyle name="Normal 98 2" xfId="48449" xr:uid="{00000000-0005-0000-0000-000046B50000}"/>
    <cellStyle name="Normal 99" xfId="48450" xr:uid="{00000000-0005-0000-0000-000047B50000}"/>
    <cellStyle name="Normal 99 2" xfId="48451" xr:uid="{00000000-0005-0000-0000-000048B50000}"/>
    <cellStyle name="Normal_Book3" xfId="3" xr:uid="{00000000-0005-0000-0000-00005F000000}"/>
    <cellStyle name="Note 10" xfId="1644" xr:uid="{00000000-0005-0000-0000-00004AB50000}"/>
    <cellStyle name="Note 10 10" xfId="48452" xr:uid="{00000000-0005-0000-0000-00004BB50000}"/>
    <cellStyle name="Note 10 10 2" xfId="48453" xr:uid="{00000000-0005-0000-0000-00004CB50000}"/>
    <cellStyle name="Note 10 10 2 2" xfId="48454" xr:uid="{00000000-0005-0000-0000-00004DB50000}"/>
    <cellStyle name="Note 10 10 3" xfId="48455" xr:uid="{00000000-0005-0000-0000-00004EB50000}"/>
    <cellStyle name="Note 10 11" xfId="48456" xr:uid="{00000000-0005-0000-0000-00004FB50000}"/>
    <cellStyle name="Note 10 2" xfId="48457" xr:uid="{00000000-0005-0000-0000-000050B50000}"/>
    <cellStyle name="Note 10 2 2" xfId="48458" xr:uid="{00000000-0005-0000-0000-000051B50000}"/>
    <cellStyle name="Note 10 2 2 2" xfId="48459" xr:uid="{00000000-0005-0000-0000-000052B50000}"/>
    <cellStyle name="Note 10 2 2 2 2" xfId="48460" xr:uid="{00000000-0005-0000-0000-000053B50000}"/>
    <cellStyle name="Note 10 2 2 2 2 2" xfId="48461" xr:uid="{00000000-0005-0000-0000-000054B50000}"/>
    <cellStyle name="Note 10 2 2 2 3" xfId="48462" xr:uid="{00000000-0005-0000-0000-000055B50000}"/>
    <cellStyle name="Note 10 2 2 3" xfId="48463" xr:uid="{00000000-0005-0000-0000-000056B50000}"/>
    <cellStyle name="Note 10 2 2 3 2" xfId="48464" xr:uid="{00000000-0005-0000-0000-000057B50000}"/>
    <cellStyle name="Note 10 2 2 4" xfId="48465" xr:uid="{00000000-0005-0000-0000-000058B50000}"/>
    <cellStyle name="Note 10 2 3" xfId="48466" xr:uid="{00000000-0005-0000-0000-000059B50000}"/>
    <cellStyle name="Note 10 2 3 2" xfId="48467" xr:uid="{00000000-0005-0000-0000-00005AB50000}"/>
    <cellStyle name="Note 10 2 3 2 2" xfId="48468" xr:uid="{00000000-0005-0000-0000-00005BB50000}"/>
    <cellStyle name="Note 10 2 3 2 2 2" xfId="48469" xr:uid="{00000000-0005-0000-0000-00005CB50000}"/>
    <cellStyle name="Note 10 2 3 2 3" xfId="48470" xr:uid="{00000000-0005-0000-0000-00005DB50000}"/>
    <cellStyle name="Note 10 2 3 3" xfId="48471" xr:uid="{00000000-0005-0000-0000-00005EB50000}"/>
    <cellStyle name="Note 10 2 3 3 2" xfId="48472" xr:uid="{00000000-0005-0000-0000-00005FB50000}"/>
    <cellStyle name="Note 10 2 3 4" xfId="48473" xr:uid="{00000000-0005-0000-0000-000060B50000}"/>
    <cellStyle name="Note 10 2 4" xfId="48474" xr:uid="{00000000-0005-0000-0000-000061B50000}"/>
    <cellStyle name="Note 10 2 4 2" xfId="48475" xr:uid="{00000000-0005-0000-0000-000062B50000}"/>
    <cellStyle name="Note 10 2 4 2 2" xfId="48476" xr:uid="{00000000-0005-0000-0000-000063B50000}"/>
    <cellStyle name="Note 10 2 4 2 2 2" xfId="48477" xr:uid="{00000000-0005-0000-0000-000064B50000}"/>
    <cellStyle name="Note 10 2 4 2 3" xfId="48478" xr:uid="{00000000-0005-0000-0000-000065B50000}"/>
    <cellStyle name="Note 10 2 4 3" xfId="48479" xr:uid="{00000000-0005-0000-0000-000066B50000}"/>
    <cellStyle name="Note 10 2 4 3 2" xfId="48480" xr:uid="{00000000-0005-0000-0000-000067B50000}"/>
    <cellStyle name="Note 10 2 4 4" xfId="48481" xr:uid="{00000000-0005-0000-0000-000068B50000}"/>
    <cellStyle name="Note 10 3" xfId="48482" xr:uid="{00000000-0005-0000-0000-000069B50000}"/>
    <cellStyle name="Note 10 3 2" xfId="48483" xr:uid="{00000000-0005-0000-0000-00006AB50000}"/>
    <cellStyle name="Note 10 4" xfId="48484" xr:uid="{00000000-0005-0000-0000-00006BB50000}"/>
    <cellStyle name="Note 10 4 2" xfId="48485" xr:uid="{00000000-0005-0000-0000-00006CB50000}"/>
    <cellStyle name="Note 10 5" xfId="48486" xr:uid="{00000000-0005-0000-0000-00006DB50000}"/>
    <cellStyle name="Note 10 5 2" xfId="48487" xr:uid="{00000000-0005-0000-0000-00006EB50000}"/>
    <cellStyle name="Note 10 6" xfId="48488" xr:uid="{00000000-0005-0000-0000-00006FB50000}"/>
    <cellStyle name="Note 10 6 2" xfId="48489" xr:uid="{00000000-0005-0000-0000-000070B50000}"/>
    <cellStyle name="Note 10 7" xfId="48490" xr:uid="{00000000-0005-0000-0000-000071B50000}"/>
    <cellStyle name="Note 10 7 2" xfId="48491" xr:uid="{00000000-0005-0000-0000-000072B50000}"/>
    <cellStyle name="Note 10 8" xfId="48492" xr:uid="{00000000-0005-0000-0000-000073B50000}"/>
    <cellStyle name="Note 10 8 2" xfId="48493" xr:uid="{00000000-0005-0000-0000-000074B50000}"/>
    <cellStyle name="Note 10 9" xfId="48494" xr:uid="{00000000-0005-0000-0000-000075B50000}"/>
    <cellStyle name="Note 10 9 2" xfId="48495" xr:uid="{00000000-0005-0000-0000-000076B50000}"/>
    <cellStyle name="Note 11" xfId="1645" xr:uid="{00000000-0005-0000-0000-000077B50000}"/>
    <cellStyle name="Note 11 10" xfId="48496" xr:uid="{00000000-0005-0000-0000-000078B50000}"/>
    <cellStyle name="Note 11 10 2" xfId="48497" xr:uid="{00000000-0005-0000-0000-000079B50000}"/>
    <cellStyle name="Note 11 10 2 2" xfId="48498" xr:uid="{00000000-0005-0000-0000-00007AB50000}"/>
    <cellStyle name="Note 11 10 3" xfId="48499" xr:uid="{00000000-0005-0000-0000-00007BB50000}"/>
    <cellStyle name="Note 11 11" xfId="48500" xr:uid="{00000000-0005-0000-0000-00007CB50000}"/>
    <cellStyle name="Note 11 2" xfId="48501" xr:uid="{00000000-0005-0000-0000-00007DB50000}"/>
    <cellStyle name="Note 11 2 2" xfId="48502" xr:uid="{00000000-0005-0000-0000-00007EB50000}"/>
    <cellStyle name="Note 11 2 2 2" xfId="48503" xr:uid="{00000000-0005-0000-0000-00007FB50000}"/>
    <cellStyle name="Note 11 2 2 2 2" xfId="48504" xr:uid="{00000000-0005-0000-0000-000080B50000}"/>
    <cellStyle name="Note 11 2 2 2 2 2" xfId="48505" xr:uid="{00000000-0005-0000-0000-000081B50000}"/>
    <cellStyle name="Note 11 2 2 2 3" xfId="48506" xr:uid="{00000000-0005-0000-0000-000082B50000}"/>
    <cellStyle name="Note 11 2 2 3" xfId="48507" xr:uid="{00000000-0005-0000-0000-000083B50000}"/>
    <cellStyle name="Note 11 2 2 3 2" xfId="48508" xr:uid="{00000000-0005-0000-0000-000084B50000}"/>
    <cellStyle name="Note 11 2 2 4" xfId="48509" xr:uid="{00000000-0005-0000-0000-000085B50000}"/>
    <cellStyle name="Note 11 2 3" xfId="48510" xr:uid="{00000000-0005-0000-0000-000086B50000}"/>
    <cellStyle name="Note 11 2 3 2" xfId="48511" xr:uid="{00000000-0005-0000-0000-000087B50000}"/>
    <cellStyle name="Note 11 2 3 2 2" xfId="48512" xr:uid="{00000000-0005-0000-0000-000088B50000}"/>
    <cellStyle name="Note 11 2 3 2 2 2" xfId="48513" xr:uid="{00000000-0005-0000-0000-000089B50000}"/>
    <cellStyle name="Note 11 2 3 2 3" xfId="48514" xr:uid="{00000000-0005-0000-0000-00008AB50000}"/>
    <cellStyle name="Note 11 2 3 3" xfId="48515" xr:uid="{00000000-0005-0000-0000-00008BB50000}"/>
    <cellStyle name="Note 11 2 3 3 2" xfId="48516" xr:uid="{00000000-0005-0000-0000-00008CB50000}"/>
    <cellStyle name="Note 11 2 3 4" xfId="48517" xr:uid="{00000000-0005-0000-0000-00008DB50000}"/>
    <cellStyle name="Note 11 2 4" xfId="48518" xr:uid="{00000000-0005-0000-0000-00008EB50000}"/>
    <cellStyle name="Note 11 2 4 2" xfId="48519" xr:uid="{00000000-0005-0000-0000-00008FB50000}"/>
    <cellStyle name="Note 11 2 4 2 2" xfId="48520" xr:uid="{00000000-0005-0000-0000-000090B50000}"/>
    <cellStyle name="Note 11 2 4 2 2 2" xfId="48521" xr:uid="{00000000-0005-0000-0000-000091B50000}"/>
    <cellStyle name="Note 11 2 4 2 3" xfId="48522" xr:uid="{00000000-0005-0000-0000-000092B50000}"/>
    <cellStyle name="Note 11 2 4 3" xfId="48523" xr:uid="{00000000-0005-0000-0000-000093B50000}"/>
    <cellStyle name="Note 11 2 4 3 2" xfId="48524" xr:uid="{00000000-0005-0000-0000-000094B50000}"/>
    <cellStyle name="Note 11 2 4 4" xfId="48525" xr:uid="{00000000-0005-0000-0000-000095B50000}"/>
    <cellStyle name="Note 11 3" xfId="48526" xr:uid="{00000000-0005-0000-0000-000096B50000}"/>
    <cellStyle name="Note 11 3 2" xfId="48527" xr:uid="{00000000-0005-0000-0000-000097B50000}"/>
    <cellStyle name="Note 11 4" xfId="48528" xr:uid="{00000000-0005-0000-0000-000098B50000}"/>
    <cellStyle name="Note 11 4 2" xfId="48529" xr:uid="{00000000-0005-0000-0000-000099B50000}"/>
    <cellStyle name="Note 11 5" xfId="48530" xr:uid="{00000000-0005-0000-0000-00009AB50000}"/>
    <cellStyle name="Note 11 5 2" xfId="48531" xr:uid="{00000000-0005-0000-0000-00009BB50000}"/>
    <cellStyle name="Note 11 6" xfId="48532" xr:uid="{00000000-0005-0000-0000-00009CB50000}"/>
    <cellStyle name="Note 11 6 2" xfId="48533" xr:uid="{00000000-0005-0000-0000-00009DB50000}"/>
    <cellStyle name="Note 11 7" xfId="48534" xr:uid="{00000000-0005-0000-0000-00009EB50000}"/>
    <cellStyle name="Note 11 7 2" xfId="48535" xr:uid="{00000000-0005-0000-0000-00009FB50000}"/>
    <cellStyle name="Note 11 8" xfId="48536" xr:uid="{00000000-0005-0000-0000-0000A0B50000}"/>
    <cellStyle name="Note 11 8 2" xfId="48537" xr:uid="{00000000-0005-0000-0000-0000A1B50000}"/>
    <cellStyle name="Note 11 9" xfId="48538" xr:uid="{00000000-0005-0000-0000-0000A2B50000}"/>
    <cellStyle name="Note 11 9 2" xfId="48539" xr:uid="{00000000-0005-0000-0000-0000A3B50000}"/>
    <cellStyle name="Note 12" xfId="1646" xr:uid="{00000000-0005-0000-0000-0000A4B50000}"/>
    <cellStyle name="Note 12 10" xfId="48540" xr:uid="{00000000-0005-0000-0000-0000A5B50000}"/>
    <cellStyle name="Note 12 10 2" xfId="48541" xr:uid="{00000000-0005-0000-0000-0000A6B50000}"/>
    <cellStyle name="Note 12 10 2 2" xfId="48542" xr:uid="{00000000-0005-0000-0000-0000A7B50000}"/>
    <cellStyle name="Note 12 10 3" xfId="48543" xr:uid="{00000000-0005-0000-0000-0000A8B50000}"/>
    <cellStyle name="Note 12 11" xfId="48544" xr:uid="{00000000-0005-0000-0000-0000A9B50000}"/>
    <cellStyle name="Note 12 2" xfId="48545" xr:uid="{00000000-0005-0000-0000-0000AAB50000}"/>
    <cellStyle name="Note 12 2 2" xfId="48546" xr:uid="{00000000-0005-0000-0000-0000ABB50000}"/>
    <cellStyle name="Note 12 2 2 2" xfId="48547" xr:uid="{00000000-0005-0000-0000-0000ACB50000}"/>
    <cellStyle name="Note 12 2 2 2 2" xfId="48548" xr:uid="{00000000-0005-0000-0000-0000ADB50000}"/>
    <cellStyle name="Note 12 2 2 2 2 2" xfId="48549" xr:uid="{00000000-0005-0000-0000-0000AEB50000}"/>
    <cellStyle name="Note 12 2 2 2 3" xfId="48550" xr:uid="{00000000-0005-0000-0000-0000AFB50000}"/>
    <cellStyle name="Note 12 2 2 3" xfId="48551" xr:uid="{00000000-0005-0000-0000-0000B0B50000}"/>
    <cellStyle name="Note 12 2 2 3 2" xfId="48552" xr:uid="{00000000-0005-0000-0000-0000B1B50000}"/>
    <cellStyle name="Note 12 2 2 4" xfId="48553" xr:uid="{00000000-0005-0000-0000-0000B2B50000}"/>
    <cellStyle name="Note 12 2 3" xfId="48554" xr:uid="{00000000-0005-0000-0000-0000B3B50000}"/>
    <cellStyle name="Note 12 2 3 2" xfId="48555" xr:uid="{00000000-0005-0000-0000-0000B4B50000}"/>
    <cellStyle name="Note 12 2 3 2 2" xfId="48556" xr:uid="{00000000-0005-0000-0000-0000B5B50000}"/>
    <cellStyle name="Note 12 2 3 2 2 2" xfId="48557" xr:uid="{00000000-0005-0000-0000-0000B6B50000}"/>
    <cellStyle name="Note 12 2 3 2 3" xfId="48558" xr:uid="{00000000-0005-0000-0000-0000B7B50000}"/>
    <cellStyle name="Note 12 2 3 3" xfId="48559" xr:uid="{00000000-0005-0000-0000-0000B8B50000}"/>
    <cellStyle name="Note 12 2 3 3 2" xfId="48560" xr:uid="{00000000-0005-0000-0000-0000B9B50000}"/>
    <cellStyle name="Note 12 2 3 4" xfId="48561" xr:uid="{00000000-0005-0000-0000-0000BAB50000}"/>
    <cellStyle name="Note 12 2 4" xfId="48562" xr:uid="{00000000-0005-0000-0000-0000BBB50000}"/>
    <cellStyle name="Note 12 2 4 2" xfId="48563" xr:uid="{00000000-0005-0000-0000-0000BCB50000}"/>
    <cellStyle name="Note 12 2 4 2 2" xfId="48564" xr:uid="{00000000-0005-0000-0000-0000BDB50000}"/>
    <cellStyle name="Note 12 2 4 2 2 2" xfId="48565" xr:uid="{00000000-0005-0000-0000-0000BEB50000}"/>
    <cellStyle name="Note 12 2 4 2 3" xfId="48566" xr:uid="{00000000-0005-0000-0000-0000BFB50000}"/>
    <cellStyle name="Note 12 2 4 3" xfId="48567" xr:uid="{00000000-0005-0000-0000-0000C0B50000}"/>
    <cellStyle name="Note 12 2 4 3 2" xfId="48568" xr:uid="{00000000-0005-0000-0000-0000C1B50000}"/>
    <cellStyle name="Note 12 2 4 4" xfId="48569" xr:uid="{00000000-0005-0000-0000-0000C2B50000}"/>
    <cellStyle name="Note 12 3" xfId="48570" xr:uid="{00000000-0005-0000-0000-0000C3B50000}"/>
    <cellStyle name="Note 12 3 2" xfId="48571" xr:uid="{00000000-0005-0000-0000-0000C4B50000}"/>
    <cellStyle name="Note 12 4" xfId="48572" xr:uid="{00000000-0005-0000-0000-0000C5B50000}"/>
    <cellStyle name="Note 12 4 2" xfId="48573" xr:uid="{00000000-0005-0000-0000-0000C6B50000}"/>
    <cellStyle name="Note 12 5" xfId="48574" xr:uid="{00000000-0005-0000-0000-0000C7B50000}"/>
    <cellStyle name="Note 12 5 2" xfId="48575" xr:uid="{00000000-0005-0000-0000-0000C8B50000}"/>
    <cellStyle name="Note 12 6" xfId="48576" xr:uid="{00000000-0005-0000-0000-0000C9B50000}"/>
    <cellStyle name="Note 12 6 2" xfId="48577" xr:uid="{00000000-0005-0000-0000-0000CAB50000}"/>
    <cellStyle name="Note 12 7" xfId="48578" xr:uid="{00000000-0005-0000-0000-0000CBB50000}"/>
    <cellStyle name="Note 12 7 2" xfId="48579" xr:uid="{00000000-0005-0000-0000-0000CCB50000}"/>
    <cellStyle name="Note 12 8" xfId="48580" xr:uid="{00000000-0005-0000-0000-0000CDB50000}"/>
    <cellStyle name="Note 12 8 2" xfId="48581" xr:uid="{00000000-0005-0000-0000-0000CEB50000}"/>
    <cellStyle name="Note 12 9" xfId="48582" xr:uid="{00000000-0005-0000-0000-0000CFB50000}"/>
    <cellStyle name="Note 12 9 2" xfId="48583" xr:uid="{00000000-0005-0000-0000-0000D0B50000}"/>
    <cellStyle name="Note 13" xfId="1647" xr:uid="{00000000-0005-0000-0000-0000D1B50000}"/>
    <cellStyle name="Note 13 10" xfId="48584" xr:uid="{00000000-0005-0000-0000-0000D2B50000}"/>
    <cellStyle name="Note 13 10 2" xfId="48585" xr:uid="{00000000-0005-0000-0000-0000D3B50000}"/>
    <cellStyle name="Note 13 10 2 2" xfId="48586" xr:uid="{00000000-0005-0000-0000-0000D4B50000}"/>
    <cellStyle name="Note 13 10 3" xfId="48587" xr:uid="{00000000-0005-0000-0000-0000D5B50000}"/>
    <cellStyle name="Note 13 11" xfId="48588" xr:uid="{00000000-0005-0000-0000-0000D6B50000}"/>
    <cellStyle name="Note 13 2" xfId="48589" xr:uid="{00000000-0005-0000-0000-0000D7B50000}"/>
    <cellStyle name="Note 13 2 2" xfId="48590" xr:uid="{00000000-0005-0000-0000-0000D8B50000}"/>
    <cellStyle name="Note 13 2 2 2" xfId="48591" xr:uid="{00000000-0005-0000-0000-0000D9B50000}"/>
    <cellStyle name="Note 13 2 2 2 2" xfId="48592" xr:uid="{00000000-0005-0000-0000-0000DAB50000}"/>
    <cellStyle name="Note 13 2 2 2 2 2" xfId="48593" xr:uid="{00000000-0005-0000-0000-0000DBB50000}"/>
    <cellStyle name="Note 13 2 2 2 3" xfId="48594" xr:uid="{00000000-0005-0000-0000-0000DCB50000}"/>
    <cellStyle name="Note 13 2 2 3" xfId="48595" xr:uid="{00000000-0005-0000-0000-0000DDB50000}"/>
    <cellStyle name="Note 13 2 2 3 2" xfId="48596" xr:uid="{00000000-0005-0000-0000-0000DEB50000}"/>
    <cellStyle name="Note 13 2 2 4" xfId="48597" xr:uid="{00000000-0005-0000-0000-0000DFB50000}"/>
    <cellStyle name="Note 13 2 3" xfId="48598" xr:uid="{00000000-0005-0000-0000-0000E0B50000}"/>
    <cellStyle name="Note 13 2 3 2" xfId="48599" xr:uid="{00000000-0005-0000-0000-0000E1B50000}"/>
    <cellStyle name="Note 13 2 3 2 2" xfId="48600" xr:uid="{00000000-0005-0000-0000-0000E2B50000}"/>
    <cellStyle name="Note 13 2 3 2 2 2" xfId="48601" xr:uid="{00000000-0005-0000-0000-0000E3B50000}"/>
    <cellStyle name="Note 13 2 3 2 3" xfId="48602" xr:uid="{00000000-0005-0000-0000-0000E4B50000}"/>
    <cellStyle name="Note 13 2 3 3" xfId="48603" xr:uid="{00000000-0005-0000-0000-0000E5B50000}"/>
    <cellStyle name="Note 13 2 3 3 2" xfId="48604" xr:uid="{00000000-0005-0000-0000-0000E6B50000}"/>
    <cellStyle name="Note 13 2 3 4" xfId="48605" xr:uid="{00000000-0005-0000-0000-0000E7B50000}"/>
    <cellStyle name="Note 13 2 4" xfId="48606" xr:uid="{00000000-0005-0000-0000-0000E8B50000}"/>
    <cellStyle name="Note 13 2 4 2" xfId="48607" xr:uid="{00000000-0005-0000-0000-0000E9B50000}"/>
    <cellStyle name="Note 13 2 4 2 2" xfId="48608" xr:uid="{00000000-0005-0000-0000-0000EAB50000}"/>
    <cellStyle name="Note 13 2 4 2 2 2" xfId="48609" xr:uid="{00000000-0005-0000-0000-0000EBB50000}"/>
    <cellStyle name="Note 13 2 4 2 3" xfId="48610" xr:uid="{00000000-0005-0000-0000-0000ECB50000}"/>
    <cellStyle name="Note 13 2 4 3" xfId="48611" xr:uid="{00000000-0005-0000-0000-0000EDB50000}"/>
    <cellStyle name="Note 13 2 4 3 2" xfId="48612" xr:uid="{00000000-0005-0000-0000-0000EEB50000}"/>
    <cellStyle name="Note 13 2 4 4" xfId="48613" xr:uid="{00000000-0005-0000-0000-0000EFB50000}"/>
    <cellStyle name="Note 13 3" xfId="48614" xr:uid="{00000000-0005-0000-0000-0000F0B50000}"/>
    <cellStyle name="Note 13 3 2" xfId="48615" xr:uid="{00000000-0005-0000-0000-0000F1B50000}"/>
    <cellStyle name="Note 13 4" xfId="48616" xr:uid="{00000000-0005-0000-0000-0000F2B50000}"/>
    <cellStyle name="Note 13 4 2" xfId="48617" xr:uid="{00000000-0005-0000-0000-0000F3B50000}"/>
    <cellStyle name="Note 13 5" xfId="48618" xr:uid="{00000000-0005-0000-0000-0000F4B50000}"/>
    <cellStyle name="Note 13 5 2" xfId="48619" xr:uid="{00000000-0005-0000-0000-0000F5B50000}"/>
    <cellStyle name="Note 13 6" xfId="48620" xr:uid="{00000000-0005-0000-0000-0000F6B50000}"/>
    <cellStyle name="Note 13 6 2" xfId="48621" xr:uid="{00000000-0005-0000-0000-0000F7B50000}"/>
    <cellStyle name="Note 13 7" xfId="48622" xr:uid="{00000000-0005-0000-0000-0000F8B50000}"/>
    <cellStyle name="Note 13 7 2" xfId="48623" xr:uid="{00000000-0005-0000-0000-0000F9B50000}"/>
    <cellStyle name="Note 13 8" xfId="48624" xr:uid="{00000000-0005-0000-0000-0000FAB50000}"/>
    <cellStyle name="Note 13 8 2" xfId="48625" xr:uid="{00000000-0005-0000-0000-0000FBB50000}"/>
    <cellStyle name="Note 13 9" xfId="48626" xr:uid="{00000000-0005-0000-0000-0000FCB50000}"/>
    <cellStyle name="Note 13 9 2" xfId="48627" xr:uid="{00000000-0005-0000-0000-0000FDB50000}"/>
    <cellStyle name="Note 14" xfId="1648" xr:uid="{00000000-0005-0000-0000-0000FEB50000}"/>
    <cellStyle name="Note 14 10" xfId="48628" xr:uid="{00000000-0005-0000-0000-0000FFB50000}"/>
    <cellStyle name="Note 14 10 2" xfId="48629" xr:uid="{00000000-0005-0000-0000-000000B60000}"/>
    <cellStyle name="Note 14 11" xfId="48630" xr:uid="{00000000-0005-0000-0000-000001B60000}"/>
    <cellStyle name="Note 14 11 2" xfId="48631" xr:uid="{00000000-0005-0000-0000-000002B60000}"/>
    <cellStyle name="Note 14 11 2 2" xfId="48632" xr:uid="{00000000-0005-0000-0000-000003B60000}"/>
    <cellStyle name="Note 14 11 3" xfId="48633" xr:uid="{00000000-0005-0000-0000-000004B60000}"/>
    <cellStyle name="Note 14 12" xfId="48634" xr:uid="{00000000-0005-0000-0000-000005B60000}"/>
    <cellStyle name="Note 14 2" xfId="48635" xr:uid="{00000000-0005-0000-0000-000006B60000}"/>
    <cellStyle name="Note 14 2 10" xfId="48636" xr:uid="{00000000-0005-0000-0000-000007B60000}"/>
    <cellStyle name="Note 14 2 10 2" xfId="48637" xr:uid="{00000000-0005-0000-0000-000008B60000}"/>
    <cellStyle name="Note 14 2 10 2 2" xfId="48638" xr:uid="{00000000-0005-0000-0000-000009B60000}"/>
    <cellStyle name="Note 14 2 10 2 2 2" xfId="48639" xr:uid="{00000000-0005-0000-0000-00000AB60000}"/>
    <cellStyle name="Note 14 2 10 2 3" xfId="48640" xr:uid="{00000000-0005-0000-0000-00000BB60000}"/>
    <cellStyle name="Note 14 2 10 3" xfId="48641" xr:uid="{00000000-0005-0000-0000-00000CB60000}"/>
    <cellStyle name="Note 14 2 10 3 2" xfId="48642" xr:uid="{00000000-0005-0000-0000-00000DB60000}"/>
    <cellStyle name="Note 14 2 10 4" xfId="48643" xr:uid="{00000000-0005-0000-0000-00000EB60000}"/>
    <cellStyle name="Note 14 2 11" xfId="48644" xr:uid="{00000000-0005-0000-0000-00000FB60000}"/>
    <cellStyle name="Note 14 2 11 2" xfId="48645" xr:uid="{00000000-0005-0000-0000-000010B60000}"/>
    <cellStyle name="Note 14 2 11 2 2" xfId="48646" xr:uid="{00000000-0005-0000-0000-000011B60000}"/>
    <cellStyle name="Note 14 2 11 2 2 2" xfId="48647" xr:uid="{00000000-0005-0000-0000-000012B60000}"/>
    <cellStyle name="Note 14 2 11 2 3" xfId="48648" xr:uid="{00000000-0005-0000-0000-000013B60000}"/>
    <cellStyle name="Note 14 2 11 3" xfId="48649" xr:uid="{00000000-0005-0000-0000-000014B60000}"/>
    <cellStyle name="Note 14 2 11 3 2" xfId="48650" xr:uid="{00000000-0005-0000-0000-000015B60000}"/>
    <cellStyle name="Note 14 2 11 4" xfId="48651" xr:uid="{00000000-0005-0000-0000-000016B60000}"/>
    <cellStyle name="Note 14 2 2" xfId="48652" xr:uid="{00000000-0005-0000-0000-000017B60000}"/>
    <cellStyle name="Note 14 2 2 2" xfId="48653" xr:uid="{00000000-0005-0000-0000-000018B60000}"/>
    <cellStyle name="Note 14 2 3" xfId="48654" xr:uid="{00000000-0005-0000-0000-000019B60000}"/>
    <cellStyle name="Note 14 2 3 2" xfId="48655" xr:uid="{00000000-0005-0000-0000-00001AB60000}"/>
    <cellStyle name="Note 14 2 4" xfId="48656" xr:uid="{00000000-0005-0000-0000-00001BB60000}"/>
    <cellStyle name="Note 14 2 4 2" xfId="48657" xr:uid="{00000000-0005-0000-0000-00001CB60000}"/>
    <cellStyle name="Note 14 2 5" xfId="48658" xr:uid="{00000000-0005-0000-0000-00001DB60000}"/>
    <cellStyle name="Note 14 2 5 2" xfId="48659" xr:uid="{00000000-0005-0000-0000-00001EB60000}"/>
    <cellStyle name="Note 14 2 6" xfId="48660" xr:uid="{00000000-0005-0000-0000-00001FB60000}"/>
    <cellStyle name="Note 14 2 6 2" xfId="48661" xr:uid="{00000000-0005-0000-0000-000020B60000}"/>
    <cellStyle name="Note 14 2 7" xfId="48662" xr:uid="{00000000-0005-0000-0000-000021B60000}"/>
    <cellStyle name="Note 14 2 7 2" xfId="48663" xr:uid="{00000000-0005-0000-0000-000022B60000}"/>
    <cellStyle name="Note 14 2 8" xfId="48664" xr:uid="{00000000-0005-0000-0000-000023B60000}"/>
    <cellStyle name="Note 14 2 8 2" xfId="48665" xr:uid="{00000000-0005-0000-0000-000024B60000}"/>
    <cellStyle name="Note 14 2 9" xfId="48666" xr:uid="{00000000-0005-0000-0000-000025B60000}"/>
    <cellStyle name="Note 14 2 9 2" xfId="48667" xr:uid="{00000000-0005-0000-0000-000026B60000}"/>
    <cellStyle name="Note 14 2 9 2 2" xfId="48668" xr:uid="{00000000-0005-0000-0000-000027B60000}"/>
    <cellStyle name="Note 14 2 9 2 2 2" xfId="48669" xr:uid="{00000000-0005-0000-0000-000028B60000}"/>
    <cellStyle name="Note 14 2 9 2 3" xfId="48670" xr:uid="{00000000-0005-0000-0000-000029B60000}"/>
    <cellStyle name="Note 14 2 9 3" xfId="48671" xr:uid="{00000000-0005-0000-0000-00002AB60000}"/>
    <cellStyle name="Note 14 2 9 3 2" xfId="48672" xr:uid="{00000000-0005-0000-0000-00002BB60000}"/>
    <cellStyle name="Note 14 2 9 4" xfId="48673" xr:uid="{00000000-0005-0000-0000-00002CB60000}"/>
    <cellStyle name="Note 14 3" xfId="48674" xr:uid="{00000000-0005-0000-0000-00002DB60000}"/>
    <cellStyle name="Note 14 3 2" xfId="48675" xr:uid="{00000000-0005-0000-0000-00002EB60000}"/>
    <cellStyle name="Note 14 4" xfId="48676" xr:uid="{00000000-0005-0000-0000-00002FB60000}"/>
    <cellStyle name="Note 14 4 2" xfId="48677" xr:uid="{00000000-0005-0000-0000-000030B60000}"/>
    <cellStyle name="Note 14 5" xfId="48678" xr:uid="{00000000-0005-0000-0000-000031B60000}"/>
    <cellStyle name="Note 14 5 2" xfId="48679" xr:uid="{00000000-0005-0000-0000-000032B60000}"/>
    <cellStyle name="Note 14 6" xfId="48680" xr:uid="{00000000-0005-0000-0000-000033B60000}"/>
    <cellStyle name="Note 14 6 2" xfId="48681" xr:uid="{00000000-0005-0000-0000-000034B60000}"/>
    <cellStyle name="Note 14 7" xfId="48682" xr:uid="{00000000-0005-0000-0000-000035B60000}"/>
    <cellStyle name="Note 14 7 2" xfId="48683" xr:uid="{00000000-0005-0000-0000-000036B60000}"/>
    <cellStyle name="Note 14 8" xfId="48684" xr:uid="{00000000-0005-0000-0000-000037B60000}"/>
    <cellStyle name="Note 14 8 2" xfId="48685" xr:uid="{00000000-0005-0000-0000-000038B60000}"/>
    <cellStyle name="Note 14 9" xfId="48686" xr:uid="{00000000-0005-0000-0000-000039B60000}"/>
    <cellStyle name="Note 14 9 2" xfId="48687" xr:uid="{00000000-0005-0000-0000-00003AB60000}"/>
    <cellStyle name="Note 15" xfId="1649" xr:uid="{00000000-0005-0000-0000-00003BB60000}"/>
    <cellStyle name="Note 15 10" xfId="48688" xr:uid="{00000000-0005-0000-0000-00003CB60000}"/>
    <cellStyle name="Note 15 10 2" xfId="48689" xr:uid="{00000000-0005-0000-0000-00003DB60000}"/>
    <cellStyle name="Note 15 11" xfId="48690" xr:uid="{00000000-0005-0000-0000-00003EB60000}"/>
    <cellStyle name="Note 15 11 2" xfId="48691" xr:uid="{00000000-0005-0000-0000-00003FB60000}"/>
    <cellStyle name="Note 15 11 2 2" xfId="48692" xr:uid="{00000000-0005-0000-0000-000040B60000}"/>
    <cellStyle name="Note 15 11 3" xfId="48693" xr:uid="{00000000-0005-0000-0000-000041B60000}"/>
    <cellStyle name="Note 15 12" xfId="48694" xr:uid="{00000000-0005-0000-0000-000042B60000}"/>
    <cellStyle name="Note 15 2" xfId="48695" xr:uid="{00000000-0005-0000-0000-000043B60000}"/>
    <cellStyle name="Note 15 2 10" xfId="48696" xr:uid="{00000000-0005-0000-0000-000044B60000}"/>
    <cellStyle name="Note 15 2 10 2" xfId="48697" xr:uid="{00000000-0005-0000-0000-000045B60000}"/>
    <cellStyle name="Note 15 2 10 2 2" xfId="48698" xr:uid="{00000000-0005-0000-0000-000046B60000}"/>
    <cellStyle name="Note 15 2 10 2 2 2" xfId="48699" xr:uid="{00000000-0005-0000-0000-000047B60000}"/>
    <cellStyle name="Note 15 2 10 2 3" xfId="48700" xr:uid="{00000000-0005-0000-0000-000048B60000}"/>
    <cellStyle name="Note 15 2 10 3" xfId="48701" xr:uid="{00000000-0005-0000-0000-000049B60000}"/>
    <cellStyle name="Note 15 2 10 3 2" xfId="48702" xr:uid="{00000000-0005-0000-0000-00004AB60000}"/>
    <cellStyle name="Note 15 2 10 4" xfId="48703" xr:uid="{00000000-0005-0000-0000-00004BB60000}"/>
    <cellStyle name="Note 15 2 11" xfId="48704" xr:uid="{00000000-0005-0000-0000-00004CB60000}"/>
    <cellStyle name="Note 15 2 11 2" xfId="48705" xr:uid="{00000000-0005-0000-0000-00004DB60000}"/>
    <cellStyle name="Note 15 2 11 2 2" xfId="48706" xr:uid="{00000000-0005-0000-0000-00004EB60000}"/>
    <cellStyle name="Note 15 2 11 2 2 2" xfId="48707" xr:uid="{00000000-0005-0000-0000-00004FB60000}"/>
    <cellStyle name="Note 15 2 11 2 3" xfId="48708" xr:uid="{00000000-0005-0000-0000-000050B60000}"/>
    <cellStyle name="Note 15 2 11 3" xfId="48709" xr:uid="{00000000-0005-0000-0000-000051B60000}"/>
    <cellStyle name="Note 15 2 11 3 2" xfId="48710" xr:uid="{00000000-0005-0000-0000-000052B60000}"/>
    <cellStyle name="Note 15 2 11 4" xfId="48711" xr:uid="{00000000-0005-0000-0000-000053B60000}"/>
    <cellStyle name="Note 15 2 2" xfId="48712" xr:uid="{00000000-0005-0000-0000-000054B60000}"/>
    <cellStyle name="Note 15 2 2 2" xfId="48713" xr:uid="{00000000-0005-0000-0000-000055B60000}"/>
    <cellStyle name="Note 15 2 3" xfId="48714" xr:uid="{00000000-0005-0000-0000-000056B60000}"/>
    <cellStyle name="Note 15 2 3 2" xfId="48715" xr:uid="{00000000-0005-0000-0000-000057B60000}"/>
    <cellStyle name="Note 15 2 4" xfId="48716" xr:uid="{00000000-0005-0000-0000-000058B60000}"/>
    <cellStyle name="Note 15 2 4 2" xfId="48717" xr:uid="{00000000-0005-0000-0000-000059B60000}"/>
    <cellStyle name="Note 15 2 5" xfId="48718" xr:uid="{00000000-0005-0000-0000-00005AB60000}"/>
    <cellStyle name="Note 15 2 5 2" xfId="48719" xr:uid="{00000000-0005-0000-0000-00005BB60000}"/>
    <cellStyle name="Note 15 2 6" xfId="48720" xr:uid="{00000000-0005-0000-0000-00005CB60000}"/>
    <cellStyle name="Note 15 2 6 2" xfId="48721" xr:uid="{00000000-0005-0000-0000-00005DB60000}"/>
    <cellStyle name="Note 15 2 7" xfId="48722" xr:uid="{00000000-0005-0000-0000-00005EB60000}"/>
    <cellStyle name="Note 15 2 7 2" xfId="48723" xr:uid="{00000000-0005-0000-0000-00005FB60000}"/>
    <cellStyle name="Note 15 2 8" xfId="48724" xr:uid="{00000000-0005-0000-0000-000060B60000}"/>
    <cellStyle name="Note 15 2 8 2" xfId="48725" xr:uid="{00000000-0005-0000-0000-000061B60000}"/>
    <cellStyle name="Note 15 2 9" xfId="48726" xr:uid="{00000000-0005-0000-0000-000062B60000}"/>
    <cellStyle name="Note 15 2 9 2" xfId="48727" xr:uid="{00000000-0005-0000-0000-000063B60000}"/>
    <cellStyle name="Note 15 2 9 2 2" xfId="48728" xr:uid="{00000000-0005-0000-0000-000064B60000}"/>
    <cellStyle name="Note 15 2 9 2 2 2" xfId="48729" xr:uid="{00000000-0005-0000-0000-000065B60000}"/>
    <cellStyle name="Note 15 2 9 2 3" xfId="48730" xr:uid="{00000000-0005-0000-0000-000066B60000}"/>
    <cellStyle name="Note 15 2 9 3" xfId="48731" xr:uid="{00000000-0005-0000-0000-000067B60000}"/>
    <cellStyle name="Note 15 2 9 3 2" xfId="48732" xr:uid="{00000000-0005-0000-0000-000068B60000}"/>
    <cellStyle name="Note 15 2 9 4" xfId="48733" xr:uid="{00000000-0005-0000-0000-000069B60000}"/>
    <cellStyle name="Note 15 3" xfId="48734" xr:uid="{00000000-0005-0000-0000-00006AB60000}"/>
    <cellStyle name="Note 15 3 2" xfId="48735" xr:uid="{00000000-0005-0000-0000-00006BB60000}"/>
    <cellStyle name="Note 15 4" xfId="48736" xr:uid="{00000000-0005-0000-0000-00006CB60000}"/>
    <cellStyle name="Note 15 4 2" xfId="48737" xr:uid="{00000000-0005-0000-0000-00006DB60000}"/>
    <cellStyle name="Note 15 5" xfId="48738" xr:uid="{00000000-0005-0000-0000-00006EB60000}"/>
    <cellStyle name="Note 15 5 2" xfId="48739" xr:uid="{00000000-0005-0000-0000-00006FB60000}"/>
    <cellStyle name="Note 15 6" xfId="48740" xr:uid="{00000000-0005-0000-0000-000070B60000}"/>
    <cellStyle name="Note 15 6 2" xfId="48741" xr:uid="{00000000-0005-0000-0000-000071B60000}"/>
    <cellStyle name="Note 15 7" xfId="48742" xr:uid="{00000000-0005-0000-0000-000072B60000}"/>
    <cellStyle name="Note 15 7 2" xfId="48743" xr:uid="{00000000-0005-0000-0000-000073B60000}"/>
    <cellStyle name="Note 15 8" xfId="48744" xr:uid="{00000000-0005-0000-0000-000074B60000}"/>
    <cellStyle name="Note 15 8 2" xfId="48745" xr:uid="{00000000-0005-0000-0000-000075B60000}"/>
    <cellStyle name="Note 15 9" xfId="48746" xr:uid="{00000000-0005-0000-0000-000076B60000}"/>
    <cellStyle name="Note 15 9 2" xfId="48747" xr:uid="{00000000-0005-0000-0000-000077B60000}"/>
    <cellStyle name="Note 16" xfId="1650" xr:uid="{00000000-0005-0000-0000-000078B60000}"/>
    <cellStyle name="Note 16 10" xfId="48748" xr:uid="{00000000-0005-0000-0000-000079B60000}"/>
    <cellStyle name="Note 16 10 2" xfId="48749" xr:uid="{00000000-0005-0000-0000-00007AB60000}"/>
    <cellStyle name="Note 16 10 2 2" xfId="48750" xr:uid="{00000000-0005-0000-0000-00007BB60000}"/>
    <cellStyle name="Note 16 10 3" xfId="48751" xr:uid="{00000000-0005-0000-0000-00007CB60000}"/>
    <cellStyle name="Note 16 11" xfId="48752" xr:uid="{00000000-0005-0000-0000-00007DB60000}"/>
    <cellStyle name="Note 16 2" xfId="48753" xr:uid="{00000000-0005-0000-0000-00007EB60000}"/>
    <cellStyle name="Note 16 2 2" xfId="48754" xr:uid="{00000000-0005-0000-0000-00007FB60000}"/>
    <cellStyle name="Note 16 2 2 2" xfId="48755" xr:uid="{00000000-0005-0000-0000-000080B60000}"/>
    <cellStyle name="Note 16 2 2 2 2" xfId="48756" xr:uid="{00000000-0005-0000-0000-000081B60000}"/>
    <cellStyle name="Note 16 2 2 2 2 2" xfId="48757" xr:uid="{00000000-0005-0000-0000-000082B60000}"/>
    <cellStyle name="Note 16 2 2 2 3" xfId="48758" xr:uid="{00000000-0005-0000-0000-000083B60000}"/>
    <cellStyle name="Note 16 2 2 3" xfId="48759" xr:uid="{00000000-0005-0000-0000-000084B60000}"/>
    <cellStyle name="Note 16 2 2 3 2" xfId="48760" xr:uid="{00000000-0005-0000-0000-000085B60000}"/>
    <cellStyle name="Note 16 2 2 4" xfId="48761" xr:uid="{00000000-0005-0000-0000-000086B60000}"/>
    <cellStyle name="Note 16 2 3" xfId="48762" xr:uid="{00000000-0005-0000-0000-000087B60000}"/>
    <cellStyle name="Note 16 2 3 2" xfId="48763" xr:uid="{00000000-0005-0000-0000-000088B60000}"/>
    <cellStyle name="Note 16 2 3 2 2" xfId="48764" xr:uid="{00000000-0005-0000-0000-000089B60000}"/>
    <cellStyle name="Note 16 2 3 2 2 2" xfId="48765" xr:uid="{00000000-0005-0000-0000-00008AB60000}"/>
    <cellStyle name="Note 16 2 3 2 3" xfId="48766" xr:uid="{00000000-0005-0000-0000-00008BB60000}"/>
    <cellStyle name="Note 16 2 3 3" xfId="48767" xr:uid="{00000000-0005-0000-0000-00008CB60000}"/>
    <cellStyle name="Note 16 2 3 3 2" xfId="48768" xr:uid="{00000000-0005-0000-0000-00008DB60000}"/>
    <cellStyle name="Note 16 2 3 4" xfId="48769" xr:uid="{00000000-0005-0000-0000-00008EB60000}"/>
    <cellStyle name="Note 16 2 4" xfId="48770" xr:uid="{00000000-0005-0000-0000-00008FB60000}"/>
    <cellStyle name="Note 16 2 4 2" xfId="48771" xr:uid="{00000000-0005-0000-0000-000090B60000}"/>
    <cellStyle name="Note 16 2 4 2 2" xfId="48772" xr:uid="{00000000-0005-0000-0000-000091B60000}"/>
    <cellStyle name="Note 16 2 4 2 2 2" xfId="48773" xr:uid="{00000000-0005-0000-0000-000092B60000}"/>
    <cellStyle name="Note 16 2 4 2 3" xfId="48774" xr:uid="{00000000-0005-0000-0000-000093B60000}"/>
    <cellStyle name="Note 16 2 4 3" xfId="48775" xr:uid="{00000000-0005-0000-0000-000094B60000}"/>
    <cellStyle name="Note 16 2 4 3 2" xfId="48776" xr:uid="{00000000-0005-0000-0000-000095B60000}"/>
    <cellStyle name="Note 16 2 4 4" xfId="48777" xr:uid="{00000000-0005-0000-0000-000096B60000}"/>
    <cellStyle name="Note 16 3" xfId="48778" xr:uid="{00000000-0005-0000-0000-000097B60000}"/>
    <cellStyle name="Note 16 3 2" xfId="48779" xr:uid="{00000000-0005-0000-0000-000098B60000}"/>
    <cellStyle name="Note 16 4" xfId="48780" xr:uid="{00000000-0005-0000-0000-000099B60000}"/>
    <cellStyle name="Note 16 4 2" xfId="48781" xr:uid="{00000000-0005-0000-0000-00009AB60000}"/>
    <cellStyle name="Note 16 5" xfId="48782" xr:uid="{00000000-0005-0000-0000-00009BB60000}"/>
    <cellStyle name="Note 16 5 2" xfId="48783" xr:uid="{00000000-0005-0000-0000-00009CB60000}"/>
    <cellStyle name="Note 16 6" xfId="48784" xr:uid="{00000000-0005-0000-0000-00009DB60000}"/>
    <cellStyle name="Note 16 6 2" xfId="48785" xr:uid="{00000000-0005-0000-0000-00009EB60000}"/>
    <cellStyle name="Note 16 7" xfId="48786" xr:uid="{00000000-0005-0000-0000-00009FB60000}"/>
    <cellStyle name="Note 16 7 2" xfId="48787" xr:uid="{00000000-0005-0000-0000-0000A0B60000}"/>
    <cellStyle name="Note 16 8" xfId="48788" xr:uid="{00000000-0005-0000-0000-0000A1B60000}"/>
    <cellStyle name="Note 16 8 2" xfId="48789" xr:uid="{00000000-0005-0000-0000-0000A2B60000}"/>
    <cellStyle name="Note 16 9" xfId="48790" xr:uid="{00000000-0005-0000-0000-0000A3B60000}"/>
    <cellStyle name="Note 16 9 2" xfId="48791" xr:uid="{00000000-0005-0000-0000-0000A4B60000}"/>
    <cellStyle name="Note 17" xfId="1651" xr:uid="{00000000-0005-0000-0000-0000A5B60000}"/>
    <cellStyle name="Note 17 2" xfId="48792" xr:uid="{00000000-0005-0000-0000-0000A6B60000}"/>
    <cellStyle name="Note 17 2 2" xfId="48793" xr:uid="{00000000-0005-0000-0000-0000A7B60000}"/>
    <cellStyle name="Note 17 2 2 2" xfId="48794" xr:uid="{00000000-0005-0000-0000-0000A8B60000}"/>
    <cellStyle name="Note 17 2 2 2 2" xfId="48795" xr:uid="{00000000-0005-0000-0000-0000A9B60000}"/>
    <cellStyle name="Note 17 2 2 2 2 2" xfId="48796" xr:uid="{00000000-0005-0000-0000-0000AAB60000}"/>
    <cellStyle name="Note 17 2 2 2 3" xfId="48797" xr:uid="{00000000-0005-0000-0000-0000ABB60000}"/>
    <cellStyle name="Note 17 2 2 3" xfId="48798" xr:uid="{00000000-0005-0000-0000-0000ACB60000}"/>
    <cellStyle name="Note 17 2 2 3 2" xfId="48799" xr:uid="{00000000-0005-0000-0000-0000ADB60000}"/>
    <cellStyle name="Note 17 2 2 4" xfId="48800" xr:uid="{00000000-0005-0000-0000-0000AEB60000}"/>
    <cellStyle name="Note 17 2 3" xfId="48801" xr:uid="{00000000-0005-0000-0000-0000AFB60000}"/>
    <cellStyle name="Note 17 2 3 2" xfId="48802" xr:uid="{00000000-0005-0000-0000-0000B0B60000}"/>
    <cellStyle name="Note 17 2 3 2 2" xfId="48803" xr:uid="{00000000-0005-0000-0000-0000B1B60000}"/>
    <cellStyle name="Note 17 2 3 2 2 2" xfId="48804" xr:uid="{00000000-0005-0000-0000-0000B2B60000}"/>
    <cellStyle name="Note 17 2 3 2 3" xfId="48805" xr:uid="{00000000-0005-0000-0000-0000B3B60000}"/>
    <cellStyle name="Note 17 2 3 3" xfId="48806" xr:uid="{00000000-0005-0000-0000-0000B4B60000}"/>
    <cellStyle name="Note 17 2 3 3 2" xfId="48807" xr:uid="{00000000-0005-0000-0000-0000B5B60000}"/>
    <cellStyle name="Note 17 2 3 4" xfId="48808" xr:uid="{00000000-0005-0000-0000-0000B6B60000}"/>
    <cellStyle name="Note 17 2 4" xfId="48809" xr:uid="{00000000-0005-0000-0000-0000B7B60000}"/>
    <cellStyle name="Note 17 2 4 2" xfId="48810" xr:uid="{00000000-0005-0000-0000-0000B8B60000}"/>
    <cellStyle name="Note 17 2 4 2 2" xfId="48811" xr:uid="{00000000-0005-0000-0000-0000B9B60000}"/>
    <cellStyle name="Note 17 2 4 2 2 2" xfId="48812" xr:uid="{00000000-0005-0000-0000-0000BAB60000}"/>
    <cellStyle name="Note 17 2 4 2 3" xfId="48813" xr:uid="{00000000-0005-0000-0000-0000BBB60000}"/>
    <cellStyle name="Note 17 2 4 3" xfId="48814" xr:uid="{00000000-0005-0000-0000-0000BCB60000}"/>
    <cellStyle name="Note 17 2 4 3 2" xfId="48815" xr:uid="{00000000-0005-0000-0000-0000BDB60000}"/>
    <cellStyle name="Note 17 2 4 4" xfId="48816" xr:uid="{00000000-0005-0000-0000-0000BEB60000}"/>
    <cellStyle name="Note 17 3" xfId="48817" xr:uid="{00000000-0005-0000-0000-0000BFB60000}"/>
    <cellStyle name="Note 17 3 2" xfId="48818" xr:uid="{00000000-0005-0000-0000-0000C0B60000}"/>
    <cellStyle name="Note 17 4" xfId="48819" xr:uid="{00000000-0005-0000-0000-0000C1B60000}"/>
    <cellStyle name="Note 17 4 2" xfId="48820" xr:uid="{00000000-0005-0000-0000-0000C2B60000}"/>
    <cellStyle name="Note 17 5" xfId="48821" xr:uid="{00000000-0005-0000-0000-0000C3B60000}"/>
    <cellStyle name="Note 17 5 2" xfId="48822" xr:uid="{00000000-0005-0000-0000-0000C4B60000}"/>
    <cellStyle name="Note 17 5 2 2" xfId="48823" xr:uid="{00000000-0005-0000-0000-0000C5B60000}"/>
    <cellStyle name="Note 17 5 3" xfId="48824" xr:uid="{00000000-0005-0000-0000-0000C6B60000}"/>
    <cellStyle name="Note 17 6" xfId="48825" xr:uid="{00000000-0005-0000-0000-0000C7B60000}"/>
    <cellStyle name="Note 18" xfId="1652" xr:uid="{00000000-0005-0000-0000-0000C8B60000}"/>
    <cellStyle name="Note 18 10" xfId="48826" xr:uid="{00000000-0005-0000-0000-0000C9B60000}"/>
    <cellStyle name="Note 18 2" xfId="48827" xr:uid="{00000000-0005-0000-0000-0000CAB60000}"/>
    <cellStyle name="Note 18 2 2" xfId="48828" xr:uid="{00000000-0005-0000-0000-0000CBB60000}"/>
    <cellStyle name="Note 18 2 2 2" xfId="48829" xr:uid="{00000000-0005-0000-0000-0000CCB60000}"/>
    <cellStyle name="Note 18 2 2 2 2" xfId="48830" xr:uid="{00000000-0005-0000-0000-0000CDB60000}"/>
    <cellStyle name="Note 18 2 2 2 2 2" xfId="48831" xr:uid="{00000000-0005-0000-0000-0000CEB60000}"/>
    <cellStyle name="Note 18 2 2 2 3" xfId="48832" xr:uid="{00000000-0005-0000-0000-0000CFB60000}"/>
    <cellStyle name="Note 18 2 2 3" xfId="48833" xr:uid="{00000000-0005-0000-0000-0000D0B60000}"/>
    <cellStyle name="Note 18 2 2 3 2" xfId="48834" xr:uid="{00000000-0005-0000-0000-0000D1B60000}"/>
    <cellStyle name="Note 18 2 2 4" xfId="48835" xr:uid="{00000000-0005-0000-0000-0000D2B60000}"/>
    <cellStyle name="Note 18 2 3" xfId="48836" xr:uid="{00000000-0005-0000-0000-0000D3B60000}"/>
    <cellStyle name="Note 18 2 3 2" xfId="48837" xr:uid="{00000000-0005-0000-0000-0000D4B60000}"/>
    <cellStyle name="Note 18 2 3 2 2" xfId="48838" xr:uid="{00000000-0005-0000-0000-0000D5B60000}"/>
    <cellStyle name="Note 18 2 3 2 2 2" xfId="48839" xr:uid="{00000000-0005-0000-0000-0000D6B60000}"/>
    <cellStyle name="Note 18 2 3 2 3" xfId="48840" xr:uid="{00000000-0005-0000-0000-0000D7B60000}"/>
    <cellStyle name="Note 18 2 3 3" xfId="48841" xr:uid="{00000000-0005-0000-0000-0000D8B60000}"/>
    <cellStyle name="Note 18 2 3 3 2" xfId="48842" xr:uid="{00000000-0005-0000-0000-0000D9B60000}"/>
    <cellStyle name="Note 18 2 3 4" xfId="48843" xr:uid="{00000000-0005-0000-0000-0000DAB60000}"/>
    <cellStyle name="Note 18 2 4" xfId="48844" xr:uid="{00000000-0005-0000-0000-0000DBB60000}"/>
    <cellStyle name="Note 18 2 4 2" xfId="48845" xr:uid="{00000000-0005-0000-0000-0000DCB60000}"/>
    <cellStyle name="Note 18 2 4 2 2" xfId="48846" xr:uid="{00000000-0005-0000-0000-0000DDB60000}"/>
    <cellStyle name="Note 18 2 4 2 2 2" xfId="48847" xr:uid="{00000000-0005-0000-0000-0000DEB60000}"/>
    <cellStyle name="Note 18 2 4 2 3" xfId="48848" xr:uid="{00000000-0005-0000-0000-0000DFB60000}"/>
    <cellStyle name="Note 18 2 4 3" xfId="48849" xr:uid="{00000000-0005-0000-0000-0000E0B60000}"/>
    <cellStyle name="Note 18 2 4 3 2" xfId="48850" xr:uid="{00000000-0005-0000-0000-0000E1B60000}"/>
    <cellStyle name="Note 18 2 4 4" xfId="48851" xr:uid="{00000000-0005-0000-0000-0000E2B60000}"/>
    <cellStyle name="Note 18 3" xfId="48852" xr:uid="{00000000-0005-0000-0000-0000E3B60000}"/>
    <cellStyle name="Note 18 3 2" xfId="48853" xr:uid="{00000000-0005-0000-0000-0000E4B60000}"/>
    <cellStyle name="Note 18 4" xfId="48854" xr:uid="{00000000-0005-0000-0000-0000E5B60000}"/>
    <cellStyle name="Note 18 4 2" xfId="48855" xr:uid="{00000000-0005-0000-0000-0000E6B60000}"/>
    <cellStyle name="Note 18 5" xfId="48856" xr:uid="{00000000-0005-0000-0000-0000E7B60000}"/>
    <cellStyle name="Note 18 5 2" xfId="48857" xr:uid="{00000000-0005-0000-0000-0000E8B60000}"/>
    <cellStyle name="Note 18 6" xfId="48858" xr:uid="{00000000-0005-0000-0000-0000E9B60000}"/>
    <cellStyle name="Note 18 6 2" xfId="48859" xr:uid="{00000000-0005-0000-0000-0000EAB60000}"/>
    <cellStyle name="Note 18 7" xfId="48860" xr:uid="{00000000-0005-0000-0000-0000EBB60000}"/>
    <cellStyle name="Note 18 7 2" xfId="48861" xr:uid="{00000000-0005-0000-0000-0000ECB60000}"/>
    <cellStyle name="Note 18 8" xfId="48862" xr:uid="{00000000-0005-0000-0000-0000EDB60000}"/>
    <cellStyle name="Note 18 8 2" xfId="48863" xr:uid="{00000000-0005-0000-0000-0000EEB60000}"/>
    <cellStyle name="Note 18 9" xfId="48864" xr:uid="{00000000-0005-0000-0000-0000EFB60000}"/>
    <cellStyle name="Note 18 9 2" xfId="48865" xr:uid="{00000000-0005-0000-0000-0000F0B60000}"/>
    <cellStyle name="Note 18 9 2 2" xfId="48866" xr:uid="{00000000-0005-0000-0000-0000F1B60000}"/>
    <cellStyle name="Note 18 9 3" xfId="48867" xr:uid="{00000000-0005-0000-0000-0000F2B60000}"/>
    <cellStyle name="Note 19" xfId="1653" xr:uid="{00000000-0005-0000-0000-0000F3B60000}"/>
    <cellStyle name="Note 19 10" xfId="48868" xr:uid="{00000000-0005-0000-0000-0000F4B60000}"/>
    <cellStyle name="Note 19 10 2" xfId="48869" xr:uid="{00000000-0005-0000-0000-0000F5B60000}"/>
    <cellStyle name="Note 19 10 2 2" xfId="48870" xr:uid="{00000000-0005-0000-0000-0000F6B60000}"/>
    <cellStyle name="Note 19 10 3" xfId="48871" xr:uid="{00000000-0005-0000-0000-0000F7B60000}"/>
    <cellStyle name="Note 19 11" xfId="48872" xr:uid="{00000000-0005-0000-0000-0000F8B60000}"/>
    <cellStyle name="Note 19 2" xfId="48873" xr:uid="{00000000-0005-0000-0000-0000F9B60000}"/>
    <cellStyle name="Note 19 2 2" xfId="48874" xr:uid="{00000000-0005-0000-0000-0000FAB60000}"/>
    <cellStyle name="Note 19 2 2 2" xfId="48875" xr:uid="{00000000-0005-0000-0000-0000FBB60000}"/>
    <cellStyle name="Note 19 2 2 2 2" xfId="48876" xr:uid="{00000000-0005-0000-0000-0000FCB60000}"/>
    <cellStyle name="Note 19 2 2 2 2 2" xfId="48877" xr:uid="{00000000-0005-0000-0000-0000FDB60000}"/>
    <cellStyle name="Note 19 2 2 2 3" xfId="48878" xr:uid="{00000000-0005-0000-0000-0000FEB60000}"/>
    <cellStyle name="Note 19 2 2 3" xfId="48879" xr:uid="{00000000-0005-0000-0000-0000FFB60000}"/>
    <cellStyle name="Note 19 2 2 3 2" xfId="48880" xr:uid="{00000000-0005-0000-0000-000000B70000}"/>
    <cellStyle name="Note 19 2 2 4" xfId="48881" xr:uid="{00000000-0005-0000-0000-000001B70000}"/>
    <cellStyle name="Note 19 2 3" xfId="48882" xr:uid="{00000000-0005-0000-0000-000002B70000}"/>
    <cellStyle name="Note 19 2 3 2" xfId="48883" xr:uid="{00000000-0005-0000-0000-000003B70000}"/>
    <cellStyle name="Note 19 2 3 2 2" xfId="48884" xr:uid="{00000000-0005-0000-0000-000004B70000}"/>
    <cellStyle name="Note 19 2 3 2 2 2" xfId="48885" xr:uid="{00000000-0005-0000-0000-000005B70000}"/>
    <cellStyle name="Note 19 2 3 2 3" xfId="48886" xr:uid="{00000000-0005-0000-0000-000006B70000}"/>
    <cellStyle name="Note 19 2 3 3" xfId="48887" xr:uid="{00000000-0005-0000-0000-000007B70000}"/>
    <cellStyle name="Note 19 2 3 3 2" xfId="48888" xr:uid="{00000000-0005-0000-0000-000008B70000}"/>
    <cellStyle name="Note 19 2 3 4" xfId="48889" xr:uid="{00000000-0005-0000-0000-000009B70000}"/>
    <cellStyle name="Note 19 2 4" xfId="48890" xr:uid="{00000000-0005-0000-0000-00000AB70000}"/>
    <cellStyle name="Note 19 2 4 2" xfId="48891" xr:uid="{00000000-0005-0000-0000-00000BB70000}"/>
    <cellStyle name="Note 19 2 4 2 2" xfId="48892" xr:uid="{00000000-0005-0000-0000-00000CB70000}"/>
    <cellStyle name="Note 19 2 4 2 2 2" xfId="48893" xr:uid="{00000000-0005-0000-0000-00000DB70000}"/>
    <cellStyle name="Note 19 2 4 2 3" xfId="48894" xr:uid="{00000000-0005-0000-0000-00000EB70000}"/>
    <cellStyle name="Note 19 2 4 3" xfId="48895" xr:uid="{00000000-0005-0000-0000-00000FB70000}"/>
    <cellStyle name="Note 19 2 4 3 2" xfId="48896" xr:uid="{00000000-0005-0000-0000-000010B70000}"/>
    <cellStyle name="Note 19 2 4 4" xfId="48897" xr:uid="{00000000-0005-0000-0000-000011B70000}"/>
    <cellStyle name="Note 19 3" xfId="48898" xr:uid="{00000000-0005-0000-0000-000012B70000}"/>
    <cellStyle name="Note 19 3 2" xfId="48899" xr:uid="{00000000-0005-0000-0000-000013B70000}"/>
    <cellStyle name="Note 19 4" xfId="48900" xr:uid="{00000000-0005-0000-0000-000014B70000}"/>
    <cellStyle name="Note 19 4 2" xfId="48901" xr:uid="{00000000-0005-0000-0000-000015B70000}"/>
    <cellStyle name="Note 19 5" xfId="48902" xr:uid="{00000000-0005-0000-0000-000016B70000}"/>
    <cellStyle name="Note 19 5 2" xfId="48903" xr:uid="{00000000-0005-0000-0000-000017B70000}"/>
    <cellStyle name="Note 19 6" xfId="48904" xr:uid="{00000000-0005-0000-0000-000018B70000}"/>
    <cellStyle name="Note 19 6 2" xfId="48905" xr:uid="{00000000-0005-0000-0000-000019B70000}"/>
    <cellStyle name="Note 19 7" xfId="48906" xr:uid="{00000000-0005-0000-0000-00001AB70000}"/>
    <cellStyle name="Note 19 7 2" xfId="48907" xr:uid="{00000000-0005-0000-0000-00001BB70000}"/>
    <cellStyle name="Note 19 8" xfId="48908" xr:uid="{00000000-0005-0000-0000-00001CB70000}"/>
    <cellStyle name="Note 19 8 2" xfId="48909" xr:uid="{00000000-0005-0000-0000-00001DB70000}"/>
    <cellStyle name="Note 19 9" xfId="48910" xr:uid="{00000000-0005-0000-0000-00001EB70000}"/>
    <cellStyle name="Note 19 9 2" xfId="48911" xr:uid="{00000000-0005-0000-0000-00001FB70000}"/>
    <cellStyle name="Note 2" xfId="144" xr:uid="{00000000-0005-0000-0000-000062000000}"/>
    <cellStyle name="Note 2 10" xfId="1655" xr:uid="{00000000-0005-0000-0000-000021B70000}"/>
    <cellStyle name="Note 2 10 2" xfId="48912" xr:uid="{00000000-0005-0000-0000-000022B70000}"/>
    <cellStyle name="Note 2 11" xfId="1656" xr:uid="{00000000-0005-0000-0000-000023B70000}"/>
    <cellStyle name="Note 2 11 2" xfId="48913" xr:uid="{00000000-0005-0000-0000-000024B70000}"/>
    <cellStyle name="Note 2 12" xfId="1657" xr:uid="{00000000-0005-0000-0000-000025B70000}"/>
    <cellStyle name="Note 2 12 2" xfId="48914" xr:uid="{00000000-0005-0000-0000-000026B70000}"/>
    <cellStyle name="Note 2 13" xfId="1658" xr:uid="{00000000-0005-0000-0000-000027B70000}"/>
    <cellStyle name="Note 2 13 2" xfId="48915" xr:uid="{00000000-0005-0000-0000-000028B70000}"/>
    <cellStyle name="Note 2 14" xfId="1659" xr:uid="{00000000-0005-0000-0000-000029B70000}"/>
    <cellStyle name="Note 2 14 2" xfId="48916" xr:uid="{00000000-0005-0000-0000-00002AB70000}"/>
    <cellStyle name="Note 2 15" xfId="1660" xr:uid="{00000000-0005-0000-0000-00002BB70000}"/>
    <cellStyle name="Note 2 15 2" xfId="48917" xr:uid="{00000000-0005-0000-0000-00002CB70000}"/>
    <cellStyle name="Note 2 16" xfId="1661" xr:uid="{00000000-0005-0000-0000-00002DB70000}"/>
    <cellStyle name="Note 2 16 2" xfId="48918" xr:uid="{00000000-0005-0000-0000-00002EB70000}"/>
    <cellStyle name="Note 2 17" xfId="1662" xr:uid="{00000000-0005-0000-0000-00002FB70000}"/>
    <cellStyle name="Note 2 17 2" xfId="48919" xr:uid="{00000000-0005-0000-0000-000030B70000}"/>
    <cellStyle name="Note 2 18" xfId="1663" xr:uid="{00000000-0005-0000-0000-000031B70000}"/>
    <cellStyle name="Note 2 18 2" xfId="48920" xr:uid="{00000000-0005-0000-0000-000032B70000}"/>
    <cellStyle name="Note 2 19" xfId="1664" xr:uid="{00000000-0005-0000-0000-000033B70000}"/>
    <cellStyle name="Note 2 19 2" xfId="48921" xr:uid="{00000000-0005-0000-0000-000034B70000}"/>
    <cellStyle name="Note 2 2" xfId="1665" xr:uid="{00000000-0005-0000-0000-000035B70000}"/>
    <cellStyle name="Note 2 2 2" xfId="48922" xr:uid="{00000000-0005-0000-0000-000036B70000}"/>
    <cellStyle name="Note 2 2 2 2" xfId="48923" xr:uid="{00000000-0005-0000-0000-000037B70000}"/>
    <cellStyle name="Note 2 2 2 2 2" xfId="48924" xr:uid="{00000000-0005-0000-0000-000038B70000}"/>
    <cellStyle name="Note 2 2 2 2 2 2" xfId="48925" xr:uid="{00000000-0005-0000-0000-000039B70000}"/>
    <cellStyle name="Note 2 2 2 2 2 2 2" xfId="48926" xr:uid="{00000000-0005-0000-0000-00003AB70000}"/>
    <cellStyle name="Note 2 2 2 2 2 3" xfId="48927" xr:uid="{00000000-0005-0000-0000-00003BB70000}"/>
    <cellStyle name="Note 2 2 2 2 3" xfId="48928" xr:uid="{00000000-0005-0000-0000-00003CB70000}"/>
    <cellStyle name="Note 2 2 2 2 3 2" xfId="48929" xr:uid="{00000000-0005-0000-0000-00003DB70000}"/>
    <cellStyle name="Note 2 2 2 2 4" xfId="48930" xr:uid="{00000000-0005-0000-0000-00003EB70000}"/>
    <cellStyle name="Note 2 2 2 3" xfId="48931" xr:uid="{00000000-0005-0000-0000-00003FB70000}"/>
    <cellStyle name="Note 2 2 2 3 2" xfId="48932" xr:uid="{00000000-0005-0000-0000-000040B70000}"/>
    <cellStyle name="Note 2 2 2 3 2 2" xfId="48933" xr:uid="{00000000-0005-0000-0000-000041B70000}"/>
    <cellStyle name="Note 2 2 2 3 2 2 2" xfId="48934" xr:uid="{00000000-0005-0000-0000-000042B70000}"/>
    <cellStyle name="Note 2 2 2 3 2 3" xfId="48935" xr:uid="{00000000-0005-0000-0000-000043B70000}"/>
    <cellStyle name="Note 2 2 2 3 3" xfId="48936" xr:uid="{00000000-0005-0000-0000-000044B70000}"/>
    <cellStyle name="Note 2 2 2 3 3 2" xfId="48937" xr:uid="{00000000-0005-0000-0000-000045B70000}"/>
    <cellStyle name="Note 2 2 2 3 4" xfId="48938" xr:uid="{00000000-0005-0000-0000-000046B70000}"/>
    <cellStyle name="Note 2 2 2 4" xfId="48939" xr:uid="{00000000-0005-0000-0000-000047B70000}"/>
    <cellStyle name="Note 2 2 2 4 2" xfId="48940" xr:uid="{00000000-0005-0000-0000-000048B70000}"/>
    <cellStyle name="Note 2 2 2 4 2 2" xfId="48941" xr:uid="{00000000-0005-0000-0000-000049B70000}"/>
    <cellStyle name="Note 2 2 2 4 3" xfId="48942" xr:uid="{00000000-0005-0000-0000-00004AB70000}"/>
    <cellStyle name="Note 2 2 2 5" xfId="48943" xr:uid="{00000000-0005-0000-0000-00004BB70000}"/>
    <cellStyle name="Note 2 2 2 5 2" xfId="48944" xr:uid="{00000000-0005-0000-0000-00004CB70000}"/>
    <cellStyle name="Note 2 2 2 6" xfId="48945" xr:uid="{00000000-0005-0000-0000-00004DB70000}"/>
    <cellStyle name="Note 2 20" xfId="1666" xr:uid="{00000000-0005-0000-0000-00004EB70000}"/>
    <cellStyle name="Note 2 20 2" xfId="48946" xr:uid="{00000000-0005-0000-0000-00004FB70000}"/>
    <cellStyle name="Note 2 21" xfId="1667" xr:uid="{00000000-0005-0000-0000-000050B70000}"/>
    <cellStyle name="Note 2 21 2" xfId="48947" xr:uid="{00000000-0005-0000-0000-000051B70000}"/>
    <cellStyle name="Note 2 22" xfId="1668" xr:uid="{00000000-0005-0000-0000-000052B70000}"/>
    <cellStyle name="Note 2 22 2" xfId="48948" xr:uid="{00000000-0005-0000-0000-000053B70000}"/>
    <cellStyle name="Note 2 23" xfId="1669" xr:uid="{00000000-0005-0000-0000-000054B70000}"/>
    <cellStyle name="Note 2 23 2" xfId="48949" xr:uid="{00000000-0005-0000-0000-000055B70000}"/>
    <cellStyle name="Note 2 24" xfId="1670" xr:uid="{00000000-0005-0000-0000-000056B70000}"/>
    <cellStyle name="Note 2 24 2" xfId="48950" xr:uid="{00000000-0005-0000-0000-000057B70000}"/>
    <cellStyle name="Note 2 25" xfId="1671" xr:uid="{00000000-0005-0000-0000-000058B70000}"/>
    <cellStyle name="Note 2 25 2" xfId="48951" xr:uid="{00000000-0005-0000-0000-000059B70000}"/>
    <cellStyle name="Note 2 25 3" xfId="48952" xr:uid="{00000000-0005-0000-0000-00005AB70000}"/>
    <cellStyle name="Note 2 26" xfId="48953" xr:uid="{00000000-0005-0000-0000-00005BB70000}"/>
    <cellStyle name="Note 2 26 2" xfId="48954" xr:uid="{00000000-0005-0000-0000-00005CB70000}"/>
    <cellStyle name="Note 2 26 2 2" xfId="48955" xr:uid="{00000000-0005-0000-0000-00005DB70000}"/>
    <cellStyle name="Note 2 26 3" xfId="48956" xr:uid="{00000000-0005-0000-0000-00005EB70000}"/>
    <cellStyle name="Note 2 26 4" xfId="48957" xr:uid="{00000000-0005-0000-0000-00005FB70000}"/>
    <cellStyle name="Note 2 26 4 2" xfId="48958" xr:uid="{00000000-0005-0000-0000-000060B70000}"/>
    <cellStyle name="Note 2 26 4 2 2" xfId="48959" xr:uid="{00000000-0005-0000-0000-000061B70000}"/>
    <cellStyle name="Note 2 26 4 2 2 2" xfId="48960" xr:uid="{00000000-0005-0000-0000-000062B70000}"/>
    <cellStyle name="Note 2 26 4 2 3" xfId="48961" xr:uid="{00000000-0005-0000-0000-000063B70000}"/>
    <cellStyle name="Note 2 26 4 3" xfId="48962" xr:uid="{00000000-0005-0000-0000-000064B70000}"/>
    <cellStyle name="Note 2 26 4 3 2" xfId="48963" xr:uid="{00000000-0005-0000-0000-000065B70000}"/>
    <cellStyle name="Note 2 26 4 4" xfId="48964" xr:uid="{00000000-0005-0000-0000-000066B70000}"/>
    <cellStyle name="Note 2 26 5" xfId="48965" xr:uid="{00000000-0005-0000-0000-000067B70000}"/>
    <cellStyle name="Note 2 26 5 2" xfId="48966" xr:uid="{00000000-0005-0000-0000-000068B70000}"/>
    <cellStyle name="Note 2 26 5 2 2" xfId="48967" xr:uid="{00000000-0005-0000-0000-000069B70000}"/>
    <cellStyle name="Note 2 26 5 2 2 2" xfId="48968" xr:uid="{00000000-0005-0000-0000-00006AB70000}"/>
    <cellStyle name="Note 2 26 5 2 3" xfId="48969" xr:uid="{00000000-0005-0000-0000-00006BB70000}"/>
    <cellStyle name="Note 2 26 5 3" xfId="48970" xr:uid="{00000000-0005-0000-0000-00006CB70000}"/>
    <cellStyle name="Note 2 26 5 3 2" xfId="48971" xr:uid="{00000000-0005-0000-0000-00006DB70000}"/>
    <cellStyle name="Note 2 26 5 4" xfId="48972" xr:uid="{00000000-0005-0000-0000-00006EB70000}"/>
    <cellStyle name="Note 2 26 6" xfId="48973" xr:uid="{00000000-0005-0000-0000-00006FB70000}"/>
    <cellStyle name="Note 2 26 6 2" xfId="48974" xr:uid="{00000000-0005-0000-0000-000070B70000}"/>
    <cellStyle name="Note 2 26 6 2 2" xfId="48975" xr:uid="{00000000-0005-0000-0000-000071B70000}"/>
    <cellStyle name="Note 2 26 6 2 2 2" xfId="48976" xr:uid="{00000000-0005-0000-0000-000072B70000}"/>
    <cellStyle name="Note 2 26 6 2 3" xfId="48977" xr:uid="{00000000-0005-0000-0000-000073B70000}"/>
    <cellStyle name="Note 2 26 6 3" xfId="48978" xr:uid="{00000000-0005-0000-0000-000074B70000}"/>
    <cellStyle name="Note 2 26 6 3 2" xfId="48979" xr:uid="{00000000-0005-0000-0000-000075B70000}"/>
    <cellStyle name="Note 2 26 6 4" xfId="48980" xr:uid="{00000000-0005-0000-0000-000076B70000}"/>
    <cellStyle name="Note 2 27" xfId="48981" xr:uid="{00000000-0005-0000-0000-000077B70000}"/>
    <cellStyle name="Note 2 27 2" xfId="48982" xr:uid="{00000000-0005-0000-0000-000078B70000}"/>
    <cellStyle name="Note 2 28" xfId="48983" xr:uid="{00000000-0005-0000-0000-000079B70000}"/>
    <cellStyle name="Note 2 29" xfId="48984" xr:uid="{00000000-0005-0000-0000-00007AB70000}"/>
    <cellStyle name="Note 2 29 2" xfId="48985" xr:uid="{00000000-0005-0000-0000-00007BB70000}"/>
    <cellStyle name="Note 2 29 2 2" xfId="48986" xr:uid="{00000000-0005-0000-0000-00007CB70000}"/>
    <cellStyle name="Note 2 29 3" xfId="48987" xr:uid="{00000000-0005-0000-0000-00007DB70000}"/>
    <cellStyle name="Note 2 3" xfId="1672" xr:uid="{00000000-0005-0000-0000-00007EB70000}"/>
    <cellStyle name="Note 2 3 2" xfId="48988" xr:uid="{00000000-0005-0000-0000-00007FB70000}"/>
    <cellStyle name="Note 2 30" xfId="1654" xr:uid="{00000000-0005-0000-0000-000020B70000}"/>
    <cellStyle name="Note 2 4" xfId="1673" xr:uid="{00000000-0005-0000-0000-000080B70000}"/>
    <cellStyle name="Note 2 4 2" xfId="48989" xr:uid="{00000000-0005-0000-0000-000081B70000}"/>
    <cellStyle name="Note 2 5" xfId="1674" xr:uid="{00000000-0005-0000-0000-000082B70000}"/>
    <cellStyle name="Note 2 5 2" xfId="48990" xr:uid="{00000000-0005-0000-0000-000083B70000}"/>
    <cellStyle name="Note 2 6" xfId="1675" xr:uid="{00000000-0005-0000-0000-000084B70000}"/>
    <cellStyle name="Note 2 6 2" xfId="48991" xr:uid="{00000000-0005-0000-0000-000085B70000}"/>
    <cellStyle name="Note 2 7" xfId="1676" xr:uid="{00000000-0005-0000-0000-000086B70000}"/>
    <cellStyle name="Note 2 7 2" xfId="48992" xr:uid="{00000000-0005-0000-0000-000087B70000}"/>
    <cellStyle name="Note 2 8" xfId="1677" xr:uid="{00000000-0005-0000-0000-000088B70000}"/>
    <cellStyle name="Note 2 8 2" xfId="48993" xr:uid="{00000000-0005-0000-0000-000089B70000}"/>
    <cellStyle name="Note 2 9" xfId="1678" xr:uid="{00000000-0005-0000-0000-00008AB70000}"/>
    <cellStyle name="Note 2 9 2" xfId="48994" xr:uid="{00000000-0005-0000-0000-00008BB70000}"/>
    <cellStyle name="Note 20" xfId="1679" xr:uid="{00000000-0005-0000-0000-00008CB70000}"/>
    <cellStyle name="Note 20 10" xfId="48995" xr:uid="{00000000-0005-0000-0000-00008DB70000}"/>
    <cellStyle name="Note 20 10 2" xfId="48996" xr:uid="{00000000-0005-0000-0000-00008EB70000}"/>
    <cellStyle name="Note 20 10 2 2" xfId="48997" xr:uid="{00000000-0005-0000-0000-00008FB70000}"/>
    <cellStyle name="Note 20 10 3" xfId="48998" xr:uid="{00000000-0005-0000-0000-000090B70000}"/>
    <cellStyle name="Note 20 11" xfId="48999" xr:uid="{00000000-0005-0000-0000-000091B70000}"/>
    <cellStyle name="Note 20 2" xfId="49000" xr:uid="{00000000-0005-0000-0000-000092B70000}"/>
    <cellStyle name="Note 20 2 2" xfId="49001" xr:uid="{00000000-0005-0000-0000-000093B70000}"/>
    <cellStyle name="Note 20 2 2 2" xfId="49002" xr:uid="{00000000-0005-0000-0000-000094B70000}"/>
    <cellStyle name="Note 20 2 2 2 2" xfId="49003" xr:uid="{00000000-0005-0000-0000-000095B70000}"/>
    <cellStyle name="Note 20 2 2 2 2 2" xfId="49004" xr:uid="{00000000-0005-0000-0000-000096B70000}"/>
    <cellStyle name="Note 20 2 2 2 3" xfId="49005" xr:uid="{00000000-0005-0000-0000-000097B70000}"/>
    <cellStyle name="Note 20 2 2 3" xfId="49006" xr:uid="{00000000-0005-0000-0000-000098B70000}"/>
    <cellStyle name="Note 20 2 2 3 2" xfId="49007" xr:uid="{00000000-0005-0000-0000-000099B70000}"/>
    <cellStyle name="Note 20 2 2 4" xfId="49008" xr:uid="{00000000-0005-0000-0000-00009AB70000}"/>
    <cellStyle name="Note 20 2 3" xfId="49009" xr:uid="{00000000-0005-0000-0000-00009BB70000}"/>
    <cellStyle name="Note 20 2 3 2" xfId="49010" xr:uid="{00000000-0005-0000-0000-00009CB70000}"/>
    <cellStyle name="Note 20 2 3 2 2" xfId="49011" xr:uid="{00000000-0005-0000-0000-00009DB70000}"/>
    <cellStyle name="Note 20 2 3 2 2 2" xfId="49012" xr:uid="{00000000-0005-0000-0000-00009EB70000}"/>
    <cellStyle name="Note 20 2 3 2 3" xfId="49013" xr:uid="{00000000-0005-0000-0000-00009FB70000}"/>
    <cellStyle name="Note 20 2 3 3" xfId="49014" xr:uid="{00000000-0005-0000-0000-0000A0B70000}"/>
    <cellStyle name="Note 20 2 3 3 2" xfId="49015" xr:uid="{00000000-0005-0000-0000-0000A1B70000}"/>
    <cellStyle name="Note 20 2 3 4" xfId="49016" xr:uid="{00000000-0005-0000-0000-0000A2B70000}"/>
    <cellStyle name="Note 20 2 4" xfId="49017" xr:uid="{00000000-0005-0000-0000-0000A3B70000}"/>
    <cellStyle name="Note 20 2 4 2" xfId="49018" xr:uid="{00000000-0005-0000-0000-0000A4B70000}"/>
    <cellStyle name="Note 20 2 4 2 2" xfId="49019" xr:uid="{00000000-0005-0000-0000-0000A5B70000}"/>
    <cellStyle name="Note 20 2 4 2 2 2" xfId="49020" xr:uid="{00000000-0005-0000-0000-0000A6B70000}"/>
    <cellStyle name="Note 20 2 4 2 3" xfId="49021" xr:uid="{00000000-0005-0000-0000-0000A7B70000}"/>
    <cellStyle name="Note 20 2 4 3" xfId="49022" xr:uid="{00000000-0005-0000-0000-0000A8B70000}"/>
    <cellStyle name="Note 20 2 4 3 2" xfId="49023" xr:uid="{00000000-0005-0000-0000-0000A9B70000}"/>
    <cellStyle name="Note 20 2 4 4" xfId="49024" xr:uid="{00000000-0005-0000-0000-0000AAB70000}"/>
    <cellStyle name="Note 20 3" xfId="49025" xr:uid="{00000000-0005-0000-0000-0000ABB70000}"/>
    <cellStyle name="Note 20 3 2" xfId="49026" xr:uid="{00000000-0005-0000-0000-0000ACB70000}"/>
    <cellStyle name="Note 20 4" xfId="49027" xr:uid="{00000000-0005-0000-0000-0000ADB70000}"/>
    <cellStyle name="Note 20 4 2" xfId="49028" xr:uid="{00000000-0005-0000-0000-0000AEB70000}"/>
    <cellStyle name="Note 20 5" xfId="49029" xr:uid="{00000000-0005-0000-0000-0000AFB70000}"/>
    <cellStyle name="Note 20 5 2" xfId="49030" xr:uid="{00000000-0005-0000-0000-0000B0B70000}"/>
    <cellStyle name="Note 20 6" xfId="49031" xr:uid="{00000000-0005-0000-0000-0000B1B70000}"/>
    <cellStyle name="Note 20 6 2" xfId="49032" xr:uid="{00000000-0005-0000-0000-0000B2B70000}"/>
    <cellStyle name="Note 20 7" xfId="49033" xr:uid="{00000000-0005-0000-0000-0000B3B70000}"/>
    <cellStyle name="Note 20 7 2" xfId="49034" xr:uid="{00000000-0005-0000-0000-0000B4B70000}"/>
    <cellStyle name="Note 20 8" xfId="49035" xr:uid="{00000000-0005-0000-0000-0000B5B70000}"/>
    <cellStyle name="Note 20 8 2" xfId="49036" xr:uid="{00000000-0005-0000-0000-0000B6B70000}"/>
    <cellStyle name="Note 20 9" xfId="49037" xr:uid="{00000000-0005-0000-0000-0000B7B70000}"/>
    <cellStyle name="Note 20 9 2" xfId="49038" xr:uid="{00000000-0005-0000-0000-0000B8B70000}"/>
    <cellStyle name="Note 21" xfId="1680" xr:uid="{00000000-0005-0000-0000-0000B9B70000}"/>
    <cellStyle name="Note 21 10" xfId="49039" xr:uid="{00000000-0005-0000-0000-0000BAB70000}"/>
    <cellStyle name="Note 21 10 2" xfId="49040" xr:uid="{00000000-0005-0000-0000-0000BBB70000}"/>
    <cellStyle name="Note 21 10 2 2" xfId="49041" xr:uid="{00000000-0005-0000-0000-0000BCB70000}"/>
    <cellStyle name="Note 21 10 3" xfId="49042" xr:uid="{00000000-0005-0000-0000-0000BDB70000}"/>
    <cellStyle name="Note 21 11" xfId="49043" xr:uid="{00000000-0005-0000-0000-0000BEB70000}"/>
    <cellStyle name="Note 21 2" xfId="49044" xr:uid="{00000000-0005-0000-0000-0000BFB70000}"/>
    <cellStyle name="Note 21 2 2" xfId="49045" xr:uid="{00000000-0005-0000-0000-0000C0B70000}"/>
    <cellStyle name="Note 21 2 2 2" xfId="49046" xr:uid="{00000000-0005-0000-0000-0000C1B70000}"/>
    <cellStyle name="Note 21 2 2 2 2" xfId="49047" xr:uid="{00000000-0005-0000-0000-0000C2B70000}"/>
    <cellStyle name="Note 21 2 2 2 2 2" xfId="49048" xr:uid="{00000000-0005-0000-0000-0000C3B70000}"/>
    <cellStyle name="Note 21 2 2 2 3" xfId="49049" xr:uid="{00000000-0005-0000-0000-0000C4B70000}"/>
    <cellStyle name="Note 21 2 2 3" xfId="49050" xr:uid="{00000000-0005-0000-0000-0000C5B70000}"/>
    <cellStyle name="Note 21 2 2 3 2" xfId="49051" xr:uid="{00000000-0005-0000-0000-0000C6B70000}"/>
    <cellStyle name="Note 21 2 2 4" xfId="49052" xr:uid="{00000000-0005-0000-0000-0000C7B70000}"/>
    <cellStyle name="Note 21 2 3" xfId="49053" xr:uid="{00000000-0005-0000-0000-0000C8B70000}"/>
    <cellStyle name="Note 21 2 3 2" xfId="49054" xr:uid="{00000000-0005-0000-0000-0000C9B70000}"/>
    <cellStyle name="Note 21 2 3 2 2" xfId="49055" xr:uid="{00000000-0005-0000-0000-0000CAB70000}"/>
    <cellStyle name="Note 21 2 3 2 2 2" xfId="49056" xr:uid="{00000000-0005-0000-0000-0000CBB70000}"/>
    <cellStyle name="Note 21 2 3 2 3" xfId="49057" xr:uid="{00000000-0005-0000-0000-0000CCB70000}"/>
    <cellStyle name="Note 21 2 3 3" xfId="49058" xr:uid="{00000000-0005-0000-0000-0000CDB70000}"/>
    <cellStyle name="Note 21 2 3 3 2" xfId="49059" xr:uid="{00000000-0005-0000-0000-0000CEB70000}"/>
    <cellStyle name="Note 21 2 3 4" xfId="49060" xr:uid="{00000000-0005-0000-0000-0000CFB70000}"/>
    <cellStyle name="Note 21 2 4" xfId="49061" xr:uid="{00000000-0005-0000-0000-0000D0B70000}"/>
    <cellStyle name="Note 21 2 4 2" xfId="49062" xr:uid="{00000000-0005-0000-0000-0000D1B70000}"/>
    <cellStyle name="Note 21 2 4 2 2" xfId="49063" xr:uid="{00000000-0005-0000-0000-0000D2B70000}"/>
    <cellStyle name="Note 21 2 4 2 2 2" xfId="49064" xr:uid="{00000000-0005-0000-0000-0000D3B70000}"/>
    <cellStyle name="Note 21 2 4 2 3" xfId="49065" xr:uid="{00000000-0005-0000-0000-0000D4B70000}"/>
    <cellStyle name="Note 21 2 4 3" xfId="49066" xr:uid="{00000000-0005-0000-0000-0000D5B70000}"/>
    <cellStyle name="Note 21 2 4 3 2" xfId="49067" xr:uid="{00000000-0005-0000-0000-0000D6B70000}"/>
    <cellStyle name="Note 21 2 4 4" xfId="49068" xr:uid="{00000000-0005-0000-0000-0000D7B70000}"/>
    <cellStyle name="Note 21 3" xfId="49069" xr:uid="{00000000-0005-0000-0000-0000D8B70000}"/>
    <cellStyle name="Note 21 3 2" xfId="49070" xr:uid="{00000000-0005-0000-0000-0000D9B70000}"/>
    <cellStyle name="Note 21 4" xfId="49071" xr:uid="{00000000-0005-0000-0000-0000DAB70000}"/>
    <cellStyle name="Note 21 4 2" xfId="49072" xr:uid="{00000000-0005-0000-0000-0000DBB70000}"/>
    <cellStyle name="Note 21 5" xfId="49073" xr:uid="{00000000-0005-0000-0000-0000DCB70000}"/>
    <cellStyle name="Note 21 5 2" xfId="49074" xr:uid="{00000000-0005-0000-0000-0000DDB70000}"/>
    <cellStyle name="Note 21 6" xfId="49075" xr:uid="{00000000-0005-0000-0000-0000DEB70000}"/>
    <cellStyle name="Note 21 6 2" xfId="49076" xr:uid="{00000000-0005-0000-0000-0000DFB70000}"/>
    <cellStyle name="Note 21 7" xfId="49077" xr:uid="{00000000-0005-0000-0000-0000E0B70000}"/>
    <cellStyle name="Note 21 7 2" xfId="49078" xr:uid="{00000000-0005-0000-0000-0000E1B70000}"/>
    <cellStyle name="Note 21 8" xfId="49079" xr:uid="{00000000-0005-0000-0000-0000E2B70000}"/>
    <cellStyle name="Note 21 8 2" xfId="49080" xr:uid="{00000000-0005-0000-0000-0000E3B70000}"/>
    <cellStyle name="Note 21 9" xfId="49081" xr:uid="{00000000-0005-0000-0000-0000E4B70000}"/>
    <cellStyle name="Note 21 9 2" xfId="49082" xr:uid="{00000000-0005-0000-0000-0000E5B70000}"/>
    <cellStyle name="Note 22" xfId="1681" xr:uid="{00000000-0005-0000-0000-0000E6B70000}"/>
    <cellStyle name="Note 22 10" xfId="49083" xr:uid="{00000000-0005-0000-0000-0000E7B70000}"/>
    <cellStyle name="Note 22 2" xfId="49084" xr:uid="{00000000-0005-0000-0000-0000E8B70000}"/>
    <cellStyle name="Note 22 2 2" xfId="49085" xr:uid="{00000000-0005-0000-0000-0000E9B70000}"/>
    <cellStyle name="Note 22 2 2 2" xfId="49086" xr:uid="{00000000-0005-0000-0000-0000EAB70000}"/>
    <cellStyle name="Note 22 2 2 2 2" xfId="49087" xr:uid="{00000000-0005-0000-0000-0000EBB70000}"/>
    <cellStyle name="Note 22 2 2 2 2 2" xfId="49088" xr:uid="{00000000-0005-0000-0000-0000ECB70000}"/>
    <cellStyle name="Note 22 2 2 2 3" xfId="49089" xr:uid="{00000000-0005-0000-0000-0000EDB70000}"/>
    <cellStyle name="Note 22 2 2 3" xfId="49090" xr:uid="{00000000-0005-0000-0000-0000EEB70000}"/>
    <cellStyle name="Note 22 2 2 3 2" xfId="49091" xr:uid="{00000000-0005-0000-0000-0000EFB70000}"/>
    <cellStyle name="Note 22 2 2 4" xfId="49092" xr:uid="{00000000-0005-0000-0000-0000F0B70000}"/>
    <cellStyle name="Note 22 2 3" xfId="49093" xr:uid="{00000000-0005-0000-0000-0000F1B70000}"/>
    <cellStyle name="Note 22 2 3 2" xfId="49094" xr:uid="{00000000-0005-0000-0000-0000F2B70000}"/>
    <cellStyle name="Note 22 2 3 2 2" xfId="49095" xr:uid="{00000000-0005-0000-0000-0000F3B70000}"/>
    <cellStyle name="Note 22 2 3 2 2 2" xfId="49096" xr:uid="{00000000-0005-0000-0000-0000F4B70000}"/>
    <cellStyle name="Note 22 2 3 2 3" xfId="49097" xr:uid="{00000000-0005-0000-0000-0000F5B70000}"/>
    <cellStyle name="Note 22 2 3 3" xfId="49098" xr:uid="{00000000-0005-0000-0000-0000F6B70000}"/>
    <cellStyle name="Note 22 2 3 3 2" xfId="49099" xr:uid="{00000000-0005-0000-0000-0000F7B70000}"/>
    <cellStyle name="Note 22 2 3 4" xfId="49100" xr:uid="{00000000-0005-0000-0000-0000F8B70000}"/>
    <cellStyle name="Note 22 2 4" xfId="49101" xr:uid="{00000000-0005-0000-0000-0000F9B70000}"/>
    <cellStyle name="Note 22 2 4 2" xfId="49102" xr:uid="{00000000-0005-0000-0000-0000FAB70000}"/>
    <cellStyle name="Note 22 2 4 2 2" xfId="49103" xr:uid="{00000000-0005-0000-0000-0000FBB70000}"/>
    <cellStyle name="Note 22 2 4 2 2 2" xfId="49104" xr:uid="{00000000-0005-0000-0000-0000FCB70000}"/>
    <cellStyle name="Note 22 2 4 2 3" xfId="49105" xr:uid="{00000000-0005-0000-0000-0000FDB70000}"/>
    <cellStyle name="Note 22 2 4 3" xfId="49106" xr:uid="{00000000-0005-0000-0000-0000FEB70000}"/>
    <cellStyle name="Note 22 2 4 3 2" xfId="49107" xr:uid="{00000000-0005-0000-0000-0000FFB70000}"/>
    <cellStyle name="Note 22 2 4 4" xfId="49108" xr:uid="{00000000-0005-0000-0000-000000B80000}"/>
    <cellStyle name="Note 22 3" xfId="49109" xr:uid="{00000000-0005-0000-0000-000001B80000}"/>
    <cellStyle name="Note 22 3 2" xfId="49110" xr:uid="{00000000-0005-0000-0000-000002B80000}"/>
    <cellStyle name="Note 22 4" xfId="49111" xr:uid="{00000000-0005-0000-0000-000003B80000}"/>
    <cellStyle name="Note 22 4 2" xfId="49112" xr:uid="{00000000-0005-0000-0000-000004B80000}"/>
    <cellStyle name="Note 22 5" xfId="49113" xr:uid="{00000000-0005-0000-0000-000005B80000}"/>
    <cellStyle name="Note 22 5 2" xfId="49114" xr:uid="{00000000-0005-0000-0000-000006B80000}"/>
    <cellStyle name="Note 22 6" xfId="49115" xr:uid="{00000000-0005-0000-0000-000007B80000}"/>
    <cellStyle name="Note 22 6 2" xfId="49116" xr:uid="{00000000-0005-0000-0000-000008B80000}"/>
    <cellStyle name="Note 22 7" xfId="49117" xr:uid="{00000000-0005-0000-0000-000009B80000}"/>
    <cellStyle name="Note 22 7 2" xfId="49118" xr:uid="{00000000-0005-0000-0000-00000AB80000}"/>
    <cellStyle name="Note 22 8" xfId="49119" xr:uid="{00000000-0005-0000-0000-00000BB80000}"/>
    <cellStyle name="Note 22 8 2" xfId="49120" xr:uid="{00000000-0005-0000-0000-00000CB80000}"/>
    <cellStyle name="Note 22 9" xfId="49121" xr:uid="{00000000-0005-0000-0000-00000DB80000}"/>
    <cellStyle name="Note 22 9 2" xfId="49122" xr:uid="{00000000-0005-0000-0000-00000EB80000}"/>
    <cellStyle name="Note 22 9 2 2" xfId="49123" xr:uid="{00000000-0005-0000-0000-00000FB80000}"/>
    <cellStyle name="Note 22 9 3" xfId="49124" xr:uid="{00000000-0005-0000-0000-000010B80000}"/>
    <cellStyle name="Note 23" xfId="1682" xr:uid="{00000000-0005-0000-0000-000011B80000}"/>
    <cellStyle name="Note 23 2" xfId="49125" xr:uid="{00000000-0005-0000-0000-000012B80000}"/>
    <cellStyle name="Note 23 2 2" xfId="49126" xr:uid="{00000000-0005-0000-0000-000013B80000}"/>
    <cellStyle name="Note 23 2 2 2" xfId="49127" xr:uid="{00000000-0005-0000-0000-000014B80000}"/>
    <cellStyle name="Note 23 2 2 2 2" xfId="49128" xr:uid="{00000000-0005-0000-0000-000015B80000}"/>
    <cellStyle name="Note 23 2 2 2 2 2" xfId="49129" xr:uid="{00000000-0005-0000-0000-000016B80000}"/>
    <cellStyle name="Note 23 2 2 2 3" xfId="49130" xr:uid="{00000000-0005-0000-0000-000017B80000}"/>
    <cellStyle name="Note 23 2 2 3" xfId="49131" xr:uid="{00000000-0005-0000-0000-000018B80000}"/>
    <cellStyle name="Note 23 2 2 3 2" xfId="49132" xr:uid="{00000000-0005-0000-0000-000019B80000}"/>
    <cellStyle name="Note 23 2 2 4" xfId="49133" xr:uid="{00000000-0005-0000-0000-00001AB80000}"/>
    <cellStyle name="Note 23 2 3" xfId="49134" xr:uid="{00000000-0005-0000-0000-00001BB80000}"/>
    <cellStyle name="Note 23 2 3 2" xfId="49135" xr:uid="{00000000-0005-0000-0000-00001CB80000}"/>
    <cellStyle name="Note 23 2 3 2 2" xfId="49136" xr:uid="{00000000-0005-0000-0000-00001DB80000}"/>
    <cellStyle name="Note 23 2 3 2 2 2" xfId="49137" xr:uid="{00000000-0005-0000-0000-00001EB80000}"/>
    <cellStyle name="Note 23 2 3 2 3" xfId="49138" xr:uid="{00000000-0005-0000-0000-00001FB80000}"/>
    <cellStyle name="Note 23 2 3 3" xfId="49139" xr:uid="{00000000-0005-0000-0000-000020B80000}"/>
    <cellStyle name="Note 23 2 3 3 2" xfId="49140" xr:uid="{00000000-0005-0000-0000-000021B80000}"/>
    <cellStyle name="Note 23 2 3 4" xfId="49141" xr:uid="{00000000-0005-0000-0000-000022B80000}"/>
    <cellStyle name="Note 23 2 4" xfId="49142" xr:uid="{00000000-0005-0000-0000-000023B80000}"/>
    <cellStyle name="Note 23 2 4 2" xfId="49143" xr:uid="{00000000-0005-0000-0000-000024B80000}"/>
    <cellStyle name="Note 23 2 4 2 2" xfId="49144" xr:uid="{00000000-0005-0000-0000-000025B80000}"/>
    <cellStyle name="Note 23 2 4 2 2 2" xfId="49145" xr:uid="{00000000-0005-0000-0000-000026B80000}"/>
    <cellStyle name="Note 23 2 4 2 3" xfId="49146" xr:uid="{00000000-0005-0000-0000-000027B80000}"/>
    <cellStyle name="Note 23 2 4 3" xfId="49147" xr:uid="{00000000-0005-0000-0000-000028B80000}"/>
    <cellStyle name="Note 23 2 4 3 2" xfId="49148" xr:uid="{00000000-0005-0000-0000-000029B80000}"/>
    <cellStyle name="Note 23 2 4 4" xfId="49149" xr:uid="{00000000-0005-0000-0000-00002AB80000}"/>
    <cellStyle name="Note 23 3" xfId="49150" xr:uid="{00000000-0005-0000-0000-00002BB80000}"/>
    <cellStyle name="Note 23 3 2" xfId="49151" xr:uid="{00000000-0005-0000-0000-00002CB80000}"/>
    <cellStyle name="Note 23 3 2 2" xfId="49152" xr:uid="{00000000-0005-0000-0000-00002DB80000}"/>
    <cellStyle name="Note 23 3 3" xfId="49153" xr:uid="{00000000-0005-0000-0000-00002EB80000}"/>
    <cellStyle name="Note 23 4" xfId="49154" xr:uid="{00000000-0005-0000-0000-00002FB80000}"/>
    <cellStyle name="Note 24" xfId="1683" xr:uid="{00000000-0005-0000-0000-000030B80000}"/>
    <cellStyle name="Note 24 2" xfId="1684" xr:uid="{00000000-0005-0000-0000-000031B80000}"/>
    <cellStyle name="Note 24 2 2" xfId="49155" xr:uid="{00000000-0005-0000-0000-000032B80000}"/>
    <cellStyle name="Note 24 2 2 2" xfId="49156" xr:uid="{00000000-0005-0000-0000-000033B80000}"/>
    <cellStyle name="Note 24 2 2 3" xfId="49157" xr:uid="{00000000-0005-0000-0000-000034B80000}"/>
    <cellStyle name="Note 24 2 3" xfId="49158" xr:uid="{00000000-0005-0000-0000-000035B80000}"/>
    <cellStyle name="Note 24 3" xfId="49159" xr:uid="{00000000-0005-0000-0000-000036B80000}"/>
    <cellStyle name="Note 24 3 2" xfId="49160" xr:uid="{00000000-0005-0000-0000-000037B80000}"/>
    <cellStyle name="Note 24 3 2 2" xfId="49161" xr:uid="{00000000-0005-0000-0000-000038B80000}"/>
    <cellStyle name="Note 24 3 2 2 2" xfId="49162" xr:uid="{00000000-0005-0000-0000-000039B80000}"/>
    <cellStyle name="Note 24 3 2 2 2 2" xfId="49163" xr:uid="{00000000-0005-0000-0000-00003AB80000}"/>
    <cellStyle name="Note 24 3 2 2 3" xfId="49164" xr:uid="{00000000-0005-0000-0000-00003BB80000}"/>
    <cellStyle name="Note 24 3 2 3" xfId="49165" xr:uid="{00000000-0005-0000-0000-00003CB80000}"/>
    <cellStyle name="Note 24 3 2 3 2" xfId="49166" xr:uid="{00000000-0005-0000-0000-00003DB80000}"/>
    <cellStyle name="Note 24 3 2 4" xfId="49167" xr:uid="{00000000-0005-0000-0000-00003EB80000}"/>
    <cellStyle name="Note 24 3 3" xfId="49168" xr:uid="{00000000-0005-0000-0000-00003FB80000}"/>
    <cellStyle name="Note 24 3 3 2" xfId="49169" xr:uid="{00000000-0005-0000-0000-000040B80000}"/>
    <cellStyle name="Note 24 3 3 2 2" xfId="49170" xr:uid="{00000000-0005-0000-0000-000041B80000}"/>
    <cellStyle name="Note 24 3 3 2 2 2" xfId="49171" xr:uid="{00000000-0005-0000-0000-000042B80000}"/>
    <cellStyle name="Note 24 3 3 2 3" xfId="49172" xr:uid="{00000000-0005-0000-0000-000043B80000}"/>
    <cellStyle name="Note 24 3 3 3" xfId="49173" xr:uid="{00000000-0005-0000-0000-000044B80000}"/>
    <cellStyle name="Note 24 3 3 3 2" xfId="49174" xr:uid="{00000000-0005-0000-0000-000045B80000}"/>
    <cellStyle name="Note 24 3 3 4" xfId="49175" xr:uid="{00000000-0005-0000-0000-000046B80000}"/>
    <cellStyle name="Note 24 3 4" xfId="49176" xr:uid="{00000000-0005-0000-0000-000047B80000}"/>
    <cellStyle name="Note 24 3 4 2" xfId="49177" xr:uid="{00000000-0005-0000-0000-000048B80000}"/>
    <cellStyle name="Note 24 3 4 2 2" xfId="49178" xr:uid="{00000000-0005-0000-0000-000049B80000}"/>
    <cellStyle name="Note 24 3 4 2 2 2" xfId="49179" xr:uid="{00000000-0005-0000-0000-00004AB80000}"/>
    <cellStyle name="Note 24 3 4 2 3" xfId="49180" xr:uid="{00000000-0005-0000-0000-00004BB80000}"/>
    <cellStyle name="Note 24 3 4 3" xfId="49181" xr:uid="{00000000-0005-0000-0000-00004CB80000}"/>
    <cellStyle name="Note 24 3 4 3 2" xfId="49182" xr:uid="{00000000-0005-0000-0000-00004DB80000}"/>
    <cellStyle name="Note 24 3 4 4" xfId="49183" xr:uid="{00000000-0005-0000-0000-00004EB80000}"/>
    <cellStyle name="Note 24 4" xfId="49184" xr:uid="{00000000-0005-0000-0000-00004FB80000}"/>
    <cellStyle name="Note 24 4 2" xfId="49185" xr:uid="{00000000-0005-0000-0000-000050B80000}"/>
    <cellStyle name="Note 24 4 2 2" xfId="49186" xr:uid="{00000000-0005-0000-0000-000051B80000}"/>
    <cellStyle name="Note 24 4 3" xfId="49187" xr:uid="{00000000-0005-0000-0000-000052B80000}"/>
    <cellStyle name="Note 24 5" xfId="49188" xr:uid="{00000000-0005-0000-0000-000053B80000}"/>
    <cellStyle name="Note 25" xfId="1685" xr:uid="{00000000-0005-0000-0000-000054B80000}"/>
    <cellStyle name="Note 25 2" xfId="49189" xr:uid="{00000000-0005-0000-0000-000055B80000}"/>
    <cellStyle name="Note 25 2 2" xfId="49190" xr:uid="{00000000-0005-0000-0000-000056B80000}"/>
    <cellStyle name="Note 25 2 2 2" xfId="49191" xr:uid="{00000000-0005-0000-0000-000057B80000}"/>
    <cellStyle name="Note 25 2 2 2 2" xfId="49192" xr:uid="{00000000-0005-0000-0000-000058B80000}"/>
    <cellStyle name="Note 25 2 2 2 2 2" xfId="49193" xr:uid="{00000000-0005-0000-0000-000059B80000}"/>
    <cellStyle name="Note 25 2 2 2 3" xfId="49194" xr:uid="{00000000-0005-0000-0000-00005AB80000}"/>
    <cellStyle name="Note 25 2 2 3" xfId="49195" xr:uid="{00000000-0005-0000-0000-00005BB80000}"/>
    <cellStyle name="Note 25 2 2 3 2" xfId="49196" xr:uid="{00000000-0005-0000-0000-00005CB80000}"/>
    <cellStyle name="Note 25 2 2 4" xfId="49197" xr:uid="{00000000-0005-0000-0000-00005DB80000}"/>
    <cellStyle name="Note 25 2 3" xfId="49198" xr:uid="{00000000-0005-0000-0000-00005EB80000}"/>
    <cellStyle name="Note 25 2 3 2" xfId="49199" xr:uid="{00000000-0005-0000-0000-00005FB80000}"/>
    <cellStyle name="Note 25 2 3 2 2" xfId="49200" xr:uid="{00000000-0005-0000-0000-000060B80000}"/>
    <cellStyle name="Note 25 2 3 2 2 2" xfId="49201" xr:uid="{00000000-0005-0000-0000-000061B80000}"/>
    <cellStyle name="Note 25 2 3 2 3" xfId="49202" xr:uid="{00000000-0005-0000-0000-000062B80000}"/>
    <cellStyle name="Note 25 2 3 3" xfId="49203" xr:uid="{00000000-0005-0000-0000-000063B80000}"/>
    <cellStyle name="Note 25 2 3 3 2" xfId="49204" xr:uid="{00000000-0005-0000-0000-000064B80000}"/>
    <cellStyle name="Note 25 2 3 4" xfId="49205" xr:uid="{00000000-0005-0000-0000-000065B80000}"/>
    <cellStyle name="Note 25 2 4" xfId="49206" xr:uid="{00000000-0005-0000-0000-000066B80000}"/>
    <cellStyle name="Note 25 2 4 2" xfId="49207" xr:uid="{00000000-0005-0000-0000-000067B80000}"/>
    <cellStyle name="Note 25 2 4 2 2" xfId="49208" xr:uid="{00000000-0005-0000-0000-000068B80000}"/>
    <cellStyle name="Note 25 2 4 2 2 2" xfId="49209" xr:uid="{00000000-0005-0000-0000-000069B80000}"/>
    <cellStyle name="Note 25 2 4 2 3" xfId="49210" xr:uid="{00000000-0005-0000-0000-00006AB80000}"/>
    <cellStyle name="Note 25 2 4 3" xfId="49211" xr:uid="{00000000-0005-0000-0000-00006BB80000}"/>
    <cellStyle name="Note 25 2 4 3 2" xfId="49212" xr:uid="{00000000-0005-0000-0000-00006CB80000}"/>
    <cellStyle name="Note 25 2 4 4" xfId="49213" xr:uid="{00000000-0005-0000-0000-00006DB80000}"/>
    <cellStyle name="Note 25 3" xfId="49214" xr:uid="{00000000-0005-0000-0000-00006EB80000}"/>
    <cellStyle name="Note 25 3 2" xfId="49215" xr:uid="{00000000-0005-0000-0000-00006FB80000}"/>
    <cellStyle name="Note 25 3 3" xfId="49216" xr:uid="{00000000-0005-0000-0000-000070B80000}"/>
    <cellStyle name="Note 25 4" xfId="49217" xr:uid="{00000000-0005-0000-0000-000071B80000}"/>
    <cellStyle name="Note 25 4 2" xfId="49218" xr:uid="{00000000-0005-0000-0000-000072B80000}"/>
    <cellStyle name="Note 25 4 2 2" xfId="49219" xr:uid="{00000000-0005-0000-0000-000073B80000}"/>
    <cellStyle name="Note 25 4 3" xfId="49220" xr:uid="{00000000-0005-0000-0000-000074B80000}"/>
    <cellStyle name="Note 25 5" xfId="49221" xr:uid="{00000000-0005-0000-0000-000075B80000}"/>
    <cellStyle name="Note 26" xfId="49222" xr:uid="{00000000-0005-0000-0000-000076B80000}"/>
    <cellStyle name="Note 26 10" xfId="49223" xr:uid="{00000000-0005-0000-0000-000077B80000}"/>
    <cellStyle name="Note 26 10 2" xfId="49224" xr:uid="{00000000-0005-0000-0000-000078B80000}"/>
    <cellStyle name="Note 26 10 2 2" xfId="49225" xr:uid="{00000000-0005-0000-0000-000079B80000}"/>
    <cellStyle name="Note 26 10 2 2 2" xfId="49226" xr:uid="{00000000-0005-0000-0000-00007AB80000}"/>
    <cellStyle name="Note 26 10 2 3" xfId="49227" xr:uid="{00000000-0005-0000-0000-00007BB80000}"/>
    <cellStyle name="Note 26 10 3" xfId="49228" xr:uid="{00000000-0005-0000-0000-00007CB80000}"/>
    <cellStyle name="Note 26 10 3 2" xfId="49229" xr:uid="{00000000-0005-0000-0000-00007DB80000}"/>
    <cellStyle name="Note 26 10 4" xfId="49230" xr:uid="{00000000-0005-0000-0000-00007EB80000}"/>
    <cellStyle name="Note 26 11" xfId="49231" xr:uid="{00000000-0005-0000-0000-00007FB80000}"/>
    <cellStyle name="Note 26 11 2" xfId="49232" xr:uid="{00000000-0005-0000-0000-000080B80000}"/>
    <cellStyle name="Note 26 11 2 2" xfId="49233" xr:uid="{00000000-0005-0000-0000-000081B80000}"/>
    <cellStyle name="Note 26 11 2 2 2" xfId="49234" xr:uid="{00000000-0005-0000-0000-000082B80000}"/>
    <cellStyle name="Note 26 11 2 3" xfId="49235" xr:uid="{00000000-0005-0000-0000-000083B80000}"/>
    <cellStyle name="Note 26 11 3" xfId="49236" xr:uid="{00000000-0005-0000-0000-000084B80000}"/>
    <cellStyle name="Note 26 11 3 2" xfId="49237" xr:uid="{00000000-0005-0000-0000-000085B80000}"/>
    <cellStyle name="Note 26 11 4" xfId="49238" xr:uid="{00000000-0005-0000-0000-000086B80000}"/>
    <cellStyle name="Note 26 12" xfId="49239" xr:uid="{00000000-0005-0000-0000-000087B80000}"/>
    <cellStyle name="Note 26 12 2" xfId="49240" xr:uid="{00000000-0005-0000-0000-000088B80000}"/>
    <cellStyle name="Note 26 12 2 2" xfId="49241" xr:uid="{00000000-0005-0000-0000-000089B80000}"/>
    <cellStyle name="Note 26 12 3" xfId="49242" xr:uid="{00000000-0005-0000-0000-00008AB80000}"/>
    <cellStyle name="Note 26 13" xfId="49243" xr:uid="{00000000-0005-0000-0000-00008BB80000}"/>
    <cellStyle name="Note 26 13 2" xfId="49244" xr:uid="{00000000-0005-0000-0000-00008CB80000}"/>
    <cellStyle name="Note 26 13 2 2" xfId="49245" xr:uid="{00000000-0005-0000-0000-00008DB80000}"/>
    <cellStyle name="Note 26 13 3" xfId="49246" xr:uid="{00000000-0005-0000-0000-00008EB80000}"/>
    <cellStyle name="Note 26 14" xfId="49247" xr:uid="{00000000-0005-0000-0000-00008FB80000}"/>
    <cellStyle name="Note 26 14 2" xfId="49248" xr:uid="{00000000-0005-0000-0000-000090B80000}"/>
    <cellStyle name="Note 26 15" xfId="49249" xr:uid="{00000000-0005-0000-0000-000091B80000}"/>
    <cellStyle name="Note 26 2" xfId="49250" xr:uid="{00000000-0005-0000-0000-000092B80000}"/>
    <cellStyle name="Note 26 2 10" xfId="49251" xr:uid="{00000000-0005-0000-0000-000093B80000}"/>
    <cellStyle name="Note 26 2 10 2" xfId="49252" xr:uid="{00000000-0005-0000-0000-000094B80000}"/>
    <cellStyle name="Note 26 2 11" xfId="49253" xr:uid="{00000000-0005-0000-0000-000095B80000}"/>
    <cellStyle name="Note 26 2 2" xfId="49254" xr:uid="{00000000-0005-0000-0000-000096B80000}"/>
    <cellStyle name="Note 26 2 2 10" xfId="49255" xr:uid="{00000000-0005-0000-0000-000097B80000}"/>
    <cellStyle name="Note 26 2 2 11" xfId="49256" xr:uid="{00000000-0005-0000-0000-000098B80000}"/>
    <cellStyle name="Note 26 2 2 2" xfId="49257" xr:uid="{00000000-0005-0000-0000-000099B80000}"/>
    <cellStyle name="Note 26 2 2 2 10" xfId="49258" xr:uid="{00000000-0005-0000-0000-00009AB80000}"/>
    <cellStyle name="Note 26 2 2 2 2" xfId="49259" xr:uid="{00000000-0005-0000-0000-00009BB80000}"/>
    <cellStyle name="Note 26 2 2 2 2 2" xfId="49260" xr:uid="{00000000-0005-0000-0000-00009CB80000}"/>
    <cellStyle name="Note 26 2 2 2 2 2 2" xfId="49261" xr:uid="{00000000-0005-0000-0000-00009DB80000}"/>
    <cellStyle name="Note 26 2 2 2 2 2 2 2" xfId="49262" xr:uid="{00000000-0005-0000-0000-00009EB80000}"/>
    <cellStyle name="Note 26 2 2 2 2 2 2 2 2" xfId="49263" xr:uid="{00000000-0005-0000-0000-00009FB80000}"/>
    <cellStyle name="Note 26 2 2 2 2 2 2 3" xfId="49264" xr:uid="{00000000-0005-0000-0000-0000A0B80000}"/>
    <cellStyle name="Note 26 2 2 2 2 2 3" xfId="49265" xr:uid="{00000000-0005-0000-0000-0000A1B80000}"/>
    <cellStyle name="Note 26 2 2 2 2 2 3 2" xfId="49266" xr:uid="{00000000-0005-0000-0000-0000A2B80000}"/>
    <cellStyle name="Note 26 2 2 2 2 2 4" xfId="49267" xr:uid="{00000000-0005-0000-0000-0000A3B80000}"/>
    <cellStyle name="Note 26 2 2 2 2 2 5" xfId="49268" xr:uid="{00000000-0005-0000-0000-0000A4B80000}"/>
    <cellStyle name="Note 26 2 2 2 2 2 6" xfId="49269" xr:uid="{00000000-0005-0000-0000-0000A5B80000}"/>
    <cellStyle name="Note 26 2 2 2 2 3" xfId="49270" xr:uid="{00000000-0005-0000-0000-0000A6B80000}"/>
    <cellStyle name="Note 26 2 2 2 2 3 2" xfId="49271" xr:uid="{00000000-0005-0000-0000-0000A7B80000}"/>
    <cellStyle name="Note 26 2 2 2 2 3 2 2" xfId="49272" xr:uid="{00000000-0005-0000-0000-0000A8B80000}"/>
    <cellStyle name="Note 26 2 2 2 2 3 3" xfId="49273" xr:uid="{00000000-0005-0000-0000-0000A9B80000}"/>
    <cellStyle name="Note 26 2 2 2 2 4" xfId="49274" xr:uid="{00000000-0005-0000-0000-0000AAB80000}"/>
    <cellStyle name="Note 26 2 2 2 2 4 2" xfId="49275" xr:uid="{00000000-0005-0000-0000-0000ABB80000}"/>
    <cellStyle name="Note 26 2 2 2 2 4 2 2" xfId="49276" xr:uid="{00000000-0005-0000-0000-0000ACB80000}"/>
    <cellStyle name="Note 26 2 2 2 2 4 3" xfId="49277" xr:uid="{00000000-0005-0000-0000-0000ADB80000}"/>
    <cellStyle name="Note 26 2 2 2 2 5" xfId="49278" xr:uid="{00000000-0005-0000-0000-0000AEB80000}"/>
    <cellStyle name="Note 26 2 2 2 2 5 2" xfId="49279" xr:uid="{00000000-0005-0000-0000-0000AFB80000}"/>
    <cellStyle name="Note 26 2 2 2 2 6" xfId="49280" xr:uid="{00000000-0005-0000-0000-0000B0B80000}"/>
    <cellStyle name="Note 26 2 2 2 2 7" xfId="49281" xr:uid="{00000000-0005-0000-0000-0000B1B80000}"/>
    <cellStyle name="Note 26 2 2 2 2 8" xfId="49282" xr:uid="{00000000-0005-0000-0000-0000B2B80000}"/>
    <cellStyle name="Note 26 2 2 2 3" xfId="49283" xr:uid="{00000000-0005-0000-0000-0000B3B80000}"/>
    <cellStyle name="Note 26 2 2 2 3 2" xfId="49284" xr:uid="{00000000-0005-0000-0000-0000B4B80000}"/>
    <cellStyle name="Note 26 2 2 2 3 2 2" xfId="49285" xr:uid="{00000000-0005-0000-0000-0000B5B80000}"/>
    <cellStyle name="Note 26 2 2 2 3 2 2 2" xfId="49286" xr:uid="{00000000-0005-0000-0000-0000B6B80000}"/>
    <cellStyle name="Note 26 2 2 2 3 2 2 2 2" xfId="49287" xr:uid="{00000000-0005-0000-0000-0000B7B80000}"/>
    <cellStyle name="Note 26 2 2 2 3 2 2 3" xfId="49288" xr:uid="{00000000-0005-0000-0000-0000B8B80000}"/>
    <cellStyle name="Note 26 2 2 2 3 2 3" xfId="49289" xr:uid="{00000000-0005-0000-0000-0000B9B80000}"/>
    <cellStyle name="Note 26 2 2 2 3 2 3 2" xfId="49290" xr:uid="{00000000-0005-0000-0000-0000BAB80000}"/>
    <cellStyle name="Note 26 2 2 2 3 2 4" xfId="49291" xr:uid="{00000000-0005-0000-0000-0000BBB80000}"/>
    <cellStyle name="Note 26 2 2 2 3 2 5" xfId="49292" xr:uid="{00000000-0005-0000-0000-0000BCB80000}"/>
    <cellStyle name="Note 26 2 2 2 3 2 6" xfId="49293" xr:uid="{00000000-0005-0000-0000-0000BDB80000}"/>
    <cellStyle name="Note 26 2 2 2 3 3" xfId="49294" xr:uid="{00000000-0005-0000-0000-0000BEB80000}"/>
    <cellStyle name="Note 26 2 2 2 3 3 2" xfId="49295" xr:uid="{00000000-0005-0000-0000-0000BFB80000}"/>
    <cellStyle name="Note 26 2 2 2 3 3 2 2" xfId="49296" xr:uid="{00000000-0005-0000-0000-0000C0B80000}"/>
    <cellStyle name="Note 26 2 2 2 3 3 3" xfId="49297" xr:uid="{00000000-0005-0000-0000-0000C1B80000}"/>
    <cellStyle name="Note 26 2 2 2 3 4" xfId="49298" xr:uid="{00000000-0005-0000-0000-0000C2B80000}"/>
    <cellStyle name="Note 26 2 2 2 3 4 2" xfId="49299" xr:uid="{00000000-0005-0000-0000-0000C3B80000}"/>
    <cellStyle name="Note 26 2 2 2 3 5" xfId="49300" xr:uid="{00000000-0005-0000-0000-0000C4B80000}"/>
    <cellStyle name="Note 26 2 2 2 3 6" xfId="49301" xr:uid="{00000000-0005-0000-0000-0000C5B80000}"/>
    <cellStyle name="Note 26 2 2 2 3 7" xfId="49302" xr:uid="{00000000-0005-0000-0000-0000C6B80000}"/>
    <cellStyle name="Note 26 2 2 2 4" xfId="49303" xr:uid="{00000000-0005-0000-0000-0000C7B80000}"/>
    <cellStyle name="Note 26 2 2 2 4 2" xfId="49304" xr:uid="{00000000-0005-0000-0000-0000C8B80000}"/>
    <cellStyle name="Note 26 2 2 2 4 2 2" xfId="49305" xr:uid="{00000000-0005-0000-0000-0000C9B80000}"/>
    <cellStyle name="Note 26 2 2 2 4 2 2 2" xfId="49306" xr:uid="{00000000-0005-0000-0000-0000CAB80000}"/>
    <cellStyle name="Note 26 2 2 2 4 2 3" xfId="49307" xr:uid="{00000000-0005-0000-0000-0000CBB80000}"/>
    <cellStyle name="Note 26 2 2 2 4 3" xfId="49308" xr:uid="{00000000-0005-0000-0000-0000CCB80000}"/>
    <cellStyle name="Note 26 2 2 2 4 3 2" xfId="49309" xr:uid="{00000000-0005-0000-0000-0000CDB80000}"/>
    <cellStyle name="Note 26 2 2 2 4 4" xfId="49310" xr:uid="{00000000-0005-0000-0000-0000CEB80000}"/>
    <cellStyle name="Note 26 2 2 2 4 5" xfId="49311" xr:uid="{00000000-0005-0000-0000-0000CFB80000}"/>
    <cellStyle name="Note 26 2 2 2 4 6" xfId="49312" xr:uid="{00000000-0005-0000-0000-0000D0B80000}"/>
    <cellStyle name="Note 26 2 2 2 5" xfId="49313" xr:uid="{00000000-0005-0000-0000-0000D1B80000}"/>
    <cellStyle name="Note 26 2 2 2 5 2" xfId="49314" xr:uid="{00000000-0005-0000-0000-0000D2B80000}"/>
    <cellStyle name="Note 26 2 2 2 5 2 2" xfId="49315" xr:uid="{00000000-0005-0000-0000-0000D3B80000}"/>
    <cellStyle name="Note 26 2 2 2 5 3" xfId="49316" xr:uid="{00000000-0005-0000-0000-0000D4B80000}"/>
    <cellStyle name="Note 26 2 2 2 6" xfId="49317" xr:uid="{00000000-0005-0000-0000-0000D5B80000}"/>
    <cellStyle name="Note 26 2 2 2 6 2" xfId="49318" xr:uid="{00000000-0005-0000-0000-0000D6B80000}"/>
    <cellStyle name="Note 26 2 2 2 6 2 2" xfId="49319" xr:uid="{00000000-0005-0000-0000-0000D7B80000}"/>
    <cellStyle name="Note 26 2 2 2 6 3" xfId="49320" xr:uid="{00000000-0005-0000-0000-0000D8B80000}"/>
    <cellStyle name="Note 26 2 2 2 7" xfId="49321" xr:uid="{00000000-0005-0000-0000-0000D9B80000}"/>
    <cellStyle name="Note 26 2 2 2 7 2" xfId="49322" xr:uid="{00000000-0005-0000-0000-0000DAB80000}"/>
    <cellStyle name="Note 26 2 2 2 8" xfId="49323" xr:uid="{00000000-0005-0000-0000-0000DBB80000}"/>
    <cellStyle name="Note 26 2 2 2 9" xfId="49324" xr:uid="{00000000-0005-0000-0000-0000DCB80000}"/>
    <cellStyle name="Note 26 2 2 3" xfId="49325" xr:uid="{00000000-0005-0000-0000-0000DDB80000}"/>
    <cellStyle name="Note 26 2 2 3 2" xfId="49326" xr:uid="{00000000-0005-0000-0000-0000DEB80000}"/>
    <cellStyle name="Note 26 2 2 3 2 2" xfId="49327" xr:uid="{00000000-0005-0000-0000-0000DFB80000}"/>
    <cellStyle name="Note 26 2 2 3 2 2 2" xfId="49328" xr:uid="{00000000-0005-0000-0000-0000E0B80000}"/>
    <cellStyle name="Note 26 2 2 3 2 2 2 2" xfId="49329" xr:uid="{00000000-0005-0000-0000-0000E1B80000}"/>
    <cellStyle name="Note 26 2 2 3 2 2 3" xfId="49330" xr:uid="{00000000-0005-0000-0000-0000E2B80000}"/>
    <cellStyle name="Note 26 2 2 3 2 3" xfId="49331" xr:uid="{00000000-0005-0000-0000-0000E3B80000}"/>
    <cellStyle name="Note 26 2 2 3 2 3 2" xfId="49332" xr:uid="{00000000-0005-0000-0000-0000E4B80000}"/>
    <cellStyle name="Note 26 2 2 3 2 4" xfId="49333" xr:uid="{00000000-0005-0000-0000-0000E5B80000}"/>
    <cellStyle name="Note 26 2 2 3 2 5" xfId="49334" xr:uid="{00000000-0005-0000-0000-0000E6B80000}"/>
    <cellStyle name="Note 26 2 2 3 2 6" xfId="49335" xr:uid="{00000000-0005-0000-0000-0000E7B80000}"/>
    <cellStyle name="Note 26 2 2 3 3" xfId="49336" xr:uid="{00000000-0005-0000-0000-0000E8B80000}"/>
    <cellStyle name="Note 26 2 2 3 3 2" xfId="49337" xr:uid="{00000000-0005-0000-0000-0000E9B80000}"/>
    <cellStyle name="Note 26 2 2 3 3 2 2" xfId="49338" xr:uid="{00000000-0005-0000-0000-0000EAB80000}"/>
    <cellStyle name="Note 26 2 2 3 3 3" xfId="49339" xr:uid="{00000000-0005-0000-0000-0000EBB80000}"/>
    <cellStyle name="Note 26 2 2 3 4" xfId="49340" xr:uid="{00000000-0005-0000-0000-0000ECB80000}"/>
    <cellStyle name="Note 26 2 2 3 4 2" xfId="49341" xr:uid="{00000000-0005-0000-0000-0000EDB80000}"/>
    <cellStyle name="Note 26 2 2 3 4 2 2" xfId="49342" xr:uid="{00000000-0005-0000-0000-0000EEB80000}"/>
    <cellStyle name="Note 26 2 2 3 4 3" xfId="49343" xr:uid="{00000000-0005-0000-0000-0000EFB80000}"/>
    <cellStyle name="Note 26 2 2 3 5" xfId="49344" xr:uid="{00000000-0005-0000-0000-0000F0B80000}"/>
    <cellStyle name="Note 26 2 2 3 5 2" xfId="49345" xr:uid="{00000000-0005-0000-0000-0000F1B80000}"/>
    <cellStyle name="Note 26 2 2 3 6" xfId="49346" xr:uid="{00000000-0005-0000-0000-0000F2B80000}"/>
    <cellStyle name="Note 26 2 2 3 7" xfId="49347" xr:uid="{00000000-0005-0000-0000-0000F3B80000}"/>
    <cellStyle name="Note 26 2 2 3 8" xfId="49348" xr:uid="{00000000-0005-0000-0000-0000F4B80000}"/>
    <cellStyle name="Note 26 2 2 4" xfId="49349" xr:uid="{00000000-0005-0000-0000-0000F5B80000}"/>
    <cellStyle name="Note 26 2 2 4 2" xfId="49350" xr:uid="{00000000-0005-0000-0000-0000F6B80000}"/>
    <cellStyle name="Note 26 2 2 4 2 2" xfId="49351" xr:uid="{00000000-0005-0000-0000-0000F7B80000}"/>
    <cellStyle name="Note 26 2 2 4 2 2 2" xfId="49352" xr:uid="{00000000-0005-0000-0000-0000F8B80000}"/>
    <cellStyle name="Note 26 2 2 4 2 2 2 2" xfId="49353" xr:uid="{00000000-0005-0000-0000-0000F9B80000}"/>
    <cellStyle name="Note 26 2 2 4 2 2 3" xfId="49354" xr:uid="{00000000-0005-0000-0000-0000FAB80000}"/>
    <cellStyle name="Note 26 2 2 4 2 3" xfId="49355" xr:uid="{00000000-0005-0000-0000-0000FBB80000}"/>
    <cellStyle name="Note 26 2 2 4 2 3 2" xfId="49356" xr:uid="{00000000-0005-0000-0000-0000FCB80000}"/>
    <cellStyle name="Note 26 2 2 4 2 4" xfId="49357" xr:uid="{00000000-0005-0000-0000-0000FDB80000}"/>
    <cellStyle name="Note 26 2 2 4 2 5" xfId="49358" xr:uid="{00000000-0005-0000-0000-0000FEB80000}"/>
    <cellStyle name="Note 26 2 2 4 2 6" xfId="49359" xr:uid="{00000000-0005-0000-0000-0000FFB80000}"/>
    <cellStyle name="Note 26 2 2 4 3" xfId="49360" xr:uid="{00000000-0005-0000-0000-000000B90000}"/>
    <cellStyle name="Note 26 2 2 4 3 2" xfId="49361" xr:uid="{00000000-0005-0000-0000-000001B90000}"/>
    <cellStyle name="Note 26 2 2 4 3 2 2" xfId="49362" xr:uid="{00000000-0005-0000-0000-000002B90000}"/>
    <cellStyle name="Note 26 2 2 4 3 3" xfId="49363" xr:uid="{00000000-0005-0000-0000-000003B90000}"/>
    <cellStyle name="Note 26 2 2 4 4" xfId="49364" xr:uid="{00000000-0005-0000-0000-000004B90000}"/>
    <cellStyle name="Note 26 2 2 4 4 2" xfId="49365" xr:uid="{00000000-0005-0000-0000-000005B90000}"/>
    <cellStyle name="Note 26 2 2 4 4 2 2" xfId="49366" xr:uid="{00000000-0005-0000-0000-000006B90000}"/>
    <cellStyle name="Note 26 2 2 4 4 3" xfId="49367" xr:uid="{00000000-0005-0000-0000-000007B90000}"/>
    <cellStyle name="Note 26 2 2 4 5" xfId="49368" xr:uid="{00000000-0005-0000-0000-000008B90000}"/>
    <cellStyle name="Note 26 2 2 4 5 2" xfId="49369" xr:uid="{00000000-0005-0000-0000-000009B90000}"/>
    <cellStyle name="Note 26 2 2 4 6" xfId="49370" xr:uid="{00000000-0005-0000-0000-00000AB90000}"/>
    <cellStyle name="Note 26 2 2 4 7" xfId="49371" xr:uid="{00000000-0005-0000-0000-00000BB90000}"/>
    <cellStyle name="Note 26 2 2 4 8" xfId="49372" xr:uid="{00000000-0005-0000-0000-00000CB90000}"/>
    <cellStyle name="Note 26 2 2 5" xfId="49373" xr:uid="{00000000-0005-0000-0000-00000DB90000}"/>
    <cellStyle name="Note 26 2 2 5 2" xfId="49374" xr:uid="{00000000-0005-0000-0000-00000EB90000}"/>
    <cellStyle name="Note 26 2 2 5 2 2" xfId="49375" xr:uid="{00000000-0005-0000-0000-00000FB90000}"/>
    <cellStyle name="Note 26 2 2 5 2 2 2" xfId="49376" xr:uid="{00000000-0005-0000-0000-000010B90000}"/>
    <cellStyle name="Note 26 2 2 5 2 3" xfId="49377" xr:uid="{00000000-0005-0000-0000-000011B90000}"/>
    <cellStyle name="Note 26 2 2 5 3" xfId="49378" xr:uid="{00000000-0005-0000-0000-000012B90000}"/>
    <cellStyle name="Note 26 2 2 5 3 2" xfId="49379" xr:uid="{00000000-0005-0000-0000-000013B90000}"/>
    <cellStyle name="Note 26 2 2 5 4" xfId="49380" xr:uid="{00000000-0005-0000-0000-000014B90000}"/>
    <cellStyle name="Note 26 2 2 5 5" xfId="49381" xr:uid="{00000000-0005-0000-0000-000015B90000}"/>
    <cellStyle name="Note 26 2 2 5 6" xfId="49382" xr:uid="{00000000-0005-0000-0000-000016B90000}"/>
    <cellStyle name="Note 26 2 2 6" xfId="49383" xr:uid="{00000000-0005-0000-0000-000017B90000}"/>
    <cellStyle name="Note 26 2 2 6 2" xfId="49384" xr:uid="{00000000-0005-0000-0000-000018B90000}"/>
    <cellStyle name="Note 26 2 2 6 2 2" xfId="49385" xr:uid="{00000000-0005-0000-0000-000019B90000}"/>
    <cellStyle name="Note 26 2 2 6 3" xfId="49386" xr:uid="{00000000-0005-0000-0000-00001AB90000}"/>
    <cellStyle name="Note 26 2 2 7" xfId="49387" xr:uid="{00000000-0005-0000-0000-00001BB90000}"/>
    <cellStyle name="Note 26 2 2 7 2" xfId="49388" xr:uid="{00000000-0005-0000-0000-00001CB90000}"/>
    <cellStyle name="Note 26 2 2 7 2 2" xfId="49389" xr:uid="{00000000-0005-0000-0000-00001DB90000}"/>
    <cellStyle name="Note 26 2 2 7 3" xfId="49390" xr:uid="{00000000-0005-0000-0000-00001EB90000}"/>
    <cellStyle name="Note 26 2 2 8" xfId="49391" xr:uid="{00000000-0005-0000-0000-00001FB90000}"/>
    <cellStyle name="Note 26 2 2 8 2" xfId="49392" xr:uid="{00000000-0005-0000-0000-000020B90000}"/>
    <cellStyle name="Note 26 2 2 9" xfId="49393" xr:uid="{00000000-0005-0000-0000-000021B90000}"/>
    <cellStyle name="Note 26 2 3" xfId="49394" xr:uid="{00000000-0005-0000-0000-000022B90000}"/>
    <cellStyle name="Note 26 2 3 10" xfId="49395" xr:uid="{00000000-0005-0000-0000-000023B90000}"/>
    <cellStyle name="Note 26 2 3 2" xfId="49396" xr:uid="{00000000-0005-0000-0000-000024B90000}"/>
    <cellStyle name="Note 26 2 3 2 2" xfId="49397" xr:uid="{00000000-0005-0000-0000-000025B90000}"/>
    <cellStyle name="Note 26 2 3 2 2 2" xfId="49398" xr:uid="{00000000-0005-0000-0000-000026B90000}"/>
    <cellStyle name="Note 26 2 3 2 2 2 2" xfId="49399" xr:uid="{00000000-0005-0000-0000-000027B90000}"/>
    <cellStyle name="Note 26 2 3 2 2 2 2 2" xfId="49400" xr:uid="{00000000-0005-0000-0000-000028B90000}"/>
    <cellStyle name="Note 26 2 3 2 2 2 3" xfId="49401" xr:uid="{00000000-0005-0000-0000-000029B90000}"/>
    <cellStyle name="Note 26 2 3 2 2 3" xfId="49402" xr:uid="{00000000-0005-0000-0000-00002AB90000}"/>
    <cellStyle name="Note 26 2 3 2 2 3 2" xfId="49403" xr:uid="{00000000-0005-0000-0000-00002BB90000}"/>
    <cellStyle name="Note 26 2 3 2 2 4" xfId="49404" xr:uid="{00000000-0005-0000-0000-00002CB90000}"/>
    <cellStyle name="Note 26 2 3 2 2 5" xfId="49405" xr:uid="{00000000-0005-0000-0000-00002DB90000}"/>
    <cellStyle name="Note 26 2 3 2 2 6" xfId="49406" xr:uid="{00000000-0005-0000-0000-00002EB90000}"/>
    <cellStyle name="Note 26 2 3 2 3" xfId="49407" xr:uid="{00000000-0005-0000-0000-00002FB90000}"/>
    <cellStyle name="Note 26 2 3 2 3 2" xfId="49408" xr:uid="{00000000-0005-0000-0000-000030B90000}"/>
    <cellStyle name="Note 26 2 3 2 3 2 2" xfId="49409" xr:uid="{00000000-0005-0000-0000-000031B90000}"/>
    <cellStyle name="Note 26 2 3 2 3 3" xfId="49410" xr:uid="{00000000-0005-0000-0000-000032B90000}"/>
    <cellStyle name="Note 26 2 3 2 4" xfId="49411" xr:uid="{00000000-0005-0000-0000-000033B90000}"/>
    <cellStyle name="Note 26 2 3 2 4 2" xfId="49412" xr:uid="{00000000-0005-0000-0000-000034B90000}"/>
    <cellStyle name="Note 26 2 3 2 4 2 2" xfId="49413" xr:uid="{00000000-0005-0000-0000-000035B90000}"/>
    <cellStyle name="Note 26 2 3 2 4 3" xfId="49414" xr:uid="{00000000-0005-0000-0000-000036B90000}"/>
    <cellStyle name="Note 26 2 3 2 5" xfId="49415" xr:uid="{00000000-0005-0000-0000-000037B90000}"/>
    <cellStyle name="Note 26 2 3 2 5 2" xfId="49416" xr:uid="{00000000-0005-0000-0000-000038B90000}"/>
    <cellStyle name="Note 26 2 3 2 6" xfId="49417" xr:uid="{00000000-0005-0000-0000-000039B90000}"/>
    <cellStyle name="Note 26 2 3 2 7" xfId="49418" xr:uid="{00000000-0005-0000-0000-00003AB90000}"/>
    <cellStyle name="Note 26 2 3 2 8" xfId="49419" xr:uid="{00000000-0005-0000-0000-00003BB90000}"/>
    <cellStyle name="Note 26 2 3 3" xfId="49420" xr:uid="{00000000-0005-0000-0000-00003CB90000}"/>
    <cellStyle name="Note 26 2 3 3 2" xfId="49421" xr:uid="{00000000-0005-0000-0000-00003DB90000}"/>
    <cellStyle name="Note 26 2 3 3 2 2" xfId="49422" xr:uid="{00000000-0005-0000-0000-00003EB90000}"/>
    <cellStyle name="Note 26 2 3 3 2 2 2" xfId="49423" xr:uid="{00000000-0005-0000-0000-00003FB90000}"/>
    <cellStyle name="Note 26 2 3 3 2 2 2 2" xfId="49424" xr:uid="{00000000-0005-0000-0000-000040B90000}"/>
    <cellStyle name="Note 26 2 3 3 2 2 3" xfId="49425" xr:uid="{00000000-0005-0000-0000-000041B90000}"/>
    <cellStyle name="Note 26 2 3 3 2 3" xfId="49426" xr:uid="{00000000-0005-0000-0000-000042B90000}"/>
    <cellStyle name="Note 26 2 3 3 2 3 2" xfId="49427" xr:uid="{00000000-0005-0000-0000-000043B90000}"/>
    <cellStyle name="Note 26 2 3 3 2 4" xfId="49428" xr:uid="{00000000-0005-0000-0000-000044B90000}"/>
    <cellStyle name="Note 26 2 3 3 2 5" xfId="49429" xr:uid="{00000000-0005-0000-0000-000045B90000}"/>
    <cellStyle name="Note 26 2 3 3 2 6" xfId="49430" xr:uid="{00000000-0005-0000-0000-000046B90000}"/>
    <cellStyle name="Note 26 2 3 3 3" xfId="49431" xr:uid="{00000000-0005-0000-0000-000047B90000}"/>
    <cellStyle name="Note 26 2 3 3 3 2" xfId="49432" xr:uid="{00000000-0005-0000-0000-000048B90000}"/>
    <cellStyle name="Note 26 2 3 3 3 2 2" xfId="49433" xr:uid="{00000000-0005-0000-0000-000049B90000}"/>
    <cellStyle name="Note 26 2 3 3 3 3" xfId="49434" xr:uid="{00000000-0005-0000-0000-00004AB90000}"/>
    <cellStyle name="Note 26 2 3 3 4" xfId="49435" xr:uid="{00000000-0005-0000-0000-00004BB90000}"/>
    <cellStyle name="Note 26 2 3 3 4 2" xfId="49436" xr:uid="{00000000-0005-0000-0000-00004CB90000}"/>
    <cellStyle name="Note 26 2 3 3 5" xfId="49437" xr:uid="{00000000-0005-0000-0000-00004DB90000}"/>
    <cellStyle name="Note 26 2 3 3 6" xfId="49438" xr:uid="{00000000-0005-0000-0000-00004EB90000}"/>
    <cellStyle name="Note 26 2 3 3 7" xfId="49439" xr:uid="{00000000-0005-0000-0000-00004FB90000}"/>
    <cellStyle name="Note 26 2 3 4" xfId="49440" xr:uid="{00000000-0005-0000-0000-000050B90000}"/>
    <cellStyle name="Note 26 2 3 4 2" xfId="49441" xr:uid="{00000000-0005-0000-0000-000051B90000}"/>
    <cellStyle name="Note 26 2 3 4 2 2" xfId="49442" xr:uid="{00000000-0005-0000-0000-000052B90000}"/>
    <cellStyle name="Note 26 2 3 4 2 2 2" xfId="49443" xr:uid="{00000000-0005-0000-0000-000053B90000}"/>
    <cellStyle name="Note 26 2 3 4 2 3" xfId="49444" xr:uid="{00000000-0005-0000-0000-000054B90000}"/>
    <cellStyle name="Note 26 2 3 4 3" xfId="49445" xr:uid="{00000000-0005-0000-0000-000055B90000}"/>
    <cellStyle name="Note 26 2 3 4 3 2" xfId="49446" xr:uid="{00000000-0005-0000-0000-000056B90000}"/>
    <cellStyle name="Note 26 2 3 4 4" xfId="49447" xr:uid="{00000000-0005-0000-0000-000057B90000}"/>
    <cellStyle name="Note 26 2 3 4 5" xfId="49448" xr:uid="{00000000-0005-0000-0000-000058B90000}"/>
    <cellStyle name="Note 26 2 3 4 6" xfId="49449" xr:uid="{00000000-0005-0000-0000-000059B90000}"/>
    <cellStyle name="Note 26 2 3 5" xfId="49450" xr:uid="{00000000-0005-0000-0000-00005AB90000}"/>
    <cellStyle name="Note 26 2 3 5 2" xfId="49451" xr:uid="{00000000-0005-0000-0000-00005BB90000}"/>
    <cellStyle name="Note 26 2 3 5 2 2" xfId="49452" xr:uid="{00000000-0005-0000-0000-00005CB90000}"/>
    <cellStyle name="Note 26 2 3 5 3" xfId="49453" xr:uid="{00000000-0005-0000-0000-00005DB90000}"/>
    <cellStyle name="Note 26 2 3 6" xfId="49454" xr:uid="{00000000-0005-0000-0000-00005EB90000}"/>
    <cellStyle name="Note 26 2 3 6 2" xfId="49455" xr:uid="{00000000-0005-0000-0000-00005FB90000}"/>
    <cellStyle name="Note 26 2 3 6 2 2" xfId="49456" xr:uid="{00000000-0005-0000-0000-000060B90000}"/>
    <cellStyle name="Note 26 2 3 6 3" xfId="49457" xr:uid="{00000000-0005-0000-0000-000061B90000}"/>
    <cellStyle name="Note 26 2 3 7" xfId="49458" xr:uid="{00000000-0005-0000-0000-000062B90000}"/>
    <cellStyle name="Note 26 2 3 7 2" xfId="49459" xr:uid="{00000000-0005-0000-0000-000063B90000}"/>
    <cellStyle name="Note 26 2 3 8" xfId="49460" xr:uid="{00000000-0005-0000-0000-000064B90000}"/>
    <cellStyle name="Note 26 2 3 9" xfId="49461" xr:uid="{00000000-0005-0000-0000-000065B90000}"/>
    <cellStyle name="Note 26 2 4" xfId="49462" xr:uid="{00000000-0005-0000-0000-000066B90000}"/>
    <cellStyle name="Note 26 2 4 2" xfId="49463" xr:uid="{00000000-0005-0000-0000-000067B90000}"/>
    <cellStyle name="Note 26 2 4 3" xfId="49464" xr:uid="{00000000-0005-0000-0000-000068B90000}"/>
    <cellStyle name="Note 26 2 4 3 2" xfId="49465" xr:uid="{00000000-0005-0000-0000-000069B90000}"/>
    <cellStyle name="Note 26 2 4 4" xfId="49466" xr:uid="{00000000-0005-0000-0000-00006AB90000}"/>
    <cellStyle name="Note 26 2 4 5" xfId="49467" xr:uid="{00000000-0005-0000-0000-00006BB90000}"/>
    <cellStyle name="Note 26 2 5" xfId="49468" xr:uid="{00000000-0005-0000-0000-00006CB90000}"/>
    <cellStyle name="Note 26 2 5 2" xfId="49469" xr:uid="{00000000-0005-0000-0000-00006DB90000}"/>
    <cellStyle name="Note 26 2 5 2 2" xfId="49470" xr:uid="{00000000-0005-0000-0000-00006EB90000}"/>
    <cellStyle name="Note 26 2 5 2 2 2" xfId="49471" xr:uid="{00000000-0005-0000-0000-00006FB90000}"/>
    <cellStyle name="Note 26 2 5 2 3" xfId="49472" xr:uid="{00000000-0005-0000-0000-000070B90000}"/>
    <cellStyle name="Note 26 2 5 3" xfId="49473" xr:uid="{00000000-0005-0000-0000-000071B90000}"/>
    <cellStyle name="Note 26 2 5 3 2" xfId="49474" xr:uid="{00000000-0005-0000-0000-000072B90000}"/>
    <cellStyle name="Note 26 2 5 3 2 2" xfId="49475" xr:uid="{00000000-0005-0000-0000-000073B90000}"/>
    <cellStyle name="Note 26 2 5 3 3" xfId="49476" xr:uid="{00000000-0005-0000-0000-000074B90000}"/>
    <cellStyle name="Note 26 2 5 4" xfId="49477" xr:uid="{00000000-0005-0000-0000-000075B90000}"/>
    <cellStyle name="Note 26 2 5 4 2" xfId="49478" xr:uid="{00000000-0005-0000-0000-000076B90000}"/>
    <cellStyle name="Note 26 2 5 5" xfId="49479" xr:uid="{00000000-0005-0000-0000-000077B90000}"/>
    <cellStyle name="Note 26 2 5 6" xfId="49480" xr:uid="{00000000-0005-0000-0000-000078B90000}"/>
    <cellStyle name="Note 26 2 5 7" xfId="49481" xr:uid="{00000000-0005-0000-0000-000079B90000}"/>
    <cellStyle name="Note 26 2 6" xfId="49482" xr:uid="{00000000-0005-0000-0000-00007AB90000}"/>
    <cellStyle name="Note 26 2 6 2" xfId="49483" xr:uid="{00000000-0005-0000-0000-00007BB90000}"/>
    <cellStyle name="Note 26 2 6 2 2" xfId="49484" xr:uid="{00000000-0005-0000-0000-00007CB90000}"/>
    <cellStyle name="Note 26 2 6 2 2 2" xfId="49485" xr:uid="{00000000-0005-0000-0000-00007DB90000}"/>
    <cellStyle name="Note 26 2 6 2 3" xfId="49486" xr:uid="{00000000-0005-0000-0000-00007EB90000}"/>
    <cellStyle name="Note 26 2 6 3" xfId="49487" xr:uid="{00000000-0005-0000-0000-00007FB90000}"/>
    <cellStyle name="Note 26 2 6 3 2" xfId="49488" xr:uid="{00000000-0005-0000-0000-000080B90000}"/>
    <cellStyle name="Note 26 2 6 4" xfId="49489" xr:uid="{00000000-0005-0000-0000-000081B90000}"/>
    <cellStyle name="Note 26 2 7" xfId="49490" xr:uid="{00000000-0005-0000-0000-000082B90000}"/>
    <cellStyle name="Note 26 2 7 2" xfId="49491" xr:uid="{00000000-0005-0000-0000-000083B90000}"/>
    <cellStyle name="Note 26 2 7 2 2" xfId="49492" xr:uid="{00000000-0005-0000-0000-000084B90000}"/>
    <cellStyle name="Note 26 2 7 2 2 2" xfId="49493" xr:uid="{00000000-0005-0000-0000-000085B90000}"/>
    <cellStyle name="Note 26 2 7 2 3" xfId="49494" xr:uid="{00000000-0005-0000-0000-000086B90000}"/>
    <cellStyle name="Note 26 2 7 3" xfId="49495" xr:uid="{00000000-0005-0000-0000-000087B90000}"/>
    <cellStyle name="Note 26 2 7 3 2" xfId="49496" xr:uid="{00000000-0005-0000-0000-000088B90000}"/>
    <cellStyle name="Note 26 2 7 4" xfId="49497" xr:uid="{00000000-0005-0000-0000-000089B90000}"/>
    <cellStyle name="Note 26 2 8" xfId="49498" xr:uid="{00000000-0005-0000-0000-00008AB90000}"/>
    <cellStyle name="Note 26 2 8 2" xfId="49499" xr:uid="{00000000-0005-0000-0000-00008BB90000}"/>
    <cellStyle name="Note 26 2 8 2 2" xfId="49500" xr:uid="{00000000-0005-0000-0000-00008CB90000}"/>
    <cellStyle name="Note 26 2 8 2 2 2" xfId="49501" xr:uid="{00000000-0005-0000-0000-00008DB90000}"/>
    <cellStyle name="Note 26 2 8 2 3" xfId="49502" xr:uid="{00000000-0005-0000-0000-00008EB90000}"/>
    <cellStyle name="Note 26 2 8 3" xfId="49503" xr:uid="{00000000-0005-0000-0000-00008FB90000}"/>
    <cellStyle name="Note 26 2 8 3 2" xfId="49504" xr:uid="{00000000-0005-0000-0000-000090B90000}"/>
    <cellStyle name="Note 26 2 8 4" xfId="49505" xr:uid="{00000000-0005-0000-0000-000091B90000}"/>
    <cellStyle name="Note 26 2 9" xfId="49506" xr:uid="{00000000-0005-0000-0000-000092B90000}"/>
    <cellStyle name="Note 26 2 9 2" xfId="49507" xr:uid="{00000000-0005-0000-0000-000093B90000}"/>
    <cellStyle name="Note 26 2 9 2 2" xfId="49508" xr:uid="{00000000-0005-0000-0000-000094B90000}"/>
    <cellStyle name="Note 26 2 9 3" xfId="49509" xr:uid="{00000000-0005-0000-0000-000095B90000}"/>
    <cellStyle name="Note 26 3" xfId="49510" xr:uid="{00000000-0005-0000-0000-000096B90000}"/>
    <cellStyle name="Note 26 3 10" xfId="49511" xr:uid="{00000000-0005-0000-0000-000097B90000}"/>
    <cellStyle name="Note 26 3 11" xfId="49512" xr:uid="{00000000-0005-0000-0000-000098B90000}"/>
    <cellStyle name="Note 26 3 2" xfId="49513" xr:uid="{00000000-0005-0000-0000-000099B90000}"/>
    <cellStyle name="Note 26 3 2 10" xfId="49514" xr:uid="{00000000-0005-0000-0000-00009AB90000}"/>
    <cellStyle name="Note 26 3 2 2" xfId="49515" xr:uid="{00000000-0005-0000-0000-00009BB90000}"/>
    <cellStyle name="Note 26 3 2 2 2" xfId="49516" xr:uid="{00000000-0005-0000-0000-00009CB90000}"/>
    <cellStyle name="Note 26 3 2 2 2 2" xfId="49517" xr:uid="{00000000-0005-0000-0000-00009DB90000}"/>
    <cellStyle name="Note 26 3 2 2 2 2 2" xfId="49518" xr:uid="{00000000-0005-0000-0000-00009EB90000}"/>
    <cellStyle name="Note 26 3 2 2 2 2 2 2" xfId="49519" xr:uid="{00000000-0005-0000-0000-00009FB90000}"/>
    <cellStyle name="Note 26 3 2 2 2 2 3" xfId="49520" xr:uid="{00000000-0005-0000-0000-0000A0B90000}"/>
    <cellStyle name="Note 26 3 2 2 2 3" xfId="49521" xr:uid="{00000000-0005-0000-0000-0000A1B90000}"/>
    <cellStyle name="Note 26 3 2 2 2 3 2" xfId="49522" xr:uid="{00000000-0005-0000-0000-0000A2B90000}"/>
    <cellStyle name="Note 26 3 2 2 2 4" xfId="49523" xr:uid="{00000000-0005-0000-0000-0000A3B90000}"/>
    <cellStyle name="Note 26 3 2 2 2 5" xfId="49524" xr:uid="{00000000-0005-0000-0000-0000A4B90000}"/>
    <cellStyle name="Note 26 3 2 2 2 6" xfId="49525" xr:uid="{00000000-0005-0000-0000-0000A5B90000}"/>
    <cellStyle name="Note 26 3 2 2 3" xfId="49526" xr:uid="{00000000-0005-0000-0000-0000A6B90000}"/>
    <cellStyle name="Note 26 3 2 2 3 2" xfId="49527" xr:uid="{00000000-0005-0000-0000-0000A7B90000}"/>
    <cellStyle name="Note 26 3 2 2 3 2 2" xfId="49528" xr:uid="{00000000-0005-0000-0000-0000A8B90000}"/>
    <cellStyle name="Note 26 3 2 2 3 3" xfId="49529" xr:uid="{00000000-0005-0000-0000-0000A9B90000}"/>
    <cellStyle name="Note 26 3 2 2 4" xfId="49530" xr:uid="{00000000-0005-0000-0000-0000AAB90000}"/>
    <cellStyle name="Note 26 3 2 2 4 2" xfId="49531" xr:uid="{00000000-0005-0000-0000-0000ABB90000}"/>
    <cellStyle name="Note 26 3 2 2 4 2 2" xfId="49532" xr:uid="{00000000-0005-0000-0000-0000ACB90000}"/>
    <cellStyle name="Note 26 3 2 2 4 3" xfId="49533" xr:uid="{00000000-0005-0000-0000-0000ADB90000}"/>
    <cellStyle name="Note 26 3 2 2 5" xfId="49534" xr:uid="{00000000-0005-0000-0000-0000AEB90000}"/>
    <cellStyle name="Note 26 3 2 2 5 2" xfId="49535" xr:uid="{00000000-0005-0000-0000-0000AFB90000}"/>
    <cellStyle name="Note 26 3 2 2 6" xfId="49536" xr:uid="{00000000-0005-0000-0000-0000B0B90000}"/>
    <cellStyle name="Note 26 3 2 2 7" xfId="49537" xr:uid="{00000000-0005-0000-0000-0000B1B90000}"/>
    <cellStyle name="Note 26 3 2 2 8" xfId="49538" xr:uid="{00000000-0005-0000-0000-0000B2B90000}"/>
    <cellStyle name="Note 26 3 2 3" xfId="49539" xr:uid="{00000000-0005-0000-0000-0000B3B90000}"/>
    <cellStyle name="Note 26 3 2 3 2" xfId="49540" xr:uid="{00000000-0005-0000-0000-0000B4B90000}"/>
    <cellStyle name="Note 26 3 2 3 2 2" xfId="49541" xr:uid="{00000000-0005-0000-0000-0000B5B90000}"/>
    <cellStyle name="Note 26 3 2 3 2 2 2" xfId="49542" xr:uid="{00000000-0005-0000-0000-0000B6B90000}"/>
    <cellStyle name="Note 26 3 2 3 2 2 2 2" xfId="49543" xr:uid="{00000000-0005-0000-0000-0000B7B90000}"/>
    <cellStyle name="Note 26 3 2 3 2 2 3" xfId="49544" xr:uid="{00000000-0005-0000-0000-0000B8B90000}"/>
    <cellStyle name="Note 26 3 2 3 2 3" xfId="49545" xr:uid="{00000000-0005-0000-0000-0000B9B90000}"/>
    <cellStyle name="Note 26 3 2 3 2 3 2" xfId="49546" xr:uid="{00000000-0005-0000-0000-0000BAB90000}"/>
    <cellStyle name="Note 26 3 2 3 2 4" xfId="49547" xr:uid="{00000000-0005-0000-0000-0000BBB90000}"/>
    <cellStyle name="Note 26 3 2 3 2 5" xfId="49548" xr:uid="{00000000-0005-0000-0000-0000BCB90000}"/>
    <cellStyle name="Note 26 3 2 3 2 6" xfId="49549" xr:uid="{00000000-0005-0000-0000-0000BDB90000}"/>
    <cellStyle name="Note 26 3 2 3 3" xfId="49550" xr:uid="{00000000-0005-0000-0000-0000BEB90000}"/>
    <cellStyle name="Note 26 3 2 3 3 2" xfId="49551" xr:uid="{00000000-0005-0000-0000-0000BFB90000}"/>
    <cellStyle name="Note 26 3 2 3 3 2 2" xfId="49552" xr:uid="{00000000-0005-0000-0000-0000C0B90000}"/>
    <cellStyle name="Note 26 3 2 3 3 3" xfId="49553" xr:uid="{00000000-0005-0000-0000-0000C1B90000}"/>
    <cellStyle name="Note 26 3 2 3 4" xfId="49554" xr:uid="{00000000-0005-0000-0000-0000C2B90000}"/>
    <cellStyle name="Note 26 3 2 3 4 2" xfId="49555" xr:uid="{00000000-0005-0000-0000-0000C3B90000}"/>
    <cellStyle name="Note 26 3 2 3 5" xfId="49556" xr:uid="{00000000-0005-0000-0000-0000C4B90000}"/>
    <cellStyle name="Note 26 3 2 3 6" xfId="49557" xr:uid="{00000000-0005-0000-0000-0000C5B90000}"/>
    <cellStyle name="Note 26 3 2 3 7" xfId="49558" xr:uid="{00000000-0005-0000-0000-0000C6B90000}"/>
    <cellStyle name="Note 26 3 2 4" xfId="49559" xr:uid="{00000000-0005-0000-0000-0000C7B90000}"/>
    <cellStyle name="Note 26 3 2 4 2" xfId="49560" xr:uid="{00000000-0005-0000-0000-0000C8B90000}"/>
    <cellStyle name="Note 26 3 2 4 2 2" xfId="49561" xr:uid="{00000000-0005-0000-0000-0000C9B90000}"/>
    <cellStyle name="Note 26 3 2 4 2 2 2" xfId="49562" xr:uid="{00000000-0005-0000-0000-0000CAB90000}"/>
    <cellStyle name="Note 26 3 2 4 2 3" xfId="49563" xr:uid="{00000000-0005-0000-0000-0000CBB90000}"/>
    <cellStyle name="Note 26 3 2 4 3" xfId="49564" xr:uid="{00000000-0005-0000-0000-0000CCB90000}"/>
    <cellStyle name="Note 26 3 2 4 3 2" xfId="49565" xr:uid="{00000000-0005-0000-0000-0000CDB90000}"/>
    <cellStyle name="Note 26 3 2 4 4" xfId="49566" xr:uid="{00000000-0005-0000-0000-0000CEB90000}"/>
    <cellStyle name="Note 26 3 2 4 5" xfId="49567" xr:uid="{00000000-0005-0000-0000-0000CFB90000}"/>
    <cellStyle name="Note 26 3 2 4 6" xfId="49568" xr:uid="{00000000-0005-0000-0000-0000D0B90000}"/>
    <cellStyle name="Note 26 3 2 5" xfId="49569" xr:uid="{00000000-0005-0000-0000-0000D1B90000}"/>
    <cellStyle name="Note 26 3 2 5 2" xfId="49570" xr:uid="{00000000-0005-0000-0000-0000D2B90000}"/>
    <cellStyle name="Note 26 3 2 5 2 2" xfId="49571" xr:uid="{00000000-0005-0000-0000-0000D3B90000}"/>
    <cellStyle name="Note 26 3 2 5 3" xfId="49572" xr:uid="{00000000-0005-0000-0000-0000D4B90000}"/>
    <cellStyle name="Note 26 3 2 6" xfId="49573" xr:uid="{00000000-0005-0000-0000-0000D5B90000}"/>
    <cellStyle name="Note 26 3 2 6 2" xfId="49574" xr:uid="{00000000-0005-0000-0000-0000D6B90000}"/>
    <cellStyle name="Note 26 3 2 6 2 2" xfId="49575" xr:uid="{00000000-0005-0000-0000-0000D7B90000}"/>
    <cellStyle name="Note 26 3 2 6 3" xfId="49576" xr:uid="{00000000-0005-0000-0000-0000D8B90000}"/>
    <cellStyle name="Note 26 3 2 7" xfId="49577" xr:uid="{00000000-0005-0000-0000-0000D9B90000}"/>
    <cellStyle name="Note 26 3 2 7 2" xfId="49578" xr:uid="{00000000-0005-0000-0000-0000DAB90000}"/>
    <cellStyle name="Note 26 3 2 8" xfId="49579" xr:uid="{00000000-0005-0000-0000-0000DBB90000}"/>
    <cellStyle name="Note 26 3 2 9" xfId="49580" xr:uid="{00000000-0005-0000-0000-0000DCB90000}"/>
    <cellStyle name="Note 26 3 3" xfId="49581" xr:uid="{00000000-0005-0000-0000-0000DDB90000}"/>
    <cellStyle name="Note 26 3 3 2" xfId="49582" xr:uid="{00000000-0005-0000-0000-0000DEB90000}"/>
    <cellStyle name="Note 26 3 3 2 2" xfId="49583" xr:uid="{00000000-0005-0000-0000-0000DFB90000}"/>
    <cellStyle name="Note 26 3 3 2 2 2" xfId="49584" xr:uid="{00000000-0005-0000-0000-0000E0B90000}"/>
    <cellStyle name="Note 26 3 3 2 2 2 2" xfId="49585" xr:uid="{00000000-0005-0000-0000-0000E1B90000}"/>
    <cellStyle name="Note 26 3 3 2 2 3" xfId="49586" xr:uid="{00000000-0005-0000-0000-0000E2B90000}"/>
    <cellStyle name="Note 26 3 3 2 3" xfId="49587" xr:uid="{00000000-0005-0000-0000-0000E3B90000}"/>
    <cellStyle name="Note 26 3 3 2 3 2" xfId="49588" xr:uid="{00000000-0005-0000-0000-0000E4B90000}"/>
    <cellStyle name="Note 26 3 3 2 4" xfId="49589" xr:uid="{00000000-0005-0000-0000-0000E5B90000}"/>
    <cellStyle name="Note 26 3 3 2 5" xfId="49590" xr:uid="{00000000-0005-0000-0000-0000E6B90000}"/>
    <cellStyle name="Note 26 3 3 2 6" xfId="49591" xr:uid="{00000000-0005-0000-0000-0000E7B90000}"/>
    <cellStyle name="Note 26 3 3 3" xfId="49592" xr:uid="{00000000-0005-0000-0000-0000E8B90000}"/>
    <cellStyle name="Note 26 3 3 3 2" xfId="49593" xr:uid="{00000000-0005-0000-0000-0000E9B90000}"/>
    <cellStyle name="Note 26 3 3 3 2 2" xfId="49594" xr:uid="{00000000-0005-0000-0000-0000EAB90000}"/>
    <cellStyle name="Note 26 3 3 3 3" xfId="49595" xr:uid="{00000000-0005-0000-0000-0000EBB90000}"/>
    <cellStyle name="Note 26 3 3 4" xfId="49596" xr:uid="{00000000-0005-0000-0000-0000ECB90000}"/>
    <cellStyle name="Note 26 3 3 4 2" xfId="49597" xr:uid="{00000000-0005-0000-0000-0000EDB90000}"/>
    <cellStyle name="Note 26 3 3 4 2 2" xfId="49598" xr:uid="{00000000-0005-0000-0000-0000EEB90000}"/>
    <cellStyle name="Note 26 3 3 4 3" xfId="49599" xr:uid="{00000000-0005-0000-0000-0000EFB90000}"/>
    <cellStyle name="Note 26 3 3 5" xfId="49600" xr:uid="{00000000-0005-0000-0000-0000F0B90000}"/>
    <cellStyle name="Note 26 3 3 5 2" xfId="49601" xr:uid="{00000000-0005-0000-0000-0000F1B90000}"/>
    <cellStyle name="Note 26 3 3 6" xfId="49602" xr:uid="{00000000-0005-0000-0000-0000F2B90000}"/>
    <cellStyle name="Note 26 3 3 7" xfId="49603" xr:uid="{00000000-0005-0000-0000-0000F3B90000}"/>
    <cellStyle name="Note 26 3 3 8" xfId="49604" xr:uid="{00000000-0005-0000-0000-0000F4B90000}"/>
    <cellStyle name="Note 26 3 4" xfId="49605" xr:uid="{00000000-0005-0000-0000-0000F5B90000}"/>
    <cellStyle name="Note 26 3 4 2" xfId="49606" xr:uid="{00000000-0005-0000-0000-0000F6B90000}"/>
    <cellStyle name="Note 26 3 4 2 2" xfId="49607" xr:uid="{00000000-0005-0000-0000-0000F7B90000}"/>
    <cellStyle name="Note 26 3 4 2 2 2" xfId="49608" xr:uid="{00000000-0005-0000-0000-0000F8B90000}"/>
    <cellStyle name="Note 26 3 4 2 2 2 2" xfId="49609" xr:uid="{00000000-0005-0000-0000-0000F9B90000}"/>
    <cellStyle name="Note 26 3 4 2 2 3" xfId="49610" xr:uid="{00000000-0005-0000-0000-0000FAB90000}"/>
    <cellStyle name="Note 26 3 4 2 3" xfId="49611" xr:uid="{00000000-0005-0000-0000-0000FBB90000}"/>
    <cellStyle name="Note 26 3 4 2 3 2" xfId="49612" xr:uid="{00000000-0005-0000-0000-0000FCB90000}"/>
    <cellStyle name="Note 26 3 4 2 4" xfId="49613" xr:uid="{00000000-0005-0000-0000-0000FDB90000}"/>
    <cellStyle name="Note 26 3 4 2 5" xfId="49614" xr:uid="{00000000-0005-0000-0000-0000FEB90000}"/>
    <cellStyle name="Note 26 3 4 2 6" xfId="49615" xr:uid="{00000000-0005-0000-0000-0000FFB90000}"/>
    <cellStyle name="Note 26 3 4 3" xfId="49616" xr:uid="{00000000-0005-0000-0000-000000BA0000}"/>
    <cellStyle name="Note 26 3 4 3 2" xfId="49617" xr:uid="{00000000-0005-0000-0000-000001BA0000}"/>
    <cellStyle name="Note 26 3 4 3 2 2" xfId="49618" xr:uid="{00000000-0005-0000-0000-000002BA0000}"/>
    <cellStyle name="Note 26 3 4 3 3" xfId="49619" xr:uid="{00000000-0005-0000-0000-000003BA0000}"/>
    <cellStyle name="Note 26 3 4 4" xfId="49620" xr:uid="{00000000-0005-0000-0000-000004BA0000}"/>
    <cellStyle name="Note 26 3 4 4 2" xfId="49621" xr:uid="{00000000-0005-0000-0000-000005BA0000}"/>
    <cellStyle name="Note 26 3 4 4 2 2" xfId="49622" xr:uid="{00000000-0005-0000-0000-000006BA0000}"/>
    <cellStyle name="Note 26 3 4 4 3" xfId="49623" xr:uid="{00000000-0005-0000-0000-000007BA0000}"/>
    <cellStyle name="Note 26 3 4 5" xfId="49624" xr:uid="{00000000-0005-0000-0000-000008BA0000}"/>
    <cellStyle name="Note 26 3 4 5 2" xfId="49625" xr:uid="{00000000-0005-0000-0000-000009BA0000}"/>
    <cellStyle name="Note 26 3 4 6" xfId="49626" xr:uid="{00000000-0005-0000-0000-00000ABA0000}"/>
    <cellStyle name="Note 26 3 4 7" xfId="49627" xr:uid="{00000000-0005-0000-0000-00000BBA0000}"/>
    <cellStyle name="Note 26 3 4 8" xfId="49628" xr:uid="{00000000-0005-0000-0000-00000CBA0000}"/>
    <cellStyle name="Note 26 3 5" xfId="49629" xr:uid="{00000000-0005-0000-0000-00000DBA0000}"/>
    <cellStyle name="Note 26 3 5 2" xfId="49630" xr:uid="{00000000-0005-0000-0000-00000EBA0000}"/>
    <cellStyle name="Note 26 3 5 2 2" xfId="49631" xr:uid="{00000000-0005-0000-0000-00000FBA0000}"/>
    <cellStyle name="Note 26 3 5 2 2 2" xfId="49632" xr:uid="{00000000-0005-0000-0000-000010BA0000}"/>
    <cellStyle name="Note 26 3 5 2 3" xfId="49633" xr:uid="{00000000-0005-0000-0000-000011BA0000}"/>
    <cellStyle name="Note 26 3 5 3" xfId="49634" xr:uid="{00000000-0005-0000-0000-000012BA0000}"/>
    <cellStyle name="Note 26 3 5 3 2" xfId="49635" xr:uid="{00000000-0005-0000-0000-000013BA0000}"/>
    <cellStyle name="Note 26 3 5 4" xfId="49636" xr:uid="{00000000-0005-0000-0000-000014BA0000}"/>
    <cellStyle name="Note 26 3 5 5" xfId="49637" xr:uid="{00000000-0005-0000-0000-000015BA0000}"/>
    <cellStyle name="Note 26 3 5 6" xfId="49638" xr:uid="{00000000-0005-0000-0000-000016BA0000}"/>
    <cellStyle name="Note 26 3 6" xfId="49639" xr:uid="{00000000-0005-0000-0000-000017BA0000}"/>
    <cellStyle name="Note 26 3 6 2" xfId="49640" xr:uid="{00000000-0005-0000-0000-000018BA0000}"/>
    <cellStyle name="Note 26 3 6 2 2" xfId="49641" xr:uid="{00000000-0005-0000-0000-000019BA0000}"/>
    <cellStyle name="Note 26 3 6 3" xfId="49642" xr:uid="{00000000-0005-0000-0000-00001ABA0000}"/>
    <cellStyle name="Note 26 3 7" xfId="49643" xr:uid="{00000000-0005-0000-0000-00001BBA0000}"/>
    <cellStyle name="Note 26 3 7 2" xfId="49644" xr:uid="{00000000-0005-0000-0000-00001CBA0000}"/>
    <cellStyle name="Note 26 3 7 2 2" xfId="49645" xr:uid="{00000000-0005-0000-0000-00001DBA0000}"/>
    <cellStyle name="Note 26 3 7 3" xfId="49646" xr:uid="{00000000-0005-0000-0000-00001EBA0000}"/>
    <cellStyle name="Note 26 3 8" xfId="49647" xr:uid="{00000000-0005-0000-0000-00001FBA0000}"/>
    <cellStyle name="Note 26 3 8 2" xfId="49648" xr:uid="{00000000-0005-0000-0000-000020BA0000}"/>
    <cellStyle name="Note 26 3 9" xfId="49649" xr:uid="{00000000-0005-0000-0000-000021BA0000}"/>
    <cellStyle name="Note 26 4" xfId="49650" xr:uid="{00000000-0005-0000-0000-000022BA0000}"/>
    <cellStyle name="Note 26 4 10" xfId="49651" xr:uid="{00000000-0005-0000-0000-000023BA0000}"/>
    <cellStyle name="Note 26 4 11" xfId="49652" xr:uid="{00000000-0005-0000-0000-000024BA0000}"/>
    <cellStyle name="Note 26 4 2" xfId="49653" xr:uid="{00000000-0005-0000-0000-000025BA0000}"/>
    <cellStyle name="Note 26 4 2 10" xfId="49654" xr:uid="{00000000-0005-0000-0000-000026BA0000}"/>
    <cellStyle name="Note 26 4 2 2" xfId="49655" xr:uid="{00000000-0005-0000-0000-000027BA0000}"/>
    <cellStyle name="Note 26 4 2 2 2" xfId="49656" xr:uid="{00000000-0005-0000-0000-000028BA0000}"/>
    <cellStyle name="Note 26 4 2 2 2 2" xfId="49657" xr:uid="{00000000-0005-0000-0000-000029BA0000}"/>
    <cellStyle name="Note 26 4 2 2 2 2 2" xfId="49658" xr:uid="{00000000-0005-0000-0000-00002ABA0000}"/>
    <cellStyle name="Note 26 4 2 2 2 2 2 2" xfId="49659" xr:uid="{00000000-0005-0000-0000-00002BBA0000}"/>
    <cellStyle name="Note 26 4 2 2 2 2 3" xfId="49660" xr:uid="{00000000-0005-0000-0000-00002CBA0000}"/>
    <cellStyle name="Note 26 4 2 2 2 3" xfId="49661" xr:uid="{00000000-0005-0000-0000-00002DBA0000}"/>
    <cellStyle name="Note 26 4 2 2 2 3 2" xfId="49662" xr:uid="{00000000-0005-0000-0000-00002EBA0000}"/>
    <cellStyle name="Note 26 4 2 2 2 4" xfId="49663" xr:uid="{00000000-0005-0000-0000-00002FBA0000}"/>
    <cellStyle name="Note 26 4 2 2 2 5" xfId="49664" xr:uid="{00000000-0005-0000-0000-000030BA0000}"/>
    <cellStyle name="Note 26 4 2 2 2 6" xfId="49665" xr:uid="{00000000-0005-0000-0000-000031BA0000}"/>
    <cellStyle name="Note 26 4 2 2 3" xfId="49666" xr:uid="{00000000-0005-0000-0000-000032BA0000}"/>
    <cellStyle name="Note 26 4 2 2 3 2" xfId="49667" xr:uid="{00000000-0005-0000-0000-000033BA0000}"/>
    <cellStyle name="Note 26 4 2 2 3 2 2" xfId="49668" xr:uid="{00000000-0005-0000-0000-000034BA0000}"/>
    <cellStyle name="Note 26 4 2 2 3 3" xfId="49669" xr:uid="{00000000-0005-0000-0000-000035BA0000}"/>
    <cellStyle name="Note 26 4 2 2 4" xfId="49670" xr:uid="{00000000-0005-0000-0000-000036BA0000}"/>
    <cellStyle name="Note 26 4 2 2 4 2" xfId="49671" xr:uid="{00000000-0005-0000-0000-000037BA0000}"/>
    <cellStyle name="Note 26 4 2 2 4 2 2" xfId="49672" xr:uid="{00000000-0005-0000-0000-000038BA0000}"/>
    <cellStyle name="Note 26 4 2 2 4 3" xfId="49673" xr:uid="{00000000-0005-0000-0000-000039BA0000}"/>
    <cellStyle name="Note 26 4 2 2 5" xfId="49674" xr:uid="{00000000-0005-0000-0000-00003ABA0000}"/>
    <cellStyle name="Note 26 4 2 2 5 2" xfId="49675" xr:uid="{00000000-0005-0000-0000-00003BBA0000}"/>
    <cellStyle name="Note 26 4 2 2 6" xfId="49676" xr:uid="{00000000-0005-0000-0000-00003CBA0000}"/>
    <cellStyle name="Note 26 4 2 2 7" xfId="49677" xr:uid="{00000000-0005-0000-0000-00003DBA0000}"/>
    <cellStyle name="Note 26 4 2 2 8" xfId="49678" xr:uid="{00000000-0005-0000-0000-00003EBA0000}"/>
    <cellStyle name="Note 26 4 2 3" xfId="49679" xr:uid="{00000000-0005-0000-0000-00003FBA0000}"/>
    <cellStyle name="Note 26 4 2 3 2" xfId="49680" xr:uid="{00000000-0005-0000-0000-000040BA0000}"/>
    <cellStyle name="Note 26 4 2 3 2 2" xfId="49681" xr:uid="{00000000-0005-0000-0000-000041BA0000}"/>
    <cellStyle name="Note 26 4 2 3 2 2 2" xfId="49682" xr:uid="{00000000-0005-0000-0000-000042BA0000}"/>
    <cellStyle name="Note 26 4 2 3 2 2 2 2" xfId="49683" xr:uid="{00000000-0005-0000-0000-000043BA0000}"/>
    <cellStyle name="Note 26 4 2 3 2 2 3" xfId="49684" xr:uid="{00000000-0005-0000-0000-000044BA0000}"/>
    <cellStyle name="Note 26 4 2 3 2 3" xfId="49685" xr:uid="{00000000-0005-0000-0000-000045BA0000}"/>
    <cellStyle name="Note 26 4 2 3 2 3 2" xfId="49686" xr:uid="{00000000-0005-0000-0000-000046BA0000}"/>
    <cellStyle name="Note 26 4 2 3 2 4" xfId="49687" xr:uid="{00000000-0005-0000-0000-000047BA0000}"/>
    <cellStyle name="Note 26 4 2 3 2 5" xfId="49688" xr:uid="{00000000-0005-0000-0000-000048BA0000}"/>
    <cellStyle name="Note 26 4 2 3 2 6" xfId="49689" xr:uid="{00000000-0005-0000-0000-000049BA0000}"/>
    <cellStyle name="Note 26 4 2 3 3" xfId="49690" xr:uid="{00000000-0005-0000-0000-00004ABA0000}"/>
    <cellStyle name="Note 26 4 2 3 3 2" xfId="49691" xr:uid="{00000000-0005-0000-0000-00004BBA0000}"/>
    <cellStyle name="Note 26 4 2 3 3 2 2" xfId="49692" xr:uid="{00000000-0005-0000-0000-00004CBA0000}"/>
    <cellStyle name="Note 26 4 2 3 3 3" xfId="49693" xr:uid="{00000000-0005-0000-0000-00004DBA0000}"/>
    <cellStyle name="Note 26 4 2 3 4" xfId="49694" xr:uid="{00000000-0005-0000-0000-00004EBA0000}"/>
    <cellStyle name="Note 26 4 2 3 4 2" xfId="49695" xr:uid="{00000000-0005-0000-0000-00004FBA0000}"/>
    <cellStyle name="Note 26 4 2 3 5" xfId="49696" xr:uid="{00000000-0005-0000-0000-000050BA0000}"/>
    <cellStyle name="Note 26 4 2 3 6" xfId="49697" xr:uid="{00000000-0005-0000-0000-000051BA0000}"/>
    <cellStyle name="Note 26 4 2 3 7" xfId="49698" xr:uid="{00000000-0005-0000-0000-000052BA0000}"/>
    <cellStyle name="Note 26 4 2 4" xfId="49699" xr:uid="{00000000-0005-0000-0000-000053BA0000}"/>
    <cellStyle name="Note 26 4 2 4 2" xfId="49700" xr:uid="{00000000-0005-0000-0000-000054BA0000}"/>
    <cellStyle name="Note 26 4 2 4 2 2" xfId="49701" xr:uid="{00000000-0005-0000-0000-000055BA0000}"/>
    <cellStyle name="Note 26 4 2 4 2 2 2" xfId="49702" xr:uid="{00000000-0005-0000-0000-000056BA0000}"/>
    <cellStyle name="Note 26 4 2 4 2 3" xfId="49703" xr:uid="{00000000-0005-0000-0000-000057BA0000}"/>
    <cellStyle name="Note 26 4 2 4 3" xfId="49704" xr:uid="{00000000-0005-0000-0000-000058BA0000}"/>
    <cellStyle name="Note 26 4 2 4 3 2" xfId="49705" xr:uid="{00000000-0005-0000-0000-000059BA0000}"/>
    <cellStyle name="Note 26 4 2 4 4" xfId="49706" xr:uid="{00000000-0005-0000-0000-00005ABA0000}"/>
    <cellStyle name="Note 26 4 2 4 5" xfId="49707" xr:uid="{00000000-0005-0000-0000-00005BBA0000}"/>
    <cellStyle name="Note 26 4 2 4 6" xfId="49708" xr:uid="{00000000-0005-0000-0000-00005CBA0000}"/>
    <cellStyle name="Note 26 4 2 5" xfId="49709" xr:uid="{00000000-0005-0000-0000-00005DBA0000}"/>
    <cellStyle name="Note 26 4 2 5 2" xfId="49710" xr:uid="{00000000-0005-0000-0000-00005EBA0000}"/>
    <cellStyle name="Note 26 4 2 5 2 2" xfId="49711" xr:uid="{00000000-0005-0000-0000-00005FBA0000}"/>
    <cellStyle name="Note 26 4 2 5 3" xfId="49712" xr:uid="{00000000-0005-0000-0000-000060BA0000}"/>
    <cellStyle name="Note 26 4 2 6" xfId="49713" xr:uid="{00000000-0005-0000-0000-000061BA0000}"/>
    <cellStyle name="Note 26 4 2 6 2" xfId="49714" xr:uid="{00000000-0005-0000-0000-000062BA0000}"/>
    <cellStyle name="Note 26 4 2 6 2 2" xfId="49715" xr:uid="{00000000-0005-0000-0000-000063BA0000}"/>
    <cellStyle name="Note 26 4 2 6 3" xfId="49716" xr:uid="{00000000-0005-0000-0000-000064BA0000}"/>
    <cellStyle name="Note 26 4 2 7" xfId="49717" xr:uid="{00000000-0005-0000-0000-000065BA0000}"/>
    <cellStyle name="Note 26 4 2 7 2" xfId="49718" xr:uid="{00000000-0005-0000-0000-000066BA0000}"/>
    <cellStyle name="Note 26 4 2 8" xfId="49719" xr:uid="{00000000-0005-0000-0000-000067BA0000}"/>
    <cellStyle name="Note 26 4 2 9" xfId="49720" xr:uid="{00000000-0005-0000-0000-000068BA0000}"/>
    <cellStyle name="Note 26 4 3" xfId="49721" xr:uid="{00000000-0005-0000-0000-000069BA0000}"/>
    <cellStyle name="Note 26 4 3 2" xfId="49722" xr:uid="{00000000-0005-0000-0000-00006ABA0000}"/>
    <cellStyle name="Note 26 4 3 2 2" xfId="49723" xr:uid="{00000000-0005-0000-0000-00006BBA0000}"/>
    <cellStyle name="Note 26 4 3 2 2 2" xfId="49724" xr:uid="{00000000-0005-0000-0000-00006CBA0000}"/>
    <cellStyle name="Note 26 4 3 2 2 2 2" xfId="49725" xr:uid="{00000000-0005-0000-0000-00006DBA0000}"/>
    <cellStyle name="Note 26 4 3 2 2 3" xfId="49726" xr:uid="{00000000-0005-0000-0000-00006EBA0000}"/>
    <cellStyle name="Note 26 4 3 2 3" xfId="49727" xr:uid="{00000000-0005-0000-0000-00006FBA0000}"/>
    <cellStyle name="Note 26 4 3 2 3 2" xfId="49728" xr:uid="{00000000-0005-0000-0000-000070BA0000}"/>
    <cellStyle name="Note 26 4 3 2 4" xfId="49729" xr:uid="{00000000-0005-0000-0000-000071BA0000}"/>
    <cellStyle name="Note 26 4 3 2 5" xfId="49730" xr:uid="{00000000-0005-0000-0000-000072BA0000}"/>
    <cellStyle name="Note 26 4 3 2 6" xfId="49731" xr:uid="{00000000-0005-0000-0000-000073BA0000}"/>
    <cellStyle name="Note 26 4 3 3" xfId="49732" xr:uid="{00000000-0005-0000-0000-000074BA0000}"/>
    <cellStyle name="Note 26 4 3 3 2" xfId="49733" xr:uid="{00000000-0005-0000-0000-000075BA0000}"/>
    <cellStyle name="Note 26 4 3 3 2 2" xfId="49734" xr:uid="{00000000-0005-0000-0000-000076BA0000}"/>
    <cellStyle name="Note 26 4 3 3 3" xfId="49735" xr:uid="{00000000-0005-0000-0000-000077BA0000}"/>
    <cellStyle name="Note 26 4 3 4" xfId="49736" xr:uid="{00000000-0005-0000-0000-000078BA0000}"/>
    <cellStyle name="Note 26 4 3 4 2" xfId="49737" xr:uid="{00000000-0005-0000-0000-000079BA0000}"/>
    <cellStyle name="Note 26 4 3 4 2 2" xfId="49738" xr:uid="{00000000-0005-0000-0000-00007ABA0000}"/>
    <cellStyle name="Note 26 4 3 4 3" xfId="49739" xr:uid="{00000000-0005-0000-0000-00007BBA0000}"/>
    <cellStyle name="Note 26 4 3 5" xfId="49740" xr:uid="{00000000-0005-0000-0000-00007CBA0000}"/>
    <cellStyle name="Note 26 4 3 5 2" xfId="49741" xr:uid="{00000000-0005-0000-0000-00007DBA0000}"/>
    <cellStyle name="Note 26 4 3 6" xfId="49742" xr:uid="{00000000-0005-0000-0000-00007EBA0000}"/>
    <cellStyle name="Note 26 4 3 7" xfId="49743" xr:uid="{00000000-0005-0000-0000-00007FBA0000}"/>
    <cellStyle name="Note 26 4 3 8" xfId="49744" xr:uid="{00000000-0005-0000-0000-000080BA0000}"/>
    <cellStyle name="Note 26 4 4" xfId="49745" xr:uid="{00000000-0005-0000-0000-000081BA0000}"/>
    <cellStyle name="Note 26 4 4 2" xfId="49746" xr:uid="{00000000-0005-0000-0000-000082BA0000}"/>
    <cellStyle name="Note 26 4 4 2 2" xfId="49747" xr:uid="{00000000-0005-0000-0000-000083BA0000}"/>
    <cellStyle name="Note 26 4 4 2 2 2" xfId="49748" xr:uid="{00000000-0005-0000-0000-000084BA0000}"/>
    <cellStyle name="Note 26 4 4 2 2 2 2" xfId="49749" xr:uid="{00000000-0005-0000-0000-000085BA0000}"/>
    <cellStyle name="Note 26 4 4 2 2 3" xfId="49750" xr:uid="{00000000-0005-0000-0000-000086BA0000}"/>
    <cellStyle name="Note 26 4 4 2 3" xfId="49751" xr:uid="{00000000-0005-0000-0000-000087BA0000}"/>
    <cellStyle name="Note 26 4 4 2 3 2" xfId="49752" xr:uid="{00000000-0005-0000-0000-000088BA0000}"/>
    <cellStyle name="Note 26 4 4 2 4" xfId="49753" xr:uid="{00000000-0005-0000-0000-000089BA0000}"/>
    <cellStyle name="Note 26 4 4 2 5" xfId="49754" xr:uid="{00000000-0005-0000-0000-00008ABA0000}"/>
    <cellStyle name="Note 26 4 4 2 6" xfId="49755" xr:uid="{00000000-0005-0000-0000-00008BBA0000}"/>
    <cellStyle name="Note 26 4 4 3" xfId="49756" xr:uid="{00000000-0005-0000-0000-00008CBA0000}"/>
    <cellStyle name="Note 26 4 4 3 2" xfId="49757" xr:uid="{00000000-0005-0000-0000-00008DBA0000}"/>
    <cellStyle name="Note 26 4 4 3 2 2" xfId="49758" xr:uid="{00000000-0005-0000-0000-00008EBA0000}"/>
    <cellStyle name="Note 26 4 4 3 3" xfId="49759" xr:uid="{00000000-0005-0000-0000-00008FBA0000}"/>
    <cellStyle name="Note 26 4 4 4" xfId="49760" xr:uid="{00000000-0005-0000-0000-000090BA0000}"/>
    <cellStyle name="Note 26 4 4 4 2" xfId="49761" xr:uid="{00000000-0005-0000-0000-000091BA0000}"/>
    <cellStyle name="Note 26 4 4 4 2 2" xfId="49762" xr:uid="{00000000-0005-0000-0000-000092BA0000}"/>
    <cellStyle name="Note 26 4 4 4 3" xfId="49763" xr:uid="{00000000-0005-0000-0000-000093BA0000}"/>
    <cellStyle name="Note 26 4 4 5" xfId="49764" xr:uid="{00000000-0005-0000-0000-000094BA0000}"/>
    <cellStyle name="Note 26 4 4 5 2" xfId="49765" xr:uid="{00000000-0005-0000-0000-000095BA0000}"/>
    <cellStyle name="Note 26 4 4 6" xfId="49766" xr:uid="{00000000-0005-0000-0000-000096BA0000}"/>
    <cellStyle name="Note 26 4 4 7" xfId="49767" xr:uid="{00000000-0005-0000-0000-000097BA0000}"/>
    <cellStyle name="Note 26 4 4 8" xfId="49768" xr:uid="{00000000-0005-0000-0000-000098BA0000}"/>
    <cellStyle name="Note 26 4 5" xfId="49769" xr:uid="{00000000-0005-0000-0000-000099BA0000}"/>
    <cellStyle name="Note 26 4 5 2" xfId="49770" xr:uid="{00000000-0005-0000-0000-00009ABA0000}"/>
    <cellStyle name="Note 26 4 5 2 2" xfId="49771" xr:uid="{00000000-0005-0000-0000-00009BBA0000}"/>
    <cellStyle name="Note 26 4 5 2 2 2" xfId="49772" xr:uid="{00000000-0005-0000-0000-00009CBA0000}"/>
    <cellStyle name="Note 26 4 5 2 3" xfId="49773" xr:uid="{00000000-0005-0000-0000-00009DBA0000}"/>
    <cellStyle name="Note 26 4 5 3" xfId="49774" xr:uid="{00000000-0005-0000-0000-00009EBA0000}"/>
    <cellStyle name="Note 26 4 5 3 2" xfId="49775" xr:uid="{00000000-0005-0000-0000-00009FBA0000}"/>
    <cellStyle name="Note 26 4 5 4" xfId="49776" xr:uid="{00000000-0005-0000-0000-0000A0BA0000}"/>
    <cellStyle name="Note 26 4 5 5" xfId="49777" xr:uid="{00000000-0005-0000-0000-0000A1BA0000}"/>
    <cellStyle name="Note 26 4 5 6" xfId="49778" xr:uid="{00000000-0005-0000-0000-0000A2BA0000}"/>
    <cellStyle name="Note 26 4 6" xfId="49779" xr:uid="{00000000-0005-0000-0000-0000A3BA0000}"/>
    <cellStyle name="Note 26 4 6 2" xfId="49780" xr:uid="{00000000-0005-0000-0000-0000A4BA0000}"/>
    <cellStyle name="Note 26 4 6 2 2" xfId="49781" xr:uid="{00000000-0005-0000-0000-0000A5BA0000}"/>
    <cellStyle name="Note 26 4 6 3" xfId="49782" xr:uid="{00000000-0005-0000-0000-0000A6BA0000}"/>
    <cellStyle name="Note 26 4 7" xfId="49783" xr:uid="{00000000-0005-0000-0000-0000A7BA0000}"/>
    <cellStyle name="Note 26 4 7 2" xfId="49784" xr:uid="{00000000-0005-0000-0000-0000A8BA0000}"/>
    <cellStyle name="Note 26 4 7 2 2" xfId="49785" xr:uid="{00000000-0005-0000-0000-0000A9BA0000}"/>
    <cellStyle name="Note 26 4 7 3" xfId="49786" xr:uid="{00000000-0005-0000-0000-0000AABA0000}"/>
    <cellStyle name="Note 26 4 8" xfId="49787" xr:uid="{00000000-0005-0000-0000-0000ABBA0000}"/>
    <cellStyle name="Note 26 4 8 2" xfId="49788" xr:uid="{00000000-0005-0000-0000-0000ACBA0000}"/>
    <cellStyle name="Note 26 4 9" xfId="49789" xr:uid="{00000000-0005-0000-0000-0000ADBA0000}"/>
    <cellStyle name="Note 26 5" xfId="49790" xr:uid="{00000000-0005-0000-0000-0000AEBA0000}"/>
    <cellStyle name="Note 26 5 10" xfId="49791" xr:uid="{00000000-0005-0000-0000-0000AFBA0000}"/>
    <cellStyle name="Note 26 5 2" xfId="49792" xr:uid="{00000000-0005-0000-0000-0000B0BA0000}"/>
    <cellStyle name="Note 26 5 2 2" xfId="49793" xr:uid="{00000000-0005-0000-0000-0000B1BA0000}"/>
    <cellStyle name="Note 26 5 2 2 2" xfId="49794" xr:uid="{00000000-0005-0000-0000-0000B2BA0000}"/>
    <cellStyle name="Note 26 5 2 2 2 2" xfId="49795" xr:uid="{00000000-0005-0000-0000-0000B3BA0000}"/>
    <cellStyle name="Note 26 5 2 2 2 2 2" xfId="49796" xr:uid="{00000000-0005-0000-0000-0000B4BA0000}"/>
    <cellStyle name="Note 26 5 2 2 2 3" xfId="49797" xr:uid="{00000000-0005-0000-0000-0000B5BA0000}"/>
    <cellStyle name="Note 26 5 2 2 3" xfId="49798" xr:uid="{00000000-0005-0000-0000-0000B6BA0000}"/>
    <cellStyle name="Note 26 5 2 2 3 2" xfId="49799" xr:uid="{00000000-0005-0000-0000-0000B7BA0000}"/>
    <cellStyle name="Note 26 5 2 2 4" xfId="49800" xr:uid="{00000000-0005-0000-0000-0000B8BA0000}"/>
    <cellStyle name="Note 26 5 2 2 5" xfId="49801" xr:uid="{00000000-0005-0000-0000-0000B9BA0000}"/>
    <cellStyle name="Note 26 5 2 2 6" xfId="49802" xr:uid="{00000000-0005-0000-0000-0000BABA0000}"/>
    <cellStyle name="Note 26 5 2 3" xfId="49803" xr:uid="{00000000-0005-0000-0000-0000BBBA0000}"/>
    <cellStyle name="Note 26 5 2 3 2" xfId="49804" xr:uid="{00000000-0005-0000-0000-0000BCBA0000}"/>
    <cellStyle name="Note 26 5 2 3 2 2" xfId="49805" xr:uid="{00000000-0005-0000-0000-0000BDBA0000}"/>
    <cellStyle name="Note 26 5 2 3 3" xfId="49806" xr:uid="{00000000-0005-0000-0000-0000BEBA0000}"/>
    <cellStyle name="Note 26 5 2 4" xfId="49807" xr:uid="{00000000-0005-0000-0000-0000BFBA0000}"/>
    <cellStyle name="Note 26 5 2 4 2" xfId="49808" xr:uid="{00000000-0005-0000-0000-0000C0BA0000}"/>
    <cellStyle name="Note 26 5 2 4 2 2" xfId="49809" xr:uid="{00000000-0005-0000-0000-0000C1BA0000}"/>
    <cellStyle name="Note 26 5 2 4 3" xfId="49810" xr:uid="{00000000-0005-0000-0000-0000C2BA0000}"/>
    <cellStyle name="Note 26 5 2 5" xfId="49811" xr:uid="{00000000-0005-0000-0000-0000C3BA0000}"/>
    <cellStyle name="Note 26 5 2 5 2" xfId="49812" xr:uid="{00000000-0005-0000-0000-0000C4BA0000}"/>
    <cellStyle name="Note 26 5 2 6" xfId="49813" xr:uid="{00000000-0005-0000-0000-0000C5BA0000}"/>
    <cellStyle name="Note 26 5 2 7" xfId="49814" xr:uid="{00000000-0005-0000-0000-0000C6BA0000}"/>
    <cellStyle name="Note 26 5 2 8" xfId="49815" xr:uid="{00000000-0005-0000-0000-0000C7BA0000}"/>
    <cellStyle name="Note 26 5 3" xfId="49816" xr:uid="{00000000-0005-0000-0000-0000C8BA0000}"/>
    <cellStyle name="Note 26 5 3 2" xfId="49817" xr:uid="{00000000-0005-0000-0000-0000C9BA0000}"/>
    <cellStyle name="Note 26 5 3 2 2" xfId="49818" xr:uid="{00000000-0005-0000-0000-0000CABA0000}"/>
    <cellStyle name="Note 26 5 3 2 2 2" xfId="49819" xr:uid="{00000000-0005-0000-0000-0000CBBA0000}"/>
    <cellStyle name="Note 26 5 3 2 2 2 2" xfId="49820" xr:uid="{00000000-0005-0000-0000-0000CCBA0000}"/>
    <cellStyle name="Note 26 5 3 2 2 3" xfId="49821" xr:uid="{00000000-0005-0000-0000-0000CDBA0000}"/>
    <cellStyle name="Note 26 5 3 2 3" xfId="49822" xr:uid="{00000000-0005-0000-0000-0000CEBA0000}"/>
    <cellStyle name="Note 26 5 3 2 3 2" xfId="49823" xr:uid="{00000000-0005-0000-0000-0000CFBA0000}"/>
    <cellStyle name="Note 26 5 3 2 4" xfId="49824" xr:uid="{00000000-0005-0000-0000-0000D0BA0000}"/>
    <cellStyle name="Note 26 5 3 2 5" xfId="49825" xr:uid="{00000000-0005-0000-0000-0000D1BA0000}"/>
    <cellStyle name="Note 26 5 3 2 6" xfId="49826" xr:uid="{00000000-0005-0000-0000-0000D2BA0000}"/>
    <cellStyle name="Note 26 5 3 3" xfId="49827" xr:uid="{00000000-0005-0000-0000-0000D3BA0000}"/>
    <cellStyle name="Note 26 5 3 3 2" xfId="49828" xr:uid="{00000000-0005-0000-0000-0000D4BA0000}"/>
    <cellStyle name="Note 26 5 3 3 2 2" xfId="49829" xr:uid="{00000000-0005-0000-0000-0000D5BA0000}"/>
    <cellStyle name="Note 26 5 3 3 3" xfId="49830" xr:uid="{00000000-0005-0000-0000-0000D6BA0000}"/>
    <cellStyle name="Note 26 5 3 4" xfId="49831" xr:uid="{00000000-0005-0000-0000-0000D7BA0000}"/>
    <cellStyle name="Note 26 5 3 4 2" xfId="49832" xr:uid="{00000000-0005-0000-0000-0000D8BA0000}"/>
    <cellStyle name="Note 26 5 3 5" xfId="49833" xr:uid="{00000000-0005-0000-0000-0000D9BA0000}"/>
    <cellStyle name="Note 26 5 3 6" xfId="49834" xr:uid="{00000000-0005-0000-0000-0000DABA0000}"/>
    <cellStyle name="Note 26 5 3 7" xfId="49835" xr:uid="{00000000-0005-0000-0000-0000DBBA0000}"/>
    <cellStyle name="Note 26 5 4" xfId="49836" xr:uid="{00000000-0005-0000-0000-0000DCBA0000}"/>
    <cellStyle name="Note 26 5 4 2" xfId="49837" xr:uid="{00000000-0005-0000-0000-0000DDBA0000}"/>
    <cellStyle name="Note 26 5 4 2 2" xfId="49838" xr:uid="{00000000-0005-0000-0000-0000DEBA0000}"/>
    <cellStyle name="Note 26 5 4 2 2 2" xfId="49839" xr:uid="{00000000-0005-0000-0000-0000DFBA0000}"/>
    <cellStyle name="Note 26 5 4 2 3" xfId="49840" xr:uid="{00000000-0005-0000-0000-0000E0BA0000}"/>
    <cellStyle name="Note 26 5 4 3" xfId="49841" xr:uid="{00000000-0005-0000-0000-0000E1BA0000}"/>
    <cellStyle name="Note 26 5 4 3 2" xfId="49842" xr:uid="{00000000-0005-0000-0000-0000E2BA0000}"/>
    <cellStyle name="Note 26 5 4 4" xfId="49843" xr:uid="{00000000-0005-0000-0000-0000E3BA0000}"/>
    <cellStyle name="Note 26 5 4 5" xfId="49844" xr:uid="{00000000-0005-0000-0000-0000E4BA0000}"/>
    <cellStyle name="Note 26 5 4 6" xfId="49845" xr:uid="{00000000-0005-0000-0000-0000E5BA0000}"/>
    <cellStyle name="Note 26 5 5" xfId="49846" xr:uid="{00000000-0005-0000-0000-0000E6BA0000}"/>
    <cellStyle name="Note 26 5 5 2" xfId="49847" xr:uid="{00000000-0005-0000-0000-0000E7BA0000}"/>
    <cellStyle name="Note 26 5 5 2 2" xfId="49848" xr:uid="{00000000-0005-0000-0000-0000E8BA0000}"/>
    <cellStyle name="Note 26 5 5 3" xfId="49849" xr:uid="{00000000-0005-0000-0000-0000E9BA0000}"/>
    <cellStyle name="Note 26 5 6" xfId="49850" xr:uid="{00000000-0005-0000-0000-0000EABA0000}"/>
    <cellStyle name="Note 26 5 6 2" xfId="49851" xr:uid="{00000000-0005-0000-0000-0000EBBA0000}"/>
    <cellStyle name="Note 26 5 6 2 2" xfId="49852" xr:uid="{00000000-0005-0000-0000-0000ECBA0000}"/>
    <cellStyle name="Note 26 5 6 3" xfId="49853" xr:uid="{00000000-0005-0000-0000-0000EDBA0000}"/>
    <cellStyle name="Note 26 5 7" xfId="49854" xr:uid="{00000000-0005-0000-0000-0000EEBA0000}"/>
    <cellStyle name="Note 26 5 7 2" xfId="49855" xr:uid="{00000000-0005-0000-0000-0000EFBA0000}"/>
    <cellStyle name="Note 26 5 8" xfId="49856" xr:uid="{00000000-0005-0000-0000-0000F0BA0000}"/>
    <cellStyle name="Note 26 5 9" xfId="49857" xr:uid="{00000000-0005-0000-0000-0000F1BA0000}"/>
    <cellStyle name="Note 26 6" xfId="49858" xr:uid="{00000000-0005-0000-0000-0000F2BA0000}"/>
    <cellStyle name="Note 26 6 2" xfId="49859" xr:uid="{00000000-0005-0000-0000-0000F3BA0000}"/>
    <cellStyle name="Note 26 6 2 2" xfId="49860" xr:uid="{00000000-0005-0000-0000-0000F4BA0000}"/>
    <cellStyle name="Note 26 6 2 2 2" xfId="49861" xr:uid="{00000000-0005-0000-0000-0000F5BA0000}"/>
    <cellStyle name="Note 26 6 2 2 2 2" xfId="49862" xr:uid="{00000000-0005-0000-0000-0000F6BA0000}"/>
    <cellStyle name="Note 26 6 2 2 3" xfId="49863" xr:uid="{00000000-0005-0000-0000-0000F7BA0000}"/>
    <cellStyle name="Note 26 6 2 3" xfId="49864" xr:uid="{00000000-0005-0000-0000-0000F8BA0000}"/>
    <cellStyle name="Note 26 6 2 3 2" xfId="49865" xr:uid="{00000000-0005-0000-0000-0000F9BA0000}"/>
    <cellStyle name="Note 26 6 2 4" xfId="49866" xr:uid="{00000000-0005-0000-0000-0000FABA0000}"/>
    <cellStyle name="Note 26 6 2 5" xfId="49867" xr:uid="{00000000-0005-0000-0000-0000FBBA0000}"/>
    <cellStyle name="Note 26 6 2 6" xfId="49868" xr:uid="{00000000-0005-0000-0000-0000FCBA0000}"/>
    <cellStyle name="Note 26 6 3" xfId="49869" xr:uid="{00000000-0005-0000-0000-0000FDBA0000}"/>
    <cellStyle name="Note 26 6 3 2" xfId="49870" xr:uid="{00000000-0005-0000-0000-0000FEBA0000}"/>
    <cellStyle name="Note 26 6 3 2 2" xfId="49871" xr:uid="{00000000-0005-0000-0000-0000FFBA0000}"/>
    <cellStyle name="Note 26 6 3 3" xfId="49872" xr:uid="{00000000-0005-0000-0000-000000BB0000}"/>
    <cellStyle name="Note 26 6 4" xfId="49873" xr:uid="{00000000-0005-0000-0000-000001BB0000}"/>
    <cellStyle name="Note 26 6 4 2" xfId="49874" xr:uid="{00000000-0005-0000-0000-000002BB0000}"/>
    <cellStyle name="Note 26 6 4 2 2" xfId="49875" xr:uid="{00000000-0005-0000-0000-000003BB0000}"/>
    <cellStyle name="Note 26 6 4 3" xfId="49876" xr:uid="{00000000-0005-0000-0000-000004BB0000}"/>
    <cellStyle name="Note 26 6 5" xfId="49877" xr:uid="{00000000-0005-0000-0000-000005BB0000}"/>
    <cellStyle name="Note 26 6 5 2" xfId="49878" xr:uid="{00000000-0005-0000-0000-000006BB0000}"/>
    <cellStyle name="Note 26 6 6" xfId="49879" xr:uid="{00000000-0005-0000-0000-000007BB0000}"/>
    <cellStyle name="Note 26 6 7" xfId="49880" xr:uid="{00000000-0005-0000-0000-000008BB0000}"/>
    <cellStyle name="Note 26 6 8" xfId="49881" xr:uid="{00000000-0005-0000-0000-000009BB0000}"/>
    <cellStyle name="Note 26 7" xfId="49882" xr:uid="{00000000-0005-0000-0000-00000ABB0000}"/>
    <cellStyle name="Note 26 7 2" xfId="49883" xr:uid="{00000000-0005-0000-0000-00000BBB0000}"/>
    <cellStyle name="Note 26 7 2 2" xfId="49884" xr:uid="{00000000-0005-0000-0000-00000CBB0000}"/>
    <cellStyle name="Note 26 7 2 2 2" xfId="49885" xr:uid="{00000000-0005-0000-0000-00000DBB0000}"/>
    <cellStyle name="Note 26 7 2 2 2 2" xfId="49886" xr:uid="{00000000-0005-0000-0000-00000EBB0000}"/>
    <cellStyle name="Note 26 7 2 2 3" xfId="49887" xr:uid="{00000000-0005-0000-0000-00000FBB0000}"/>
    <cellStyle name="Note 26 7 2 3" xfId="49888" xr:uid="{00000000-0005-0000-0000-000010BB0000}"/>
    <cellStyle name="Note 26 7 2 3 2" xfId="49889" xr:uid="{00000000-0005-0000-0000-000011BB0000}"/>
    <cellStyle name="Note 26 7 2 4" xfId="49890" xr:uid="{00000000-0005-0000-0000-000012BB0000}"/>
    <cellStyle name="Note 26 7 2 5" xfId="49891" xr:uid="{00000000-0005-0000-0000-000013BB0000}"/>
    <cellStyle name="Note 26 7 2 6" xfId="49892" xr:uid="{00000000-0005-0000-0000-000014BB0000}"/>
    <cellStyle name="Note 26 7 3" xfId="49893" xr:uid="{00000000-0005-0000-0000-000015BB0000}"/>
    <cellStyle name="Note 26 7 3 2" xfId="49894" xr:uid="{00000000-0005-0000-0000-000016BB0000}"/>
    <cellStyle name="Note 26 7 3 2 2" xfId="49895" xr:uid="{00000000-0005-0000-0000-000017BB0000}"/>
    <cellStyle name="Note 26 7 3 3" xfId="49896" xr:uid="{00000000-0005-0000-0000-000018BB0000}"/>
    <cellStyle name="Note 26 7 4" xfId="49897" xr:uid="{00000000-0005-0000-0000-000019BB0000}"/>
    <cellStyle name="Note 26 7 4 2" xfId="49898" xr:uid="{00000000-0005-0000-0000-00001ABB0000}"/>
    <cellStyle name="Note 26 7 4 2 2" xfId="49899" xr:uid="{00000000-0005-0000-0000-00001BBB0000}"/>
    <cellStyle name="Note 26 7 4 3" xfId="49900" xr:uid="{00000000-0005-0000-0000-00001CBB0000}"/>
    <cellStyle name="Note 26 7 5" xfId="49901" xr:uid="{00000000-0005-0000-0000-00001DBB0000}"/>
    <cellStyle name="Note 26 7 5 2" xfId="49902" xr:uid="{00000000-0005-0000-0000-00001EBB0000}"/>
    <cellStyle name="Note 26 7 6" xfId="49903" xr:uid="{00000000-0005-0000-0000-00001FBB0000}"/>
    <cellStyle name="Note 26 7 7" xfId="49904" xr:uid="{00000000-0005-0000-0000-000020BB0000}"/>
    <cellStyle name="Note 26 7 8" xfId="49905" xr:uid="{00000000-0005-0000-0000-000021BB0000}"/>
    <cellStyle name="Note 26 8" xfId="49906" xr:uid="{00000000-0005-0000-0000-000022BB0000}"/>
    <cellStyle name="Note 26 8 2" xfId="49907" xr:uid="{00000000-0005-0000-0000-000023BB0000}"/>
    <cellStyle name="Note 26 8 2 2" xfId="49908" xr:uid="{00000000-0005-0000-0000-000024BB0000}"/>
    <cellStyle name="Note 26 8 2 2 2" xfId="49909" xr:uid="{00000000-0005-0000-0000-000025BB0000}"/>
    <cellStyle name="Note 26 8 2 3" xfId="49910" xr:uid="{00000000-0005-0000-0000-000026BB0000}"/>
    <cellStyle name="Note 26 8 3" xfId="49911" xr:uid="{00000000-0005-0000-0000-000027BB0000}"/>
    <cellStyle name="Note 26 8 3 2" xfId="49912" xr:uid="{00000000-0005-0000-0000-000028BB0000}"/>
    <cellStyle name="Note 26 8 4" xfId="49913" xr:uid="{00000000-0005-0000-0000-000029BB0000}"/>
    <cellStyle name="Note 26 8 5" xfId="49914" xr:uid="{00000000-0005-0000-0000-00002ABB0000}"/>
    <cellStyle name="Note 26 8 6" xfId="49915" xr:uid="{00000000-0005-0000-0000-00002BBB0000}"/>
    <cellStyle name="Note 26 9" xfId="49916" xr:uid="{00000000-0005-0000-0000-00002CBB0000}"/>
    <cellStyle name="Note 26 9 2" xfId="49917" xr:uid="{00000000-0005-0000-0000-00002DBB0000}"/>
    <cellStyle name="Note 26 9 2 2" xfId="49918" xr:uid="{00000000-0005-0000-0000-00002EBB0000}"/>
    <cellStyle name="Note 26 9 2 2 2" xfId="49919" xr:uid="{00000000-0005-0000-0000-00002FBB0000}"/>
    <cellStyle name="Note 26 9 2 3" xfId="49920" xr:uid="{00000000-0005-0000-0000-000030BB0000}"/>
    <cellStyle name="Note 26 9 3" xfId="49921" xr:uid="{00000000-0005-0000-0000-000031BB0000}"/>
    <cellStyle name="Note 26 9 3 2" xfId="49922" xr:uid="{00000000-0005-0000-0000-000032BB0000}"/>
    <cellStyle name="Note 26 9 4" xfId="49923" xr:uid="{00000000-0005-0000-0000-000033BB0000}"/>
    <cellStyle name="Note 27" xfId="49924" xr:uid="{00000000-0005-0000-0000-000034BB0000}"/>
    <cellStyle name="Note 27 10" xfId="49925" xr:uid="{00000000-0005-0000-0000-000035BB0000}"/>
    <cellStyle name="Note 27 10 2" xfId="49926" xr:uid="{00000000-0005-0000-0000-000036BB0000}"/>
    <cellStyle name="Note 27 11" xfId="49927" xr:uid="{00000000-0005-0000-0000-000037BB0000}"/>
    <cellStyle name="Note 27 2" xfId="49928" xr:uid="{00000000-0005-0000-0000-000038BB0000}"/>
    <cellStyle name="Note 27 2 2" xfId="49929" xr:uid="{00000000-0005-0000-0000-000039BB0000}"/>
    <cellStyle name="Note 27 3" xfId="49930" xr:uid="{00000000-0005-0000-0000-00003ABB0000}"/>
    <cellStyle name="Note 27 3 10" xfId="49931" xr:uid="{00000000-0005-0000-0000-00003BBB0000}"/>
    <cellStyle name="Note 27 3 2" xfId="49932" xr:uid="{00000000-0005-0000-0000-00003CBB0000}"/>
    <cellStyle name="Note 27 3 2 2" xfId="49933" xr:uid="{00000000-0005-0000-0000-00003DBB0000}"/>
    <cellStyle name="Note 27 3 2 2 2" xfId="49934" xr:uid="{00000000-0005-0000-0000-00003EBB0000}"/>
    <cellStyle name="Note 27 3 2 2 2 2" xfId="49935" xr:uid="{00000000-0005-0000-0000-00003FBB0000}"/>
    <cellStyle name="Note 27 3 2 2 2 2 2" xfId="49936" xr:uid="{00000000-0005-0000-0000-000040BB0000}"/>
    <cellStyle name="Note 27 3 2 2 2 3" xfId="49937" xr:uid="{00000000-0005-0000-0000-000041BB0000}"/>
    <cellStyle name="Note 27 3 2 2 3" xfId="49938" xr:uid="{00000000-0005-0000-0000-000042BB0000}"/>
    <cellStyle name="Note 27 3 2 2 3 2" xfId="49939" xr:uid="{00000000-0005-0000-0000-000043BB0000}"/>
    <cellStyle name="Note 27 3 2 2 4" xfId="49940" xr:uid="{00000000-0005-0000-0000-000044BB0000}"/>
    <cellStyle name="Note 27 3 2 2 5" xfId="49941" xr:uid="{00000000-0005-0000-0000-000045BB0000}"/>
    <cellStyle name="Note 27 3 2 2 6" xfId="49942" xr:uid="{00000000-0005-0000-0000-000046BB0000}"/>
    <cellStyle name="Note 27 3 2 3" xfId="49943" xr:uid="{00000000-0005-0000-0000-000047BB0000}"/>
    <cellStyle name="Note 27 3 2 3 2" xfId="49944" xr:uid="{00000000-0005-0000-0000-000048BB0000}"/>
    <cellStyle name="Note 27 3 2 3 2 2" xfId="49945" xr:uid="{00000000-0005-0000-0000-000049BB0000}"/>
    <cellStyle name="Note 27 3 2 3 3" xfId="49946" xr:uid="{00000000-0005-0000-0000-00004ABB0000}"/>
    <cellStyle name="Note 27 3 2 4" xfId="49947" xr:uid="{00000000-0005-0000-0000-00004BBB0000}"/>
    <cellStyle name="Note 27 3 2 4 2" xfId="49948" xr:uid="{00000000-0005-0000-0000-00004CBB0000}"/>
    <cellStyle name="Note 27 3 2 5" xfId="49949" xr:uid="{00000000-0005-0000-0000-00004DBB0000}"/>
    <cellStyle name="Note 27 3 2 6" xfId="49950" xr:uid="{00000000-0005-0000-0000-00004EBB0000}"/>
    <cellStyle name="Note 27 3 2 7" xfId="49951" xr:uid="{00000000-0005-0000-0000-00004FBB0000}"/>
    <cellStyle name="Note 27 3 3" xfId="49952" xr:uid="{00000000-0005-0000-0000-000050BB0000}"/>
    <cellStyle name="Note 27 3 3 2" xfId="49953" xr:uid="{00000000-0005-0000-0000-000051BB0000}"/>
    <cellStyle name="Note 27 3 3 2 2" xfId="49954" xr:uid="{00000000-0005-0000-0000-000052BB0000}"/>
    <cellStyle name="Note 27 3 3 2 2 2" xfId="49955" xr:uid="{00000000-0005-0000-0000-000053BB0000}"/>
    <cellStyle name="Note 27 3 3 2 2 2 2" xfId="49956" xr:uid="{00000000-0005-0000-0000-000054BB0000}"/>
    <cellStyle name="Note 27 3 3 2 2 3" xfId="49957" xr:uid="{00000000-0005-0000-0000-000055BB0000}"/>
    <cellStyle name="Note 27 3 3 2 3" xfId="49958" xr:uid="{00000000-0005-0000-0000-000056BB0000}"/>
    <cellStyle name="Note 27 3 3 2 3 2" xfId="49959" xr:uid="{00000000-0005-0000-0000-000057BB0000}"/>
    <cellStyle name="Note 27 3 3 2 4" xfId="49960" xr:uid="{00000000-0005-0000-0000-000058BB0000}"/>
    <cellStyle name="Note 27 3 3 2 5" xfId="49961" xr:uid="{00000000-0005-0000-0000-000059BB0000}"/>
    <cellStyle name="Note 27 3 3 2 6" xfId="49962" xr:uid="{00000000-0005-0000-0000-00005ABB0000}"/>
    <cellStyle name="Note 27 3 3 3" xfId="49963" xr:uid="{00000000-0005-0000-0000-00005BBB0000}"/>
    <cellStyle name="Note 27 3 3 3 2" xfId="49964" xr:uid="{00000000-0005-0000-0000-00005CBB0000}"/>
    <cellStyle name="Note 27 3 3 3 2 2" xfId="49965" xr:uid="{00000000-0005-0000-0000-00005DBB0000}"/>
    <cellStyle name="Note 27 3 3 3 3" xfId="49966" xr:uid="{00000000-0005-0000-0000-00005EBB0000}"/>
    <cellStyle name="Note 27 3 3 4" xfId="49967" xr:uid="{00000000-0005-0000-0000-00005FBB0000}"/>
    <cellStyle name="Note 27 3 3 4 2" xfId="49968" xr:uid="{00000000-0005-0000-0000-000060BB0000}"/>
    <cellStyle name="Note 27 3 3 5" xfId="49969" xr:uid="{00000000-0005-0000-0000-000061BB0000}"/>
    <cellStyle name="Note 27 3 3 6" xfId="49970" xr:uid="{00000000-0005-0000-0000-000062BB0000}"/>
    <cellStyle name="Note 27 3 3 7" xfId="49971" xr:uid="{00000000-0005-0000-0000-000063BB0000}"/>
    <cellStyle name="Note 27 3 4" xfId="49972" xr:uid="{00000000-0005-0000-0000-000064BB0000}"/>
    <cellStyle name="Note 27 3 4 2" xfId="49973" xr:uid="{00000000-0005-0000-0000-000065BB0000}"/>
    <cellStyle name="Note 27 3 4 2 2" xfId="49974" xr:uid="{00000000-0005-0000-0000-000066BB0000}"/>
    <cellStyle name="Note 27 3 4 2 2 2" xfId="49975" xr:uid="{00000000-0005-0000-0000-000067BB0000}"/>
    <cellStyle name="Note 27 3 4 2 3" xfId="49976" xr:uid="{00000000-0005-0000-0000-000068BB0000}"/>
    <cellStyle name="Note 27 3 4 3" xfId="49977" xr:uid="{00000000-0005-0000-0000-000069BB0000}"/>
    <cellStyle name="Note 27 3 4 3 2" xfId="49978" xr:uid="{00000000-0005-0000-0000-00006ABB0000}"/>
    <cellStyle name="Note 27 3 4 4" xfId="49979" xr:uid="{00000000-0005-0000-0000-00006BBB0000}"/>
    <cellStyle name="Note 27 3 4 5" xfId="49980" xr:uid="{00000000-0005-0000-0000-00006CBB0000}"/>
    <cellStyle name="Note 27 3 4 6" xfId="49981" xr:uid="{00000000-0005-0000-0000-00006DBB0000}"/>
    <cellStyle name="Note 27 3 5" xfId="49982" xr:uid="{00000000-0005-0000-0000-00006EBB0000}"/>
    <cellStyle name="Note 27 3 5 2" xfId="49983" xr:uid="{00000000-0005-0000-0000-00006FBB0000}"/>
    <cellStyle name="Note 27 3 5 2 2" xfId="49984" xr:uid="{00000000-0005-0000-0000-000070BB0000}"/>
    <cellStyle name="Note 27 3 5 3" xfId="49985" xr:uid="{00000000-0005-0000-0000-000071BB0000}"/>
    <cellStyle name="Note 27 3 6" xfId="49986" xr:uid="{00000000-0005-0000-0000-000072BB0000}"/>
    <cellStyle name="Note 27 3 6 2" xfId="49987" xr:uid="{00000000-0005-0000-0000-000073BB0000}"/>
    <cellStyle name="Note 27 3 6 2 2" xfId="49988" xr:uid="{00000000-0005-0000-0000-000074BB0000}"/>
    <cellStyle name="Note 27 3 6 3" xfId="49989" xr:uid="{00000000-0005-0000-0000-000075BB0000}"/>
    <cellStyle name="Note 27 3 7" xfId="49990" xr:uid="{00000000-0005-0000-0000-000076BB0000}"/>
    <cellStyle name="Note 27 3 7 2" xfId="49991" xr:uid="{00000000-0005-0000-0000-000077BB0000}"/>
    <cellStyle name="Note 27 3 8" xfId="49992" xr:uid="{00000000-0005-0000-0000-000078BB0000}"/>
    <cellStyle name="Note 27 3 9" xfId="49993" xr:uid="{00000000-0005-0000-0000-000079BB0000}"/>
    <cellStyle name="Note 27 4" xfId="49994" xr:uid="{00000000-0005-0000-0000-00007ABB0000}"/>
    <cellStyle name="Note 27 4 2" xfId="49995" xr:uid="{00000000-0005-0000-0000-00007BBB0000}"/>
    <cellStyle name="Note 27 4 2 2" xfId="49996" xr:uid="{00000000-0005-0000-0000-00007CBB0000}"/>
    <cellStyle name="Note 27 4 2 2 2" xfId="49997" xr:uid="{00000000-0005-0000-0000-00007DBB0000}"/>
    <cellStyle name="Note 27 4 2 3" xfId="49998" xr:uid="{00000000-0005-0000-0000-00007EBB0000}"/>
    <cellStyle name="Note 27 4 3" xfId="49999" xr:uid="{00000000-0005-0000-0000-00007FBB0000}"/>
    <cellStyle name="Note 27 4 3 2" xfId="50000" xr:uid="{00000000-0005-0000-0000-000080BB0000}"/>
    <cellStyle name="Note 27 4 3 2 2" xfId="50001" xr:uid="{00000000-0005-0000-0000-000081BB0000}"/>
    <cellStyle name="Note 27 4 3 3" xfId="50002" xr:uid="{00000000-0005-0000-0000-000082BB0000}"/>
    <cellStyle name="Note 27 4 4" xfId="50003" xr:uid="{00000000-0005-0000-0000-000083BB0000}"/>
    <cellStyle name="Note 27 4 4 2" xfId="50004" xr:uid="{00000000-0005-0000-0000-000084BB0000}"/>
    <cellStyle name="Note 27 4 5" xfId="50005" xr:uid="{00000000-0005-0000-0000-000085BB0000}"/>
    <cellStyle name="Note 27 4 6" xfId="50006" xr:uid="{00000000-0005-0000-0000-000086BB0000}"/>
    <cellStyle name="Note 27 4 7" xfId="50007" xr:uid="{00000000-0005-0000-0000-000087BB0000}"/>
    <cellStyle name="Note 27 5" xfId="50008" xr:uid="{00000000-0005-0000-0000-000088BB0000}"/>
    <cellStyle name="Note 27 5 2" xfId="50009" xr:uid="{00000000-0005-0000-0000-000089BB0000}"/>
    <cellStyle name="Note 27 5 2 2" xfId="50010" xr:uid="{00000000-0005-0000-0000-00008ABB0000}"/>
    <cellStyle name="Note 27 5 2 2 2" xfId="50011" xr:uid="{00000000-0005-0000-0000-00008BBB0000}"/>
    <cellStyle name="Note 27 5 2 3" xfId="50012" xr:uid="{00000000-0005-0000-0000-00008CBB0000}"/>
    <cellStyle name="Note 27 5 3" xfId="50013" xr:uid="{00000000-0005-0000-0000-00008DBB0000}"/>
    <cellStyle name="Note 27 5 3 2" xfId="50014" xr:uid="{00000000-0005-0000-0000-00008EBB0000}"/>
    <cellStyle name="Note 27 5 4" xfId="50015" xr:uid="{00000000-0005-0000-0000-00008FBB0000}"/>
    <cellStyle name="Note 27 6" xfId="50016" xr:uid="{00000000-0005-0000-0000-000090BB0000}"/>
    <cellStyle name="Note 27 6 2" xfId="50017" xr:uid="{00000000-0005-0000-0000-000091BB0000}"/>
    <cellStyle name="Note 27 6 2 2" xfId="50018" xr:uid="{00000000-0005-0000-0000-000092BB0000}"/>
    <cellStyle name="Note 27 6 2 2 2" xfId="50019" xr:uid="{00000000-0005-0000-0000-000093BB0000}"/>
    <cellStyle name="Note 27 6 2 3" xfId="50020" xr:uid="{00000000-0005-0000-0000-000094BB0000}"/>
    <cellStyle name="Note 27 6 3" xfId="50021" xr:uid="{00000000-0005-0000-0000-000095BB0000}"/>
    <cellStyle name="Note 27 6 3 2" xfId="50022" xr:uid="{00000000-0005-0000-0000-000096BB0000}"/>
    <cellStyle name="Note 27 6 4" xfId="50023" xr:uid="{00000000-0005-0000-0000-000097BB0000}"/>
    <cellStyle name="Note 27 7" xfId="50024" xr:uid="{00000000-0005-0000-0000-000098BB0000}"/>
    <cellStyle name="Note 27 7 2" xfId="50025" xr:uid="{00000000-0005-0000-0000-000099BB0000}"/>
    <cellStyle name="Note 27 7 2 2" xfId="50026" xr:uid="{00000000-0005-0000-0000-00009ABB0000}"/>
    <cellStyle name="Note 27 7 2 2 2" xfId="50027" xr:uid="{00000000-0005-0000-0000-00009BBB0000}"/>
    <cellStyle name="Note 27 7 2 3" xfId="50028" xr:uid="{00000000-0005-0000-0000-00009CBB0000}"/>
    <cellStyle name="Note 27 7 3" xfId="50029" xr:uid="{00000000-0005-0000-0000-00009DBB0000}"/>
    <cellStyle name="Note 27 7 3 2" xfId="50030" xr:uid="{00000000-0005-0000-0000-00009EBB0000}"/>
    <cellStyle name="Note 27 7 4" xfId="50031" xr:uid="{00000000-0005-0000-0000-00009FBB0000}"/>
    <cellStyle name="Note 27 8" xfId="50032" xr:uid="{00000000-0005-0000-0000-0000A0BB0000}"/>
    <cellStyle name="Note 27 8 2" xfId="50033" xr:uid="{00000000-0005-0000-0000-0000A1BB0000}"/>
    <cellStyle name="Note 27 8 2 2" xfId="50034" xr:uid="{00000000-0005-0000-0000-0000A2BB0000}"/>
    <cellStyle name="Note 27 8 3" xfId="50035" xr:uid="{00000000-0005-0000-0000-0000A3BB0000}"/>
    <cellStyle name="Note 27 9" xfId="50036" xr:uid="{00000000-0005-0000-0000-0000A4BB0000}"/>
    <cellStyle name="Note 27 9 2" xfId="50037" xr:uid="{00000000-0005-0000-0000-0000A5BB0000}"/>
    <cellStyle name="Note 27 9 2 2" xfId="50038" xr:uid="{00000000-0005-0000-0000-0000A6BB0000}"/>
    <cellStyle name="Note 27 9 3" xfId="50039" xr:uid="{00000000-0005-0000-0000-0000A7BB0000}"/>
    <cellStyle name="Note 28" xfId="50040" xr:uid="{00000000-0005-0000-0000-0000A8BB0000}"/>
    <cellStyle name="Note 28 10" xfId="50041" xr:uid="{00000000-0005-0000-0000-0000A9BB0000}"/>
    <cellStyle name="Note 28 10 2" xfId="50042" xr:uid="{00000000-0005-0000-0000-0000AABB0000}"/>
    <cellStyle name="Note 28 11" xfId="50043" xr:uid="{00000000-0005-0000-0000-0000ABBB0000}"/>
    <cellStyle name="Note 28 2" xfId="50044" xr:uid="{00000000-0005-0000-0000-0000ACBB0000}"/>
    <cellStyle name="Note 28 2 2" xfId="50045" xr:uid="{00000000-0005-0000-0000-0000ADBB0000}"/>
    <cellStyle name="Note 28 2 3" xfId="50046" xr:uid="{00000000-0005-0000-0000-0000AEBB0000}"/>
    <cellStyle name="Note 28 2 4" xfId="50047" xr:uid="{00000000-0005-0000-0000-0000AFBB0000}"/>
    <cellStyle name="Note 28 3" xfId="50048" xr:uid="{00000000-0005-0000-0000-0000B0BB0000}"/>
    <cellStyle name="Note 28 3 10" xfId="50049" xr:uid="{00000000-0005-0000-0000-0000B1BB0000}"/>
    <cellStyle name="Note 28 3 2" xfId="50050" xr:uid="{00000000-0005-0000-0000-0000B2BB0000}"/>
    <cellStyle name="Note 28 3 2 2" xfId="50051" xr:uid="{00000000-0005-0000-0000-0000B3BB0000}"/>
    <cellStyle name="Note 28 3 2 2 2" xfId="50052" xr:uid="{00000000-0005-0000-0000-0000B4BB0000}"/>
    <cellStyle name="Note 28 3 2 2 2 2" xfId="50053" xr:uid="{00000000-0005-0000-0000-0000B5BB0000}"/>
    <cellStyle name="Note 28 3 2 2 2 2 2" xfId="50054" xr:uid="{00000000-0005-0000-0000-0000B6BB0000}"/>
    <cellStyle name="Note 28 3 2 2 2 3" xfId="50055" xr:uid="{00000000-0005-0000-0000-0000B7BB0000}"/>
    <cellStyle name="Note 28 3 2 2 3" xfId="50056" xr:uid="{00000000-0005-0000-0000-0000B8BB0000}"/>
    <cellStyle name="Note 28 3 2 2 3 2" xfId="50057" xr:uid="{00000000-0005-0000-0000-0000B9BB0000}"/>
    <cellStyle name="Note 28 3 2 2 4" xfId="50058" xr:uid="{00000000-0005-0000-0000-0000BABB0000}"/>
    <cellStyle name="Note 28 3 2 2 5" xfId="50059" xr:uid="{00000000-0005-0000-0000-0000BBBB0000}"/>
    <cellStyle name="Note 28 3 2 2 6" xfId="50060" xr:uid="{00000000-0005-0000-0000-0000BCBB0000}"/>
    <cellStyle name="Note 28 3 2 3" xfId="50061" xr:uid="{00000000-0005-0000-0000-0000BDBB0000}"/>
    <cellStyle name="Note 28 3 2 3 2" xfId="50062" xr:uid="{00000000-0005-0000-0000-0000BEBB0000}"/>
    <cellStyle name="Note 28 3 2 3 2 2" xfId="50063" xr:uid="{00000000-0005-0000-0000-0000BFBB0000}"/>
    <cellStyle name="Note 28 3 2 3 3" xfId="50064" xr:uid="{00000000-0005-0000-0000-0000C0BB0000}"/>
    <cellStyle name="Note 28 3 2 4" xfId="50065" xr:uid="{00000000-0005-0000-0000-0000C1BB0000}"/>
    <cellStyle name="Note 28 3 2 4 2" xfId="50066" xr:uid="{00000000-0005-0000-0000-0000C2BB0000}"/>
    <cellStyle name="Note 28 3 2 5" xfId="50067" xr:uid="{00000000-0005-0000-0000-0000C3BB0000}"/>
    <cellStyle name="Note 28 3 2 6" xfId="50068" xr:uid="{00000000-0005-0000-0000-0000C4BB0000}"/>
    <cellStyle name="Note 28 3 2 7" xfId="50069" xr:uid="{00000000-0005-0000-0000-0000C5BB0000}"/>
    <cellStyle name="Note 28 3 3" xfId="50070" xr:uid="{00000000-0005-0000-0000-0000C6BB0000}"/>
    <cellStyle name="Note 28 3 3 2" xfId="50071" xr:uid="{00000000-0005-0000-0000-0000C7BB0000}"/>
    <cellStyle name="Note 28 3 3 2 2" xfId="50072" xr:uid="{00000000-0005-0000-0000-0000C8BB0000}"/>
    <cellStyle name="Note 28 3 3 2 2 2" xfId="50073" xr:uid="{00000000-0005-0000-0000-0000C9BB0000}"/>
    <cellStyle name="Note 28 3 3 2 2 2 2" xfId="50074" xr:uid="{00000000-0005-0000-0000-0000CABB0000}"/>
    <cellStyle name="Note 28 3 3 2 2 3" xfId="50075" xr:uid="{00000000-0005-0000-0000-0000CBBB0000}"/>
    <cellStyle name="Note 28 3 3 2 3" xfId="50076" xr:uid="{00000000-0005-0000-0000-0000CCBB0000}"/>
    <cellStyle name="Note 28 3 3 2 3 2" xfId="50077" xr:uid="{00000000-0005-0000-0000-0000CDBB0000}"/>
    <cellStyle name="Note 28 3 3 2 4" xfId="50078" xr:uid="{00000000-0005-0000-0000-0000CEBB0000}"/>
    <cellStyle name="Note 28 3 3 2 5" xfId="50079" xr:uid="{00000000-0005-0000-0000-0000CFBB0000}"/>
    <cellStyle name="Note 28 3 3 2 6" xfId="50080" xr:uid="{00000000-0005-0000-0000-0000D0BB0000}"/>
    <cellStyle name="Note 28 3 3 3" xfId="50081" xr:uid="{00000000-0005-0000-0000-0000D1BB0000}"/>
    <cellStyle name="Note 28 3 3 3 2" xfId="50082" xr:uid="{00000000-0005-0000-0000-0000D2BB0000}"/>
    <cellStyle name="Note 28 3 3 3 2 2" xfId="50083" xr:uid="{00000000-0005-0000-0000-0000D3BB0000}"/>
    <cellStyle name="Note 28 3 3 3 3" xfId="50084" xr:uid="{00000000-0005-0000-0000-0000D4BB0000}"/>
    <cellStyle name="Note 28 3 3 4" xfId="50085" xr:uid="{00000000-0005-0000-0000-0000D5BB0000}"/>
    <cellStyle name="Note 28 3 3 4 2" xfId="50086" xr:uid="{00000000-0005-0000-0000-0000D6BB0000}"/>
    <cellStyle name="Note 28 3 3 5" xfId="50087" xr:uid="{00000000-0005-0000-0000-0000D7BB0000}"/>
    <cellStyle name="Note 28 3 3 6" xfId="50088" xr:uid="{00000000-0005-0000-0000-0000D8BB0000}"/>
    <cellStyle name="Note 28 3 3 7" xfId="50089" xr:uid="{00000000-0005-0000-0000-0000D9BB0000}"/>
    <cellStyle name="Note 28 3 4" xfId="50090" xr:uid="{00000000-0005-0000-0000-0000DABB0000}"/>
    <cellStyle name="Note 28 3 4 2" xfId="50091" xr:uid="{00000000-0005-0000-0000-0000DBBB0000}"/>
    <cellStyle name="Note 28 3 4 2 2" xfId="50092" xr:uid="{00000000-0005-0000-0000-0000DCBB0000}"/>
    <cellStyle name="Note 28 3 4 2 2 2" xfId="50093" xr:uid="{00000000-0005-0000-0000-0000DDBB0000}"/>
    <cellStyle name="Note 28 3 4 2 3" xfId="50094" xr:uid="{00000000-0005-0000-0000-0000DEBB0000}"/>
    <cellStyle name="Note 28 3 4 3" xfId="50095" xr:uid="{00000000-0005-0000-0000-0000DFBB0000}"/>
    <cellStyle name="Note 28 3 4 3 2" xfId="50096" xr:uid="{00000000-0005-0000-0000-0000E0BB0000}"/>
    <cellStyle name="Note 28 3 4 4" xfId="50097" xr:uid="{00000000-0005-0000-0000-0000E1BB0000}"/>
    <cellStyle name="Note 28 3 4 5" xfId="50098" xr:uid="{00000000-0005-0000-0000-0000E2BB0000}"/>
    <cellStyle name="Note 28 3 4 6" xfId="50099" xr:uid="{00000000-0005-0000-0000-0000E3BB0000}"/>
    <cellStyle name="Note 28 3 5" xfId="50100" xr:uid="{00000000-0005-0000-0000-0000E4BB0000}"/>
    <cellStyle name="Note 28 3 5 2" xfId="50101" xr:uid="{00000000-0005-0000-0000-0000E5BB0000}"/>
    <cellStyle name="Note 28 3 5 2 2" xfId="50102" xr:uid="{00000000-0005-0000-0000-0000E6BB0000}"/>
    <cellStyle name="Note 28 3 5 3" xfId="50103" xr:uid="{00000000-0005-0000-0000-0000E7BB0000}"/>
    <cellStyle name="Note 28 3 6" xfId="50104" xr:uid="{00000000-0005-0000-0000-0000E8BB0000}"/>
    <cellStyle name="Note 28 3 6 2" xfId="50105" xr:uid="{00000000-0005-0000-0000-0000E9BB0000}"/>
    <cellStyle name="Note 28 3 6 2 2" xfId="50106" xr:uid="{00000000-0005-0000-0000-0000EABB0000}"/>
    <cellStyle name="Note 28 3 6 3" xfId="50107" xr:uid="{00000000-0005-0000-0000-0000EBBB0000}"/>
    <cellStyle name="Note 28 3 7" xfId="50108" xr:uid="{00000000-0005-0000-0000-0000ECBB0000}"/>
    <cellStyle name="Note 28 3 7 2" xfId="50109" xr:uid="{00000000-0005-0000-0000-0000EDBB0000}"/>
    <cellStyle name="Note 28 3 8" xfId="50110" xr:uid="{00000000-0005-0000-0000-0000EEBB0000}"/>
    <cellStyle name="Note 28 3 9" xfId="50111" xr:uid="{00000000-0005-0000-0000-0000EFBB0000}"/>
    <cellStyle name="Note 28 4" xfId="50112" xr:uid="{00000000-0005-0000-0000-0000F0BB0000}"/>
    <cellStyle name="Note 28 4 2" xfId="50113" xr:uid="{00000000-0005-0000-0000-0000F1BB0000}"/>
    <cellStyle name="Note 28 4 2 2" xfId="50114" xr:uid="{00000000-0005-0000-0000-0000F2BB0000}"/>
    <cellStyle name="Note 28 4 2 2 2" xfId="50115" xr:uid="{00000000-0005-0000-0000-0000F3BB0000}"/>
    <cellStyle name="Note 28 4 2 3" xfId="50116" xr:uid="{00000000-0005-0000-0000-0000F4BB0000}"/>
    <cellStyle name="Note 28 4 3" xfId="50117" xr:uid="{00000000-0005-0000-0000-0000F5BB0000}"/>
    <cellStyle name="Note 28 4 3 2" xfId="50118" xr:uid="{00000000-0005-0000-0000-0000F6BB0000}"/>
    <cellStyle name="Note 28 4 3 2 2" xfId="50119" xr:uid="{00000000-0005-0000-0000-0000F7BB0000}"/>
    <cellStyle name="Note 28 4 3 3" xfId="50120" xr:uid="{00000000-0005-0000-0000-0000F8BB0000}"/>
    <cellStyle name="Note 28 4 4" xfId="50121" xr:uid="{00000000-0005-0000-0000-0000F9BB0000}"/>
    <cellStyle name="Note 28 4 4 2" xfId="50122" xr:uid="{00000000-0005-0000-0000-0000FABB0000}"/>
    <cellStyle name="Note 28 4 5" xfId="50123" xr:uid="{00000000-0005-0000-0000-0000FBBB0000}"/>
    <cellStyle name="Note 28 4 6" xfId="50124" xr:uid="{00000000-0005-0000-0000-0000FCBB0000}"/>
    <cellStyle name="Note 28 4 7" xfId="50125" xr:uid="{00000000-0005-0000-0000-0000FDBB0000}"/>
    <cellStyle name="Note 28 5" xfId="50126" xr:uid="{00000000-0005-0000-0000-0000FEBB0000}"/>
    <cellStyle name="Note 28 5 2" xfId="50127" xr:uid="{00000000-0005-0000-0000-0000FFBB0000}"/>
    <cellStyle name="Note 28 5 2 2" xfId="50128" xr:uid="{00000000-0005-0000-0000-000000BC0000}"/>
    <cellStyle name="Note 28 5 2 2 2" xfId="50129" xr:uid="{00000000-0005-0000-0000-000001BC0000}"/>
    <cellStyle name="Note 28 5 2 3" xfId="50130" xr:uid="{00000000-0005-0000-0000-000002BC0000}"/>
    <cellStyle name="Note 28 5 3" xfId="50131" xr:uid="{00000000-0005-0000-0000-000003BC0000}"/>
    <cellStyle name="Note 28 5 3 2" xfId="50132" xr:uid="{00000000-0005-0000-0000-000004BC0000}"/>
    <cellStyle name="Note 28 5 4" xfId="50133" xr:uid="{00000000-0005-0000-0000-000005BC0000}"/>
    <cellStyle name="Note 28 6" xfId="50134" xr:uid="{00000000-0005-0000-0000-000006BC0000}"/>
    <cellStyle name="Note 28 6 2" xfId="50135" xr:uid="{00000000-0005-0000-0000-000007BC0000}"/>
    <cellStyle name="Note 28 6 2 2" xfId="50136" xr:uid="{00000000-0005-0000-0000-000008BC0000}"/>
    <cellStyle name="Note 28 6 2 2 2" xfId="50137" xr:uid="{00000000-0005-0000-0000-000009BC0000}"/>
    <cellStyle name="Note 28 6 2 3" xfId="50138" xr:uid="{00000000-0005-0000-0000-00000ABC0000}"/>
    <cellStyle name="Note 28 6 3" xfId="50139" xr:uid="{00000000-0005-0000-0000-00000BBC0000}"/>
    <cellStyle name="Note 28 6 3 2" xfId="50140" xr:uid="{00000000-0005-0000-0000-00000CBC0000}"/>
    <cellStyle name="Note 28 6 4" xfId="50141" xr:uid="{00000000-0005-0000-0000-00000DBC0000}"/>
    <cellStyle name="Note 28 7" xfId="50142" xr:uid="{00000000-0005-0000-0000-00000EBC0000}"/>
    <cellStyle name="Note 28 7 2" xfId="50143" xr:uid="{00000000-0005-0000-0000-00000FBC0000}"/>
    <cellStyle name="Note 28 7 2 2" xfId="50144" xr:uid="{00000000-0005-0000-0000-000010BC0000}"/>
    <cellStyle name="Note 28 7 2 2 2" xfId="50145" xr:uid="{00000000-0005-0000-0000-000011BC0000}"/>
    <cellStyle name="Note 28 7 2 3" xfId="50146" xr:uid="{00000000-0005-0000-0000-000012BC0000}"/>
    <cellStyle name="Note 28 7 3" xfId="50147" xr:uid="{00000000-0005-0000-0000-000013BC0000}"/>
    <cellStyle name="Note 28 7 3 2" xfId="50148" xr:uid="{00000000-0005-0000-0000-000014BC0000}"/>
    <cellStyle name="Note 28 7 4" xfId="50149" xr:uid="{00000000-0005-0000-0000-000015BC0000}"/>
    <cellStyle name="Note 28 8" xfId="50150" xr:uid="{00000000-0005-0000-0000-000016BC0000}"/>
    <cellStyle name="Note 28 8 2" xfId="50151" xr:uid="{00000000-0005-0000-0000-000017BC0000}"/>
    <cellStyle name="Note 28 8 2 2" xfId="50152" xr:uid="{00000000-0005-0000-0000-000018BC0000}"/>
    <cellStyle name="Note 28 8 3" xfId="50153" xr:uid="{00000000-0005-0000-0000-000019BC0000}"/>
    <cellStyle name="Note 28 9" xfId="50154" xr:uid="{00000000-0005-0000-0000-00001ABC0000}"/>
    <cellStyle name="Note 28 9 2" xfId="50155" xr:uid="{00000000-0005-0000-0000-00001BBC0000}"/>
    <cellStyle name="Note 28 9 2 2" xfId="50156" xr:uid="{00000000-0005-0000-0000-00001CBC0000}"/>
    <cellStyle name="Note 28 9 3" xfId="50157" xr:uid="{00000000-0005-0000-0000-00001DBC0000}"/>
    <cellStyle name="Note 29" xfId="50158" xr:uid="{00000000-0005-0000-0000-00001EBC0000}"/>
    <cellStyle name="Note 29 2" xfId="50159" xr:uid="{00000000-0005-0000-0000-00001FBC0000}"/>
    <cellStyle name="Note 29 2 2" xfId="50160" xr:uid="{00000000-0005-0000-0000-000020BC0000}"/>
    <cellStyle name="Note 29 2 2 2" xfId="50161" xr:uid="{00000000-0005-0000-0000-000021BC0000}"/>
    <cellStyle name="Note 29 2 2 2 2" xfId="50162" xr:uid="{00000000-0005-0000-0000-000022BC0000}"/>
    <cellStyle name="Note 29 2 2 2 2 2" xfId="50163" xr:uid="{00000000-0005-0000-0000-000023BC0000}"/>
    <cellStyle name="Note 29 2 2 2 3" xfId="50164" xr:uid="{00000000-0005-0000-0000-000024BC0000}"/>
    <cellStyle name="Note 29 2 2 3" xfId="50165" xr:uid="{00000000-0005-0000-0000-000025BC0000}"/>
    <cellStyle name="Note 29 2 2 3 2" xfId="50166" xr:uid="{00000000-0005-0000-0000-000026BC0000}"/>
    <cellStyle name="Note 29 2 2 4" xfId="50167" xr:uid="{00000000-0005-0000-0000-000027BC0000}"/>
    <cellStyle name="Note 29 2 2 5" xfId="50168" xr:uid="{00000000-0005-0000-0000-000028BC0000}"/>
    <cellStyle name="Note 29 2 2 6" xfId="50169" xr:uid="{00000000-0005-0000-0000-000029BC0000}"/>
    <cellStyle name="Note 29 2 3" xfId="50170" xr:uid="{00000000-0005-0000-0000-00002ABC0000}"/>
    <cellStyle name="Note 29 2 3 2" xfId="50171" xr:uid="{00000000-0005-0000-0000-00002BBC0000}"/>
    <cellStyle name="Note 29 2 3 2 2" xfId="50172" xr:uid="{00000000-0005-0000-0000-00002CBC0000}"/>
    <cellStyle name="Note 29 2 3 3" xfId="50173" xr:uid="{00000000-0005-0000-0000-00002DBC0000}"/>
    <cellStyle name="Note 29 2 4" xfId="50174" xr:uid="{00000000-0005-0000-0000-00002EBC0000}"/>
    <cellStyle name="Note 29 2 4 2" xfId="50175" xr:uid="{00000000-0005-0000-0000-00002FBC0000}"/>
    <cellStyle name="Note 29 2 4 2 2" xfId="50176" xr:uid="{00000000-0005-0000-0000-000030BC0000}"/>
    <cellStyle name="Note 29 2 4 3" xfId="50177" xr:uid="{00000000-0005-0000-0000-000031BC0000}"/>
    <cellStyle name="Note 29 2 5" xfId="50178" xr:uid="{00000000-0005-0000-0000-000032BC0000}"/>
    <cellStyle name="Note 29 2 5 2" xfId="50179" xr:uid="{00000000-0005-0000-0000-000033BC0000}"/>
    <cellStyle name="Note 29 2 6" xfId="50180" xr:uid="{00000000-0005-0000-0000-000034BC0000}"/>
    <cellStyle name="Note 29 2 7" xfId="50181" xr:uid="{00000000-0005-0000-0000-000035BC0000}"/>
    <cellStyle name="Note 29 3" xfId="50182" xr:uid="{00000000-0005-0000-0000-000036BC0000}"/>
    <cellStyle name="Note 29 3 2" xfId="50183" xr:uid="{00000000-0005-0000-0000-000037BC0000}"/>
    <cellStyle name="Note 29 3 2 2" xfId="50184" xr:uid="{00000000-0005-0000-0000-000038BC0000}"/>
    <cellStyle name="Note 29 3 2 2 2" xfId="50185" xr:uid="{00000000-0005-0000-0000-000039BC0000}"/>
    <cellStyle name="Note 29 3 2 2 2 2" xfId="50186" xr:uid="{00000000-0005-0000-0000-00003ABC0000}"/>
    <cellStyle name="Note 29 3 2 2 3" xfId="50187" xr:uid="{00000000-0005-0000-0000-00003BBC0000}"/>
    <cellStyle name="Note 29 3 2 3" xfId="50188" xr:uid="{00000000-0005-0000-0000-00003CBC0000}"/>
    <cellStyle name="Note 29 3 2 3 2" xfId="50189" xr:uid="{00000000-0005-0000-0000-00003DBC0000}"/>
    <cellStyle name="Note 29 3 2 4" xfId="50190" xr:uid="{00000000-0005-0000-0000-00003EBC0000}"/>
    <cellStyle name="Note 29 3 2 5" xfId="50191" xr:uid="{00000000-0005-0000-0000-00003FBC0000}"/>
    <cellStyle name="Note 29 3 2 6" xfId="50192" xr:uid="{00000000-0005-0000-0000-000040BC0000}"/>
    <cellStyle name="Note 29 3 3" xfId="50193" xr:uid="{00000000-0005-0000-0000-000041BC0000}"/>
    <cellStyle name="Note 29 3 3 2" xfId="50194" xr:uid="{00000000-0005-0000-0000-000042BC0000}"/>
    <cellStyle name="Note 29 3 3 2 2" xfId="50195" xr:uid="{00000000-0005-0000-0000-000043BC0000}"/>
    <cellStyle name="Note 29 3 3 3" xfId="50196" xr:uid="{00000000-0005-0000-0000-000044BC0000}"/>
    <cellStyle name="Note 29 3 4" xfId="50197" xr:uid="{00000000-0005-0000-0000-000045BC0000}"/>
    <cellStyle name="Note 29 3 4 2" xfId="50198" xr:uid="{00000000-0005-0000-0000-000046BC0000}"/>
    <cellStyle name="Note 29 3 5" xfId="50199" xr:uid="{00000000-0005-0000-0000-000047BC0000}"/>
    <cellStyle name="Note 29 3 6" xfId="50200" xr:uid="{00000000-0005-0000-0000-000048BC0000}"/>
    <cellStyle name="Note 29 3 7" xfId="50201" xr:uid="{00000000-0005-0000-0000-000049BC0000}"/>
    <cellStyle name="Note 29 4" xfId="50202" xr:uid="{00000000-0005-0000-0000-00004ABC0000}"/>
    <cellStyle name="Note 29 4 2" xfId="50203" xr:uid="{00000000-0005-0000-0000-00004BBC0000}"/>
    <cellStyle name="Note 29 5" xfId="50204" xr:uid="{00000000-0005-0000-0000-00004CBC0000}"/>
    <cellStyle name="Note 29 5 2" xfId="50205" xr:uid="{00000000-0005-0000-0000-00004DBC0000}"/>
    <cellStyle name="Note 29 6" xfId="50206" xr:uid="{00000000-0005-0000-0000-00004EBC0000}"/>
    <cellStyle name="Note 29 7" xfId="50207" xr:uid="{00000000-0005-0000-0000-00004FBC0000}"/>
    <cellStyle name="Note 3" xfId="1686" xr:uid="{00000000-0005-0000-0000-000050BC0000}"/>
    <cellStyle name="Note 3 10" xfId="50208" xr:uid="{00000000-0005-0000-0000-000051BC0000}"/>
    <cellStyle name="Note 3 10 2" xfId="50209" xr:uid="{00000000-0005-0000-0000-000052BC0000}"/>
    <cellStyle name="Note 3 11" xfId="50210" xr:uid="{00000000-0005-0000-0000-000053BC0000}"/>
    <cellStyle name="Note 3 11 2" xfId="50211" xr:uid="{00000000-0005-0000-0000-000054BC0000}"/>
    <cellStyle name="Note 3 11 2 2" xfId="50212" xr:uid="{00000000-0005-0000-0000-000055BC0000}"/>
    <cellStyle name="Note 3 11 3" xfId="50213" xr:uid="{00000000-0005-0000-0000-000056BC0000}"/>
    <cellStyle name="Note 3 2" xfId="1687" xr:uid="{00000000-0005-0000-0000-000057BC0000}"/>
    <cellStyle name="Note 3 2 2" xfId="50214" xr:uid="{00000000-0005-0000-0000-000058BC0000}"/>
    <cellStyle name="Note 3 2 2 2" xfId="50215" xr:uid="{00000000-0005-0000-0000-000059BC0000}"/>
    <cellStyle name="Note 3 2 2 2 2" xfId="50216" xr:uid="{00000000-0005-0000-0000-00005ABC0000}"/>
    <cellStyle name="Note 3 2 2 2 2 2" xfId="50217" xr:uid="{00000000-0005-0000-0000-00005BBC0000}"/>
    <cellStyle name="Note 3 2 2 2 2 2 2" xfId="50218" xr:uid="{00000000-0005-0000-0000-00005CBC0000}"/>
    <cellStyle name="Note 3 2 2 2 2 3" xfId="50219" xr:uid="{00000000-0005-0000-0000-00005DBC0000}"/>
    <cellStyle name="Note 3 2 2 2 3" xfId="50220" xr:uid="{00000000-0005-0000-0000-00005EBC0000}"/>
    <cellStyle name="Note 3 2 2 2 3 2" xfId="50221" xr:uid="{00000000-0005-0000-0000-00005FBC0000}"/>
    <cellStyle name="Note 3 2 2 2 4" xfId="50222" xr:uid="{00000000-0005-0000-0000-000060BC0000}"/>
    <cellStyle name="Note 3 2 2 3" xfId="50223" xr:uid="{00000000-0005-0000-0000-000061BC0000}"/>
    <cellStyle name="Note 3 2 2 3 2" xfId="50224" xr:uid="{00000000-0005-0000-0000-000062BC0000}"/>
    <cellStyle name="Note 3 2 2 3 2 2" xfId="50225" xr:uid="{00000000-0005-0000-0000-000063BC0000}"/>
    <cellStyle name="Note 3 2 2 3 2 2 2" xfId="50226" xr:uid="{00000000-0005-0000-0000-000064BC0000}"/>
    <cellStyle name="Note 3 2 2 3 2 3" xfId="50227" xr:uid="{00000000-0005-0000-0000-000065BC0000}"/>
    <cellStyle name="Note 3 2 2 3 3" xfId="50228" xr:uid="{00000000-0005-0000-0000-000066BC0000}"/>
    <cellStyle name="Note 3 2 2 3 3 2" xfId="50229" xr:uid="{00000000-0005-0000-0000-000067BC0000}"/>
    <cellStyle name="Note 3 2 2 3 4" xfId="50230" xr:uid="{00000000-0005-0000-0000-000068BC0000}"/>
    <cellStyle name="Note 3 2 2 4" xfId="50231" xr:uid="{00000000-0005-0000-0000-000069BC0000}"/>
    <cellStyle name="Note 3 2 2 4 2" xfId="50232" xr:uid="{00000000-0005-0000-0000-00006ABC0000}"/>
    <cellStyle name="Note 3 2 2 4 2 2" xfId="50233" xr:uid="{00000000-0005-0000-0000-00006BBC0000}"/>
    <cellStyle name="Note 3 2 2 4 3" xfId="50234" xr:uid="{00000000-0005-0000-0000-00006CBC0000}"/>
    <cellStyle name="Note 3 2 2 5" xfId="50235" xr:uid="{00000000-0005-0000-0000-00006DBC0000}"/>
    <cellStyle name="Note 3 2 2 5 2" xfId="50236" xr:uid="{00000000-0005-0000-0000-00006EBC0000}"/>
    <cellStyle name="Note 3 2 2 6" xfId="50237" xr:uid="{00000000-0005-0000-0000-00006FBC0000}"/>
    <cellStyle name="Note 3 2 3" xfId="50238" xr:uid="{00000000-0005-0000-0000-000070BC0000}"/>
    <cellStyle name="Note 3 2 3 2" xfId="50239" xr:uid="{00000000-0005-0000-0000-000071BC0000}"/>
    <cellStyle name="Note 3 2 3 2 2" xfId="50240" xr:uid="{00000000-0005-0000-0000-000072BC0000}"/>
    <cellStyle name="Note 3 2 3 2 2 2" xfId="50241" xr:uid="{00000000-0005-0000-0000-000073BC0000}"/>
    <cellStyle name="Note 3 2 3 2 3" xfId="50242" xr:uid="{00000000-0005-0000-0000-000074BC0000}"/>
    <cellStyle name="Note 3 2 3 3" xfId="50243" xr:uid="{00000000-0005-0000-0000-000075BC0000}"/>
    <cellStyle name="Note 3 2 3 3 2" xfId="50244" xr:uid="{00000000-0005-0000-0000-000076BC0000}"/>
    <cellStyle name="Note 3 2 3 4" xfId="50245" xr:uid="{00000000-0005-0000-0000-000077BC0000}"/>
    <cellStyle name="Note 3 2 4" xfId="50246" xr:uid="{00000000-0005-0000-0000-000078BC0000}"/>
    <cellStyle name="Note 3 2 4 2" xfId="50247" xr:uid="{00000000-0005-0000-0000-000079BC0000}"/>
    <cellStyle name="Note 3 2 4 2 2" xfId="50248" xr:uid="{00000000-0005-0000-0000-00007ABC0000}"/>
    <cellStyle name="Note 3 2 4 2 2 2" xfId="50249" xr:uid="{00000000-0005-0000-0000-00007BBC0000}"/>
    <cellStyle name="Note 3 2 4 2 3" xfId="50250" xr:uid="{00000000-0005-0000-0000-00007CBC0000}"/>
    <cellStyle name="Note 3 2 4 3" xfId="50251" xr:uid="{00000000-0005-0000-0000-00007DBC0000}"/>
    <cellStyle name="Note 3 2 4 3 2" xfId="50252" xr:uid="{00000000-0005-0000-0000-00007EBC0000}"/>
    <cellStyle name="Note 3 2 4 4" xfId="50253" xr:uid="{00000000-0005-0000-0000-00007FBC0000}"/>
    <cellStyle name="Note 3 2 5" xfId="50254" xr:uid="{00000000-0005-0000-0000-000080BC0000}"/>
    <cellStyle name="Note 3 2 5 2" xfId="50255" xr:uid="{00000000-0005-0000-0000-000081BC0000}"/>
    <cellStyle name="Note 3 2 5 2 2" xfId="50256" xr:uid="{00000000-0005-0000-0000-000082BC0000}"/>
    <cellStyle name="Note 3 2 5 2 2 2" xfId="50257" xr:uid="{00000000-0005-0000-0000-000083BC0000}"/>
    <cellStyle name="Note 3 2 5 2 3" xfId="50258" xr:uid="{00000000-0005-0000-0000-000084BC0000}"/>
    <cellStyle name="Note 3 2 5 3" xfId="50259" xr:uid="{00000000-0005-0000-0000-000085BC0000}"/>
    <cellStyle name="Note 3 2 5 3 2" xfId="50260" xr:uid="{00000000-0005-0000-0000-000086BC0000}"/>
    <cellStyle name="Note 3 2 5 4" xfId="50261" xr:uid="{00000000-0005-0000-0000-000087BC0000}"/>
    <cellStyle name="Note 3 3" xfId="50262" xr:uid="{00000000-0005-0000-0000-000088BC0000}"/>
    <cellStyle name="Note 3 3 2" xfId="50263" xr:uid="{00000000-0005-0000-0000-000089BC0000}"/>
    <cellStyle name="Note 3 4" xfId="50264" xr:uid="{00000000-0005-0000-0000-00008ABC0000}"/>
    <cellStyle name="Note 3 4 2" xfId="50265" xr:uid="{00000000-0005-0000-0000-00008BBC0000}"/>
    <cellStyle name="Note 3 5" xfId="50266" xr:uid="{00000000-0005-0000-0000-00008CBC0000}"/>
    <cellStyle name="Note 3 5 2" xfId="50267" xr:uid="{00000000-0005-0000-0000-00008DBC0000}"/>
    <cellStyle name="Note 3 5 2 2" xfId="50268" xr:uid="{00000000-0005-0000-0000-00008EBC0000}"/>
    <cellStyle name="Note 3 5 2 2 2" xfId="50269" xr:uid="{00000000-0005-0000-0000-00008FBC0000}"/>
    <cellStyle name="Note 3 5 2 2 2 2" xfId="50270" xr:uid="{00000000-0005-0000-0000-000090BC0000}"/>
    <cellStyle name="Note 3 5 2 2 3" xfId="50271" xr:uid="{00000000-0005-0000-0000-000091BC0000}"/>
    <cellStyle name="Note 3 5 2 3" xfId="50272" xr:uid="{00000000-0005-0000-0000-000092BC0000}"/>
    <cellStyle name="Note 3 5 2 3 2" xfId="50273" xr:uid="{00000000-0005-0000-0000-000093BC0000}"/>
    <cellStyle name="Note 3 5 2 4" xfId="50274" xr:uid="{00000000-0005-0000-0000-000094BC0000}"/>
    <cellStyle name="Note 3 5 3" xfId="50275" xr:uid="{00000000-0005-0000-0000-000095BC0000}"/>
    <cellStyle name="Note 3 5 3 2" xfId="50276" xr:uid="{00000000-0005-0000-0000-000096BC0000}"/>
    <cellStyle name="Note 3 5 3 2 2" xfId="50277" xr:uid="{00000000-0005-0000-0000-000097BC0000}"/>
    <cellStyle name="Note 3 5 3 2 2 2" xfId="50278" xr:uid="{00000000-0005-0000-0000-000098BC0000}"/>
    <cellStyle name="Note 3 5 3 2 3" xfId="50279" xr:uid="{00000000-0005-0000-0000-000099BC0000}"/>
    <cellStyle name="Note 3 5 3 3" xfId="50280" xr:uid="{00000000-0005-0000-0000-00009ABC0000}"/>
    <cellStyle name="Note 3 5 3 3 2" xfId="50281" xr:uid="{00000000-0005-0000-0000-00009BBC0000}"/>
    <cellStyle name="Note 3 5 3 4" xfId="50282" xr:uid="{00000000-0005-0000-0000-00009CBC0000}"/>
    <cellStyle name="Note 3 5 4" xfId="50283" xr:uid="{00000000-0005-0000-0000-00009DBC0000}"/>
    <cellStyle name="Note 3 5 4 2" xfId="50284" xr:uid="{00000000-0005-0000-0000-00009EBC0000}"/>
    <cellStyle name="Note 3 5 4 2 2" xfId="50285" xr:uid="{00000000-0005-0000-0000-00009FBC0000}"/>
    <cellStyle name="Note 3 5 4 2 2 2" xfId="50286" xr:uid="{00000000-0005-0000-0000-0000A0BC0000}"/>
    <cellStyle name="Note 3 5 4 2 3" xfId="50287" xr:uid="{00000000-0005-0000-0000-0000A1BC0000}"/>
    <cellStyle name="Note 3 5 4 3" xfId="50288" xr:uid="{00000000-0005-0000-0000-0000A2BC0000}"/>
    <cellStyle name="Note 3 5 4 3 2" xfId="50289" xr:uid="{00000000-0005-0000-0000-0000A3BC0000}"/>
    <cellStyle name="Note 3 5 4 4" xfId="50290" xr:uid="{00000000-0005-0000-0000-0000A4BC0000}"/>
    <cellStyle name="Note 3 6" xfId="50291" xr:uid="{00000000-0005-0000-0000-0000A5BC0000}"/>
    <cellStyle name="Note 3 6 2" xfId="50292" xr:uid="{00000000-0005-0000-0000-0000A6BC0000}"/>
    <cellStyle name="Note 3 7" xfId="50293" xr:uid="{00000000-0005-0000-0000-0000A7BC0000}"/>
    <cellStyle name="Note 3 7 2" xfId="50294" xr:uid="{00000000-0005-0000-0000-0000A8BC0000}"/>
    <cellStyle name="Note 3 8" xfId="50295" xr:uid="{00000000-0005-0000-0000-0000A9BC0000}"/>
    <cellStyle name="Note 3 8 2" xfId="50296" xr:uid="{00000000-0005-0000-0000-0000AABC0000}"/>
    <cellStyle name="Note 3 9" xfId="50297" xr:uid="{00000000-0005-0000-0000-0000ABBC0000}"/>
    <cellStyle name="Note 3 9 2" xfId="50298" xr:uid="{00000000-0005-0000-0000-0000ACBC0000}"/>
    <cellStyle name="Note 30" xfId="50299" xr:uid="{00000000-0005-0000-0000-0000ADBC0000}"/>
    <cellStyle name="Note 30 2" xfId="50300" xr:uid="{00000000-0005-0000-0000-0000AEBC0000}"/>
    <cellStyle name="Note 30 2 2" xfId="50301" xr:uid="{00000000-0005-0000-0000-0000AFBC0000}"/>
    <cellStyle name="Note 30 2 3" xfId="50302" xr:uid="{00000000-0005-0000-0000-0000B0BC0000}"/>
    <cellStyle name="Note 30 2 4" xfId="50303" xr:uid="{00000000-0005-0000-0000-0000B1BC0000}"/>
    <cellStyle name="Note 30 3" xfId="50304" xr:uid="{00000000-0005-0000-0000-0000B2BC0000}"/>
    <cellStyle name="Note 30 3 2" xfId="50305" xr:uid="{00000000-0005-0000-0000-0000B3BC0000}"/>
    <cellStyle name="Note 30 3 3" xfId="50306" xr:uid="{00000000-0005-0000-0000-0000B4BC0000}"/>
    <cellStyle name="Note 30 4" xfId="50307" xr:uid="{00000000-0005-0000-0000-0000B5BC0000}"/>
    <cellStyle name="Note 30 5" xfId="50308" xr:uid="{00000000-0005-0000-0000-0000B6BC0000}"/>
    <cellStyle name="Note 30 6" xfId="50309" xr:uid="{00000000-0005-0000-0000-0000B7BC0000}"/>
    <cellStyle name="Note 31" xfId="50310" xr:uid="{00000000-0005-0000-0000-0000B8BC0000}"/>
    <cellStyle name="Note 31 2" xfId="50311" xr:uid="{00000000-0005-0000-0000-0000B9BC0000}"/>
    <cellStyle name="Note 32" xfId="50312" xr:uid="{00000000-0005-0000-0000-0000BABC0000}"/>
    <cellStyle name="Note 32 2" xfId="50313" xr:uid="{00000000-0005-0000-0000-0000BBBC0000}"/>
    <cellStyle name="Note 32 3" xfId="50314" xr:uid="{00000000-0005-0000-0000-0000BCBC0000}"/>
    <cellStyle name="Note 32 4" xfId="50315" xr:uid="{00000000-0005-0000-0000-0000BDBC0000}"/>
    <cellStyle name="Note 33" xfId="50316" xr:uid="{00000000-0005-0000-0000-0000BEBC0000}"/>
    <cellStyle name="Note 33 2" xfId="50317" xr:uid="{00000000-0005-0000-0000-0000BFBC0000}"/>
    <cellStyle name="Note 33 3" xfId="50318" xr:uid="{00000000-0005-0000-0000-0000C0BC0000}"/>
    <cellStyle name="Note 33 4" xfId="50319" xr:uid="{00000000-0005-0000-0000-0000C1BC0000}"/>
    <cellStyle name="Note 34" xfId="50320" xr:uid="{00000000-0005-0000-0000-0000C2BC0000}"/>
    <cellStyle name="Note 34 2" xfId="50321" xr:uid="{00000000-0005-0000-0000-0000C3BC0000}"/>
    <cellStyle name="Note 34 3" xfId="50322" xr:uid="{00000000-0005-0000-0000-0000C4BC0000}"/>
    <cellStyle name="Note 34 4" xfId="50323" xr:uid="{00000000-0005-0000-0000-0000C5BC0000}"/>
    <cellStyle name="Note 35" xfId="50324" xr:uid="{00000000-0005-0000-0000-0000C6BC0000}"/>
    <cellStyle name="Note 35 10" xfId="50325" xr:uid="{00000000-0005-0000-0000-0000C7BC0000}"/>
    <cellStyle name="Note 35 11" xfId="50326" xr:uid="{00000000-0005-0000-0000-0000C8BC0000}"/>
    <cellStyle name="Note 35 2" xfId="50327" xr:uid="{00000000-0005-0000-0000-0000C9BC0000}"/>
    <cellStyle name="Note 35 2 10" xfId="50328" xr:uid="{00000000-0005-0000-0000-0000CABC0000}"/>
    <cellStyle name="Note 35 2 2" xfId="50329" xr:uid="{00000000-0005-0000-0000-0000CBBC0000}"/>
    <cellStyle name="Note 35 2 2 2" xfId="50330" xr:uid="{00000000-0005-0000-0000-0000CCBC0000}"/>
    <cellStyle name="Note 35 2 2 2 2" xfId="50331" xr:uid="{00000000-0005-0000-0000-0000CDBC0000}"/>
    <cellStyle name="Note 35 2 2 2 2 2" xfId="50332" xr:uid="{00000000-0005-0000-0000-0000CEBC0000}"/>
    <cellStyle name="Note 35 2 2 2 2 2 2" xfId="50333" xr:uid="{00000000-0005-0000-0000-0000CFBC0000}"/>
    <cellStyle name="Note 35 2 2 2 2 3" xfId="50334" xr:uid="{00000000-0005-0000-0000-0000D0BC0000}"/>
    <cellStyle name="Note 35 2 2 2 3" xfId="50335" xr:uid="{00000000-0005-0000-0000-0000D1BC0000}"/>
    <cellStyle name="Note 35 2 2 2 3 2" xfId="50336" xr:uid="{00000000-0005-0000-0000-0000D2BC0000}"/>
    <cellStyle name="Note 35 2 2 2 4" xfId="50337" xr:uid="{00000000-0005-0000-0000-0000D3BC0000}"/>
    <cellStyle name="Note 35 2 2 2 5" xfId="50338" xr:uid="{00000000-0005-0000-0000-0000D4BC0000}"/>
    <cellStyle name="Note 35 2 2 2 6" xfId="50339" xr:uid="{00000000-0005-0000-0000-0000D5BC0000}"/>
    <cellStyle name="Note 35 2 2 3" xfId="50340" xr:uid="{00000000-0005-0000-0000-0000D6BC0000}"/>
    <cellStyle name="Note 35 2 2 3 2" xfId="50341" xr:uid="{00000000-0005-0000-0000-0000D7BC0000}"/>
    <cellStyle name="Note 35 2 2 3 2 2" xfId="50342" xr:uid="{00000000-0005-0000-0000-0000D8BC0000}"/>
    <cellStyle name="Note 35 2 2 3 3" xfId="50343" xr:uid="{00000000-0005-0000-0000-0000D9BC0000}"/>
    <cellStyle name="Note 35 2 2 4" xfId="50344" xr:uid="{00000000-0005-0000-0000-0000DABC0000}"/>
    <cellStyle name="Note 35 2 2 4 2" xfId="50345" xr:uid="{00000000-0005-0000-0000-0000DBBC0000}"/>
    <cellStyle name="Note 35 2 2 5" xfId="50346" xr:uid="{00000000-0005-0000-0000-0000DCBC0000}"/>
    <cellStyle name="Note 35 2 2 6" xfId="50347" xr:uid="{00000000-0005-0000-0000-0000DDBC0000}"/>
    <cellStyle name="Note 35 2 2 7" xfId="50348" xr:uid="{00000000-0005-0000-0000-0000DEBC0000}"/>
    <cellStyle name="Note 35 2 3" xfId="50349" xr:uid="{00000000-0005-0000-0000-0000DFBC0000}"/>
    <cellStyle name="Note 35 2 3 2" xfId="50350" xr:uid="{00000000-0005-0000-0000-0000E0BC0000}"/>
    <cellStyle name="Note 35 2 3 2 2" xfId="50351" xr:uid="{00000000-0005-0000-0000-0000E1BC0000}"/>
    <cellStyle name="Note 35 2 3 2 2 2" xfId="50352" xr:uid="{00000000-0005-0000-0000-0000E2BC0000}"/>
    <cellStyle name="Note 35 2 3 2 2 2 2" xfId="50353" xr:uid="{00000000-0005-0000-0000-0000E3BC0000}"/>
    <cellStyle name="Note 35 2 3 2 2 3" xfId="50354" xr:uid="{00000000-0005-0000-0000-0000E4BC0000}"/>
    <cellStyle name="Note 35 2 3 2 3" xfId="50355" xr:uid="{00000000-0005-0000-0000-0000E5BC0000}"/>
    <cellStyle name="Note 35 2 3 2 3 2" xfId="50356" xr:uid="{00000000-0005-0000-0000-0000E6BC0000}"/>
    <cellStyle name="Note 35 2 3 2 4" xfId="50357" xr:uid="{00000000-0005-0000-0000-0000E7BC0000}"/>
    <cellStyle name="Note 35 2 3 2 5" xfId="50358" xr:uid="{00000000-0005-0000-0000-0000E8BC0000}"/>
    <cellStyle name="Note 35 2 3 2 6" xfId="50359" xr:uid="{00000000-0005-0000-0000-0000E9BC0000}"/>
    <cellStyle name="Note 35 2 3 3" xfId="50360" xr:uid="{00000000-0005-0000-0000-0000EABC0000}"/>
    <cellStyle name="Note 35 2 3 3 2" xfId="50361" xr:uid="{00000000-0005-0000-0000-0000EBBC0000}"/>
    <cellStyle name="Note 35 2 3 3 2 2" xfId="50362" xr:uid="{00000000-0005-0000-0000-0000ECBC0000}"/>
    <cellStyle name="Note 35 2 3 3 3" xfId="50363" xr:uid="{00000000-0005-0000-0000-0000EDBC0000}"/>
    <cellStyle name="Note 35 2 3 4" xfId="50364" xr:uid="{00000000-0005-0000-0000-0000EEBC0000}"/>
    <cellStyle name="Note 35 2 3 4 2" xfId="50365" xr:uid="{00000000-0005-0000-0000-0000EFBC0000}"/>
    <cellStyle name="Note 35 2 3 5" xfId="50366" xr:uid="{00000000-0005-0000-0000-0000F0BC0000}"/>
    <cellStyle name="Note 35 2 3 6" xfId="50367" xr:uid="{00000000-0005-0000-0000-0000F1BC0000}"/>
    <cellStyle name="Note 35 2 3 7" xfId="50368" xr:uid="{00000000-0005-0000-0000-0000F2BC0000}"/>
    <cellStyle name="Note 35 2 4" xfId="50369" xr:uid="{00000000-0005-0000-0000-0000F3BC0000}"/>
    <cellStyle name="Note 35 2 4 2" xfId="50370" xr:uid="{00000000-0005-0000-0000-0000F4BC0000}"/>
    <cellStyle name="Note 35 2 4 2 2" xfId="50371" xr:uid="{00000000-0005-0000-0000-0000F5BC0000}"/>
    <cellStyle name="Note 35 2 4 2 2 2" xfId="50372" xr:uid="{00000000-0005-0000-0000-0000F6BC0000}"/>
    <cellStyle name="Note 35 2 4 2 3" xfId="50373" xr:uid="{00000000-0005-0000-0000-0000F7BC0000}"/>
    <cellStyle name="Note 35 2 4 3" xfId="50374" xr:uid="{00000000-0005-0000-0000-0000F8BC0000}"/>
    <cellStyle name="Note 35 2 4 3 2" xfId="50375" xr:uid="{00000000-0005-0000-0000-0000F9BC0000}"/>
    <cellStyle name="Note 35 2 4 4" xfId="50376" xr:uid="{00000000-0005-0000-0000-0000FABC0000}"/>
    <cellStyle name="Note 35 2 4 5" xfId="50377" xr:uid="{00000000-0005-0000-0000-0000FBBC0000}"/>
    <cellStyle name="Note 35 2 4 6" xfId="50378" xr:uid="{00000000-0005-0000-0000-0000FCBC0000}"/>
    <cellStyle name="Note 35 2 5" xfId="50379" xr:uid="{00000000-0005-0000-0000-0000FDBC0000}"/>
    <cellStyle name="Note 35 2 5 2" xfId="50380" xr:uid="{00000000-0005-0000-0000-0000FEBC0000}"/>
    <cellStyle name="Note 35 2 5 2 2" xfId="50381" xr:uid="{00000000-0005-0000-0000-0000FFBC0000}"/>
    <cellStyle name="Note 35 2 5 3" xfId="50382" xr:uid="{00000000-0005-0000-0000-000000BD0000}"/>
    <cellStyle name="Note 35 2 6" xfId="50383" xr:uid="{00000000-0005-0000-0000-000001BD0000}"/>
    <cellStyle name="Note 35 2 6 2" xfId="50384" xr:uid="{00000000-0005-0000-0000-000002BD0000}"/>
    <cellStyle name="Note 35 2 6 2 2" xfId="50385" xr:uid="{00000000-0005-0000-0000-000003BD0000}"/>
    <cellStyle name="Note 35 2 6 3" xfId="50386" xr:uid="{00000000-0005-0000-0000-000004BD0000}"/>
    <cellStyle name="Note 35 2 7" xfId="50387" xr:uid="{00000000-0005-0000-0000-000005BD0000}"/>
    <cellStyle name="Note 35 2 7 2" xfId="50388" xr:uid="{00000000-0005-0000-0000-000006BD0000}"/>
    <cellStyle name="Note 35 2 8" xfId="50389" xr:uid="{00000000-0005-0000-0000-000007BD0000}"/>
    <cellStyle name="Note 35 2 9" xfId="50390" xr:uid="{00000000-0005-0000-0000-000008BD0000}"/>
    <cellStyle name="Note 35 3" xfId="50391" xr:uid="{00000000-0005-0000-0000-000009BD0000}"/>
    <cellStyle name="Note 35 3 2" xfId="50392" xr:uid="{00000000-0005-0000-0000-00000ABD0000}"/>
    <cellStyle name="Note 35 3 2 2" xfId="50393" xr:uid="{00000000-0005-0000-0000-00000BBD0000}"/>
    <cellStyle name="Note 35 3 2 2 2" xfId="50394" xr:uid="{00000000-0005-0000-0000-00000CBD0000}"/>
    <cellStyle name="Note 35 3 2 2 2 2" xfId="50395" xr:uid="{00000000-0005-0000-0000-00000DBD0000}"/>
    <cellStyle name="Note 35 3 2 2 3" xfId="50396" xr:uid="{00000000-0005-0000-0000-00000EBD0000}"/>
    <cellStyle name="Note 35 3 2 3" xfId="50397" xr:uid="{00000000-0005-0000-0000-00000FBD0000}"/>
    <cellStyle name="Note 35 3 2 3 2" xfId="50398" xr:uid="{00000000-0005-0000-0000-000010BD0000}"/>
    <cellStyle name="Note 35 3 2 4" xfId="50399" xr:uid="{00000000-0005-0000-0000-000011BD0000}"/>
    <cellStyle name="Note 35 3 2 5" xfId="50400" xr:uid="{00000000-0005-0000-0000-000012BD0000}"/>
    <cellStyle name="Note 35 3 2 6" xfId="50401" xr:uid="{00000000-0005-0000-0000-000013BD0000}"/>
    <cellStyle name="Note 35 3 3" xfId="50402" xr:uid="{00000000-0005-0000-0000-000014BD0000}"/>
    <cellStyle name="Note 35 3 3 2" xfId="50403" xr:uid="{00000000-0005-0000-0000-000015BD0000}"/>
    <cellStyle name="Note 35 3 3 2 2" xfId="50404" xr:uid="{00000000-0005-0000-0000-000016BD0000}"/>
    <cellStyle name="Note 35 3 3 3" xfId="50405" xr:uid="{00000000-0005-0000-0000-000017BD0000}"/>
    <cellStyle name="Note 35 3 4" xfId="50406" xr:uid="{00000000-0005-0000-0000-000018BD0000}"/>
    <cellStyle name="Note 35 3 4 2" xfId="50407" xr:uid="{00000000-0005-0000-0000-000019BD0000}"/>
    <cellStyle name="Note 35 3 5" xfId="50408" xr:uid="{00000000-0005-0000-0000-00001ABD0000}"/>
    <cellStyle name="Note 35 3 6" xfId="50409" xr:uid="{00000000-0005-0000-0000-00001BBD0000}"/>
    <cellStyle name="Note 35 3 7" xfId="50410" xr:uid="{00000000-0005-0000-0000-00001CBD0000}"/>
    <cellStyle name="Note 35 4" xfId="50411" xr:uid="{00000000-0005-0000-0000-00001DBD0000}"/>
    <cellStyle name="Note 35 4 2" xfId="50412" xr:uid="{00000000-0005-0000-0000-00001EBD0000}"/>
    <cellStyle name="Note 35 4 2 2" xfId="50413" xr:uid="{00000000-0005-0000-0000-00001FBD0000}"/>
    <cellStyle name="Note 35 4 2 2 2" xfId="50414" xr:uid="{00000000-0005-0000-0000-000020BD0000}"/>
    <cellStyle name="Note 35 4 2 2 2 2" xfId="50415" xr:uid="{00000000-0005-0000-0000-000021BD0000}"/>
    <cellStyle name="Note 35 4 2 2 3" xfId="50416" xr:uid="{00000000-0005-0000-0000-000022BD0000}"/>
    <cellStyle name="Note 35 4 2 3" xfId="50417" xr:uid="{00000000-0005-0000-0000-000023BD0000}"/>
    <cellStyle name="Note 35 4 2 3 2" xfId="50418" xr:uid="{00000000-0005-0000-0000-000024BD0000}"/>
    <cellStyle name="Note 35 4 2 4" xfId="50419" xr:uid="{00000000-0005-0000-0000-000025BD0000}"/>
    <cellStyle name="Note 35 4 2 5" xfId="50420" xr:uid="{00000000-0005-0000-0000-000026BD0000}"/>
    <cellStyle name="Note 35 4 2 6" xfId="50421" xr:uid="{00000000-0005-0000-0000-000027BD0000}"/>
    <cellStyle name="Note 35 4 3" xfId="50422" xr:uid="{00000000-0005-0000-0000-000028BD0000}"/>
    <cellStyle name="Note 35 4 3 2" xfId="50423" xr:uid="{00000000-0005-0000-0000-000029BD0000}"/>
    <cellStyle name="Note 35 4 3 2 2" xfId="50424" xr:uid="{00000000-0005-0000-0000-00002ABD0000}"/>
    <cellStyle name="Note 35 4 3 3" xfId="50425" xr:uid="{00000000-0005-0000-0000-00002BBD0000}"/>
    <cellStyle name="Note 35 4 4" xfId="50426" xr:uid="{00000000-0005-0000-0000-00002CBD0000}"/>
    <cellStyle name="Note 35 4 4 2" xfId="50427" xr:uid="{00000000-0005-0000-0000-00002DBD0000}"/>
    <cellStyle name="Note 35 4 5" xfId="50428" xr:uid="{00000000-0005-0000-0000-00002EBD0000}"/>
    <cellStyle name="Note 35 4 6" xfId="50429" xr:uid="{00000000-0005-0000-0000-00002FBD0000}"/>
    <cellStyle name="Note 35 4 7" xfId="50430" xr:uid="{00000000-0005-0000-0000-000030BD0000}"/>
    <cellStyle name="Note 35 5" xfId="50431" xr:uid="{00000000-0005-0000-0000-000031BD0000}"/>
    <cellStyle name="Note 35 5 2" xfId="50432" xr:uid="{00000000-0005-0000-0000-000032BD0000}"/>
    <cellStyle name="Note 35 5 2 2" xfId="50433" xr:uid="{00000000-0005-0000-0000-000033BD0000}"/>
    <cellStyle name="Note 35 5 2 2 2" xfId="50434" xr:uid="{00000000-0005-0000-0000-000034BD0000}"/>
    <cellStyle name="Note 35 5 2 3" xfId="50435" xr:uid="{00000000-0005-0000-0000-000035BD0000}"/>
    <cellStyle name="Note 35 5 3" xfId="50436" xr:uid="{00000000-0005-0000-0000-000036BD0000}"/>
    <cellStyle name="Note 35 5 3 2" xfId="50437" xr:uid="{00000000-0005-0000-0000-000037BD0000}"/>
    <cellStyle name="Note 35 5 4" xfId="50438" xr:uid="{00000000-0005-0000-0000-000038BD0000}"/>
    <cellStyle name="Note 35 5 5" xfId="50439" xr:uid="{00000000-0005-0000-0000-000039BD0000}"/>
    <cellStyle name="Note 35 5 6" xfId="50440" xr:uid="{00000000-0005-0000-0000-00003ABD0000}"/>
    <cellStyle name="Note 35 6" xfId="50441" xr:uid="{00000000-0005-0000-0000-00003BBD0000}"/>
    <cellStyle name="Note 35 6 2" xfId="50442" xr:uid="{00000000-0005-0000-0000-00003CBD0000}"/>
    <cellStyle name="Note 35 6 2 2" xfId="50443" xr:uid="{00000000-0005-0000-0000-00003DBD0000}"/>
    <cellStyle name="Note 35 6 3" xfId="50444" xr:uid="{00000000-0005-0000-0000-00003EBD0000}"/>
    <cellStyle name="Note 35 7" xfId="50445" xr:uid="{00000000-0005-0000-0000-00003FBD0000}"/>
    <cellStyle name="Note 35 7 2" xfId="50446" xr:uid="{00000000-0005-0000-0000-000040BD0000}"/>
    <cellStyle name="Note 35 7 2 2" xfId="50447" xr:uid="{00000000-0005-0000-0000-000041BD0000}"/>
    <cellStyle name="Note 35 7 3" xfId="50448" xr:uid="{00000000-0005-0000-0000-000042BD0000}"/>
    <cellStyle name="Note 35 8" xfId="50449" xr:uid="{00000000-0005-0000-0000-000043BD0000}"/>
    <cellStyle name="Note 35 8 2" xfId="50450" xr:uid="{00000000-0005-0000-0000-000044BD0000}"/>
    <cellStyle name="Note 35 8 2 2" xfId="50451" xr:uid="{00000000-0005-0000-0000-000045BD0000}"/>
    <cellStyle name="Note 35 8 3" xfId="50452" xr:uid="{00000000-0005-0000-0000-000046BD0000}"/>
    <cellStyle name="Note 35 9" xfId="50453" xr:uid="{00000000-0005-0000-0000-000047BD0000}"/>
    <cellStyle name="Note 35 9 2" xfId="50454" xr:uid="{00000000-0005-0000-0000-000048BD0000}"/>
    <cellStyle name="Note 36" xfId="50455" xr:uid="{00000000-0005-0000-0000-000049BD0000}"/>
    <cellStyle name="Note 36 2" xfId="50456" xr:uid="{00000000-0005-0000-0000-00004ABD0000}"/>
    <cellStyle name="Note 36 2 2" xfId="50457" xr:uid="{00000000-0005-0000-0000-00004BBD0000}"/>
    <cellStyle name="Note 36 2 2 2" xfId="50458" xr:uid="{00000000-0005-0000-0000-00004CBD0000}"/>
    <cellStyle name="Note 36 2 2 2 2" xfId="50459" xr:uid="{00000000-0005-0000-0000-00004DBD0000}"/>
    <cellStyle name="Note 36 2 2 2 2 2" xfId="50460" xr:uid="{00000000-0005-0000-0000-00004EBD0000}"/>
    <cellStyle name="Note 36 2 2 2 3" xfId="50461" xr:uid="{00000000-0005-0000-0000-00004FBD0000}"/>
    <cellStyle name="Note 36 2 2 3" xfId="50462" xr:uid="{00000000-0005-0000-0000-000050BD0000}"/>
    <cellStyle name="Note 36 2 2 3 2" xfId="50463" xr:uid="{00000000-0005-0000-0000-000051BD0000}"/>
    <cellStyle name="Note 36 2 2 4" xfId="50464" xr:uid="{00000000-0005-0000-0000-000052BD0000}"/>
    <cellStyle name="Note 36 2 2 5" xfId="50465" xr:uid="{00000000-0005-0000-0000-000053BD0000}"/>
    <cellStyle name="Note 36 2 2 6" xfId="50466" xr:uid="{00000000-0005-0000-0000-000054BD0000}"/>
    <cellStyle name="Note 36 2 3" xfId="50467" xr:uid="{00000000-0005-0000-0000-000055BD0000}"/>
    <cellStyle name="Note 36 2 3 2" xfId="50468" xr:uid="{00000000-0005-0000-0000-000056BD0000}"/>
    <cellStyle name="Note 36 2 3 2 2" xfId="50469" xr:uid="{00000000-0005-0000-0000-000057BD0000}"/>
    <cellStyle name="Note 36 2 3 3" xfId="50470" xr:uid="{00000000-0005-0000-0000-000058BD0000}"/>
    <cellStyle name="Note 36 2 4" xfId="50471" xr:uid="{00000000-0005-0000-0000-000059BD0000}"/>
    <cellStyle name="Note 36 2 4 2" xfId="50472" xr:uid="{00000000-0005-0000-0000-00005ABD0000}"/>
    <cellStyle name="Note 36 2 5" xfId="50473" xr:uid="{00000000-0005-0000-0000-00005BBD0000}"/>
    <cellStyle name="Note 36 2 6" xfId="50474" xr:uid="{00000000-0005-0000-0000-00005CBD0000}"/>
    <cellStyle name="Note 36 2 7" xfId="50475" xr:uid="{00000000-0005-0000-0000-00005DBD0000}"/>
    <cellStyle name="Note 36 3" xfId="50476" xr:uid="{00000000-0005-0000-0000-00005EBD0000}"/>
    <cellStyle name="Note 36 3 2" xfId="50477" xr:uid="{00000000-0005-0000-0000-00005FBD0000}"/>
    <cellStyle name="Note 36 3 2 2" xfId="50478" xr:uid="{00000000-0005-0000-0000-000060BD0000}"/>
    <cellStyle name="Note 36 3 2 2 2" xfId="50479" xr:uid="{00000000-0005-0000-0000-000061BD0000}"/>
    <cellStyle name="Note 36 3 2 2 2 2" xfId="50480" xr:uid="{00000000-0005-0000-0000-000062BD0000}"/>
    <cellStyle name="Note 36 3 2 2 3" xfId="50481" xr:uid="{00000000-0005-0000-0000-000063BD0000}"/>
    <cellStyle name="Note 36 3 2 3" xfId="50482" xr:uid="{00000000-0005-0000-0000-000064BD0000}"/>
    <cellStyle name="Note 36 3 2 3 2" xfId="50483" xr:uid="{00000000-0005-0000-0000-000065BD0000}"/>
    <cellStyle name="Note 36 3 2 4" xfId="50484" xr:uid="{00000000-0005-0000-0000-000066BD0000}"/>
    <cellStyle name="Note 36 3 2 5" xfId="50485" xr:uid="{00000000-0005-0000-0000-000067BD0000}"/>
    <cellStyle name="Note 36 3 2 6" xfId="50486" xr:uid="{00000000-0005-0000-0000-000068BD0000}"/>
    <cellStyle name="Note 36 3 3" xfId="50487" xr:uid="{00000000-0005-0000-0000-000069BD0000}"/>
    <cellStyle name="Note 36 3 3 2" xfId="50488" xr:uid="{00000000-0005-0000-0000-00006ABD0000}"/>
    <cellStyle name="Note 36 3 3 2 2" xfId="50489" xr:uid="{00000000-0005-0000-0000-00006BBD0000}"/>
    <cellStyle name="Note 36 3 3 3" xfId="50490" xr:uid="{00000000-0005-0000-0000-00006CBD0000}"/>
    <cellStyle name="Note 36 3 4" xfId="50491" xr:uid="{00000000-0005-0000-0000-00006DBD0000}"/>
    <cellStyle name="Note 36 3 4 2" xfId="50492" xr:uid="{00000000-0005-0000-0000-00006EBD0000}"/>
    <cellStyle name="Note 36 3 5" xfId="50493" xr:uid="{00000000-0005-0000-0000-00006FBD0000}"/>
    <cellStyle name="Note 36 3 6" xfId="50494" xr:uid="{00000000-0005-0000-0000-000070BD0000}"/>
    <cellStyle name="Note 36 3 7" xfId="50495" xr:uid="{00000000-0005-0000-0000-000071BD0000}"/>
    <cellStyle name="Note 36 4" xfId="50496" xr:uid="{00000000-0005-0000-0000-000072BD0000}"/>
    <cellStyle name="Note 36 4 2" xfId="50497" xr:uid="{00000000-0005-0000-0000-000073BD0000}"/>
    <cellStyle name="Note 36 4 2 2" xfId="50498" xr:uid="{00000000-0005-0000-0000-000074BD0000}"/>
    <cellStyle name="Note 36 4 2 2 2" xfId="50499" xr:uid="{00000000-0005-0000-0000-000075BD0000}"/>
    <cellStyle name="Note 36 4 2 3" xfId="50500" xr:uid="{00000000-0005-0000-0000-000076BD0000}"/>
    <cellStyle name="Note 36 4 3" xfId="50501" xr:uid="{00000000-0005-0000-0000-000077BD0000}"/>
    <cellStyle name="Note 36 4 3 2" xfId="50502" xr:uid="{00000000-0005-0000-0000-000078BD0000}"/>
    <cellStyle name="Note 36 4 4" xfId="50503" xr:uid="{00000000-0005-0000-0000-000079BD0000}"/>
    <cellStyle name="Note 36 5" xfId="50504" xr:uid="{00000000-0005-0000-0000-00007ABD0000}"/>
    <cellStyle name="Note 36 5 2" xfId="50505" xr:uid="{00000000-0005-0000-0000-00007BBD0000}"/>
    <cellStyle name="Note 36 5 2 2" xfId="50506" xr:uid="{00000000-0005-0000-0000-00007CBD0000}"/>
    <cellStyle name="Note 36 5 2 2 2" xfId="50507" xr:uid="{00000000-0005-0000-0000-00007DBD0000}"/>
    <cellStyle name="Note 36 5 2 3" xfId="50508" xr:uid="{00000000-0005-0000-0000-00007EBD0000}"/>
    <cellStyle name="Note 36 5 3" xfId="50509" xr:uid="{00000000-0005-0000-0000-00007FBD0000}"/>
    <cellStyle name="Note 36 5 3 2" xfId="50510" xr:uid="{00000000-0005-0000-0000-000080BD0000}"/>
    <cellStyle name="Note 36 5 4" xfId="50511" xr:uid="{00000000-0005-0000-0000-000081BD0000}"/>
    <cellStyle name="Note 36 6" xfId="50512" xr:uid="{00000000-0005-0000-0000-000082BD0000}"/>
    <cellStyle name="Note 36 6 2" xfId="50513" xr:uid="{00000000-0005-0000-0000-000083BD0000}"/>
    <cellStyle name="Note 36 6 2 2" xfId="50514" xr:uid="{00000000-0005-0000-0000-000084BD0000}"/>
    <cellStyle name="Note 36 6 2 2 2" xfId="50515" xr:uid="{00000000-0005-0000-0000-000085BD0000}"/>
    <cellStyle name="Note 36 6 2 3" xfId="50516" xr:uid="{00000000-0005-0000-0000-000086BD0000}"/>
    <cellStyle name="Note 36 6 3" xfId="50517" xr:uid="{00000000-0005-0000-0000-000087BD0000}"/>
    <cellStyle name="Note 36 6 3 2" xfId="50518" xr:uid="{00000000-0005-0000-0000-000088BD0000}"/>
    <cellStyle name="Note 36 6 4" xfId="50519" xr:uid="{00000000-0005-0000-0000-000089BD0000}"/>
    <cellStyle name="Note 36 7" xfId="50520" xr:uid="{00000000-0005-0000-0000-00008ABD0000}"/>
    <cellStyle name="Note 37" xfId="50521" xr:uid="{00000000-0005-0000-0000-00008BBD0000}"/>
    <cellStyle name="Note 37 2" xfId="50522" xr:uid="{00000000-0005-0000-0000-00008CBD0000}"/>
    <cellStyle name="Note 37 2 2" xfId="50523" xr:uid="{00000000-0005-0000-0000-00008DBD0000}"/>
    <cellStyle name="Note 37 2 2 2" xfId="50524" xr:uid="{00000000-0005-0000-0000-00008EBD0000}"/>
    <cellStyle name="Note 37 2 3" xfId="50525" xr:uid="{00000000-0005-0000-0000-00008FBD0000}"/>
    <cellStyle name="Note 37 3" xfId="50526" xr:uid="{00000000-0005-0000-0000-000090BD0000}"/>
    <cellStyle name="Note 37 3 2" xfId="50527" xr:uid="{00000000-0005-0000-0000-000091BD0000}"/>
    <cellStyle name="Note 37 4" xfId="50528" xr:uid="{00000000-0005-0000-0000-000092BD0000}"/>
    <cellStyle name="Note 37 5" xfId="50529" xr:uid="{00000000-0005-0000-0000-000093BD0000}"/>
    <cellStyle name="Note 37 6" xfId="50530" xr:uid="{00000000-0005-0000-0000-000094BD0000}"/>
    <cellStyle name="Note 38" xfId="50531" xr:uid="{00000000-0005-0000-0000-000095BD0000}"/>
    <cellStyle name="Note 38 2" xfId="50532" xr:uid="{00000000-0005-0000-0000-000096BD0000}"/>
    <cellStyle name="Note 4" xfId="1688" xr:uid="{00000000-0005-0000-0000-000097BD0000}"/>
    <cellStyle name="Note 4 10" xfId="50533" xr:uid="{00000000-0005-0000-0000-000098BD0000}"/>
    <cellStyle name="Note 4 10 2" xfId="50534" xr:uid="{00000000-0005-0000-0000-000099BD0000}"/>
    <cellStyle name="Note 4 11" xfId="50535" xr:uid="{00000000-0005-0000-0000-00009ABD0000}"/>
    <cellStyle name="Note 4 11 2" xfId="50536" xr:uid="{00000000-0005-0000-0000-00009BBD0000}"/>
    <cellStyle name="Note 4 11 2 2" xfId="50537" xr:uid="{00000000-0005-0000-0000-00009CBD0000}"/>
    <cellStyle name="Note 4 11 2 2 2" xfId="50538" xr:uid="{00000000-0005-0000-0000-00009DBD0000}"/>
    <cellStyle name="Note 4 11 2 2 2 2" xfId="50539" xr:uid="{00000000-0005-0000-0000-00009EBD0000}"/>
    <cellStyle name="Note 4 11 2 2 2 2 2" xfId="50540" xr:uid="{00000000-0005-0000-0000-00009FBD0000}"/>
    <cellStyle name="Note 4 11 2 2 2 3" xfId="50541" xr:uid="{00000000-0005-0000-0000-0000A0BD0000}"/>
    <cellStyle name="Note 4 11 2 2 3" xfId="50542" xr:uid="{00000000-0005-0000-0000-0000A1BD0000}"/>
    <cellStyle name="Note 4 11 2 2 3 2" xfId="50543" xr:uid="{00000000-0005-0000-0000-0000A2BD0000}"/>
    <cellStyle name="Note 4 11 2 2 4" xfId="50544" xr:uid="{00000000-0005-0000-0000-0000A3BD0000}"/>
    <cellStyle name="Note 4 11 2 2 5" xfId="50545" xr:uid="{00000000-0005-0000-0000-0000A4BD0000}"/>
    <cellStyle name="Note 4 11 2 2 6" xfId="50546" xr:uid="{00000000-0005-0000-0000-0000A5BD0000}"/>
    <cellStyle name="Note 4 11 2 3" xfId="50547" xr:uid="{00000000-0005-0000-0000-0000A6BD0000}"/>
    <cellStyle name="Note 4 11 2 3 2" xfId="50548" xr:uid="{00000000-0005-0000-0000-0000A7BD0000}"/>
    <cellStyle name="Note 4 11 2 3 2 2" xfId="50549" xr:uid="{00000000-0005-0000-0000-0000A8BD0000}"/>
    <cellStyle name="Note 4 11 2 3 3" xfId="50550" xr:uid="{00000000-0005-0000-0000-0000A9BD0000}"/>
    <cellStyle name="Note 4 11 2 4" xfId="50551" xr:uid="{00000000-0005-0000-0000-0000AABD0000}"/>
    <cellStyle name="Note 4 11 2 4 2" xfId="50552" xr:uid="{00000000-0005-0000-0000-0000ABBD0000}"/>
    <cellStyle name="Note 4 11 2 5" xfId="50553" xr:uid="{00000000-0005-0000-0000-0000ACBD0000}"/>
    <cellStyle name="Note 4 11 2 6" xfId="50554" xr:uid="{00000000-0005-0000-0000-0000ADBD0000}"/>
    <cellStyle name="Note 4 11 2 7" xfId="50555" xr:uid="{00000000-0005-0000-0000-0000AEBD0000}"/>
    <cellStyle name="Note 4 11 3" xfId="50556" xr:uid="{00000000-0005-0000-0000-0000AFBD0000}"/>
    <cellStyle name="Note 4 11 3 2" xfId="50557" xr:uid="{00000000-0005-0000-0000-0000B0BD0000}"/>
    <cellStyle name="Note 4 11 3 2 2" xfId="50558" xr:uid="{00000000-0005-0000-0000-0000B1BD0000}"/>
    <cellStyle name="Note 4 11 3 2 2 2" xfId="50559" xr:uid="{00000000-0005-0000-0000-0000B2BD0000}"/>
    <cellStyle name="Note 4 11 3 2 3" xfId="50560" xr:uid="{00000000-0005-0000-0000-0000B3BD0000}"/>
    <cellStyle name="Note 4 11 3 3" xfId="50561" xr:uid="{00000000-0005-0000-0000-0000B4BD0000}"/>
    <cellStyle name="Note 4 11 3 3 2" xfId="50562" xr:uid="{00000000-0005-0000-0000-0000B5BD0000}"/>
    <cellStyle name="Note 4 11 3 4" xfId="50563" xr:uid="{00000000-0005-0000-0000-0000B6BD0000}"/>
    <cellStyle name="Note 4 11 3 5" xfId="50564" xr:uid="{00000000-0005-0000-0000-0000B7BD0000}"/>
    <cellStyle name="Note 4 11 3 6" xfId="50565" xr:uid="{00000000-0005-0000-0000-0000B8BD0000}"/>
    <cellStyle name="Note 4 11 4" xfId="50566" xr:uid="{00000000-0005-0000-0000-0000B9BD0000}"/>
    <cellStyle name="Note 4 11 4 2" xfId="50567" xr:uid="{00000000-0005-0000-0000-0000BABD0000}"/>
    <cellStyle name="Note 4 11 4 2 2" xfId="50568" xr:uid="{00000000-0005-0000-0000-0000BBBD0000}"/>
    <cellStyle name="Note 4 11 4 3" xfId="50569" xr:uid="{00000000-0005-0000-0000-0000BCBD0000}"/>
    <cellStyle name="Note 4 11 5" xfId="50570" xr:uid="{00000000-0005-0000-0000-0000BDBD0000}"/>
    <cellStyle name="Note 4 11 5 2" xfId="50571" xr:uid="{00000000-0005-0000-0000-0000BEBD0000}"/>
    <cellStyle name="Note 4 11 5 2 2" xfId="50572" xr:uid="{00000000-0005-0000-0000-0000BFBD0000}"/>
    <cellStyle name="Note 4 11 5 3" xfId="50573" xr:uid="{00000000-0005-0000-0000-0000C0BD0000}"/>
    <cellStyle name="Note 4 11 6" xfId="50574" xr:uid="{00000000-0005-0000-0000-0000C1BD0000}"/>
    <cellStyle name="Note 4 11 6 2" xfId="50575" xr:uid="{00000000-0005-0000-0000-0000C2BD0000}"/>
    <cellStyle name="Note 4 11 7" xfId="50576" xr:uid="{00000000-0005-0000-0000-0000C3BD0000}"/>
    <cellStyle name="Note 4 11 8" xfId="50577" xr:uid="{00000000-0005-0000-0000-0000C4BD0000}"/>
    <cellStyle name="Note 4 11 9" xfId="50578" xr:uid="{00000000-0005-0000-0000-0000C5BD0000}"/>
    <cellStyle name="Note 4 12" xfId="50579" xr:uid="{00000000-0005-0000-0000-0000C6BD0000}"/>
    <cellStyle name="Note 4 12 2" xfId="50580" xr:uid="{00000000-0005-0000-0000-0000C7BD0000}"/>
    <cellStyle name="Note 4 12 2 2" xfId="50581" xr:uid="{00000000-0005-0000-0000-0000C8BD0000}"/>
    <cellStyle name="Note 4 12 3" xfId="50582" xr:uid="{00000000-0005-0000-0000-0000C9BD0000}"/>
    <cellStyle name="Note 4 2" xfId="50583" xr:uid="{00000000-0005-0000-0000-0000CABD0000}"/>
    <cellStyle name="Note 4 2 2" xfId="50584" xr:uid="{00000000-0005-0000-0000-0000CBBD0000}"/>
    <cellStyle name="Note 4 2 2 2" xfId="50585" xr:uid="{00000000-0005-0000-0000-0000CCBD0000}"/>
    <cellStyle name="Note 4 2 2 2 2" xfId="50586" xr:uid="{00000000-0005-0000-0000-0000CDBD0000}"/>
    <cellStyle name="Note 4 2 2 2 2 2" xfId="50587" xr:uid="{00000000-0005-0000-0000-0000CEBD0000}"/>
    <cellStyle name="Note 4 2 2 2 2 2 2" xfId="50588" xr:uid="{00000000-0005-0000-0000-0000CFBD0000}"/>
    <cellStyle name="Note 4 2 2 2 2 3" xfId="50589" xr:uid="{00000000-0005-0000-0000-0000D0BD0000}"/>
    <cellStyle name="Note 4 2 2 2 3" xfId="50590" xr:uid="{00000000-0005-0000-0000-0000D1BD0000}"/>
    <cellStyle name="Note 4 2 2 2 3 2" xfId="50591" xr:uid="{00000000-0005-0000-0000-0000D2BD0000}"/>
    <cellStyle name="Note 4 2 2 2 4" xfId="50592" xr:uid="{00000000-0005-0000-0000-0000D3BD0000}"/>
    <cellStyle name="Note 4 2 2 3" xfId="50593" xr:uid="{00000000-0005-0000-0000-0000D4BD0000}"/>
    <cellStyle name="Note 4 2 2 3 2" xfId="50594" xr:uid="{00000000-0005-0000-0000-0000D5BD0000}"/>
    <cellStyle name="Note 4 2 2 3 2 2" xfId="50595" xr:uid="{00000000-0005-0000-0000-0000D6BD0000}"/>
    <cellStyle name="Note 4 2 2 3 2 2 2" xfId="50596" xr:uid="{00000000-0005-0000-0000-0000D7BD0000}"/>
    <cellStyle name="Note 4 2 2 3 2 3" xfId="50597" xr:uid="{00000000-0005-0000-0000-0000D8BD0000}"/>
    <cellStyle name="Note 4 2 2 3 3" xfId="50598" xr:uid="{00000000-0005-0000-0000-0000D9BD0000}"/>
    <cellStyle name="Note 4 2 2 3 3 2" xfId="50599" xr:uid="{00000000-0005-0000-0000-0000DABD0000}"/>
    <cellStyle name="Note 4 2 2 3 4" xfId="50600" xr:uid="{00000000-0005-0000-0000-0000DBBD0000}"/>
    <cellStyle name="Note 4 2 2 4" xfId="50601" xr:uid="{00000000-0005-0000-0000-0000DCBD0000}"/>
    <cellStyle name="Note 4 2 2 4 2" xfId="50602" xr:uid="{00000000-0005-0000-0000-0000DDBD0000}"/>
    <cellStyle name="Note 4 2 2 4 2 2" xfId="50603" xr:uid="{00000000-0005-0000-0000-0000DEBD0000}"/>
    <cellStyle name="Note 4 2 2 4 3" xfId="50604" xr:uid="{00000000-0005-0000-0000-0000DFBD0000}"/>
    <cellStyle name="Note 4 2 2 5" xfId="50605" xr:uid="{00000000-0005-0000-0000-0000E0BD0000}"/>
    <cellStyle name="Note 4 2 2 5 2" xfId="50606" xr:uid="{00000000-0005-0000-0000-0000E1BD0000}"/>
    <cellStyle name="Note 4 2 2 6" xfId="50607" xr:uid="{00000000-0005-0000-0000-0000E2BD0000}"/>
    <cellStyle name="Note 4 2 3" xfId="50608" xr:uid="{00000000-0005-0000-0000-0000E3BD0000}"/>
    <cellStyle name="Note 4 2 3 2" xfId="50609" xr:uid="{00000000-0005-0000-0000-0000E4BD0000}"/>
    <cellStyle name="Note 4 2 3 2 2" xfId="50610" xr:uid="{00000000-0005-0000-0000-0000E5BD0000}"/>
    <cellStyle name="Note 4 2 3 2 2 2" xfId="50611" xr:uid="{00000000-0005-0000-0000-0000E6BD0000}"/>
    <cellStyle name="Note 4 2 3 2 3" xfId="50612" xr:uid="{00000000-0005-0000-0000-0000E7BD0000}"/>
    <cellStyle name="Note 4 2 3 3" xfId="50613" xr:uid="{00000000-0005-0000-0000-0000E8BD0000}"/>
    <cellStyle name="Note 4 2 3 3 2" xfId="50614" xr:uid="{00000000-0005-0000-0000-0000E9BD0000}"/>
    <cellStyle name="Note 4 2 3 4" xfId="50615" xr:uid="{00000000-0005-0000-0000-0000EABD0000}"/>
    <cellStyle name="Note 4 2 4" xfId="50616" xr:uid="{00000000-0005-0000-0000-0000EBBD0000}"/>
    <cellStyle name="Note 4 2 4 2" xfId="50617" xr:uid="{00000000-0005-0000-0000-0000ECBD0000}"/>
    <cellStyle name="Note 4 2 4 2 2" xfId="50618" xr:uid="{00000000-0005-0000-0000-0000EDBD0000}"/>
    <cellStyle name="Note 4 2 4 2 2 2" xfId="50619" xr:uid="{00000000-0005-0000-0000-0000EEBD0000}"/>
    <cellStyle name="Note 4 2 4 2 3" xfId="50620" xr:uid="{00000000-0005-0000-0000-0000EFBD0000}"/>
    <cellStyle name="Note 4 2 4 3" xfId="50621" xr:uid="{00000000-0005-0000-0000-0000F0BD0000}"/>
    <cellStyle name="Note 4 2 4 3 2" xfId="50622" xr:uid="{00000000-0005-0000-0000-0000F1BD0000}"/>
    <cellStyle name="Note 4 2 4 4" xfId="50623" xr:uid="{00000000-0005-0000-0000-0000F2BD0000}"/>
    <cellStyle name="Note 4 2 5" xfId="50624" xr:uid="{00000000-0005-0000-0000-0000F3BD0000}"/>
    <cellStyle name="Note 4 2 5 2" xfId="50625" xr:uid="{00000000-0005-0000-0000-0000F4BD0000}"/>
    <cellStyle name="Note 4 2 5 2 2" xfId="50626" xr:uid="{00000000-0005-0000-0000-0000F5BD0000}"/>
    <cellStyle name="Note 4 2 5 2 2 2" xfId="50627" xr:uid="{00000000-0005-0000-0000-0000F6BD0000}"/>
    <cellStyle name="Note 4 2 5 2 3" xfId="50628" xr:uid="{00000000-0005-0000-0000-0000F7BD0000}"/>
    <cellStyle name="Note 4 2 5 3" xfId="50629" xr:uid="{00000000-0005-0000-0000-0000F8BD0000}"/>
    <cellStyle name="Note 4 2 5 3 2" xfId="50630" xr:uid="{00000000-0005-0000-0000-0000F9BD0000}"/>
    <cellStyle name="Note 4 2 5 4" xfId="50631" xr:uid="{00000000-0005-0000-0000-0000FABD0000}"/>
    <cellStyle name="Note 4 3" xfId="50632" xr:uid="{00000000-0005-0000-0000-0000FBBD0000}"/>
    <cellStyle name="Note 4 3 2" xfId="50633" xr:uid="{00000000-0005-0000-0000-0000FCBD0000}"/>
    <cellStyle name="Note 4 4" xfId="50634" xr:uid="{00000000-0005-0000-0000-0000FDBD0000}"/>
    <cellStyle name="Note 4 4 2" xfId="50635" xr:uid="{00000000-0005-0000-0000-0000FEBD0000}"/>
    <cellStyle name="Note 4 5" xfId="50636" xr:uid="{00000000-0005-0000-0000-0000FFBD0000}"/>
    <cellStyle name="Note 4 5 2" xfId="50637" xr:uid="{00000000-0005-0000-0000-000000BE0000}"/>
    <cellStyle name="Note 4 5 2 2" xfId="50638" xr:uid="{00000000-0005-0000-0000-000001BE0000}"/>
    <cellStyle name="Note 4 5 2 2 2" xfId="50639" xr:uid="{00000000-0005-0000-0000-000002BE0000}"/>
    <cellStyle name="Note 4 5 2 2 2 2" xfId="50640" xr:uid="{00000000-0005-0000-0000-000003BE0000}"/>
    <cellStyle name="Note 4 5 2 2 3" xfId="50641" xr:uid="{00000000-0005-0000-0000-000004BE0000}"/>
    <cellStyle name="Note 4 5 2 3" xfId="50642" xr:uid="{00000000-0005-0000-0000-000005BE0000}"/>
    <cellStyle name="Note 4 5 2 3 2" xfId="50643" xr:uid="{00000000-0005-0000-0000-000006BE0000}"/>
    <cellStyle name="Note 4 5 2 4" xfId="50644" xr:uid="{00000000-0005-0000-0000-000007BE0000}"/>
    <cellStyle name="Note 4 5 3" xfId="50645" xr:uid="{00000000-0005-0000-0000-000008BE0000}"/>
    <cellStyle name="Note 4 5 3 2" xfId="50646" xr:uid="{00000000-0005-0000-0000-000009BE0000}"/>
    <cellStyle name="Note 4 5 3 2 2" xfId="50647" xr:uid="{00000000-0005-0000-0000-00000ABE0000}"/>
    <cellStyle name="Note 4 5 3 2 2 2" xfId="50648" xr:uid="{00000000-0005-0000-0000-00000BBE0000}"/>
    <cellStyle name="Note 4 5 3 2 3" xfId="50649" xr:uid="{00000000-0005-0000-0000-00000CBE0000}"/>
    <cellStyle name="Note 4 5 3 3" xfId="50650" xr:uid="{00000000-0005-0000-0000-00000DBE0000}"/>
    <cellStyle name="Note 4 5 3 3 2" xfId="50651" xr:uid="{00000000-0005-0000-0000-00000EBE0000}"/>
    <cellStyle name="Note 4 5 3 4" xfId="50652" xr:uid="{00000000-0005-0000-0000-00000FBE0000}"/>
    <cellStyle name="Note 4 5 4" xfId="50653" xr:uid="{00000000-0005-0000-0000-000010BE0000}"/>
    <cellStyle name="Note 4 5 4 2" xfId="50654" xr:uid="{00000000-0005-0000-0000-000011BE0000}"/>
    <cellStyle name="Note 4 5 4 2 2" xfId="50655" xr:uid="{00000000-0005-0000-0000-000012BE0000}"/>
    <cellStyle name="Note 4 5 4 2 2 2" xfId="50656" xr:uid="{00000000-0005-0000-0000-000013BE0000}"/>
    <cellStyle name="Note 4 5 4 2 3" xfId="50657" xr:uid="{00000000-0005-0000-0000-000014BE0000}"/>
    <cellStyle name="Note 4 5 4 3" xfId="50658" xr:uid="{00000000-0005-0000-0000-000015BE0000}"/>
    <cellStyle name="Note 4 5 4 3 2" xfId="50659" xr:uid="{00000000-0005-0000-0000-000016BE0000}"/>
    <cellStyle name="Note 4 5 4 4" xfId="50660" xr:uid="{00000000-0005-0000-0000-000017BE0000}"/>
    <cellStyle name="Note 4 6" xfId="50661" xr:uid="{00000000-0005-0000-0000-000018BE0000}"/>
    <cellStyle name="Note 4 6 2" xfId="50662" xr:uid="{00000000-0005-0000-0000-000019BE0000}"/>
    <cellStyle name="Note 4 7" xfId="50663" xr:uid="{00000000-0005-0000-0000-00001ABE0000}"/>
    <cellStyle name="Note 4 7 2" xfId="50664" xr:uid="{00000000-0005-0000-0000-00001BBE0000}"/>
    <cellStyle name="Note 4 8" xfId="50665" xr:uid="{00000000-0005-0000-0000-00001CBE0000}"/>
    <cellStyle name="Note 4 8 2" xfId="50666" xr:uid="{00000000-0005-0000-0000-00001DBE0000}"/>
    <cellStyle name="Note 4 9" xfId="50667" xr:uid="{00000000-0005-0000-0000-00001EBE0000}"/>
    <cellStyle name="Note 4 9 2" xfId="50668" xr:uid="{00000000-0005-0000-0000-00001FBE0000}"/>
    <cellStyle name="Note 5" xfId="1689" xr:uid="{00000000-0005-0000-0000-000020BE0000}"/>
    <cellStyle name="Note 5 10" xfId="50669" xr:uid="{00000000-0005-0000-0000-000021BE0000}"/>
    <cellStyle name="Note 5 10 2" xfId="50670" xr:uid="{00000000-0005-0000-0000-000022BE0000}"/>
    <cellStyle name="Note 5 11" xfId="50671" xr:uid="{00000000-0005-0000-0000-000023BE0000}"/>
    <cellStyle name="Note 5 11 2" xfId="50672" xr:uid="{00000000-0005-0000-0000-000024BE0000}"/>
    <cellStyle name="Note 5 12" xfId="50673" xr:uid="{00000000-0005-0000-0000-000025BE0000}"/>
    <cellStyle name="Note 5 12 2" xfId="50674" xr:uid="{00000000-0005-0000-0000-000026BE0000}"/>
    <cellStyle name="Note 5 12 2 2" xfId="50675" xr:uid="{00000000-0005-0000-0000-000027BE0000}"/>
    <cellStyle name="Note 5 12 3" xfId="50676" xr:uid="{00000000-0005-0000-0000-000028BE0000}"/>
    <cellStyle name="Note 5 2" xfId="50677" xr:uid="{00000000-0005-0000-0000-000029BE0000}"/>
    <cellStyle name="Note 5 2 2" xfId="50678" xr:uid="{00000000-0005-0000-0000-00002ABE0000}"/>
    <cellStyle name="Note 5 3" xfId="50679" xr:uid="{00000000-0005-0000-0000-00002BBE0000}"/>
    <cellStyle name="Note 5 3 2" xfId="50680" xr:uid="{00000000-0005-0000-0000-00002CBE0000}"/>
    <cellStyle name="Note 5 3 2 2" xfId="50681" xr:uid="{00000000-0005-0000-0000-00002DBE0000}"/>
    <cellStyle name="Note 5 3 2 2 2" xfId="50682" xr:uid="{00000000-0005-0000-0000-00002EBE0000}"/>
    <cellStyle name="Note 5 3 2 2 2 2" xfId="50683" xr:uid="{00000000-0005-0000-0000-00002FBE0000}"/>
    <cellStyle name="Note 5 3 2 2 3" xfId="50684" xr:uid="{00000000-0005-0000-0000-000030BE0000}"/>
    <cellStyle name="Note 5 3 2 3" xfId="50685" xr:uid="{00000000-0005-0000-0000-000031BE0000}"/>
    <cellStyle name="Note 5 3 2 3 2" xfId="50686" xr:uid="{00000000-0005-0000-0000-000032BE0000}"/>
    <cellStyle name="Note 5 3 2 4" xfId="50687" xr:uid="{00000000-0005-0000-0000-000033BE0000}"/>
    <cellStyle name="Note 5 3 3" xfId="50688" xr:uid="{00000000-0005-0000-0000-000034BE0000}"/>
    <cellStyle name="Note 5 3 3 2" xfId="50689" xr:uid="{00000000-0005-0000-0000-000035BE0000}"/>
    <cellStyle name="Note 5 3 3 2 2" xfId="50690" xr:uid="{00000000-0005-0000-0000-000036BE0000}"/>
    <cellStyle name="Note 5 3 3 2 2 2" xfId="50691" xr:uid="{00000000-0005-0000-0000-000037BE0000}"/>
    <cellStyle name="Note 5 3 3 2 3" xfId="50692" xr:uid="{00000000-0005-0000-0000-000038BE0000}"/>
    <cellStyle name="Note 5 3 3 3" xfId="50693" xr:uid="{00000000-0005-0000-0000-000039BE0000}"/>
    <cellStyle name="Note 5 3 3 3 2" xfId="50694" xr:uid="{00000000-0005-0000-0000-00003ABE0000}"/>
    <cellStyle name="Note 5 3 3 4" xfId="50695" xr:uid="{00000000-0005-0000-0000-00003BBE0000}"/>
    <cellStyle name="Note 5 3 4" xfId="50696" xr:uid="{00000000-0005-0000-0000-00003CBE0000}"/>
    <cellStyle name="Note 5 3 4 2" xfId="50697" xr:uid="{00000000-0005-0000-0000-00003DBE0000}"/>
    <cellStyle name="Note 5 3 4 2 2" xfId="50698" xr:uid="{00000000-0005-0000-0000-00003EBE0000}"/>
    <cellStyle name="Note 5 3 4 2 2 2" xfId="50699" xr:uid="{00000000-0005-0000-0000-00003FBE0000}"/>
    <cellStyle name="Note 5 3 4 2 3" xfId="50700" xr:uid="{00000000-0005-0000-0000-000040BE0000}"/>
    <cellStyle name="Note 5 3 4 3" xfId="50701" xr:uid="{00000000-0005-0000-0000-000041BE0000}"/>
    <cellStyle name="Note 5 3 4 3 2" xfId="50702" xr:uid="{00000000-0005-0000-0000-000042BE0000}"/>
    <cellStyle name="Note 5 3 4 4" xfId="50703" xr:uid="{00000000-0005-0000-0000-000043BE0000}"/>
    <cellStyle name="Note 5 4" xfId="50704" xr:uid="{00000000-0005-0000-0000-000044BE0000}"/>
    <cellStyle name="Note 5 4 2" xfId="50705" xr:uid="{00000000-0005-0000-0000-000045BE0000}"/>
    <cellStyle name="Note 5 5" xfId="50706" xr:uid="{00000000-0005-0000-0000-000046BE0000}"/>
    <cellStyle name="Note 5 5 2" xfId="50707" xr:uid="{00000000-0005-0000-0000-000047BE0000}"/>
    <cellStyle name="Note 5 6" xfId="50708" xr:uid="{00000000-0005-0000-0000-000048BE0000}"/>
    <cellStyle name="Note 5 6 2" xfId="50709" xr:uid="{00000000-0005-0000-0000-000049BE0000}"/>
    <cellStyle name="Note 5 7" xfId="50710" xr:uid="{00000000-0005-0000-0000-00004ABE0000}"/>
    <cellStyle name="Note 5 7 2" xfId="50711" xr:uid="{00000000-0005-0000-0000-00004BBE0000}"/>
    <cellStyle name="Note 5 8" xfId="50712" xr:uid="{00000000-0005-0000-0000-00004CBE0000}"/>
    <cellStyle name="Note 5 8 2" xfId="50713" xr:uid="{00000000-0005-0000-0000-00004DBE0000}"/>
    <cellStyle name="Note 5 9" xfId="50714" xr:uid="{00000000-0005-0000-0000-00004EBE0000}"/>
    <cellStyle name="Note 5 9 2" xfId="50715" xr:uid="{00000000-0005-0000-0000-00004FBE0000}"/>
    <cellStyle name="Note 6" xfId="1690" xr:uid="{00000000-0005-0000-0000-000050BE0000}"/>
    <cellStyle name="Note 6 10" xfId="50716" xr:uid="{00000000-0005-0000-0000-000051BE0000}"/>
    <cellStyle name="Note 6 10 2" xfId="50717" xr:uid="{00000000-0005-0000-0000-000052BE0000}"/>
    <cellStyle name="Note 6 11" xfId="50718" xr:uid="{00000000-0005-0000-0000-000053BE0000}"/>
    <cellStyle name="Note 6 11 2" xfId="50719" xr:uid="{00000000-0005-0000-0000-000054BE0000}"/>
    <cellStyle name="Note 6 11 2 2" xfId="50720" xr:uid="{00000000-0005-0000-0000-000055BE0000}"/>
    <cellStyle name="Note 6 11 2 2 2" xfId="50721" xr:uid="{00000000-0005-0000-0000-000056BE0000}"/>
    <cellStyle name="Note 6 11 2 2 2 2" xfId="50722" xr:uid="{00000000-0005-0000-0000-000057BE0000}"/>
    <cellStyle name="Note 6 11 2 2 2 2 2" xfId="50723" xr:uid="{00000000-0005-0000-0000-000058BE0000}"/>
    <cellStyle name="Note 6 11 2 2 2 3" xfId="50724" xr:uid="{00000000-0005-0000-0000-000059BE0000}"/>
    <cellStyle name="Note 6 11 2 2 3" xfId="50725" xr:uid="{00000000-0005-0000-0000-00005ABE0000}"/>
    <cellStyle name="Note 6 11 2 2 3 2" xfId="50726" xr:uid="{00000000-0005-0000-0000-00005BBE0000}"/>
    <cellStyle name="Note 6 11 2 2 4" xfId="50727" xr:uid="{00000000-0005-0000-0000-00005CBE0000}"/>
    <cellStyle name="Note 6 11 2 2 5" xfId="50728" xr:uid="{00000000-0005-0000-0000-00005DBE0000}"/>
    <cellStyle name="Note 6 11 2 2 6" xfId="50729" xr:uid="{00000000-0005-0000-0000-00005EBE0000}"/>
    <cellStyle name="Note 6 11 2 3" xfId="50730" xr:uid="{00000000-0005-0000-0000-00005FBE0000}"/>
    <cellStyle name="Note 6 11 2 3 2" xfId="50731" xr:uid="{00000000-0005-0000-0000-000060BE0000}"/>
    <cellStyle name="Note 6 11 2 3 2 2" xfId="50732" xr:uid="{00000000-0005-0000-0000-000061BE0000}"/>
    <cellStyle name="Note 6 11 2 3 3" xfId="50733" xr:uid="{00000000-0005-0000-0000-000062BE0000}"/>
    <cellStyle name="Note 6 11 2 4" xfId="50734" xr:uid="{00000000-0005-0000-0000-000063BE0000}"/>
    <cellStyle name="Note 6 11 2 4 2" xfId="50735" xr:uid="{00000000-0005-0000-0000-000064BE0000}"/>
    <cellStyle name="Note 6 11 2 5" xfId="50736" xr:uid="{00000000-0005-0000-0000-000065BE0000}"/>
    <cellStyle name="Note 6 11 2 6" xfId="50737" xr:uid="{00000000-0005-0000-0000-000066BE0000}"/>
    <cellStyle name="Note 6 11 2 7" xfId="50738" xr:uid="{00000000-0005-0000-0000-000067BE0000}"/>
    <cellStyle name="Note 6 11 3" xfId="50739" xr:uid="{00000000-0005-0000-0000-000068BE0000}"/>
    <cellStyle name="Note 6 11 3 2" xfId="50740" xr:uid="{00000000-0005-0000-0000-000069BE0000}"/>
    <cellStyle name="Note 6 11 3 2 2" xfId="50741" xr:uid="{00000000-0005-0000-0000-00006ABE0000}"/>
    <cellStyle name="Note 6 11 3 2 2 2" xfId="50742" xr:uid="{00000000-0005-0000-0000-00006BBE0000}"/>
    <cellStyle name="Note 6 11 3 2 3" xfId="50743" xr:uid="{00000000-0005-0000-0000-00006CBE0000}"/>
    <cellStyle name="Note 6 11 3 3" xfId="50744" xr:uid="{00000000-0005-0000-0000-00006DBE0000}"/>
    <cellStyle name="Note 6 11 3 3 2" xfId="50745" xr:uid="{00000000-0005-0000-0000-00006EBE0000}"/>
    <cellStyle name="Note 6 11 3 4" xfId="50746" xr:uid="{00000000-0005-0000-0000-00006FBE0000}"/>
    <cellStyle name="Note 6 11 3 5" xfId="50747" xr:uid="{00000000-0005-0000-0000-000070BE0000}"/>
    <cellStyle name="Note 6 11 3 6" xfId="50748" xr:uid="{00000000-0005-0000-0000-000071BE0000}"/>
    <cellStyle name="Note 6 11 4" xfId="50749" xr:uid="{00000000-0005-0000-0000-000072BE0000}"/>
    <cellStyle name="Note 6 11 4 2" xfId="50750" xr:uid="{00000000-0005-0000-0000-000073BE0000}"/>
    <cellStyle name="Note 6 11 4 2 2" xfId="50751" xr:uid="{00000000-0005-0000-0000-000074BE0000}"/>
    <cellStyle name="Note 6 11 4 3" xfId="50752" xr:uid="{00000000-0005-0000-0000-000075BE0000}"/>
    <cellStyle name="Note 6 11 5" xfId="50753" xr:uid="{00000000-0005-0000-0000-000076BE0000}"/>
    <cellStyle name="Note 6 11 5 2" xfId="50754" xr:uid="{00000000-0005-0000-0000-000077BE0000}"/>
    <cellStyle name="Note 6 11 5 2 2" xfId="50755" xr:uid="{00000000-0005-0000-0000-000078BE0000}"/>
    <cellStyle name="Note 6 11 5 3" xfId="50756" xr:uid="{00000000-0005-0000-0000-000079BE0000}"/>
    <cellStyle name="Note 6 11 6" xfId="50757" xr:uid="{00000000-0005-0000-0000-00007ABE0000}"/>
    <cellStyle name="Note 6 11 6 2" xfId="50758" xr:uid="{00000000-0005-0000-0000-00007BBE0000}"/>
    <cellStyle name="Note 6 11 7" xfId="50759" xr:uid="{00000000-0005-0000-0000-00007CBE0000}"/>
    <cellStyle name="Note 6 11 8" xfId="50760" xr:uid="{00000000-0005-0000-0000-00007DBE0000}"/>
    <cellStyle name="Note 6 11 9" xfId="50761" xr:uid="{00000000-0005-0000-0000-00007EBE0000}"/>
    <cellStyle name="Note 6 12" xfId="50762" xr:uid="{00000000-0005-0000-0000-00007FBE0000}"/>
    <cellStyle name="Note 6 12 2" xfId="50763" xr:uid="{00000000-0005-0000-0000-000080BE0000}"/>
    <cellStyle name="Note 6 12 2 2" xfId="50764" xr:uid="{00000000-0005-0000-0000-000081BE0000}"/>
    <cellStyle name="Note 6 12 3" xfId="50765" xr:uid="{00000000-0005-0000-0000-000082BE0000}"/>
    <cellStyle name="Note 6 2" xfId="50766" xr:uid="{00000000-0005-0000-0000-000083BE0000}"/>
    <cellStyle name="Note 6 2 2" xfId="50767" xr:uid="{00000000-0005-0000-0000-000084BE0000}"/>
    <cellStyle name="Note 6 2 2 2" xfId="50768" xr:uid="{00000000-0005-0000-0000-000085BE0000}"/>
    <cellStyle name="Note 6 2 2 2 2" xfId="50769" xr:uid="{00000000-0005-0000-0000-000086BE0000}"/>
    <cellStyle name="Note 6 2 2 2 2 2" xfId="50770" xr:uid="{00000000-0005-0000-0000-000087BE0000}"/>
    <cellStyle name="Note 6 2 2 2 3" xfId="50771" xr:uid="{00000000-0005-0000-0000-000088BE0000}"/>
    <cellStyle name="Note 6 2 2 3" xfId="50772" xr:uid="{00000000-0005-0000-0000-000089BE0000}"/>
    <cellStyle name="Note 6 2 2 3 2" xfId="50773" xr:uid="{00000000-0005-0000-0000-00008ABE0000}"/>
    <cellStyle name="Note 6 2 2 4" xfId="50774" xr:uid="{00000000-0005-0000-0000-00008BBE0000}"/>
    <cellStyle name="Note 6 2 3" xfId="50775" xr:uid="{00000000-0005-0000-0000-00008CBE0000}"/>
    <cellStyle name="Note 6 2 3 2" xfId="50776" xr:uid="{00000000-0005-0000-0000-00008DBE0000}"/>
    <cellStyle name="Note 6 2 3 2 2" xfId="50777" xr:uid="{00000000-0005-0000-0000-00008EBE0000}"/>
    <cellStyle name="Note 6 2 3 2 2 2" xfId="50778" xr:uid="{00000000-0005-0000-0000-00008FBE0000}"/>
    <cellStyle name="Note 6 2 3 2 3" xfId="50779" xr:uid="{00000000-0005-0000-0000-000090BE0000}"/>
    <cellStyle name="Note 6 2 3 3" xfId="50780" xr:uid="{00000000-0005-0000-0000-000091BE0000}"/>
    <cellStyle name="Note 6 2 3 3 2" xfId="50781" xr:uid="{00000000-0005-0000-0000-000092BE0000}"/>
    <cellStyle name="Note 6 2 3 4" xfId="50782" xr:uid="{00000000-0005-0000-0000-000093BE0000}"/>
    <cellStyle name="Note 6 2 4" xfId="50783" xr:uid="{00000000-0005-0000-0000-000094BE0000}"/>
    <cellStyle name="Note 6 2 4 2" xfId="50784" xr:uid="{00000000-0005-0000-0000-000095BE0000}"/>
    <cellStyle name="Note 6 2 4 2 2" xfId="50785" xr:uid="{00000000-0005-0000-0000-000096BE0000}"/>
    <cellStyle name="Note 6 2 4 2 2 2" xfId="50786" xr:uid="{00000000-0005-0000-0000-000097BE0000}"/>
    <cellStyle name="Note 6 2 4 2 3" xfId="50787" xr:uid="{00000000-0005-0000-0000-000098BE0000}"/>
    <cellStyle name="Note 6 2 4 3" xfId="50788" xr:uid="{00000000-0005-0000-0000-000099BE0000}"/>
    <cellStyle name="Note 6 2 4 3 2" xfId="50789" xr:uid="{00000000-0005-0000-0000-00009ABE0000}"/>
    <cellStyle name="Note 6 2 4 4" xfId="50790" xr:uid="{00000000-0005-0000-0000-00009BBE0000}"/>
    <cellStyle name="Note 6 3" xfId="50791" xr:uid="{00000000-0005-0000-0000-00009CBE0000}"/>
    <cellStyle name="Note 6 3 2" xfId="50792" xr:uid="{00000000-0005-0000-0000-00009DBE0000}"/>
    <cellStyle name="Note 6 4" xfId="50793" xr:uid="{00000000-0005-0000-0000-00009EBE0000}"/>
    <cellStyle name="Note 6 4 2" xfId="50794" xr:uid="{00000000-0005-0000-0000-00009FBE0000}"/>
    <cellStyle name="Note 6 5" xfId="50795" xr:uid="{00000000-0005-0000-0000-0000A0BE0000}"/>
    <cellStyle name="Note 6 5 2" xfId="50796" xr:uid="{00000000-0005-0000-0000-0000A1BE0000}"/>
    <cellStyle name="Note 6 6" xfId="50797" xr:uid="{00000000-0005-0000-0000-0000A2BE0000}"/>
    <cellStyle name="Note 6 6 2" xfId="50798" xr:uid="{00000000-0005-0000-0000-0000A3BE0000}"/>
    <cellStyle name="Note 6 7" xfId="50799" xr:uid="{00000000-0005-0000-0000-0000A4BE0000}"/>
    <cellStyle name="Note 6 7 2" xfId="50800" xr:uid="{00000000-0005-0000-0000-0000A5BE0000}"/>
    <cellStyle name="Note 6 8" xfId="50801" xr:uid="{00000000-0005-0000-0000-0000A6BE0000}"/>
    <cellStyle name="Note 6 8 2" xfId="50802" xr:uid="{00000000-0005-0000-0000-0000A7BE0000}"/>
    <cellStyle name="Note 6 9" xfId="50803" xr:uid="{00000000-0005-0000-0000-0000A8BE0000}"/>
    <cellStyle name="Note 6 9 2" xfId="50804" xr:uid="{00000000-0005-0000-0000-0000A9BE0000}"/>
    <cellStyle name="Note 7" xfId="1691" xr:uid="{00000000-0005-0000-0000-0000AABE0000}"/>
    <cellStyle name="Note 7 10" xfId="50805" xr:uid="{00000000-0005-0000-0000-0000ABBE0000}"/>
    <cellStyle name="Note 7 10 2" xfId="50806" xr:uid="{00000000-0005-0000-0000-0000ACBE0000}"/>
    <cellStyle name="Note 7 11" xfId="50807" xr:uid="{00000000-0005-0000-0000-0000ADBE0000}"/>
    <cellStyle name="Note 7 11 2" xfId="50808" xr:uid="{00000000-0005-0000-0000-0000AEBE0000}"/>
    <cellStyle name="Note 7 11 2 2" xfId="50809" xr:uid="{00000000-0005-0000-0000-0000AFBE0000}"/>
    <cellStyle name="Note 7 11 2 2 2" xfId="50810" xr:uid="{00000000-0005-0000-0000-0000B0BE0000}"/>
    <cellStyle name="Note 7 11 2 2 2 2" xfId="50811" xr:uid="{00000000-0005-0000-0000-0000B1BE0000}"/>
    <cellStyle name="Note 7 11 2 2 2 2 2" xfId="50812" xr:uid="{00000000-0005-0000-0000-0000B2BE0000}"/>
    <cellStyle name="Note 7 11 2 2 2 3" xfId="50813" xr:uid="{00000000-0005-0000-0000-0000B3BE0000}"/>
    <cellStyle name="Note 7 11 2 2 3" xfId="50814" xr:uid="{00000000-0005-0000-0000-0000B4BE0000}"/>
    <cellStyle name="Note 7 11 2 2 3 2" xfId="50815" xr:uid="{00000000-0005-0000-0000-0000B5BE0000}"/>
    <cellStyle name="Note 7 11 2 2 4" xfId="50816" xr:uid="{00000000-0005-0000-0000-0000B6BE0000}"/>
    <cellStyle name="Note 7 11 2 2 5" xfId="50817" xr:uid="{00000000-0005-0000-0000-0000B7BE0000}"/>
    <cellStyle name="Note 7 11 2 2 6" xfId="50818" xr:uid="{00000000-0005-0000-0000-0000B8BE0000}"/>
    <cellStyle name="Note 7 11 2 3" xfId="50819" xr:uid="{00000000-0005-0000-0000-0000B9BE0000}"/>
    <cellStyle name="Note 7 11 2 3 2" xfId="50820" xr:uid="{00000000-0005-0000-0000-0000BABE0000}"/>
    <cellStyle name="Note 7 11 2 3 2 2" xfId="50821" xr:uid="{00000000-0005-0000-0000-0000BBBE0000}"/>
    <cellStyle name="Note 7 11 2 3 3" xfId="50822" xr:uid="{00000000-0005-0000-0000-0000BCBE0000}"/>
    <cellStyle name="Note 7 11 2 4" xfId="50823" xr:uid="{00000000-0005-0000-0000-0000BDBE0000}"/>
    <cellStyle name="Note 7 11 2 4 2" xfId="50824" xr:uid="{00000000-0005-0000-0000-0000BEBE0000}"/>
    <cellStyle name="Note 7 11 2 5" xfId="50825" xr:uid="{00000000-0005-0000-0000-0000BFBE0000}"/>
    <cellStyle name="Note 7 11 2 6" xfId="50826" xr:uid="{00000000-0005-0000-0000-0000C0BE0000}"/>
    <cellStyle name="Note 7 11 2 7" xfId="50827" xr:uid="{00000000-0005-0000-0000-0000C1BE0000}"/>
    <cellStyle name="Note 7 11 3" xfId="50828" xr:uid="{00000000-0005-0000-0000-0000C2BE0000}"/>
    <cellStyle name="Note 7 11 3 2" xfId="50829" xr:uid="{00000000-0005-0000-0000-0000C3BE0000}"/>
    <cellStyle name="Note 7 11 3 2 2" xfId="50830" xr:uid="{00000000-0005-0000-0000-0000C4BE0000}"/>
    <cellStyle name="Note 7 11 3 2 2 2" xfId="50831" xr:uid="{00000000-0005-0000-0000-0000C5BE0000}"/>
    <cellStyle name="Note 7 11 3 2 3" xfId="50832" xr:uid="{00000000-0005-0000-0000-0000C6BE0000}"/>
    <cellStyle name="Note 7 11 3 3" xfId="50833" xr:uid="{00000000-0005-0000-0000-0000C7BE0000}"/>
    <cellStyle name="Note 7 11 3 3 2" xfId="50834" xr:uid="{00000000-0005-0000-0000-0000C8BE0000}"/>
    <cellStyle name="Note 7 11 3 4" xfId="50835" xr:uid="{00000000-0005-0000-0000-0000C9BE0000}"/>
    <cellStyle name="Note 7 11 3 5" xfId="50836" xr:uid="{00000000-0005-0000-0000-0000CABE0000}"/>
    <cellStyle name="Note 7 11 3 6" xfId="50837" xr:uid="{00000000-0005-0000-0000-0000CBBE0000}"/>
    <cellStyle name="Note 7 11 4" xfId="50838" xr:uid="{00000000-0005-0000-0000-0000CCBE0000}"/>
    <cellStyle name="Note 7 11 4 2" xfId="50839" xr:uid="{00000000-0005-0000-0000-0000CDBE0000}"/>
    <cellStyle name="Note 7 11 4 2 2" xfId="50840" xr:uid="{00000000-0005-0000-0000-0000CEBE0000}"/>
    <cellStyle name="Note 7 11 4 3" xfId="50841" xr:uid="{00000000-0005-0000-0000-0000CFBE0000}"/>
    <cellStyle name="Note 7 11 5" xfId="50842" xr:uid="{00000000-0005-0000-0000-0000D0BE0000}"/>
    <cellStyle name="Note 7 11 5 2" xfId="50843" xr:uid="{00000000-0005-0000-0000-0000D1BE0000}"/>
    <cellStyle name="Note 7 11 5 2 2" xfId="50844" xr:uid="{00000000-0005-0000-0000-0000D2BE0000}"/>
    <cellStyle name="Note 7 11 5 3" xfId="50845" xr:uid="{00000000-0005-0000-0000-0000D3BE0000}"/>
    <cellStyle name="Note 7 11 6" xfId="50846" xr:uid="{00000000-0005-0000-0000-0000D4BE0000}"/>
    <cellStyle name="Note 7 11 6 2" xfId="50847" xr:uid="{00000000-0005-0000-0000-0000D5BE0000}"/>
    <cellStyle name="Note 7 11 7" xfId="50848" xr:uid="{00000000-0005-0000-0000-0000D6BE0000}"/>
    <cellStyle name="Note 7 11 8" xfId="50849" xr:uid="{00000000-0005-0000-0000-0000D7BE0000}"/>
    <cellStyle name="Note 7 11 9" xfId="50850" xr:uid="{00000000-0005-0000-0000-0000D8BE0000}"/>
    <cellStyle name="Note 7 12" xfId="50851" xr:uid="{00000000-0005-0000-0000-0000D9BE0000}"/>
    <cellStyle name="Note 7 12 2" xfId="50852" xr:uid="{00000000-0005-0000-0000-0000DABE0000}"/>
    <cellStyle name="Note 7 12 2 2" xfId="50853" xr:uid="{00000000-0005-0000-0000-0000DBBE0000}"/>
    <cellStyle name="Note 7 12 3" xfId="50854" xr:uid="{00000000-0005-0000-0000-0000DCBE0000}"/>
    <cellStyle name="Note 7 2" xfId="50855" xr:uid="{00000000-0005-0000-0000-0000DDBE0000}"/>
    <cellStyle name="Note 7 2 2" xfId="50856" xr:uid="{00000000-0005-0000-0000-0000DEBE0000}"/>
    <cellStyle name="Note 7 2 2 2" xfId="50857" xr:uid="{00000000-0005-0000-0000-0000DFBE0000}"/>
    <cellStyle name="Note 7 2 2 2 2" xfId="50858" xr:uid="{00000000-0005-0000-0000-0000E0BE0000}"/>
    <cellStyle name="Note 7 2 2 2 2 2" xfId="50859" xr:uid="{00000000-0005-0000-0000-0000E1BE0000}"/>
    <cellStyle name="Note 7 2 2 2 3" xfId="50860" xr:uid="{00000000-0005-0000-0000-0000E2BE0000}"/>
    <cellStyle name="Note 7 2 2 3" xfId="50861" xr:uid="{00000000-0005-0000-0000-0000E3BE0000}"/>
    <cellStyle name="Note 7 2 2 3 2" xfId="50862" xr:uid="{00000000-0005-0000-0000-0000E4BE0000}"/>
    <cellStyle name="Note 7 2 2 4" xfId="50863" xr:uid="{00000000-0005-0000-0000-0000E5BE0000}"/>
    <cellStyle name="Note 7 2 3" xfId="50864" xr:uid="{00000000-0005-0000-0000-0000E6BE0000}"/>
    <cellStyle name="Note 7 2 3 2" xfId="50865" xr:uid="{00000000-0005-0000-0000-0000E7BE0000}"/>
    <cellStyle name="Note 7 2 3 2 2" xfId="50866" xr:uid="{00000000-0005-0000-0000-0000E8BE0000}"/>
    <cellStyle name="Note 7 2 3 2 2 2" xfId="50867" xr:uid="{00000000-0005-0000-0000-0000E9BE0000}"/>
    <cellStyle name="Note 7 2 3 2 3" xfId="50868" xr:uid="{00000000-0005-0000-0000-0000EABE0000}"/>
    <cellStyle name="Note 7 2 3 3" xfId="50869" xr:uid="{00000000-0005-0000-0000-0000EBBE0000}"/>
    <cellStyle name="Note 7 2 3 3 2" xfId="50870" xr:uid="{00000000-0005-0000-0000-0000ECBE0000}"/>
    <cellStyle name="Note 7 2 3 4" xfId="50871" xr:uid="{00000000-0005-0000-0000-0000EDBE0000}"/>
    <cellStyle name="Note 7 2 4" xfId="50872" xr:uid="{00000000-0005-0000-0000-0000EEBE0000}"/>
    <cellStyle name="Note 7 2 4 2" xfId="50873" xr:uid="{00000000-0005-0000-0000-0000EFBE0000}"/>
    <cellStyle name="Note 7 2 4 2 2" xfId="50874" xr:uid="{00000000-0005-0000-0000-0000F0BE0000}"/>
    <cellStyle name="Note 7 2 4 2 2 2" xfId="50875" xr:uid="{00000000-0005-0000-0000-0000F1BE0000}"/>
    <cellStyle name="Note 7 2 4 2 3" xfId="50876" xr:uid="{00000000-0005-0000-0000-0000F2BE0000}"/>
    <cellStyle name="Note 7 2 4 3" xfId="50877" xr:uid="{00000000-0005-0000-0000-0000F3BE0000}"/>
    <cellStyle name="Note 7 2 4 3 2" xfId="50878" xr:uid="{00000000-0005-0000-0000-0000F4BE0000}"/>
    <cellStyle name="Note 7 2 4 4" xfId="50879" xr:uid="{00000000-0005-0000-0000-0000F5BE0000}"/>
    <cellStyle name="Note 7 3" xfId="50880" xr:uid="{00000000-0005-0000-0000-0000F6BE0000}"/>
    <cellStyle name="Note 7 3 2" xfId="50881" xr:uid="{00000000-0005-0000-0000-0000F7BE0000}"/>
    <cellStyle name="Note 7 4" xfId="50882" xr:uid="{00000000-0005-0000-0000-0000F8BE0000}"/>
    <cellStyle name="Note 7 4 2" xfId="50883" xr:uid="{00000000-0005-0000-0000-0000F9BE0000}"/>
    <cellStyle name="Note 7 5" xfId="50884" xr:uid="{00000000-0005-0000-0000-0000FABE0000}"/>
    <cellStyle name="Note 7 5 2" xfId="50885" xr:uid="{00000000-0005-0000-0000-0000FBBE0000}"/>
    <cellStyle name="Note 7 6" xfId="50886" xr:uid="{00000000-0005-0000-0000-0000FCBE0000}"/>
    <cellStyle name="Note 7 6 2" xfId="50887" xr:uid="{00000000-0005-0000-0000-0000FDBE0000}"/>
    <cellStyle name="Note 7 7" xfId="50888" xr:uid="{00000000-0005-0000-0000-0000FEBE0000}"/>
    <cellStyle name="Note 7 7 2" xfId="50889" xr:uid="{00000000-0005-0000-0000-0000FFBE0000}"/>
    <cellStyle name="Note 7 8" xfId="50890" xr:uid="{00000000-0005-0000-0000-000000BF0000}"/>
    <cellStyle name="Note 7 8 2" xfId="50891" xr:uid="{00000000-0005-0000-0000-000001BF0000}"/>
    <cellStyle name="Note 7 9" xfId="50892" xr:uid="{00000000-0005-0000-0000-000002BF0000}"/>
    <cellStyle name="Note 7 9 2" xfId="50893" xr:uid="{00000000-0005-0000-0000-000003BF0000}"/>
    <cellStyle name="Note 8" xfId="1692" xr:uid="{00000000-0005-0000-0000-000004BF0000}"/>
    <cellStyle name="Note 8 10" xfId="50894" xr:uid="{00000000-0005-0000-0000-000005BF0000}"/>
    <cellStyle name="Note 8 10 2" xfId="50895" xr:uid="{00000000-0005-0000-0000-000006BF0000}"/>
    <cellStyle name="Note 8 10 2 2" xfId="50896" xr:uid="{00000000-0005-0000-0000-000007BF0000}"/>
    <cellStyle name="Note 8 10 2 2 2" xfId="50897" xr:uid="{00000000-0005-0000-0000-000008BF0000}"/>
    <cellStyle name="Note 8 10 2 2 2 2" xfId="50898" xr:uid="{00000000-0005-0000-0000-000009BF0000}"/>
    <cellStyle name="Note 8 10 2 2 2 2 2" xfId="50899" xr:uid="{00000000-0005-0000-0000-00000ABF0000}"/>
    <cellStyle name="Note 8 10 2 2 2 3" xfId="50900" xr:uid="{00000000-0005-0000-0000-00000BBF0000}"/>
    <cellStyle name="Note 8 10 2 2 3" xfId="50901" xr:uid="{00000000-0005-0000-0000-00000CBF0000}"/>
    <cellStyle name="Note 8 10 2 2 3 2" xfId="50902" xr:uid="{00000000-0005-0000-0000-00000DBF0000}"/>
    <cellStyle name="Note 8 10 2 2 4" xfId="50903" xr:uid="{00000000-0005-0000-0000-00000EBF0000}"/>
    <cellStyle name="Note 8 10 2 2 5" xfId="50904" xr:uid="{00000000-0005-0000-0000-00000FBF0000}"/>
    <cellStyle name="Note 8 10 2 2 6" xfId="50905" xr:uid="{00000000-0005-0000-0000-000010BF0000}"/>
    <cellStyle name="Note 8 10 2 3" xfId="50906" xr:uid="{00000000-0005-0000-0000-000011BF0000}"/>
    <cellStyle name="Note 8 10 2 3 2" xfId="50907" xr:uid="{00000000-0005-0000-0000-000012BF0000}"/>
    <cellStyle name="Note 8 10 2 3 2 2" xfId="50908" xr:uid="{00000000-0005-0000-0000-000013BF0000}"/>
    <cellStyle name="Note 8 10 2 3 3" xfId="50909" xr:uid="{00000000-0005-0000-0000-000014BF0000}"/>
    <cellStyle name="Note 8 10 2 4" xfId="50910" xr:uid="{00000000-0005-0000-0000-000015BF0000}"/>
    <cellStyle name="Note 8 10 2 4 2" xfId="50911" xr:uid="{00000000-0005-0000-0000-000016BF0000}"/>
    <cellStyle name="Note 8 10 2 5" xfId="50912" xr:uid="{00000000-0005-0000-0000-000017BF0000}"/>
    <cellStyle name="Note 8 10 2 6" xfId="50913" xr:uid="{00000000-0005-0000-0000-000018BF0000}"/>
    <cellStyle name="Note 8 10 2 7" xfId="50914" xr:uid="{00000000-0005-0000-0000-000019BF0000}"/>
    <cellStyle name="Note 8 10 3" xfId="50915" xr:uid="{00000000-0005-0000-0000-00001ABF0000}"/>
    <cellStyle name="Note 8 10 3 2" xfId="50916" xr:uid="{00000000-0005-0000-0000-00001BBF0000}"/>
    <cellStyle name="Note 8 10 3 2 2" xfId="50917" xr:uid="{00000000-0005-0000-0000-00001CBF0000}"/>
    <cellStyle name="Note 8 10 3 2 2 2" xfId="50918" xr:uid="{00000000-0005-0000-0000-00001DBF0000}"/>
    <cellStyle name="Note 8 10 3 2 3" xfId="50919" xr:uid="{00000000-0005-0000-0000-00001EBF0000}"/>
    <cellStyle name="Note 8 10 3 3" xfId="50920" xr:uid="{00000000-0005-0000-0000-00001FBF0000}"/>
    <cellStyle name="Note 8 10 3 3 2" xfId="50921" xr:uid="{00000000-0005-0000-0000-000020BF0000}"/>
    <cellStyle name="Note 8 10 3 4" xfId="50922" xr:uid="{00000000-0005-0000-0000-000021BF0000}"/>
    <cellStyle name="Note 8 10 3 5" xfId="50923" xr:uid="{00000000-0005-0000-0000-000022BF0000}"/>
    <cellStyle name="Note 8 10 3 6" xfId="50924" xr:uid="{00000000-0005-0000-0000-000023BF0000}"/>
    <cellStyle name="Note 8 10 4" xfId="50925" xr:uid="{00000000-0005-0000-0000-000024BF0000}"/>
    <cellStyle name="Note 8 10 4 2" xfId="50926" xr:uid="{00000000-0005-0000-0000-000025BF0000}"/>
    <cellStyle name="Note 8 10 4 2 2" xfId="50927" xr:uid="{00000000-0005-0000-0000-000026BF0000}"/>
    <cellStyle name="Note 8 10 4 3" xfId="50928" xr:uid="{00000000-0005-0000-0000-000027BF0000}"/>
    <cellStyle name="Note 8 10 5" xfId="50929" xr:uid="{00000000-0005-0000-0000-000028BF0000}"/>
    <cellStyle name="Note 8 10 5 2" xfId="50930" xr:uid="{00000000-0005-0000-0000-000029BF0000}"/>
    <cellStyle name="Note 8 10 5 2 2" xfId="50931" xr:uid="{00000000-0005-0000-0000-00002ABF0000}"/>
    <cellStyle name="Note 8 10 5 3" xfId="50932" xr:uid="{00000000-0005-0000-0000-00002BBF0000}"/>
    <cellStyle name="Note 8 10 6" xfId="50933" xr:uid="{00000000-0005-0000-0000-00002CBF0000}"/>
    <cellStyle name="Note 8 10 6 2" xfId="50934" xr:uid="{00000000-0005-0000-0000-00002DBF0000}"/>
    <cellStyle name="Note 8 10 7" xfId="50935" xr:uid="{00000000-0005-0000-0000-00002EBF0000}"/>
    <cellStyle name="Note 8 10 8" xfId="50936" xr:uid="{00000000-0005-0000-0000-00002FBF0000}"/>
    <cellStyle name="Note 8 10 9" xfId="50937" xr:uid="{00000000-0005-0000-0000-000030BF0000}"/>
    <cellStyle name="Note 8 11" xfId="50938" xr:uid="{00000000-0005-0000-0000-000031BF0000}"/>
    <cellStyle name="Note 8 11 2" xfId="50939" xr:uid="{00000000-0005-0000-0000-000032BF0000}"/>
    <cellStyle name="Note 8 11 2 2" xfId="50940" xr:uid="{00000000-0005-0000-0000-000033BF0000}"/>
    <cellStyle name="Note 8 11 3" xfId="50941" xr:uid="{00000000-0005-0000-0000-000034BF0000}"/>
    <cellStyle name="Note 8 2" xfId="50942" xr:uid="{00000000-0005-0000-0000-000035BF0000}"/>
    <cellStyle name="Note 8 2 2" xfId="50943" xr:uid="{00000000-0005-0000-0000-000036BF0000}"/>
    <cellStyle name="Note 8 2 2 2" xfId="50944" xr:uid="{00000000-0005-0000-0000-000037BF0000}"/>
    <cellStyle name="Note 8 2 2 2 2" xfId="50945" xr:uid="{00000000-0005-0000-0000-000038BF0000}"/>
    <cellStyle name="Note 8 2 2 2 2 2" xfId="50946" xr:uid="{00000000-0005-0000-0000-000039BF0000}"/>
    <cellStyle name="Note 8 2 2 2 3" xfId="50947" xr:uid="{00000000-0005-0000-0000-00003ABF0000}"/>
    <cellStyle name="Note 8 2 2 3" xfId="50948" xr:uid="{00000000-0005-0000-0000-00003BBF0000}"/>
    <cellStyle name="Note 8 2 2 3 2" xfId="50949" xr:uid="{00000000-0005-0000-0000-00003CBF0000}"/>
    <cellStyle name="Note 8 2 2 4" xfId="50950" xr:uid="{00000000-0005-0000-0000-00003DBF0000}"/>
    <cellStyle name="Note 8 2 3" xfId="50951" xr:uid="{00000000-0005-0000-0000-00003EBF0000}"/>
    <cellStyle name="Note 8 2 3 2" xfId="50952" xr:uid="{00000000-0005-0000-0000-00003FBF0000}"/>
    <cellStyle name="Note 8 2 3 2 2" xfId="50953" xr:uid="{00000000-0005-0000-0000-000040BF0000}"/>
    <cellStyle name="Note 8 2 3 2 2 2" xfId="50954" xr:uid="{00000000-0005-0000-0000-000041BF0000}"/>
    <cellStyle name="Note 8 2 3 2 3" xfId="50955" xr:uid="{00000000-0005-0000-0000-000042BF0000}"/>
    <cellStyle name="Note 8 2 3 3" xfId="50956" xr:uid="{00000000-0005-0000-0000-000043BF0000}"/>
    <cellStyle name="Note 8 2 3 3 2" xfId="50957" xr:uid="{00000000-0005-0000-0000-000044BF0000}"/>
    <cellStyle name="Note 8 2 3 4" xfId="50958" xr:uid="{00000000-0005-0000-0000-000045BF0000}"/>
    <cellStyle name="Note 8 2 4" xfId="50959" xr:uid="{00000000-0005-0000-0000-000046BF0000}"/>
    <cellStyle name="Note 8 2 4 2" xfId="50960" xr:uid="{00000000-0005-0000-0000-000047BF0000}"/>
    <cellStyle name="Note 8 2 4 2 2" xfId="50961" xr:uid="{00000000-0005-0000-0000-000048BF0000}"/>
    <cellStyle name="Note 8 2 4 2 2 2" xfId="50962" xr:uid="{00000000-0005-0000-0000-000049BF0000}"/>
    <cellStyle name="Note 8 2 4 2 3" xfId="50963" xr:uid="{00000000-0005-0000-0000-00004ABF0000}"/>
    <cellStyle name="Note 8 2 4 3" xfId="50964" xr:uid="{00000000-0005-0000-0000-00004BBF0000}"/>
    <cellStyle name="Note 8 2 4 3 2" xfId="50965" xr:uid="{00000000-0005-0000-0000-00004CBF0000}"/>
    <cellStyle name="Note 8 2 4 4" xfId="50966" xr:uid="{00000000-0005-0000-0000-00004DBF0000}"/>
    <cellStyle name="Note 8 3" xfId="50967" xr:uid="{00000000-0005-0000-0000-00004EBF0000}"/>
    <cellStyle name="Note 8 3 2" xfId="50968" xr:uid="{00000000-0005-0000-0000-00004FBF0000}"/>
    <cellStyle name="Note 8 4" xfId="50969" xr:uid="{00000000-0005-0000-0000-000050BF0000}"/>
    <cellStyle name="Note 8 4 2" xfId="50970" xr:uid="{00000000-0005-0000-0000-000051BF0000}"/>
    <cellStyle name="Note 8 5" xfId="50971" xr:uid="{00000000-0005-0000-0000-000052BF0000}"/>
    <cellStyle name="Note 8 5 2" xfId="50972" xr:uid="{00000000-0005-0000-0000-000053BF0000}"/>
    <cellStyle name="Note 8 6" xfId="50973" xr:uid="{00000000-0005-0000-0000-000054BF0000}"/>
    <cellStyle name="Note 8 6 2" xfId="50974" xr:uid="{00000000-0005-0000-0000-000055BF0000}"/>
    <cellStyle name="Note 8 7" xfId="50975" xr:uid="{00000000-0005-0000-0000-000056BF0000}"/>
    <cellStyle name="Note 8 7 2" xfId="50976" xr:uid="{00000000-0005-0000-0000-000057BF0000}"/>
    <cellStyle name="Note 8 8" xfId="50977" xr:uid="{00000000-0005-0000-0000-000058BF0000}"/>
    <cellStyle name="Note 8 8 2" xfId="50978" xr:uid="{00000000-0005-0000-0000-000059BF0000}"/>
    <cellStyle name="Note 8 9" xfId="50979" xr:uid="{00000000-0005-0000-0000-00005ABF0000}"/>
    <cellStyle name="Note 8 9 2" xfId="50980" xr:uid="{00000000-0005-0000-0000-00005BBF0000}"/>
    <cellStyle name="Note 9" xfId="1693" xr:uid="{00000000-0005-0000-0000-00005CBF0000}"/>
    <cellStyle name="Note 9 10" xfId="50981" xr:uid="{00000000-0005-0000-0000-00005DBF0000}"/>
    <cellStyle name="Note 9 10 2" xfId="50982" xr:uid="{00000000-0005-0000-0000-00005EBF0000}"/>
    <cellStyle name="Note 9 10 2 2" xfId="50983" xr:uid="{00000000-0005-0000-0000-00005FBF0000}"/>
    <cellStyle name="Note 9 10 2 2 2" xfId="50984" xr:uid="{00000000-0005-0000-0000-000060BF0000}"/>
    <cellStyle name="Note 9 10 2 2 2 2" xfId="50985" xr:uid="{00000000-0005-0000-0000-000061BF0000}"/>
    <cellStyle name="Note 9 10 2 2 2 2 2" xfId="50986" xr:uid="{00000000-0005-0000-0000-000062BF0000}"/>
    <cellStyle name="Note 9 10 2 2 2 3" xfId="50987" xr:uid="{00000000-0005-0000-0000-000063BF0000}"/>
    <cellStyle name="Note 9 10 2 2 3" xfId="50988" xr:uid="{00000000-0005-0000-0000-000064BF0000}"/>
    <cellStyle name="Note 9 10 2 2 3 2" xfId="50989" xr:uid="{00000000-0005-0000-0000-000065BF0000}"/>
    <cellStyle name="Note 9 10 2 2 4" xfId="50990" xr:uid="{00000000-0005-0000-0000-000066BF0000}"/>
    <cellStyle name="Note 9 10 2 2 5" xfId="50991" xr:uid="{00000000-0005-0000-0000-000067BF0000}"/>
    <cellStyle name="Note 9 10 2 2 6" xfId="50992" xr:uid="{00000000-0005-0000-0000-000068BF0000}"/>
    <cellStyle name="Note 9 10 2 3" xfId="50993" xr:uid="{00000000-0005-0000-0000-000069BF0000}"/>
    <cellStyle name="Note 9 10 2 3 2" xfId="50994" xr:uid="{00000000-0005-0000-0000-00006ABF0000}"/>
    <cellStyle name="Note 9 10 2 3 2 2" xfId="50995" xr:uid="{00000000-0005-0000-0000-00006BBF0000}"/>
    <cellStyle name="Note 9 10 2 3 3" xfId="50996" xr:uid="{00000000-0005-0000-0000-00006CBF0000}"/>
    <cellStyle name="Note 9 10 2 4" xfId="50997" xr:uid="{00000000-0005-0000-0000-00006DBF0000}"/>
    <cellStyle name="Note 9 10 2 4 2" xfId="50998" xr:uid="{00000000-0005-0000-0000-00006EBF0000}"/>
    <cellStyle name="Note 9 10 2 5" xfId="50999" xr:uid="{00000000-0005-0000-0000-00006FBF0000}"/>
    <cellStyle name="Note 9 10 2 6" xfId="51000" xr:uid="{00000000-0005-0000-0000-000070BF0000}"/>
    <cellStyle name="Note 9 10 2 7" xfId="51001" xr:uid="{00000000-0005-0000-0000-000071BF0000}"/>
    <cellStyle name="Note 9 10 3" xfId="51002" xr:uid="{00000000-0005-0000-0000-000072BF0000}"/>
    <cellStyle name="Note 9 10 3 2" xfId="51003" xr:uid="{00000000-0005-0000-0000-000073BF0000}"/>
    <cellStyle name="Note 9 10 3 2 2" xfId="51004" xr:uid="{00000000-0005-0000-0000-000074BF0000}"/>
    <cellStyle name="Note 9 10 3 2 2 2" xfId="51005" xr:uid="{00000000-0005-0000-0000-000075BF0000}"/>
    <cellStyle name="Note 9 10 3 2 3" xfId="51006" xr:uid="{00000000-0005-0000-0000-000076BF0000}"/>
    <cellStyle name="Note 9 10 3 3" xfId="51007" xr:uid="{00000000-0005-0000-0000-000077BF0000}"/>
    <cellStyle name="Note 9 10 3 3 2" xfId="51008" xr:uid="{00000000-0005-0000-0000-000078BF0000}"/>
    <cellStyle name="Note 9 10 3 4" xfId="51009" xr:uid="{00000000-0005-0000-0000-000079BF0000}"/>
    <cellStyle name="Note 9 10 3 5" xfId="51010" xr:uid="{00000000-0005-0000-0000-00007ABF0000}"/>
    <cellStyle name="Note 9 10 3 6" xfId="51011" xr:uid="{00000000-0005-0000-0000-00007BBF0000}"/>
    <cellStyle name="Note 9 10 4" xfId="51012" xr:uid="{00000000-0005-0000-0000-00007CBF0000}"/>
    <cellStyle name="Note 9 10 4 2" xfId="51013" xr:uid="{00000000-0005-0000-0000-00007DBF0000}"/>
    <cellStyle name="Note 9 10 4 2 2" xfId="51014" xr:uid="{00000000-0005-0000-0000-00007EBF0000}"/>
    <cellStyle name="Note 9 10 4 3" xfId="51015" xr:uid="{00000000-0005-0000-0000-00007FBF0000}"/>
    <cellStyle name="Note 9 10 5" xfId="51016" xr:uid="{00000000-0005-0000-0000-000080BF0000}"/>
    <cellStyle name="Note 9 10 5 2" xfId="51017" xr:uid="{00000000-0005-0000-0000-000081BF0000}"/>
    <cellStyle name="Note 9 10 5 2 2" xfId="51018" xr:uid="{00000000-0005-0000-0000-000082BF0000}"/>
    <cellStyle name="Note 9 10 5 3" xfId="51019" xr:uid="{00000000-0005-0000-0000-000083BF0000}"/>
    <cellStyle name="Note 9 10 6" xfId="51020" xr:uid="{00000000-0005-0000-0000-000084BF0000}"/>
    <cellStyle name="Note 9 10 6 2" xfId="51021" xr:uid="{00000000-0005-0000-0000-000085BF0000}"/>
    <cellStyle name="Note 9 10 7" xfId="51022" xr:uid="{00000000-0005-0000-0000-000086BF0000}"/>
    <cellStyle name="Note 9 10 8" xfId="51023" xr:uid="{00000000-0005-0000-0000-000087BF0000}"/>
    <cellStyle name="Note 9 10 9" xfId="51024" xr:uid="{00000000-0005-0000-0000-000088BF0000}"/>
    <cellStyle name="Note 9 11" xfId="51025" xr:uid="{00000000-0005-0000-0000-000089BF0000}"/>
    <cellStyle name="Note 9 11 2" xfId="51026" xr:uid="{00000000-0005-0000-0000-00008ABF0000}"/>
    <cellStyle name="Note 9 11 2 2" xfId="51027" xr:uid="{00000000-0005-0000-0000-00008BBF0000}"/>
    <cellStyle name="Note 9 11 3" xfId="51028" xr:uid="{00000000-0005-0000-0000-00008CBF0000}"/>
    <cellStyle name="Note 9 2" xfId="51029" xr:uid="{00000000-0005-0000-0000-00008DBF0000}"/>
    <cellStyle name="Note 9 2 2" xfId="51030" xr:uid="{00000000-0005-0000-0000-00008EBF0000}"/>
    <cellStyle name="Note 9 2 2 2" xfId="51031" xr:uid="{00000000-0005-0000-0000-00008FBF0000}"/>
    <cellStyle name="Note 9 2 2 2 2" xfId="51032" xr:uid="{00000000-0005-0000-0000-000090BF0000}"/>
    <cellStyle name="Note 9 2 2 2 2 2" xfId="51033" xr:uid="{00000000-0005-0000-0000-000091BF0000}"/>
    <cellStyle name="Note 9 2 2 2 3" xfId="51034" xr:uid="{00000000-0005-0000-0000-000092BF0000}"/>
    <cellStyle name="Note 9 2 2 3" xfId="51035" xr:uid="{00000000-0005-0000-0000-000093BF0000}"/>
    <cellStyle name="Note 9 2 2 3 2" xfId="51036" xr:uid="{00000000-0005-0000-0000-000094BF0000}"/>
    <cellStyle name="Note 9 2 2 4" xfId="51037" xr:uid="{00000000-0005-0000-0000-000095BF0000}"/>
    <cellStyle name="Note 9 2 3" xfId="51038" xr:uid="{00000000-0005-0000-0000-000096BF0000}"/>
    <cellStyle name="Note 9 2 3 2" xfId="51039" xr:uid="{00000000-0005-0000-0000-000097BF0000}"/>
    <cellStyle name="Note 9 2 3 2 2" xfId="51040" xr:uid="{00000000-0005-0000-0000-000098BF0000}"/>
    <cellStyle name="Note 9 2 3 2 2 2" xfId="51041" xr:uid="{00000000-0005-0000-0000-000099BF0000}"/>
    <cellStyle name="Note 9 2 3 2 3" xfId="51042" xr:uid="{00000000-0005-0000-0000-00009ABF0000}"/>
    <cellStyle name="Note 9 2 3 3" xfId="51043" xr:uid="{00000000-0005-0000-0000-00009BBF0000}"/>
    <cellStyle name="Note 9 2 3 3 2" xfId="51044" xr:uid="{00000000-0005-0000-0000-00009CBF0000}"/>
    <cellStyle name="Note 9 2 3 4" xfId="51045" xr:uid="{00000000-0005-0000-0000-00009DBF0000}"/>
    <cellStyle name="Note 9 2 4" xfId="51046" xr:uid="{00000000-0005-0000-0000-00009EBF0000}"/>
    <cellStyle name="Note 9 2 4 2" xfId="51047" xr:uid="{00000000-0005-0000-0000-00009FBF0000}"/>
    <cellStyle name="Note 9 2 4 2 2" xfId="51048" xr:uid="{00000000-0005-0000-0000-0000A0BF0000}"/>
    <cellStyle name="Note 9 2 4 2 2 2" xfId="51049" xr:uid="{00000000-0005-0000-0000-0000A1BF0000}"/>
    <cellStyle name="Note 9 2 4 2 3" xfId="51050" xr:uid="{00000000-0005-0000-0000-0000A2BF0000}"/>
    <cellStyle name="Note 9 2 4 3" xfId="51051" xr:uid="{00000000-0005-0000-0000-0000A3BF0000}"/>
    <cellStyle name="Note 9 2 4 3 2" xfId="51052" xr:uid="{00000000-0005-0000-0000-0000A4BF0000}"/>
    <cellStyle name="Note 9 2 4 4" xfId="51053" xr:uid="{00000000-0005-0000-0000-0000A5BF0000}"/>
    <cellStyle name="Note 9 3" xfId="51054" xr:uid="{00000000-0005-0000-0000-0000A6BF0000}"/>
    <cellStyle name="Note 9 3 2" xfId="51055" xr:uid="{00000000-0005-0000-0000-0000A7BF0000}"/>
    <cellStyle name="Note 9 4" xfId="51056" xr:uid="{00000000-0005-0000-0000-0000A8BF0000}"/>
    <cellStyle name="Note 9 4 2" xfId="51057" xr:uid="{00000000-0005-0000-0000-0000A9BF0000}"/>
    <cellStyle name="Note 9 5" xfId="51058" xr:uid="{00000000-0005-0000-0000-0000AABF0000}"/>
    <cellStyle name="Note 9 5 2" xfId="51059" xr:uid="{00000000-0005-0000-0000-0000ABBF0000}"/>
    <cellStyle name="Note 9 6" xfId="51060" xr:uid="{00000000-0005-0000-0000-0000ACBF0000}"/>
    <cellStyle name="Note 9 6 2" xfId="51061" xr:uid="{00000000-0005-0000-0000-0000ADBF0000}"/>
    <cellStyle name="Note 9 7" xfId="51062" xr:uid="{00000000-0005-0000-0000-0000AEBF0000}"/>
    <cellStyle name="Note 9 7 2" xfId="51063" xr:uid="{00000000-0005-0000-0000-0000AFBF0000}"/>
    <cellStyle name="Note 9 8" xfId="51064" xr:uid="{00000000-0005-0000-0000-0000B0BF0000}"/>
    <cellStyle name="Note 9 8 2" xfId="51065" xr:uid="{00000000-0005-0000-0000-0000B1BF0000}"/>
    <cellStyle name="Note 9 9" xfId="51066" xr:uid="{00000000-0005-0000-0000-0000B2BF0000}"/>
    <cellStyle name="Note 9 9 2" xfId="51067" xr:uid="{00000000-0005-0000-0000-0000B3BF0000}"/>
    <cellStyle name="Outline" xfId="1694" xr:uid="{00000000-0005-0000-0000-0000B4BF0000}"/>
    <cellStyle name="Output" xfId="111" builtinId="21" customBuiltin="1"/>
    <cellStyle name="Output 10" xfId="1695" xr:uid="{00000000-0005-0000-0000-0000B5BF0000}"/>
    <cellStyle name="Output 10 10" xfId="51068" xr:uid="{00000000-0005-0000-0000-0000B6BF0000}"/>
    <cellStyle name="Output 10 2" xfId="51069" xr:uid="{00000000-0005-0000-0000-0000B7BF0000}"/>
    <cellStyle name="Output 10 2 2" xfId="51070" xr:uid="{00000000-0005-0000-0000-0000B8BF0000}"/>
    <cellStyle name="Output 10 3" xfId="51071" xr:uid="{00000000-0005-0000-0000-0000B9BF0000}"/>
    <cellStyle name="Output 10 3 2" xfId="51072" xr:uid="{00000000-0005-0000-0000-0000BABF0000}"/>
    <cellStyle name="Output 10 4" xfId="51073" xr:uid="{00000000-0005-0000-0000-0000BBBF0000}"/>
    <cellStyle name="Output 10 4 2" xfId="51074" xr:uid="{00000000-0005-0000-0000-0000BCBF0000}"/>
    <cellStyle name="Output 10 5" xfId="51075" xr:uid="{00000000-0005-0000-0000-0000BDBF0000}"/>
    <cellStyle name="Output 10 5 2" xfId="51076" xr:uid="{00000000-0005-0000-0000-0000BEBF0000}"/>
    <cellStyle name="Output 10 6" xfId="51077" xr:uid="{00000000-0005-0000-0000-0000BFBF0000}"/>
    <cellStyle name="Output 10 6 2" xfId="51078" xr:uid="{00000000-0005-0000-0000-0000C0BF0000}"/>
    <cellStyle name="Output 10 7" xfId="51079" xr:uid="{00000000-0005-0000-0000-0000C1BF0000}"/>
    <cellStyle name="Output 10 7 2" xfId="51080" xr:uid="{00000000-0005-0000-0000-0000C2BF0000}"/>
    <cellStyle name="Output 10 8" xfId="51081" xr:uid="{00000000-0005-0000-0000-0000C3BF0000}"/>
    <cellStyle name="Output 10 8 2" xfId="51082" xr:uid="{00000000-0005-0000-0000-0000C4BF0000}"/>
    <cellStyle name="Output 10 9" xfId="51083" xr:uid="{00000000-0005-0000-0000-0000C5BF0000}"/>
    <cellStyle name="Output 10 9 2" xfId="51084" xr:uid="{00000000-0005-0000-0000-0000C6BF0000}"/>
    <cellStyle name="Output 11" xfId="1696" xr:uid="{00000000-0005-0000-0000-0000C7BF0000}"/>
    <cellStyle name="Output 11 10" xfId="51085" xr:uid="{00000000-0005-0000-0000-0000C8BF0000}"/>
    <cellStyle name="Output 11 2" xfId="51086" xr:uid="{00000000-0005-0000-0000-0000C9BF0000}"/>
    <cellStyle name="Output 11 2 2" xfId="51087" xr:uid="{00000000-0005-0000-0000-0000CABF0000}"/>
    <cellStyle name="Output 11 3" xfId="51088" xr:uid="{00000000-0005-0000-0000-0000CBBF0000}"/>
    <cellStyle name="Output 11 3 2" xfId="51089" xr:uid="{00000000-0005-0000-0000-0000CCBF0000}"/>
    <cellStyle name="Output 11 4" xfId="51090" xr:uid="{00000000-0005-0000-0000-0000CDBF0000}"/>
    <cellStyle name="Output 11 4 2" xfId="51091" xr:uid="{00000000-0005-0000-0000-0000CEBF0000}"/>
    <cellStyle name="Output 11 5" xfId="51092" xr:uid="{00000000-0005-0000-0000-0000CFBF0000}"/>
    <cellStyle name="Output 11 5 2" xfId="51093" xr:uid="{00000000-0005-0000-0000-0000D0BF0000}"/>
    <cellStyle name="Output 11 6" xfId="51094" xr:uid="{00000000-0005-0000-0000-0000D1BF0000}"/>
    <cellStyle name="Output 11 6 2" xfId="51095" xr:uid="{00000000-0005-0000-0000-0000D2BF0000}"/>
    <cellStyle name="Output 11 7" xfId="51096" xr:uid="{00000000-0005-0000-0000-0000D3BF0000}"/>
    <cellStyle name="Output 11 7 2" xfId="51097" xr:uid="{00000000-0005-0000-0000-0000D4BF0000}"/>
    <cellStyle name="Output 11 8" xfId="51098" xr:uid="{00000000-0005-0000-0000-0000D5BF0000}"/>
    <cellStyle name="Output 11 8 2" xfId="51099" xr:uid="{00000000-0005-0000-0000-0000D6BF0000}"/>
    <cellStyle name="Output 11 9" xfId="51100" xr:uid="{00000000-0005-0000-0000-0000D7BF0000}"/>
    <cellStyle name="Output 11 9 2" xfId="51101" xr:uid="{00000000-0005-0000-0000-0000D8BF0000}"/>
    <cellStyle name="Output 12" xfId="1697" xr:uid="{00000000-0005-0000-0000-0000D9BF0000}"/>
    <cellStyle name="Output 12 2" xfId="51102" xr:uid="{00000000-0005-0000-0000-0000DABF0000}"/>
    <cellStyle name="Output 12 2 2" xfId="51103" xr:uid="{00000000-0005-0000-0000-0000DBBF0000}"/>
    <cellStyle name="Output 12 3" xfId="51104" xr:uid="{00000000-0005-0000-0000-0000DCBF0000}"/>
    <cellStyle name="Output 13" xfId="1698" xr:uid="{00000000-0005-0000-0000-0000DDBF0000}"/>
    <cellStyle name="Output 13 2" xfId="51105" xr:uid="{00000000-0005-0000-0000-0000DEBF0000}"/>
    <cellStyle name="Output 14" xfId="1699" xr:uid="{00000000-0005-0000-0000-0000DFBF0000}"/>
    <cellStyle name="Output 14 2" xfId="51106" xr:uid="{00000000-0005-0000-0000-0000E0BF0000}"/>
    <cellStyle name="Output 15" xfId="1700" xr:uid="{00000000-0005-0000-0000-0000E1BF0000}"/>
    <cellStyle name="Output 15 2" xfId="51107" xr:uid="{00000000-0005-0000-0000-0000E2BF0000}"/>
    <cellStyle name="Output 16" xfId="1701" xr:uid="{00000000-0005-0000-0000-0000E3BF0000}"/>
    <cellStyle name="Output 16 2" xfId="51108" xr:uid="{00000000-0005-0000-0000-0000E4BF0000}"/>
    <cellStyle name="Output 17" xfId="1702" xr:uid="{00000000-0005-0000-0000-0000E5BF0000}"/>
    <cellStyle name="Output 17 2" xfId="51109" xr:uid="{00000000-0005-0000-0000-0000E6BF0000}"/>
    <cellStyle name="Output 18" xfId="1703" xr:uid="{00000000-0005-0000-0000-0000E7BF0000}"/>
    <cellStyle name="Output 18 2" xfId="51110" xr:uid="{00000000-0005-0000-0000-0000E8BF0000}"/>
    <cellStyle name="Output 19" xfId="1704" xr:uid="{00000000-0005-0000-0000-0000E9BF0000}"/>
    <cellStyle name="Output 19 2" xfId="51111" xr:uid="{00000000-0005-0000-0000-0000EABF0000}"/>
    <cellStyle name="Output 2" xfId="1705" xr:uid="{00000000-0005-0000-0000-0000EBBF0000}"/>
    <cellStyle name="Output 2 2" xfId="1706" xr:uid="{00000000-0005-0000-0000-0000ECBF0000}"/>
    <cellStyle name="Output 2 2 2" xfId="51112" xr:uid="{00000000-0005-0000-0000-0000EDBF0000}"/>
    <cellStyle name="Output 2 2 2 2" xfId="51113" xr:uid="{00000000-0005-0000-0000-0000EEBF0000}"/>
    <cellStyle name="Output 2 2 3" xfId="51114" xr:uid="{00000000-0005-0000-0000-0000EFBF0000}"/>
    <cellStyle name="Output 2 3" xfId="1707" xr:uid="{00000000-0005-0000-0000-0000F0BF0000}"/>
    <cellStyle name="Output 2 3 2" xfId="51115" xr:uid="{00000000-0005-0000-0000-0000F1BF0000}"/>
    <cellStyle name="Output 2 3 2 2" xfId="51116" xr:uid="{00000000-0005-0000-0000-0000F2BF0000}"/>
    <cellStyle name="Output 2 3 3" xfId="51117" xr:uid="{00000000-0005-0000-0000-0000F3BF0000}"/>
    <cellStyle name="Output 2 4" xfId="1708" xr:uid="{00000000-0005-0000-0000-0000F4BF0000}"/>
    <cellStyle name="Output 2 4 2" xfId="51118" xr:uid="{00000000-0005-0000-0000-0000F5BF0000}"/>
    <cellStyle name="Output 2 4 2 2" xfId="51119" xr:uid="{00000000-0005-0000-0000-0000F6BF0000}"/>
    <cellStyle name="Output 2 4 3" xfId="51120" xr:uid="{00000000-0005-0000-0000-0000F7BF0000}"/>
    <cellStyle name="Output 2 5" xfId="51121" xr:uid="{00000000-0005-0000-0000-0000F8BF0000}"/>
    <cellStyle name="Output 2 5 2" xfId="51122" xr:uid="{00000000-0005-0000-0000-0000F9BF0000}"/>
    <cellStyle name="Output 2 6" xfId="51123" xr:uid="{00000000-0005-0000-0000-0000FABF0000}"/>
    <cellStyle name="Output 2 7" xfId="51124" xr:uid="{00000000-0005-0000-0000-0000FBBF0000}"/>
    <cellStyle name="Output 20" xfId="1709" xr:uid="{00000000-0005-0000-0000-0000FCBF0000}"/>
    <cellStyle name="Output 20 2" xfId="51125" xr:uid="{00000000-0005-0000-0000-0000FDBF0000}"/>
    <cellStyle name="Output 21" xfId="1710" xr:uid="{00000000-0005-0000-0000-0000FEBF0000}"/>
    <cellStyle name="Output 21 2" xfId="51126" xr:uid="{00000000-0005-0000-0000-0000FFBF0000}"/>
    <cellStyle name="Output 22" xfId="1711" xr:uid="{00000000-0005-0000-0000-000000C00000}"/>
    <cellStyle name="Output 22 2" xfId="51127" xr:uid="{00000000-0005-0000-0000-000001C00000}"/>
    <cellStyle name="Output 23" xfId="1712" xr:uid="{00000000-0005-0000-0000-000002C00000}"/>
    <cellStyle name="Output 23 2" xfId="51128" xr:uid="{00000000-0005-0000-0000-000003C00000}"/>
    <cellStyle name="Output 24" xfId="1713" xr:uid="{00000000-0005-0000-0000-000004C00000}"/>
    <cellStyle name="Output 24 2" xfId="1714" xr:uid="{00000000-0005-0000-0000-000005C00000}"/>
    <cellStyle name="Output 24 2 2" xfId="51129" xr:uid="{00000000-0005-0000-0000-000006C00000}"/>
    <cellStyle name="Output 24 3" xfId="51130" xr:uid="{00000000-0005-0000-0000-000007C00000}"/>
    <cellStyle name="Output 25" xfId="1715" xr:uid="{00000000-0005-0000-0000-000008C00000}"/>
    <cellStyle name="Output 25 2" xfId="51131" xr:uid="{00000000-0005-0000-0000-000009C00000}"/>
    <cellStyle name="Output 26" xfId="51132" xr:uid="{00000000-0005-0000-0000-00000AC00000}"/>
    <cellStyle name="Output 26 2" xfId="51133" xr:uid="{00000000-0005-0000-0000-00000BC00000}"/>
    <cellStyle name="Output 27" xfId="51134" xr:uid="{00000000-0005-0000-0000-00000CC00000}"/>
    <cellStyle name="Output 27 2" xfId="51135" xr:uid="{00000000-0005-0000-0000-00000DC00000}"/>
    <cellStyle name="Output 28" xfId="51136" xr:uid="{00000000-0005-0000-0000-00000EC00000}"/>
    <cellStyle name="Output 29" xfId="51137" xr:uid="{00000000-0005-0000-0000-00000FC00000}"/>
    <cellStyle name="Output 29 2" xfId="51138" xr:uid="{00000000-0005-0000-0000-000010C00000}"/>
    <cellStyle name="Output 3" xfId="1716" xr:uid="{00000000-0005-0000-0000-000011C00000}"/>
    <cellStyle name="Output 3 2" xfId="1717" xr:uid="{00000000-0005-0000-0000-000012C00000}"/>
    <cellStyle name="Output 3 2 2" xfId="51139" xr:uid="{00000000-0005-0000-0000-000013C00000}"/>
    <cellStyle name="Output 3 3" xfId="51140" xr:uid="{00000000-0005-0000-0000-000014C00000}"/>
    <cellStyle name="Output 3 3 2" xfId="51141" xr:uid="{00000000-0005-0000-0000-000015C00000}"/>
    <cellStyle name="Output 3 4" xfId="51142" xr:uid="{00000000-0005-0000-0000-000016C00000}"/>
    <cellStyle name="Output 3 4 2" xfId="51143" xr:uid="{00000000-0005-0000-0000-000017C00000}"/>
    <cellStyle name="Output 3 5" xfId="51144" xr:uid="{00000000-0005-0000-0000-000018C00000}"/>
    <cellStyle name="Output 3 5 2" xfId="51145" xr:uid="{00000000-0005-0000-0000-000019C00000}"/>
    <cellStyle name="Output 3 6" xfId="51146" xr:uid="{00000000-0005-0000-0000-00001AC00000}"/>
    <cellStyle name="Output 3 7" xfId="51147" xr:uid="{00000000-0005-0000-0000-00001BC00000}"/>
    <cellStyle name="Output 4" xfId="1718" xr:uid="{00000000-0005-0000-0000-00001CC00000}"/>
    <cellStyle name="Output 4 2" xfId="51148" xr:uid="{00000000-0005-0000-0000-00001DC00000}"/>
    <cellStyle name="Output 4 2 2" xfId="51149" xr:uid="{00000000-0005-0000-0000-00001EC00000}"/>
    <cellStyle name="Output 4 3" xfId="51150" xr:uid="{00000000-0005-0000-0000-00001FC00000}"/>
    <cellStyle name="Output 4 3 2" xfId="51151" xr:uid="{00000000-0005-0000-0000-000020C00000}"/>
    <cellStyle name="Output 4 4" xfId="51152" xr:uid="{00000000-0005-0000-0000-000021C00000}"/>
    <cellStyle name="Output 4 4 2" xfId="51153" xr:uid="{00000000-0005-0000-0000-000022C00000}"/>
    <cellStyle name="Output 4 5" xfId="51154" xr:uid="{00000000-0005-0000-0000-000023C00000}"/>
    <cellStyle name="Output 4 5 2" xfId="51155" xr:uid="{00000000-0005-0000-0000-000024C00000}"/>
    <cellStyle name="Output 4 6" xfId="51156" xr:uid="{00000000-0005-0000-0000-000025C00000}"/>
    <cellStyle name="Output 5" xfId="1719" xr:uid="{00000000-0005-0000-0000-000026C00000}"/>
    <cellStyle name="Output 5 2" xfId="51157" xr:uid="{00000000-0005-0000-0000-000027C00000}"/>
    <cellStyle name="Output 5 2 2" xfId="51158" xr:uid="{00000000-0005-0000-0000-000028C00000}"/>
    <cellStyle name="Output 5 3" xfId="51159" xr:uid="{00000000-0005-0000-0000-000029C00000}"/>
    <cellStyle name="Output 5 3 2" xfId="51160" xr:uid="{00000000-0005-0000-0000-00002AC00000}"/>
    <cellStyle name="Output 5 4" xfId="51161" xr:uid="{00000000-0005-0000-0000-00002BC00000}"/>
    <cellStyle name="Output 5 4 2" xfId="51162" xr:uid="{00000000-0005-0000-0000-00002CC00000}"/>
    <cellStyle name="Output 5 5" xfId="51163" xr:uid="{00000000-0005-0000-0000-00002DC00000}"/>
    <cellStyle name="Output 5 5 2" xfId="51164" xr:uid="{00000000-0005-0000-0000-00002EC00000}"/>
    <cellStyle name="Output 5 6" xfId="51165" xr:uid="{00000000-0005-0000-0000-00002FC00000}"/>
    <cellStyle name="Output 6" xfId="1720" xr:uid="{00000000-0005-0000-0000-000030C00000}"/>
    <cellStyle name="Output 6 2" xfId="51166" xr:uid="{00000000-0005-0000-0000-000031C00000}"/>
    <cellStyle name="Output 6 2 2" xfId="51167" xr:uid="{00000000-0005-0000-0000-000032C00000}"/>
    <cellStyle name="Output 6 3" xfId="51168" xr:uid="{00000000-0005-0000-0000-000033C00000}"/>
    <cellStyle name="Output 6 3 2" xfId="51169" xr:uid="{00000000-0005-0000-0000-000034C00000}"/>
    <cellStyle name="Output 6 4" xfId="51170" xr:uid="{00000000-0005-0000-0000-000035C00000}"/>
    <cellStyle name="Output 6 4 2" xfId="51171" xr:uid="{00000000-0005-0000-0000-000036C00000}"/>
    <cellStyle name="Output 6 5" xfId="51172" xr:uid="{00000000-0005-0000-0000-000037C00000}"/>
    <cellStyle name="Output 6 5 2" xfId="51173" xr:uid="{00000000-0005-0000-0000-000038C00000}"/>
    <cellStyle name="Output 6 6" xfId="51174" xr:uid="{00000000-0005-0000-0000-000039C00000}"/>
    <cellStyle name="Output 7" xfId="1721" xr:uid="{00000000-0005-0000-0000-00003AC00000}"/>
    <cellStyle name="Output 7 2" xfId="51175" xr:uid="{00000000-0005-0000-0000-00003BC00000}"/>
    <cellStyle name="Output 7 2 2" xfId="51176" xr:uid="{00000000-0005-0000-0000-00003CC00000}"/>
    <cellStyle name="Output 7 3" xfId="51177" xr:uid="{00000000-0005-0000-0000-00003DC00000}"/>
    <cellStyle name="Output 7 3 2" xfId="51178" xr:uid="{00000000-0005-0000-0000-00003EC00000}"/>
    <cellStyle name="Output 7 4" xfId="51179" xr:uid="{00000000-0005-0000-0000-00003FC00000}"/>
    <cellStyle name="Output 7 4 2" xfId="51180" xr:uid="{00000000-0005-0000-0000-000040C00000}"/>
    <cellStyle name="Output 7 5" xfId="51181" xr:uid="{00000000-0005-0000-0000-000041C00000}"/>
    <cellStyle name="Output 7 5 2" xfId="51182" xr:uid="{00000000-0005-0000-0000-000042C00000}"/>
    <cellStyle name="Output 7 6" xfId="51183" xr:uid="{00000000-0005-0000-0000-000043C00000}"/>
    <cellStyle name="Output 8" xfId="1722" xr:uid="{00000000-0005-0000-0000-000044C00000}"/>
    <cellStyle name="Output 8 2" xfId="51184" xr:uid="{00000000-0005-0000-0000-000045C00000}"/>
    <cellStyle name="Output 8 2 2" xfId="51185" xr:uid="{00000000-0005-0000-0000-000046C00000}"/>
    <cellStyle name="Output 8 3" xfId="51186" xr:uid="{00000000-0005-0000-0000-000047C00000}"/>
    <cellStyle name="Output 8 3 2" xfId="51187" xr:uid="{00000000-0005-0000-0000-000048C00000}"/>
    <cellStyle name="Output 8 4" xfId="51188" xr:uid="{00000000-0005-0000-0000-000049C00000}"/>
    <cellStyle name="Output 8 4 2" xfId="51189" xr:uid="{00000000-0005-0000-0000-00004AC00000}"/>
    <cellStyle name="Output 8 5" xfId="51190" xr:uid="{00000000-0005-0000-0000-00004BC00000}"/>
    <cellStyle name="Output 9" xfId="1723" xr:uid="{00000000-0005-0000-0000-00004CC00000}"/>
    <cellStyle name="Output 9 10" xfId="51191" xr:uid="{00000000-0005-0000-0000-00004DC00000}"/>
    <cellStyle name="Output 9 2" xfId="51192" xr:uid="{00000000-0005-0000-0000-00004EC00000}"/>
    <cellStyle name="Output 9 2 2" xfId="51193" xr:uid="{00000000-0005-0000-0000-00004FC00000}"/>
    <cellStyle name="Output 9 3" xfId="51194" xr:uid="{00000000-0005-0000-0000-000050C00000}"/>
    <cellStyle name="Output 9 3 2" xfId="51195" xr:uid="{00000000-0005-0000-0000-000051C00000}"/>
    <cellStyle name="Output 9 4" xfId="51196" xr:uid="{00000000-0005-0000-0000-000052C00000}"/>
    <cellStyle name="Output 9 4 2" xfId="51197" xr:uid="{00000000-0005-0000-0000-000053C00000}"/>
    <cellStyle name="Output 9 5" xfId="51198" xr:uid="{00000000-0005-0000-0000-000054C00000}"/>
    <cellStyle name="Output 9 5 2" xfId="51199" xr:uid="{00000000-0005-0000-0000-000055C00000}"/>
    <cellStyle name="Output 9 6" xfId="51200" xr:uid="{00000000-0005-0000-0000-000056C00000}"/>
    <cellStyle name="Output 9 6 2" xfId="51201" xr:uid="{00000000-0005-0000-0000-000057C00000}"/>
    <cellStyle name="Output 9 7" xfId="51202" xr:uid="{00000000-0005-0000-0000-000058C00000}"/>
    <cellStyle name="Output 9 7 2" xfId="51203" xr:uid="{00000000-0005-0000-0000-000059C00000}"/>
    <cellStyle name="Output 9 8" xfId="51204" xr:uid="{00000000-0005-0000-0000-00005AC00000}"/>
    <cellStyle name="Output 9 8 2" xfId="51205" xr:uid="{00000000-0005-0000-0000-00005BC00000}"/>
    <cellStyle name="Output 9 9" xfId="51206" xr:uid="{00000000-0005-0000-0000-00005CC00000}"/>
    <cellStyle name="Output 9 9 2" xfId="51207" xr:uid="{00000000-0005-0000-0000-00005DC00000}"/>
    <cellStyle name="Output Amounts" xfId="1724" xr:uid="{00000000-0005-0000-0000-00005EC00000}"/>
    <cellStyle name="Output Column Headings" xfId="1725" xr:uid="{00000000-0005-0000-0000-00005FC00000}"/>
    <cellStyle name="Output Line Items" xfId="1726" xr:uid="{00000000-0005-0000-0000-000060C00000}"/>
    <cellStyle name="Output Report Heading" xfId="1727" xr:uid="{00000000-0005-0000-0000-000061C00000}"/>
    <cellStyle name="Output Report Title" xfId="1728" xr:uid="{00000000-0005-0000-0000-000062C00000}"/>
    <cellStyle name="Percen - Style3" xfId="1729" xr:uid="{00000000-0005-0000-0000-000063C00000}"/>
    <cellStyle name="Percent" xfId="4" builtinId="5"/>
    <cellStyle name="Percent %" xfId="51208" xr:uid="{00000000-0005-0000-0000-000065C00000}"/>
    <cellStyle name="Percent % Long Underline" xfId="51209" xr:uid="{00000000-0005-0000-0000-000066C00000}"/>
    <cellStyle name="Percent %_Worksheet in  US Financial Statements Ref. Workbook - Single Co" xfId="51210" xr:uid="{00000000-0005-0000-0000-000067C00000}"/>
    <cellStyle name="Percent (0)" xfId="51211" xr:uid="{00000000-0005-0000-0000-000068C00000}"/>
    <cellStyle name="Percent [2]" xfId="1730" xr:uid="{00000000-0005-0000-0000-000069C00000}"/>
    <cellStyle name="Percent [3]" xfId="51212" xr:uid="{00000000-0005-0000-0000-00006AC00000}"/>
    <cellStyle name="Percent 0.0%" xfId="51213" xr:uid="{00000000-0005-0000-0000-00006BC00000}"/>
    <cellStyle name="Percent 0.0% Long Underline" xfId="51214" xr:uid="{00000000-0005-0000-0000-00006CC00000}"/>
    <cellStyle name="Percent 0.00%" xfId="51215" xr:uid="{00000000-0005-0000-0000-00006DC00000}"/>
    <cellStyle name="Percent 0.00% Long Underline" xfId="51216" xr:uid="{00000000-0005-0000-0000-00006EC00000}"/>
    <cellStyle name="Percent 0.000%" xfId="51217" xr:uid="{00000000-0005-0000-0000-00006FC00000}"/>
    <cellStyle name="Percent 0.000% Long Underline" xfId="51218" xr:uid="{00000000-0005-0000-0000-000070C00000}"/>
    <cellStyle name="Percent 10" xfId="51219" xr:uid="{00000000-0005-0000-0000-000071C00000}"/>
    <cellStyle name="Percent 10 2" xfId="51220" xr:uid="{00000000-0005-0000-0000-000072C00000}"/>
    <cellStyle name="Percent 11" xfId="51221" xr:uid="{00000000-0005-0000-0000-000073C00000}"/>
    <cellStyle name="Percent 11 2" xfId="51222" xr:uid="{00000000-0005-0000-0000-000074C00000}"/>
    <cellStyle name="Percent 12" xfId="51223" xr:uid="{00000000-0005-0000-0000-000075C00000}"/>
    <cellStyle name="Percent 13" xfId="51224" xr:uid="{00000000-0005-0000-0000-000076C00000}"/>
    <cellStyle name="Percent 14" xfId="51225" xr:uid="{00000000-0005-0000-0000-000077C00000}"/>
    <cellStyle name="Percent 15" xfId="51226" xr:uid="{00000000-0005-0000-0000-000078C00000}"/>
    <cellStyle name="Percent 16" xfId="51227" xr:uid="{00000000-0005-0000-0000-000079C00000}"/>
    <cellStyle name="Percent 17" xfId="51228" xr:uid="{00000000-0005-0000-0000-00007AC00000}"/>
    <cellStyle name="Percent 17 2" xfId="51229" xr:uid="{00000000-0005-0000-0000-00007BC00000}"/>
    <cellStyle name="Percent 17 3" xfId="51230" xr:uid="{00000000-0005-0000-0000-00007CC00000}"/>
    <cellStyle name="Percent 17 3 2" xfId="51231" xr:uid="{00000000-0005-0000-0000-00007DC00000}"/>
    <cellStyle name="Percent 17 4" xfId="51232" xr:uid="{00000000-0005-0000-0000-00007EC00000}"/>
    <cellStyle name="Percent 18" xfId="51233" xr:uid="{00000000-0005-0000-0000-00007FC00000}"/>
    <cellStyle name="Percent 19" xfId="51234" xr:uid="{00000000-0005-0000-0000-000080C00000}"/>
    <cellStyle name="Percent 2" xfId="7" xr:uid="{00000000-0005-0000-0000-000065000000}"/>
    <cellStyle name="Percent 2 2" xfId="150" xr:uid="{00000000-0005-0000-0000-000066000000}"/>
    <cellStyle name="Percent 2 2 2" xfId="1732" xr:uid="{00000000-0005-0000-0000-000083C00000}"/>
    <cellStyle name="Percent 2 2 2 2" xfId="51235" xr:uid="{00000000-0005-0000-0000-000084C00000}"/>
    <cellStyle name="Percent 2 2 2 3" xfId="51236" xr:uid="{00000000-0005-0000-0000-000085C00000}"/>
    <cellStyle name="Percent 2 2 3" xfId="51237" xr:uid="{00000000-0005-0000-0000-000086C00000}"/>
    <cellStyle name="Percent 2 2 4" xfId="51238" xr:uid="{00000000-0005-0000-0000-000087C00000}"/>
    <cellStyle name="Percent 2 2 4 2" xfId="51239" xr:uid="{00000000-0005-0000-0000-000088C00000}"/>
    <cellStyle name="Percent 2 2 5" xfId="51240" xr:uid="{00000000-0005-0000-0000-000089C00000}"/>
    <cellStyle name="Percent 2 2 6" xfId="51241" xr:uid="{00000000-0005-0000-0000-00008AC00000}"/>
    <cellStyle name="Percent 2 2 7" xfId="51242" xr:uid="{00000000-0005-0000-0000-00008BC00000}"/>
    <cellStyle name="Percent 2 2 8" xfId="1731" xr:uid="{00000000-0005-0000-0000-000082C00000}"/>
    <cellStyle name="Percent 2 3" xfId="1733" xr:uid="{00000000-0005-0000-0000-00008CC00000}"/>
    <cellStyle name="Percent 2 3 2" xfId="51243" xr:uid="{00000000-0005-0000-0000-00008DC00000}"/>
    <cellStyle name="Percent 2 3 2 2" xfId="51244" xr:uid="{00000000-0005-0000-0000-00008EC00000}"/>
    <cellStyle name="Percent 2 3 2 2 2" xfId="51245" xr:uid="{00000000-0005-0000-0000-00008FC00000}"/>
    <cellStyle name="Percent 2 3 2 2 2 2" xfId="51246" xr:uid="{00000000-0005-0000-0000-000090C00000}"/>
    <cellStyle name="Percent 2 3 2 2 2 2 2" xfId="51247" xr:uid="{00000000-0005-0000-0000-000091C00000}"/>
    <cellStyle name="Percent 2 3 2 2 2 3" xfId="51248" xr:uid="{00000000-0005-0000-0000-000092C00000}"/>
    <cellStyle name="Percent 2 3 2 2 3" xfId="51249" xr:uid="{00000000-0005-0000-0000-000093C00000}"/>
    <cellStyle name="Percent 2 3 2 2 3 2" xfId="51250" xr:uid="{00000000-0005-0000-0000-000094C00000}"/>
    <cellStyle name="Percent 2 3 2 2 4" xfId="51251" xr:uid="{00000000-0005-0000-0000-000095C00000}"/>
    <cellStyle name="Percent 2 3 2 3" xfId="51252" xr:uid="{00000000-0005-0000-0000-000096C00000}"/>
    <cellStyle name="Percent 2 3 2 3 2" xfId="51253" xr:uid="{00000000-0005-0000-0000-000097C00000}"/>
    <cellStyle name="Percent 2 3 2 3 2 2" xfId="51254" xr:uid="{00000000-0005-0000-0000-000098C00000}"/>
    <cellStyle name="Percent 2 3 2 3 2 2 2" xfId="51255" xr:uid="{00000000-0005-0000-0000-000099C00000}"/>
    <cellStyle name="Percent 2 3 2 3 2 3" xfId="51256" xr:uid="{00000000-0005-0000-0000-00009AC00000}"/>
    <cellStyle name="Percent 2 3 2 3 3" xfId="51257" xr:uid="{00000000-0005-0000-0000-00009BC00000}"/>
    <cellStyle name="Percent 2 3 2 3 3 2" xfId="51258" xr:uid="{00000000-0005-0000-0000-00009CC00000}"/>
    <cellStyle name="Percent 2 3 2 3 4" xfId="51259" xr:uid="{00000000-0005-0000-0000-00009DC00000}"/>
    <cellStyle name="Percent 2 3 2 4" xfId="51260" xr:uid="{00000000-0005-0000-0000-00009EC00000}"/>
    <cellStyle name="Percent 2 3 2 4 2" xfId="51261" xr:uid="{00000000-0005-0000-0000-00009FC00000}"/>
    <cellStyle name="Percent 2 3 2 4 2 2" xfId="51262" xr:uid="{00000000-0005-0000-0000-0000A0C00000}"/>
    <cellStyle name="Percent 2 3 2 4 3" xfId="51263" xr:uid="{00000000-0005-0000-0000-0000A1C00000}"/>
    <cellStyle name="Percent 2 3 2 5" xfId="51264" xr:uid="{00000000-0005-0000-0000-0000A2C00000}"/>
    <cellStyle name="Percent 2 3 2 5 2" xfId="51265" xr:uid="{00000000-0005-0000-0000-0000A3C00000}"/>
    <cellStyle name="Percent 2 3 2 6" xfId="51266" xr:uid="{00000000-0005-0000-0000-0000A4C00000}"/>
    <cellStyle name="Percent 2 3 3" xfId="51267" xr:uid="{00000000-0005-0000-0000-0000A5C00000}"/>
    <cellStyle name="Percent 2 4" xfId="1734" xr:uid="{00000000-0005-0000-0000-0000A6C00000}"/>
    <cellStyle name="Percent 2 4 2" xfId="51268" xr:uid="{00000000-0005-0000-0000-0000A7C00000}"/>
    <cellStyle name="Percent 2 4 3" xfId="51269" xr:uid="{00000000-0005-0000-0000-0000A8C00000}"/>
    <cellStyle name="Percent 2 5" xfId="3572" xr:uid="{00000000-0005-0000-0000-0000A9C00000}"/>
    <cellStyle name="Percent 2 5 2" xfId="51270" xr:uid="{00000000-0005-0000-0000-0000AAC00000}"/>
    <cellStyle name="Percent 2 5 3" xfId="51271" xr:uid="{00000000-0005-0000-0000-0000ABC00000}"/>
    <cellStyle name="Percent 2 5 3 2" xfId="51272" xr:uid="{00000000-0005-0000-0000-0000ACC00000}"/>
    <cellStyle name="Percent 2 5 3 2 2" xfId="51273" xr:uid="{00000000-0005-0000-0000-0000ADC00000}"/>
    <cellStyle name="Percent 2 5 3 3" xfId="51274" xr:uid="{00000000-0005-0000-0000-0000AEC00000}"/>
    <cellStyle name="Percent 2 5 4" xfId="51275" xr:uid="{00000000-0005-0000-0000-0000AFC00000}"/>
    <cellStyle name="Percent 2 6" xfId="51276" xr:uid="{00000000-0005-0000-0000-0000B0C00000}"/>
    <cellStyle name="Percent 2 6 2" xfId="51277" xr:uid="{00000000-0005-0000-0000-0000B1C00000}"/>
    <cellStyle name="Percent 2 6 2 2" xfId="51278" xr:uid="{00000000-0005-0000-0000-0000B2C00000}"/>
    <cellStyle name="Percent 2 6 2 2 2" xfId="51279" xr:uid="{00000000-0005-0000-0000-0000B3C00000}"/>
    <cellStyle name="Percent 2 6 2 2 2 2" xfId="51280" xr:uid="{00000000-0005-0000-0000-0000B4C00000}"/>
    <cellStyle name="Percent 2 6 2 2 3" xfId="51281" xr:uid="{00000000-0005-0000-0000-0000B5C00000}"/>
    <cellStyle name="Percent 2 6 2 3" xfId="51282" xr:uid="{00000000-0005-0000-0000-0000B6C00000}"/>
    <cellStyle name="Percent 2 6 2 3 2" xfId="51283" xr:uid="{00000000-0005-0000-0000-0000B7C00000}"/>
    <cellStyle name="Percent 2 6 2 4" xfId="51284" xr:uid="{00000000-0005-0000-0000-0000B8C00000}"/>
    <cellStyle name="Percent 2 6 3" xfId="51285" xr:uid="{00000000-0005-0000-0000-0000B9C00000}"/>
    <cellStyle name="Percent 2 6 3 2" xfId="51286" xr:uid="{00000000-0005-0000-0000-0000BAC00000}"/>
    <cellStyle name="Percent 2 6 3 2 2" xfId="51287" xr:uid="{00000000-0005-0000-0000-0000BBC00000}"/>
    <cellStyle name="Percent 2 6 3 2 2 2" xfId="51288" xr:uid="{00000000-0005-0000-0000-0000BCC00000}"/>
    <cellStyle name="Percent 2 6 3 2 3" xfId="51289" xr:uid="{00000000-0005-0000-0000-0000BDC00000}"/>
    <cellStyle name="Percent 2 6 3 3" xfId="51290" xr:uid="{00000000-0005-0000-0000-0000BEC00000}"/>
    <cellStyle name="Percent 2 6 3 3 2" xfId="51291" xr:uid="{00000000-0005-0000-0000-0000BFC00000}"/>
    <cellStyle name="Percent 2 6 3 4" xfId="51292" xr:uid="{00000000-0005-0000-0000-0000C0C00000}"/>
    <cellStyle name="Percent 2 6 4" xfId="51293" xr:uid="{00000000-0005-0000-0000-0000C1C00000}"/>
    <cellStyle name="Percent 2 6 4 2" xfId="51294" xr:uid="{00000000-0005-0000-0000-0000C2C00000}"/>
    <cellStyle name="Percent 2 6 4 2 2" xfId="51295" xr:uid="{00000000-0005-0000-0000-0000C3C00000}"/>
    <cellStyle name="Percent 2 6 4 3" xfId="51296" xr:uid="{00000000-0005-0000-0000-0000C4C00000}"/>
    <cellStyle name="Percent 2 6 5" xfId="51297" xr:uid="{00000000-0005-0000-0000-0000C5C00000}"/>
    <cellStyle name="Percent 2 6 5 2" xfId="51298" xr:uid="{00000000-0005-0000-0000-0000C6C00000}"/>
    <cellStyle name="Percent 2 6 6" xfId="51299" xr:uid="{00000000-0005-0000-0000-0000C7C00000}"/>
    <cellStyle name="Percent 2 7" xfId="51300" xr:uid="{00000000-0005-0000-0000-0000C8C00000}"/>
    <cellStyle name="Percent 2 7 2" xfId="51301" xr:uid="{00000000-0005-0000-0000-0000C9C00000}"/>
    <cellStyle name="Percent 2 7 2 2" xfId="51302" xr:uid="{00000000-0005-0000-0000-0000CAC00000}"/>
    <cellStyle name="Percent 2 7 3" xfId="51303" xr:uid="{00000000-0005-0000-0000-0000CBC00000}"/>
    <cellStyle name="Percent 2 8" xfId="51304" xr:uid="{00000000-0005-0000-0000-0000CCC00000}"/>
    <cellStyle name="Percent 2 9" xfId="159" xr:uid="{00000000-0005-0000-0000-000081C00000}"/>
    <cellStyle name="Percent 20" xfId="51305" xr:uid="{00000000-0005-0000-0000-0000CDC00000}"/>
    <cellStyle name="Percent 21" xfId="51306" xr:uid="{00000000-0005-0000-0000-0000CEC00000}"/>
    <cellStyle name="Percent 22" xfId="51307" xr:uid="{00000000-0005-0000-0000-0000CFC00000}"/>
    <cellStyle name="Percent 23" xfId="51308" xr:uid="{00000000-0005-0000-0000-0000D0C00000}"/>
    <cellStyle name="Percent 24" xfId="51309" xr:uid="{00000000-0005-0000-0000-0000D1C00000}"/>
    <cellStyle name="Percent 25" xfId="51310" xr:uid="{00000000-0005-0000-0000-0000D2C00000}"/>
    <cellStyle name="Percent 26" xfId="51311" xr:uid="{00000000-0005-0000-0000-0000D3C00000}"/>
    <cellStyle name="Percent 27" xfId="51312" xr:uid="{00000000-0005-0000-0000-0000D4C00000}"/>
    <cellStyle name="Percent 28" xfId="51313" xr:uid="{00000000-0005-0000-0000-0000D5C00000}"/>
    <cellStyle name="Percent 29" xfId="51314" xr:uid="{00000000-0005-0000-0000-0000D6C00000}"/>
    <cellStyle name="Percent 3" xfId="145" xr:uid="{00000000-0005-0000-0000-000067000000}"/>
    <cellStyle name="Percent 3 2" xfId="155" xr:uid="{00000000-0005-0000-0000-000068000000}"/>
    <cellStyle name="Percent 3 2 2" xfId="51316" xr:uid="{00000000-0005-0000-0000-0000D9C00000}"/>
    <cellStyle name="Percent 3 2 2 2" xfId="51317" xr:uid="{00000000-0005-0000-0000-0000DAC00000}"/>
    <cellStyle name="Percent 3 2 2 2 2" xfId="51318" xr:uid="{00000000-0005-0000-0000-0000DBC00000}"/>
    <cellStyle name="Percent 3 2 2 2 2 2" xfId="51319" xr:uid="{00000000-0005-0000-0000-0000DCC00000}"/>
    <cellStyle name="Percent 3 2 2 2 2 2 2" xfId="51320" xr:uid="{00000000-0005-0000-0000-0000DDC00000}"/>
    <cellStyle name="Percent 3 2 2 2 2 3" xfId="51321" xr:uid="{00000000-0005-0000-0000-0000DEC00000}"/>
    <cellStyle name="Percent 3 2 2 2 3" xfId="51322" xr:uid="{00000000-0005-0000-0000-0000DFC00000}"/>
    <cellStyle name="Percent 3 2 2 2 3 2" xfId="51323" xr:uid="{00000000-0005-0000-0000-0000E0C00000}"/>
    <cellStyle name="Percent 3 2 2 2 4" xfId="51324" xr:uid="{00000000-0005-0000-0000-0000E1C00000}"/>
    <cellStyle name="Percent 3 2 2 3" xfId="51325" xr:uid="{00000000-0005-0000-0000-0000E2C00000}"/>
    <cellStyle name="Percent 3 2 2 3 2" xfId="51326" xr:uid="{00000000-0005-0000-0000-0000E3C00000}"/>
    <cellStyle name="Percent 3 2 2 3 2 2" xfId="51327" xr:uid="{00000000-0005-0000-0000-0000E4C00000}"/>
    <cellStyle name="Percent 3 2 2 3 2 2 2" xfId="51328" xr:uid="{00000000-0005-0000-0000-0000E5C00000}"/>
    <cellStyle name="Percent 3 2 2 3 2 3" xfId="51329" xr:uid="{00000000-0005-0000-0000-0000E6C00000}"/>
    <cellStyle name="Percent 3 2 2 3 3" xfId="51330" xr:uid="{00000000-0005-0000-0000-0000E7C00000}"/>
    <cellStyle name="Percent 3 2 2 3 3 2" xfId="51331" xr:uid="{00000000-0005-0000-0000-0000E8C00000}"/>
    <cellStyle name="Percent 3 2 2 3 4" xfId="51332" xr:uid="{00000000-0005-0000-0000-0000E9C00000}"/>
    <cellStyle name="Percent 3 2 2 4" xfId="51333" xr:uid="{00000000-0005-0000-0000-0000EAC00000}"/>
    <cellStyle name="Percent 3 2 2 4 2" xfId="51334" xr:uid="{00000000-0005-0000-0000-0000EBC00000}"/>
    <cellStyle name="Percent 3 2 2 4 2 2" xfId="51335" xr:uid="{00000000-0005-0000-0000-0000ECC00000}"/>
    <cellStyle name="Percent 3 2 2 4 3" xfId="51336" xr:uid="{00000000-0005-0000-0000-0000EDC00000}"/>
    <cellStyle name="Percent 3 2 2 5" xfId="51337" xr:uid="{00000000-0005-0000-0000-0000EEC00000}"/>
    <cellStyle name="Percent 3 2 2 5 2" xfId="51338" xr:uid="{00000000-0005-0000-0000-0000EFC00000}"/>
    <cellStyle name="Percent 3 2 2 6" xfId="51339" xr:uid="{00000000-0005-0000-0000-0000F0C00000}"/>
    <cellStyle name="Percent 3 2 3" xfId="51340" xr:uid="{00000000-0005-0000-0000-0000F1C00000}"/>
    <cellStyle name="Percent 3 2 3 2" xfId="51341" xr:uid="{00000000-0005-0000-0000-0000F2C00000}"/>
    <cellStyle name="Percent 3 2 3 2 2" xfId="51342" xr:uid="{00000000-0005-0000-0000-0000F3C00000}"/>
    <cellStyle name="Percent 3 2 3 2 2 2" xfId="51343" xr:uid="{00000000-0005-0000-0000-0000F4C00000}"/>
    <cellStyle name="Percent 3 2 3 2 3" xfId="51344" xr:uid="{00000000-0005-0000-0000-0000F5C00000}"/>
    <cellStyle name="Percent 3 2 3 3" xfId="51345" xr:uid="{00000000-0005-0000-0000-0000F6C00000}"/>
    <cellStyle name="Percent 3 2 3 3 2" xfId="51346" xr:uid="{00000000-0005-0000-0000-0000F7C00000}"/>
    <cellStyle name="Percent 3 2 3 4" xfId="51347" xr:uid="{00000000-0005-0000-0000-0000F8C00000}"/>
    <cellStyle name="Percent 3 2 4" xfId="51348" xr:uid="{00000000-0005-0000-0000-0000F9C00000}"/>
    <cellStyle name="Percent 3 2 4 2" xfId="51349" xr:uid="{00000000-0005-0000-0000-0000FAC00000}"/>
    <cellStyle name="Percent 3 2 4 2 2" xfId="51350" xr:uid="{00000000-0005-0000-0000-0000FBC00000}"/>
    <cellStyle name="Percent 3 2 4 2 2 2" xfId="51351" xr:uid="{00000000-0005-0000-0000-0000FCC00000}"/>
    <cellStyle name="Percent 3 2 4 2 3" xfId="51352" xr:uid="{00000000-0005-0000-0000-0000FDC00000}"/>
    <cellStyle name="Percent 3 2 4 3" xfId="51353" xr:uid="{00000000-0005-0000-0000-0000FEC00000}"/>
    <cellStyle name="Percent 3 2 4 3 2" xfId="51354" xr:uid="{00000000-0005-0000-0000-0000FFC00000}"/>
    <cellStyle name="Percent 3 2 4 4" xfId="51355" xr:uid="{00000000-0005-0000-0000-000000C10000}"/>
    <cellStyle name="Percent 3 2 5" xfId="51356" xr:uid="{00000000-0005-0000-0000-000001C10000}"/>
    <cellStyle name="Percent 3 2 5 2" xfId="51357" xr:uid="{00000000-0005-0000-0000-000002C10000}"/>
    <cellStyle name="Percent 3 2 5 2 2" xfId="51358" xr:uid="{00000000-0005-0000-0000-000003C10000}"/>
    <cellStyle name="Percent 3 2 5 2 2 2" xfId="51359" xr:uid="{00000000-0005-0000-0000-000004C10000}"/>
    <cellStyle name="Percent 3 2 5 2 3" xfId="51360" xr:uid="{00000000-0005-0000-0000-000005C10000}"/>
    <cellStyle name="Percent 3 2 5 3" xfId="51361" xr:uid="{00000000-0005-0000-0000-000006C10000}"/>
    <cellStyle name="Percent 3 2 5 3 2" xfId="51362" xr:uid="{00000000-0005-0000-0000-000007C10000}"/>
    <cellStyle name="Percent 3 2 5 4" xfId="51363" xr:uid="{00000000-0005-0000-0000-000008C10000}"/>
    <cellStyle name="Percent 3 2 6" xfId="51364" xr:uid="{00000000-0005-0000-0000-000009C10000}"/>
    <cellStyle name="Percent 3 2 7" xfId="51315" xr:uid="{00000000-0005-0000-0000-0000D8C00000}"/>
    <cellStyle name="Percent 3 3" xfId="51365" xr:uid="{00000000-0005-0000-0000-00000AC10000}"/>
    <cellStyle name="Percent 3 3 2" xfId="51366" xr:uid="{00000000-0005-0000-0000-00000BC10000}"/>
    <cellStyle name="Percent 3 3 3" xfId="51367" xr:uid="{00000000-0005-0000-0000-00000CC10000}"/>
    <cellStyle name="Percent 3 3 4" xfId="51368" xr:uid="{00000000-0005-0000-0000-00000DC10000}"/>
    <cellStyle name="Percent 3 3 4 2" xfId="51369" xr:uid="{00000000-0005-0000-0000-00000EC10000}"/>
    <cellStyle name="Percent 3 3 5" xfId="51370" xr:uid="{00000000-0005-0000-0000-00000FC10000}"/>
    <cellStyle name="Percent 3 3 6" xfId="51371" xr:uid="{00000000-0005-0000-0000-000010C10000}"/>
    <cellStyle name="Percent 3 4" xfId="51372" xr:uid="{00000000-0005-0000-0000-000011C10000}"/>
    <cellStyle name="Percent 3 4 2" xfId="51373" xr:uid="{00000000-0005-0000-0000-000012C10000}"/>
    <cellStyle name="Percent 3 4 3" xfId="51374" xr:uid="{00000000-0005-0000-0000-000013C10000}"/>
    <cellStyle name="Percent 3 5" xfId="51375" xr:uid="{00000000-0005-0000-0000-000014C10000}"/>
    <cellStyle name="Percent 3 5 2" xfId="51376" xr:uid="{00000000-0005-0000-0000-000015C10000}"/>
    <cellStyle name="Percent 3 5 3" xfId="51377" xr:uid="{00000000-0005-0000-0000-000016C10000}"/>
    <cellStyle name="Percent 3 6" xfId="51378" xr:uid="{00000000-0005-0000-0000-000017C10000}"/>
    <cellStyle name="Percent 30" xfId="51379" xr:uid="{00000000-0005-0000-0000-000018C10000}"/>
    <cellStyle name="Percent 31" xfId="51380" xr:uid="{00000000-0005-0000-0000-000019C10000}"/>
    <cellStyle name="Percent 32" xfId="51381" xr:uid="{00000000-0005-0000-0000-00001AC10000}"/>
    <cellStyle name="Percent 33" xfId="51382" xr:uid="{00000000-0005-0000-0000-00001BC10000}"/>
    <cellStyle name="Percent 33 2" xfId="51383" xr:uid="{00000000-0005-0000-0000-00001CC10000}"/>
    <cellStyle name="Percent 33 2 2" xfId="51384" xr:uid="{00000000-0005-0000-0000-00001DC10000}"/>
    <cellStyle name="Percent 33 3" xfId="51385" xr:uid="{00000000-0005-0000-0000-00001EC10000}"/>
    <cellStyle name="Percent 34" xfId="51386" xr:uid="{00000000-0005-0000-0000-00001FC10000}"/>
    <cellStyle name="Percent 34 2" xfId="51387" xr:uid="{00000000-0005-0000-0000-000020C10000}"/>
    <cellStyle name="Percent 35" xfId="51388" xr:uid="{00000000-0005-0000-0000-000021C10000}"/>
    <cellStyle name="Percent 36" xfId="3570" xr:uid="{00000000-0005-0000-0000-0000DDC00000}"/>
    <cellStyle name="Percent 37" xfId="56365" xr:uid="{362D3019-09E9-4CF5-AD53-BA864947CAD9}"/>
    <cellStyle name="Percent 4" xfId="1735" xr:uid="{00000000-0005-0000-0000-000022C10000}"/>
    <cellStyle name="Percent 4 2" xfId="51389" xr:uid="{00000000-0005-0000-0000-000023C10000}"/>
    <cellStyle name="Percent 4 3" xfId="51390" xr:uid="{00000000-0005-0000-0000-000024C10000}"/>
    <cellStyle name="Percent 5" xfId="1736" xr:uid="{00000000-0005-0000-0000-000025C10000}"/>
    <cellStyle name="Percent 5 2" xfId="51391" xr:uid="{00000000-0005-0000-0000-000026C10000}"/>
    <cellStyle name="Percent 5 2 2" xfId="51392" xr:uid="{00000000-0005-0000-0000-000027C10000}"/>
    <cellStyle name="Percent 5 2 2 2" xfId="51393" xr:uid="{00000000-0005-0000-0000-000028C10000}"/>
    <cellStyle name="Percent 5 2 2 2 2" xfId="51394" xr:uid="{00000000-0005-0000-0000-000029C10000}"/>
    <cellStyle name="Percent 5 2 2 2 2 2" xfId="51395" xr:uid="{00000000-0005-0000-0000-00002AC10000}"/>
    <cellStyle name="Percent 5 2 2 2 3" xfId="51396" xr:uid="{00000000-0005-0000-0000-00002BC10000}"/>
    <cellStyle name="Percent 5 2 2 3" xfId="51397" xr:uid="{00000000-0005-0000-0000-00002CC10000}"/>
    <cellStyle name="Percent 5 2 2 3 2" xfId="51398" xr:uid="{00000000-0005-0000-0000-00002DC10000}"/>
    <cellStyle name="Percent 5 2 2 4" xfId="51399" xr:uid="{00000000-0005-0000-0000-00002EC10000}"/>
    <cellStyle name="Percent 5 2 2 5" xfId="51400" xr:uid="{00000000-0005-0000-0000-00002FC10000}"/>
    <cellStyle name="Percent 5 2 2 6" xfId="51401" xr:uid="{00000000-0005-0000-0000-000030C10000}"/>
    <cellStyle name="Percent 5 2 3" xfId="51402" xr:uid="{00000000-0005-0000-0000-000031C10000}"/>
    <cellStyle name="Percent 5 2 3 2" xfId="51403" xr:uid="{00000000-0005-0000-0000-000032C10000}"/>
    <cellStyle name="Percent 5 2 3 2 2" xfId="51404" xr:uid="{00000000-0005-0000-0000-000033C10000}"/>
    <cellStyle name="Percent 5 2 3 3" xfId="51405" xr:uid="{00000000-0005-0000-0000-000034C10000}"/>
    <cellStyle name="Percent 5 2 4" xfId="51406" xr:uid="{00000000-0005-0000-0000-000035C10000}"/>
    <cellStyle name="Percent 5 2 4 2" xfId="51407" xr:uid="{00000000-0005-0000-0000-000036C10000}"/>
    <cellStyle name="Percent 5 2 4 2 2" xfId="51408" xr:uid="{00000000-0005-0000-0000-000037C10000}"/>
    <cellStyle name="Percent 5 2 4 3" xfId="51409" xr:uid="{00000000-0005-0000-0000-000038C10000}"/>
    <cellStyle name="Percent 5 2 5" xfId="51410" xr:uid="{00000000-0005-0000-0000-000039C10000}"/>
    <cellStyle name="Percent 5 2 5 2" xfId="51411" xr:uid="{00000000-0005-0000-0000-00003AC10000}"/>
    <cellStyle name="Percent 5 2 6" xfId="51412" xr:uid="{00000000-0005-0000-0000-00003BC10000}"/>
    <cellStyle name="Percent 5 2 7" xfId="51413" xr:uid="{00000000-0005-0000-0000-00003CC10000}"/>
    <cellStyle name="Percent 5 3" xfId="51414" xr:uid="{00000000-0005-0000-0000-00003DC10000}"/>
    <cellStyle name="Percent 5 3 2" xfId="51415" xr:uid="{00000000-0005-0000-0000-00003EC10000}"/>
    <cellStyle name="Percent 5 3 2 2" xfId="51416" xr:uid="{00000000-0005-0000-0000-00003FC10000}"/>
    <cellStyle name="Percent 5 3 2 2 2" xfId="51417" xr:uid="{00000000-0005-0000-0000-000040C10000}"/>
    <cellStyle name="Percent 5 3 2 2 2 2" xfId="51418" xr:uid="{00000000-0005-0000-0000-000041C10000}"/>
    <cellStyle name="Percent 5 3 2 2 3" xfId="51419" xr:uid="{00000000-0005-0000-0000-000042C10000}"/>
    <cellStyle name="Percent 5 3 2 3" xfId="51420" xr:uid="{00000000-0005-0000-0000-000043C10000}"/>
    <cellStyle name="Percent 5 3 2 3 2" xfId="51421" xr:uid="{00000000-0005-0000-0000-000044C10000}"/>
    <cellStyle name="Percent 5 3 2 4" xfId="51422" xr:uid="{00000000-0005-0000-0000-000045C10000}"/>
    <cellStyle name="Percent 5 3 2 5" xfId="51423" xr:uid="{00000000-0005-0000-0000-000046C10000}"/>
    <cellStyle name="Percent 5 3 2 6" xfId="51424" xr:uid="{00000000-0005-0000-0000-000047C10000}"/>
    <cellStyle name="Percent 5 3 3" xfId="51425" xr:uid="{00000000-0005-0000-0000-000048C10000}"/>
    <cellStyle name="Percent 5 3 3 2" xfId="51426" xr:uid="{00000000-0005-0000-0000-000049C10000}"/>
    <cellStyle name="Percent 5 3 3 2 2" xfId="51427" xr:uid="{00000000-0005-0000-0000-00004AC10000}"/>
    <cellStyle name="Percent 5 3 3 3" xfId="51428" xr:uid="{00000000-0005-0000-0000-00004BC10000}"/>
    <cellStyle name="Percent 5 3 4" xfId="51429" xr:uid="{00000000-0005-0000-0000-00004CC10000}"/>
    <cellStyle name="Percent 5 3 4 2" xfId="51430" xr:uid="{00000000-0005-0000-0000-00004DC10000}"/>
    <cellStyle name="Percent 5 3 5" xfId="51431" xr:uid="{00000000-0005-0000-0000-00004EC10000}"/>
    <cellStyle name="Percent 5 3 6" xfId="51432" xr:uid="{00000000-0005-0000-0000-00004FC10000}"/>
    <cellStyle name="Percent 5 3 7" xfId="51433" xr:uid="{00000000-0005-0000-0000-000050C10000}"/>
    <cellStyle name="Percent 5 4" xfId="51434" xr:uid="{00000000-0005-0000-0000-000051C10000}"/>
    <cellStyle name="Percent 5 4 2" xfId="51435" xr:uid="{00000000-0005-0000-0000-000052C10000}"/>
    <cellStyle name="Percent 5 5" xfId="51436" xr:uid="{00000000-0005-0000-0000-000053C10000}"/>
    <cellStyle name="Percent 5 5 2" xfId="51437" xr:uid="{00000000-0005-0000-0000-000054C10000}"/>
    <cellStyle name="Percent 5 6" xfId="51438" xr:uid="{00000000-0005-0000-0000-000055C10000}"/>
    <cellStyle name="Percent 5 7" xfId="51439" xr:uid="{00000000-0005-0000-0000-000056C10000}"/>
    <cellStyle name="Percent 5 8" xfId="51440" xr:uid="{00000000-0005-0000-0000-000057C10000}"/>
    <cellStyle name="Percent 6" xfId="1737" xr:uid="{00000000-0005-0000-0000-000058C10000}"/>
    <cellStyle name="Percent 6 2" xfId="51441" xr:uid="{00000000-0005-0000-0000-000059C10000}"/>
    <cellStyle name="Percent 6 2 2" xfId="51442" xr:uid="{00000000-0005-0000-0000-00005AC10000}"/>
    <cellStyle name="Percent 6 3" xfId="51443" xr:uid="{00000000-0005-0000-0000-00005BC10000}"/>
    <cellStyle name="Percent 6 3 2" xfId="51444" xr:uid="{00000000-0005-0000-0000-00005CC10000}"/>
    <cellStyle name="Percent 6 4" xfId="51445" xr:uid="{00000000-0005-0000-0000-00005DC10000}"/>
    <cellStyle name="Percent 7" xfId="51446" xr:uid="{00000000-0005-0000-0000-00005EC10000}"/>
    <cellStyle name="Percent 7 2" xfId="51447" xr:uid="{00000000-0005-0000-0000-00005FC10000}"/>
    <cellStyle name="Percent 7 3" xfId="51448" xr:uid="{00000000-0005-0000-0000-000060C10000}"/>
    <cellStyle name="Percent 8" xfId="51449" xr:uid="{00000000-0005-0000-0000-000061C10000}"/>
    <cellStyle name="Percent 8 2" xfId="51450" xr:uid="{00000000-0005-0000-0000-000062C10000}"/>
    <cellStyle name="Percent 8 2 2" xfId="51451" xr:uid="{00000000-0005-0000-0000-000063C10000}"/>
    <cellStyle name="Percent 8 3" xfId="51452" xr:uid="{00000000-0005-0000-0000-000064C10000}"/>
    <cellStyle name="Percent 8 4" xfId="51453" xr:uid="{00000000-0005-0000-0000-000065C10000}"/>
    <cellStyle name="Percent 9" xfId="51454" xr:uid="{00000000-0005-0000-0000-000066C10000}"/>
    <cellStyle name="Percent 9 2" xfId="51455" xr:uid="{00000000-0005-0000-0000-000067C10000}"/>
    <cellStyle name="Percent 9 2 2" xfId="51456" xr:uid="{00000000-0005-0000-0000-000068C10000}"/>
    <cellStyle name="Percent 9 3" xfId="51457" xr:uid="{00000000-0005-0000-0000-000069C10000}"/>
    <cellStyle name="Percent 9 3 2" xfId="51458" xr:uid="{00000000-0005-0000-0000-00006AC10000}"/>
    <cellStyle name="Percent2" xfId="49" xr:uid="{00000000-0005-0000-0000-000069000000}"/>
    <cellStyle name="Percent2 2" xfId="1738" xr:uid="{00000000-0005-0000-0000-00006CC10000}"/>
    <cellStyle name="percent3" xfId="1739" xr:uid="{00000000-0005-0000-0000-00006DC10000}"/>
    <cellStyle name="PSChar" xfId="1740" xr:uid="{00000000-0005-0000-0000-00006EC10000}"/>
    <cellStyle name="PSDate" xfId="1741" xr:uid="{00000000-0005-0000-0000-00006FC10000}"/>
    <cellStyle name="PSDec" xfId="1742" xr:uid="{00000000-0005-0000-0000-000070C10000}"/>
    <cellStyle name="PSHeading" xfId="1743" xr:uid="{00000000-0005-0000-0000-000071C10000}"/>
    <cellStyle name="PSInt" xfId="1744" xr:uid="{00000000-0005-0000-0000-000072C10000}"/>
    <cellStyle name="PSSpacer" xfId="1745" xr:uid="{00000000-0005-0000-0000-000073C10000}"/>
    <cellStyle name="RowHeading" xfId="50" xr:uid="{00000000-0005-0000-0000-00006A000000}"/>
    <cellStyle name="SAPBEXaggData" xfId="51" xr:uid="{00000000-0005-0000-0000-00006B000000}"/>
    <cellStyle name="SAPBEXaggData 10" xfId="1746" xr:uid="{00000000-0005-0000-0000-000076C10000}"/>
    <cellStyle name="SAPBEXaggData 100" xfId="51459" xr:uid="{00000000-0005-0000-0000-000077C10000}"/>
    <cellStyle name="SAPBEXaggData 101" xfId="51460" xr:uid="{00000000-0005-0000-0000-000078C10000}"/>
    <cellStyle name="SAPBEXaggData 102" xfId="51461" xr:uid="{00000000-0005-0000-0000-000079C10000}"/>
    <cellStyle name="SAPBEXaggData 103" xfId="51462" xr:uid="{00000000-0005-0000-0000-00007AC10000}"/>
    <cellStyle name="SAPBEXaggData 104" xfId="51463" xr:uid="{00000000-0005-0000-0000-00007BC10000}"/>
    <cellStyle name="SAPBEXaggData 105" xfId="51464" xr:uid="{00000000-0005-0000-0000-00007CC10000}"/>
    <cellStyle name="SAPBEXaggData 106" xfId="51465" xr:uid="{00000000-0005-0000-0000-00007DC10000}"/>
    <cellStyle name="SAPBEXaggData 107" xfId="51466" xr:uid="{00000000-0005-0000-0000-00007EC10000}"/>
    <cellStyle name="SAPBEXaggData 108" xfId="51467" xr:uid="{00000000-0005-0000-0000-00007FC10000}"/>
    <cellStyle name="SAPBEXaggData 109" xfId="51468" xr:uid="{00000000-0005-0000-0000-000080C10000}"/>
    <cellStyle name="SAPBEXaggData 11" xfId="1747" xr:uid="{00000000-0005-0000-0000-000081C10000}"/>
    <cellStyle name="SAPBEXaggData 110" xfId="51469" xr:uid="{00000000-0005-0000-0000-000082C10000}"/>
    <cellStyle name="SAPBEXaggData 12" xfId="1748" xr:uid="{00000000-0005-0000-0000-000083C10000}"/>
    <cellStyle name="SAPBEXaggData 13" xfId="1749" xr:uid="{00000000-0005-0000-0000-000084C10000}"/>
    <cellStyle name="SAPBEXaggData 14" xfId="1750" xr:uid="{00000000-0005-0000-0000-000085C10000}"/>
    <cellStyle name="SAPBEXaggData 15" xfId="1751" xr:uid="{00000000-0005-0000-0000-000086C10000}"/>
    <cellStyle name="SAPBEXaggData 16" xfId="1752" xr:uid="{00000000-0005-0000-0000-000087C10000}"/>
    <cellStyle name="SAPBEXaggData 17" xfId="1753" xr:uid="{00000000-0005-0000-0000-000088C10000}"/>
    <cellStyle name="SAPBEXaggData 18" xfId="1754" xr:uid="{00000000-0005-0000-0000-000089C10000}"/>
    <cellStyle name="SAPBEXaggData 19" xfId="1755" xr:uid="{00000000-0005-0000-0000-00008AC10000}"/>
    <cellStyle name="SAPBEXaggData 2" xfId="1756" xr:uid="{00000000-0005-0000-0000-00008BC10000}"/>
    <cellStyle name="SAPBEXaggData 2 2" xfId="51470" xr:uid="{00000000-0005-0000-0000-00008CC10000}"/>
    <cellStyle name="SAPBEXaggData 20" xfId="1757" xr:uid="{00000000-0005-0000-0000-00008DC10000}"/>
    <cellStyle name="SAPBEXaggData 21" xfId="1758" xr:uid="{00000000-0005-0000-0000-00008EC10000}"/>
    <cellStyle name="SAPBEXaggData 22" xfId="1759" xr:uid="{00000000-0005-0000-0000-00008FC10000}"/>
    <cellStyle name="SAPBEXaggData 23" xfId="1760" xr:uid="{00000000-0005-0000-0000-000090C10000}"/>
    <cellStyle name="SAPBEXaggData 24" xfId="1761" xr:uid="{00000000-0005-0000-0000-000091C10000}"/>
    <cellStyle name="SAPBEXaggData 25" xfId="1762" xr:uid="{00000000-0005-0000-0000-000092C10000}"/>
    <cellStyle name="SAPBEXaggData 26" xfId="1763" xr:uid="{00000000-0005-0000-0000-000093C10000}"/>
    <cellStyle name="SAPBEXaggData 27" xfId="1764" xr:uid="{00000000-0005-0000-0000-000094C10000}"/>
    <cellStyle name="SAPBEXaggData 28" xfId="1765" xr:uid="{00000000-0005-0000-0000-000095C10000}"/>
    <cellStyle name="SAPBEXaggData 29" xfId="1766" xr:uid="{00000000-0005-0000-0000-000096C10000}"/>
    <cellStyle name="SAPBEXaggData 3" xfId="1767" xr:uid="{00000000-0005-0000-0000-000097C10000}"/>
    <cellStyle name="SAPBEXaggData 3 2" xfId="51471" xr:uid="{00000000-0005-0000-0000-000098C10000}"/>
    <cellStyle name="SAPBEXaggData 30" xfId="1768" xr:uid="{00000000-0005-0000-0000-000099C10000}"/>
    <cellStyle name="SAPBEXaggData 31" xfId="1769" xr:uid="{00000000-0005-0000-0000-00009AC10000}"/>
    <cellStyle name="SAPBEXaggData 32" xfId="1770" xr:uid="{00000000-0005-0000-0000-00009BC10000}"/>
    <cellStyle name="SAPBEXaggData 33" xfId="1771" xr:uid="{00000000-0005-0000-0000-00009CC10000}"/>
    <cellStyle name="SAPBEXaggData 34" xfId="1772" xr:uid="{00000000-0005-0000-0000-00009DC10000}"/>
    <cellStyle name="SAPBEXaggData 35" xfId="1773" xr:uid="{00000000-0005-0000-0000-00009EC10000}"/>
    <cellStyle name="SAPBEXaggData 36" xfId="1774" xr:uid="{00000000-0005-0000-0000-00009FC10000}"/>
    <cellStyle name="SAPBEXaggData 37" xfId="1775" xr:uid="{00000000-0005-0000-0000-0000A0C10000}"/>
    <cellStyle name="SAPBEXaggData 38" xfId="1776" xr:uid="{00000000-0005-0000-0000-0000A1C10000}"/>
    <cellStyle name="SAPBEXaggData 39" xfId="1777" xr:uid="{00000000-0005-0000-0000-0000A2C10000}"/>
    <cellStyle name="SAPBEXaggData 4" xfId="1778" xr:uid="{00000000-0005-0000-0000-0000A3C10000}"/>
    <cellStyle name="SAPBEXaggData 40" xfId="1779" xr:uid="{00000000-0005-0000-0000-0000A4C10000}"/>
    <cellStyle name="SAPBEXaggData 41" xfId="1780" xr:uid="{00000000-0005-0000-0000-0000A5C10000}"/>
    <cellStyle name="SAPBEXaggData 42" xfId="1781" xr:uid="{00000000-0005-0000-0000-0000A6C10000}"/>
    <cellStyle name="SAPBEXaggData 43" xfId="1782" xr:uid="{00000000-0005-0000-0000-0000A7C10000}"/>
    <cellStyle name="SAPBEXaggData 44" xfId="1783" xr:uid="{00000000-0005-0000-0000-0000A8C10000}"/>
    <cellStyle name="SAPBEXaggData 45" xfId="1784" xr:uid="{00000000-0005-0000-0000-0000A9C10000}"/>
    <cellStyle name="SAPBEXaggData 46" xfId="51472" xr:uid="{00000000-0005-0000-0000-0000AAC10000}"/>
    <cellStyle name="SAPBEXaggData 47" xfId="51473" xr:uid="{00000000-0005-0000-0000-0000ABC10000}"/>
    <cellStyle name="SAPBEXaggData 48" xfId="51474" xr:uid="{00000000-0005-0000-0000-0000ACC10000}"/>
    <cellStyle name="SAPBEXaggData 49" xfId="51475" xr:uid="{00000000-0005-0000-0000-0000ADC10000}"/>
    <cellStyle name="SAPBEXaggData 5" xfId="1785" xr:uid="{00000000-0005-0000-0000-0000AEC10000}"/>
    <cellStyle name="SAPBEXaggData 50" xfId="51476" xr:uid="{00000000-0005-0000-0000-0000AFC10000}"/>
    <cellStyle name="SAPBEXaggData 51" xfId="51477" xr:uid="{00000000-0005-0000-0000-0000B0C10000}"/>
    <cellStyle name="SAPBEXaggData 52" xfId="51478" xr:uid="{00000000-0005-0000-0000-0000B1C10000}"/>
    <cellStyle name="SAPBEXaggData 53" xfId="51479" xr:uid="{00000000-0005-0000-0000-0000B2C10000}"/>
    <cellStyle name="SAPBEXaggData 54" xfId="51480" xr:uid="{00000000-0005-0000-0000-0000B3C10000}"/>
    <cellStyle name="SAPBEXaggData 55" xfId="51481" xr:uid="{00000000-0005-0000-0000-0000B4C10000}"/>
    <cellStyle name="SAPBEXaggData 56" xfId="51482" xr:uid="{00000000-0005-0000-0000-0000B5C10000}"/>
    <cellStyle name="SAPBEXaggData 57" xfId="51483" xr:uid="{00000000-0005-0000-0000-0000B6C10000}"/>
    <cellStyle name="SAPBEXaggData 58" xfId="51484" xr:uid="{00000000-0005-0000-0000-0000B7C10000}"/>
    <cellStyle name="SAPBEXaggData 59" xfId="51485" xr:uid="{00000000-0005-0000-0000-0000B8C10000}"/>
    <cellStyle name="SAPBEXaggData 6" xfId="1786" xr:uid="{00000000-0005-0000-0000-0000B9C10000}"/>
    <cellStyle name="SAPBEXaggData 60" xfId="51486" xr:uid="{00000000-0005-0000-0000-0000BAC10000}"/>
    <cellStyle name="SAPBEXaggData 61" xfId="51487" xr:uid="{00000000-0005-0000-0000-0000BBC10000}"/>
    <cellStyle name="SAPBEXaggData 62" xfId="51488" xr:uid="{00000000-0005-0000-0000-0000BCC10000}"/>
    <cellStyle name="SAPBEXaggData 63" xfId="51489" xr:uid="{00000000-0005-0000-0000-0000BDC10000}"/>
    <cellStyle name="SAPBEXaggData 64" xfId="51490" xr:uid="{00000000-0005-0000-0000-0000BEC10000}"/>
    <cellStyle name="SAPBEXaggData 65" xfId="51491" xr:uid="{00000000-0005-0000-0000-0000BFC10000}"/>
    <cellStyle name="SAPBEXaggData 66" xfId="51492" xr:uid="{00000000-0005-0000-0000-0000C0C10000}"/>
    <cellStyle name="SAPBEXaggData 67" xfId="51493" xr:uid="{00000000-0005-0000-0000-0000C1C10000}"/>
    <cellStyle name="SAPBEXaggData 68" xfId="51494" xr:uid="{00000000-0005-0000-0000-0000C2C10000}"/>
    <cellStyle name="SAPBEXaggData 69" xfId="51495" xr:uid="{00000000-0005-0000-0000-0000C3C10000}"/>
    <cellStyle name="SAPBEXaggData 7" xfId="1787" xr:uid="{00000000-0005-0000-0000-0000C4C10000}"/>
    <cellStyle name="SAPBEXaggData 70" xfId="51496" xr:uid="{00000000-0005-0000-0000-0000C5C10000}"/>
    <cellStyle name="SAPBEXaggData 71" xfId="51497" xr:uid="{00000000-0005-0000-0000-0000C6C10000}"/>
    <cellStyle name="SAPBEXaggData 72" xfId="51498" xr:uid="{00000000-0005-0000-0000-0000C7C10000}"/>
    <cellStyle name="SAPBEXaggData 73" xfId="51499" xr:uid="{00000000-0005-0000-0000-0000C8C10000}"/>
    <cellStyle name="SAPBEXaggData 74" xfId="51500" xr:uid="{00000000-0005-0000-0000-0000C9C10000}"/>
    <cellStyle name="SAPBEXaggData 75" xfId="51501" xr:uid="{00000000-0005-0000-0000-0000CAC10000}"/>
    <cellStyle name="SAPBEXaggData 76" xfId="51502" xr:uid="{00000000-0005-0000-0000-0000CBC10000}"/>
    <cellStyle name="SAPBEXaggData 77" xfId="51503" xr:uid="{00000000-0005-0000-0000-0000CCC10000}"/>
    <cellStyle name="SAPBEXaggData 78" xfId="51504" xr:uid="{00000000-0005-0000-0000-0000CDC10000}"/>
    <cellStyle name="SAPBEXaggData 79" xfId="51505" xr:uid="{00000000-0005-0000-0000-0000CEC10000}"/>
    <cellStyle name="SAPBEXaggData 8" xfId="1788" xr:uid="{00000000-0005-0000-0000-0000CFC10000}"/>
    <cellStyle name="SAPBEXaggData 80" xfId="51506" xr:uid="{00000000-0005-0000-0000-0000D0C10000}"/>
    <cellStyle name="SAPBEXaggData 81" xfId="51507" xr:uid="{00000000-0005-0000-0000-0000D1C10000}"/>
    <cellStyle name="SAPBEXaggData 82" xfId="51508" xr:uid="{00000000-0005-0000-0000-0000D2C10000}"/>
    <cellStyle name="SAPBEXaggData 83" xfId="51509" xr:uid="{00000000-0005-0000-0000-0000D3C10000}"/>
    <cellStyle name="SAPBEXaggData 84" xfId="51510" xr:uid="{00000000-0005-0000-0000-0000D4C10000}"/>
    <cellStyle name="SAPBEXaggData 85" xfId="51511" xr:uid="{00000000-0005-0000-0000-0000D5C10000}"/>
    <cellStyle name="SAPBEXaggData 86" xfId="51512" xr:uid="{00000000-0005-0000-0000-0000D6C10000}"/>
    <cellStyle name="SAPBEXaggData 87" xfId="51513" xr:uid="{00000000-0005-0000-0000-0000D7C10000}"/>
    <cellStyle name="SAPBEXaggData 88" xfId="51514" xr:uid="{00000000-0005-0000-0000-0000D8C10000}"/>
    <cellStyle name="SAPBEXaggData 89" xfId="51515" xr:uid="{00000000-0005-0000-0000-0000D9C10000}"/>
    <cellStyle name="SAPBEXaggData 9" xfId="1789" xr:uid="{00000000-0005-0000-0000-0000DAC10000}"/>
    <cellStyle name="SAPBEXaggData 90" xfId="51516" xr:uid="{00000000-0005-0000-0000-0000DBC10000}"/>
    <cellStyle name="SAPBEXaggData 91" xfId="51517" xr:uid="{00000000-0005-0000-0000-0000DCC10000}"/>
    <cellStyle name="SAPBEXaggData 92" xfId="51518" xr:uid="{00000000-0005-0000-0000-0000DDC10000}"/>
    <cellStyle name="SAPBEXaggData 93" xfId="51519" xr:uid="{00000000-0005-0000-0000-0000DEC10000}"/>
    <cellStyle name="SAPBEXaggData 94" xfId="51520" xr:uid="{00000000-0005-0000-0000-0000DFC10000}"/>
    <cellStyle name="SAPBEXaggData 95" xfId="51521" xr:uid="{00000000-0005-0000-0000-0000E0C10000}"/>
    <cellStyle name="SAPBEXaggData 96" xfId="51522" xr:uid="{00000000-0005-0000-0000-0000E1C10000}"/>
    <cellStyle name="SAPBEXaggData 97" xfId="51523" xr:uid="{00000000-0005-0000-0000-0000E2C10000}"/>
    <cellStyle name="SAPBEXaggData 98" xfId="51524" xr:uid="{00000000-0005-0000-0000-0000E3C10000}"/>
    <cellStyle name="SAPBEXaggData 99" xfId="51525" xr:uid="{00000000-0005-0000-0000-0000E4C10000}"/>
    <cellStyle name="SAPBEXaggData_(A-7) IS-Inputs" xfId="51526" xr:uid="{00000000-0005-0000-0000-0000E5C10000}"/>
    <cellStyle name="SAPBEXaggDataEmph" xfId="52" xr:uid="{00000000-0005-0000-0000-00006C000000}"/>
    <cellStyle name="SAPBEXaggDataEmph 10" xfId="1790" xr:uid="{00000000-0005-0000-0000-0000E7C10000}"/>
    <cellStyle name="SAPBEXaggDataEmph 11" xfId="1791" xr:uid="{00000000-0005-0000-0000-0000E8C10000}"/>
    <cellStyle name="SAPBEXaggDataEmph 12" xfId="1792" xr:uid="{00000000-0005-0000-0000-0000E9C10000}"/>
    <cellStyle name="SAPBEXaggDataEmph 13" xfId="1793" xr:uid="{00000000-0005-0000-0000-0000EAC10000}"/>
    <cellStyle name="SAPBEXaggDataEmph 14" xfId="1794" xr:uid="{00000000-0005-0000-0000-0000EBC10000}"/>
    <cellStyle name="SAPBEXaggDataEmph 15" xfId="1795" xr:uid="{00000000-0005-0000-0000-0000ECC10000}"/>
    <cellStyle name="SAPBEXaggDataEmph 16" xfId="1796" xr:uid="{00000000-0005-0000-0000-0000EDC10000}"/>
    <cellStyle name="SAPBEXaggDataEmph 17" xfId="1797" xr:uid="{00000000-0005-0000-0000-0000EEC10000}"/>
    <cellStyle name="SAPBEXaggDataEmph 18" xfId="1798" xr:uid="{00000000-0005-0000-0000-0000EFC10000}"/>
    <cellStyle name="SAPBEXaggDataEmph 19" xfId="1799" xr:uid="{00000000-0005-0000-0000-0000F0C10000}"/>
    <cellStyle name="SAPBEXaggDataEmph 2" xfId="1800" xr:uid="{00000000-0005-0000-0000-0000F1C10000}"/>
    <cellStyle name="SAPBEXaggDataEmph 2 2" xfId="51527" xr:uid="{00000000-0005-0000-0000-0000F2C10000}"/>
    <cellStyle name="SAPBEXaggDataEmph 20" xfId="1801" xr:uid="{00000000-0005-0000-0000-0000F3C10000}"/>
    <cellStyle name="SAPBEXaggDataEmph 21" xfId="1802" xr:uid="{00000000-0005-0000-0000-0000F4C10000}"/>
    <cellStyle name="SAPBEXaggDataEmph 22" xfId="1803" xr:uid="{00000000-0005-0000-0000-0000F5C10000}"/>
    <cellStyle name="SAPBEXaggDataEmph 23" xfId="1804" xr:uid="{00000000-0005-0000-0000-0000F6C10000}"/>
    <cellStyle name="SAPBEXaggDataEmph 24" xfId="1805" xr:uid="{00000000-0005-0000-0000-0000F7C10000}"/>
    <cellStyle name="SAPBEXaggDataEmph 25" xfId="1806" xr:uid="{00000000-0005-0000-0000-0000F8C10000}"/>
    <cellStyle name="SAPBEXaggDataEmph 26" xfId="1807" xr:uid="{00000000-0005-0000-0000-0000F9C10000}"/>
    <cellStyle name="SAPBEXaggDataEmph 27" xfId="1808" xr:uid="{00000000-0005-0000-0000-0000FAC10000}"/>
    <cellStyle name="SAPBEXaggDataEmph 28" xfId="1809" xr:uid="{00000000-0005-0000-0000-0000FBC10000}"/>
    <cellStyle name="SAPBEXaggDataEmph 29" xfId="1810" xr:uid="{00000000-0005-0000-0000-0000FCC10000}"/>
    <cellStyle name="SAPBEXaggDataEmph 3" xfId="1811" xr:uid="{00000000-0005-0000-0000-0000FDC10000}"/>
    <cellStyle name="SAPBEXaggDataEmph 30" xfId="1812" xr:uid="{00000000-0005-0000-0000-0000FEC10000}"/>
    <cellStyle name="SAPBEXaggDataEmph 31" xfId="1813" xr:uid="{00000000-0005-0000-0000-0000FFC10000}"/>
    <cellStyle name="SAPBEXaggDataEmph 32" xfId="1814" xr:uid="{00000000-0005-0000-0000-000000C20000}"/>
    <cellStyle name="SAPBEXaggDataEmph 33" xfId="1815" xr:uid="{00000000-0005-0000-0000-000001C20000}"/>
    <cellStyle name="SAPBEXaggDataEmph 34" xfId="1816" xr:uid="{00000000-0005-0000-0000-000002C20000}"/>
    <cellStyle name="SAPBEXaggDataEmph 35" xfId="1817" xr:uid="{00000000-0005-0000-0000-000003C20000}"/>
    <cellStyle name="SAPBEXaggDataEmph 36" xfId="1818" xr:uid="{00000000-0005-0000-0000-000004C20000}"/>
    <cellStyle name="SAPBEXaggDataEmph 37" xfId="1819" xr:uid="{00000000-0005-0000-0000-000005C20000}"/>
    <cellStyle name="SAPBEXaggDataEmph 38" xfId="1820" xr:uid="{00000000-0005-0000-0000-000006C20000}"/>
    <cellStyle name="SAPBEXaggDataEmph 39" xfId="1821" xr:uid="{00000000-0005-0000-0000-000007C20000}"/>
    <cellStyle name="SAPBEXaggDataEmph 4" xfId="1822" xr:uid="{00000000-0005-0000-0000-000008C20000}"/>
    <cellStyle name="SAPBEXaggDataEmph 40" xfId="1823" xr:uid="{00000000-0005-0000-0000-000009C20000}"/>
    <cellStyle name="SAPBEXaggDataEmph 41" xfId="1824" xr:uid="{00000000-0005-0000-0000-00000AC20000}"/>
    <cellStyle name="SAPBEXaggDataEmph 42" xfId="1825" xr:uid="{00000000-0005-0000-0000-00000BC20000}"/>
    <cellStyle name="SAPBEXaggDataEmph 43" xfId="1826" xr:uid="{00000000-0005-0000-0000-00000CC20000}"/>
    <cellStyle name="SAPBEXaggDataEmph 44" xfId="1827" xr:uid="{00000000-0005-0000-0000-00000DC20000}"/>
    <cellStyle name="SAPBEXaggDataEmph 45" xfId="1828" xr:uid="{00000000-0005-0000-0000-00000EC20000}"/>
    <cellStyle name="SAPBEXaggDataEmph 46" xfId="51528" xr:uid="{00000000-0005-0000-0000-00000FC20000}"/>
    <cellStyle name="SAPBEXaggDataEmph 5" xfId="1829" xr:uid="{00000000-0005-0000-0000-000010C20000}"/>
    <cellStyle name="SAPBEXaggDataEmph 6" xfId="1830" xr:uid="{00000000-0005-0000-0000-000011C20000}"/>
    <cellStyle name="SAPBEXaggDataEmph 7" xfId="1831" xr:uid="{00000000-0005-0000-0000-000012C20000}"/>
    <cellStyle name="SAPBEXaggDataEmph 8" xfId="1832" xr:uid="{00000000-0005-0000-0000-000013C20000}"/>
    <cellStyle name="SAPBEXaggDataEmph 9" xfId="1833" xr:uid="{00000000-0005-0000-0000-000014C20000}"/>
    <cellStyle name="SAPBEXaggItem" xfId="53" xr:uid="{00000000-0005-0000-0000-00006D000000}"/>
    <cellStyle name="SAPBEXaggItem 10" xfId="1834" xr:uid="{00000000-0005-0000-0000-000016C20000}"/>
    <cellStyle name="SAPBEXaggItem 100" xfId="51529" xr:uid="{00000000-0005-0000-0000-000017C20000}"/>
    <cellStyle name="SAPBEXaggItem 101" xfId="51530" xr:uid="{00000000-0005-0000-0000-000018C20000}"/>
    <cellStyle name="SAPBEXaggItem 102" xfId="51531" xr:uid="{00000000-0005-0000-0000-000019C20000}"/>
    <cellStyle name="SAPBEXaggItem 103" xfId="51532" xr:uid="{00000000-0005-0000-0000-00001AC20000}"/>
    <cellStyle name="SAPBEXaggItem 104" xfId="51533" xr:uid="{00000000-0005-0000-0000-00001BC20000}"/>
    <cellStyle name="SAPBEXaggItem 105" xfId="51534" xr:uid="{00000000-0005-0000-0000-00001CC20000}"/>
    <cellStyle name="SAPBEXaggItem 106" xfId="51535" xr:uid="{00000000-0005-0000-0000-00001DC20000}"/>
    <cellStyle name="SAPBEXaggItem 107" xfId="51536" xr:uid="{00000000-0005-0000-0000-00001EC20000}"/>
    <cellStyle name="SAPBEXaggItem 108" xfId="51537" xr:uid="{00000000-0005-0000-0000-00001FC20000}"/>
    <cellStyle name="SAPBEXaggItem 109" xfId="51538" xr:uid="{00000000-0005-0000-0000-000020C20000}"/>
    <cellStyle name="SAPBEXaggItem 11" xfId="1835" xr:uid="{00000000-0005-0000-0000-000021C20000}"/>
    <cellStyle name="SAPBEXaggItem 110" xfId="51539" xr:uid="{00000000-0005-0000-0000-000022C20000}"/>
    <cellStyle name="SAPBEXaggItem 12" xfId="1836" xr:uid="{00000000-0005-0000-0000-000023C20000}"/>
    <cellStyle name="SAPBEXaggItem 13" xfId="1837" xr:uid="{00000000-0005-0000-0000-000024C20000}"/>
    <cellStyle name="SAPBEXaggItem 14" xfId="1838" xr:uid="{00000000-0005-0000-0000-000025C20000}"/>
    <cellStyle name="SAPBEXaggItem 15" xfId="1839" xr:uid="{00000000-0005-0000-0000-000026C20000}"/>
    <cellStyle name="SAPBEXaggItem 16" xfId="1840" xr:uid="{00000000-0005-0000-0000-000027C20000}"/>
    <cellStyle name="SAPBEXaggItem 17" xfId="1841" xr:uid="{00000000-0005-0000-0000-000028C20000}"/>
    <cellStyle name="SAPBEXaggItem 18" xfId="1842" xr:uid="{00000000-0005-0000-0000-000029C20000}"/>
    <cellStyle name="SAPBEXaggItem 19" xfId="1843" xr:uid="{00000000-0005-0000-0000-00002AC20000}"/>
    <cellStyle name="SAPBEXaggItem 2" xfId="1844" xr:uid="{00000000-0005-0000-0000-00002BC20000}"/>
    <cellStyle name="SAPBEXaggItem 2 2" xfId="51540" xr:uid="{00000000-0005-0000-0000-00002CC20000}"/>
    <cellStyle name="SAPBEXaggItem 20" xfId="1845" xr:uid="{00000000-0005-0000-0000-00002DC20000}"/>
    <cellStyle name="SAPBEXaggItem 21" xfId="1846" xr:uid="{00000000-0005-0000-0000-00002EC20000}"/>
    <cellStyle name="SAPBEXaggItem 22" xfId="1847" xr:uid="{00000000-0005-0000-0000-00002FC20000}"/>
    <cellStyle name="SAPBEXaggItem 23" xfId="1848" xr:uid="{00000000-0005-0000-0000-000030C20000}"/>
    <cellStyle name="SAPBEXaggItem 24" xfId="1849" xr:uid="{00000000-0005-0000-0000-000031C20000}"/>
    <cellStyle name="SAPBEXaggItem 25" xfId="1850" xr:uid="{00000000-0005-0000-0000-000032C20000}"/>
    <cellStyle name="SAPBEXaggItem 26" xfId="1851" xr:uid="{00000000-0005-0000-0000-000033C20000}"/>
    <cellStyle name="SAPBEXaggItem 27" xfId="1852" xr:uid="{00000000-0005-0000-0000-000034C20000}"/>
    <cellStyle name="SAPBEXaggItem 28" xfId="1853" xr:uid="{00000000-0005-0000-0000-000035C20000}"/>
    <cellStyle name="SAPBEXaggItem 29" xfId="1854" xr:uid="{00000000-0005-0000-0000-000036C20000}"/>
    <cellStyle name="SAPBEXaggItem 3" xfId="1855" xr:uid="{00000000-0005-0000-0000-000037C20000}"/>
    <cellStyle name="SAPBEXaggItem 3 2" xfId="51541" xr:uid="{00000000-0005-0000-0000-000038C20000}"/>
    <cellStyle name="SAPBEXaggItem 30" xfId="1856" xr:uid="{00000000-0005-0000-0000-000039C20000}"/>
    <cellStyle name="SAPBEXaggItem 31" xfId="1857" xr:uid="{00000000-0005-0000-0000-00003AC20000}"/>
    <cellStyle name="SAPBEXaggItem 32" xfId="1858" xr:uid="{00000000-0005-0000-0000-00003BC20000}"/>
    <cellStyle name="SAPBEXaggItem 33" xfId="1859" xr:uid="{00000000-0005-0000-0000-00003CC20000}"/>
    <cellStyle name="SAPBEXaggItem 34" xfId="1860" xr:uid="{00000000-0005-0000-0000-00003DC20000}"/>
    <cellStyle name="SAPBEXaggItem 35" xfId="1861" xr:uid="{00000000-0005-0000-0000-00003EC20000}"/>
    <cellStyle name="SAPBEXaggItem 36" xfId="1862" xr:uid="{00000000-0005-0000-0000-00003FC20000}"/>
    <cellStyle name="SAPBEXaggItem 37" xfId="1863" xr:uid="{00000000-0005-0000-0000-000040C20000}"/>
    <cellStyle name="SAPBEXaggItem 38" xfId="1864" xr:uid="{00000000-0005-0000-0000-000041C20000}"/>
    <cellStyle name="SAPBEXaggItem 39" xfId="1865" xr:uid="{00000000-0005-0000-0000-000042C20000}"/>
    <cellStyle name="SAPBEXaggItem 4" xfId="1866" xr:uid="{00000000-0005-0000-0000-000043C20000}"/>
    <cellStyle name="SAPBEXaggItem 40" xfId="1867" xr:uid="{00000000-0005-0000-0000-000044C20000}"/>
    <cellStyle name="SAPBEXaggItem 41" xfId="1868" xr:uid="{00000000-0005-0000-0000-000045C20000}"/>
    <cellStyle name="SAPBEXaggItem 42" xfId="1869" xr:uid="{00000000-0005-0000-0000-000046C20000}"/>
    <cellStyle name="SAPBEXaggItem 43" xfId="1870" xr:uid="{00000000-0005-0000-0000-000047C20000}"/>
    <cellStyle name="SAPBEXaggItem 44" xfId="1871" xr:uid="{00000000-0005-0000-0000-000048C20000}"/>
    <cellStyle name="SAPBEXaggItem 45" xfId="1872" xr:uid="{00000000-0005-0000-0000-000049C20000}"/>
    <cellStyle name="SAPBEXaggItem 46" xfId="51542" xr:uid="{00000000-0005-0000-0000-00004AC20000}"/>
    <cellStyle name="SAPBEXaggItem 47" xfId="51543" xr:uid="{00000000-0005-0000-0000-00004BC20000}"/>
    <cellStyle name="SAPBEXaggItem 48" xfId="51544" xr:uid="{00000000-0005-0000-0000-00004CC20000}"/>
    <cellStyle name="SAPBEXaggItem 49" xfId="51545" xr:uid="{00000000-0005-0000-0000-00004DC20000}"/>
    <cellStyle name="SAPBEXaggItem 5" xfId="1873" xr:uid="{00000000-0005-0000-0000-00004EC20000}"/>
    <cellStyle name="SAPBEXaggItem 50" xfId="51546" xr:uid="{00000000-0005-0000-0000-00004FC20000}"/>
    <cellStyle name="SAPBEXaggItem 51" xfId="51547" xr:uid="{00000000-0005-0000-0000-000050C20000}"/>
    <cellStyle name="SAPBEXaggItem 52" xfId="51548" xr:uid="{00000000-0005-0000-0000-000051C20000}"/>
    <cellStyle name="SAPBEXaggItem 53" xfId="51549" xr:uid="{00000000-0005-0000-0000-000052C20000}"/>
    <cellStyle name="SAPBEXaggItem 54" xfId="51550" xr:uid="{00000000-0005-0000-0000-000053C20000}"/>
    <cellStyle name="SAPBEXaggItem 55" xfId="51551" xr:uid="{00000000-0005-0000-0000-000054C20000}"/>
    <cellStyle name="SAPBEXaggItem 56" xfId="51552" xr:uid="{00000000-0005-0000-0000-000055C20000}"/>
    <cellStyle name="SAPBEXaggItem 57" xfId="51553" xr:uid="{00000000-0005-0000-0000-000056C20000}"/>
    <cellStyle name="SAPBEXaggItem 58" xfId="51554" xr:uid="{00000000-0005-0000-0000-000057C20000}"/>
    <cellStyle name="SAPBEXaggItem 59" xfId="51555" xr:uid="{00000000-0005-0000-0000-000058C20000}"/>
    <cellStyle name="SAPBEXaggItem 6" xfId="1874" xr:uid="{00000000-0005-0000-0000-000059C20000}"/>
    <cellStyle name="SAPBEXaggItem 60" xfId="51556" xr:uid="{00000000-0005-0000-0000-00005AC20000}"/>
    <cellStyle name="SAPBEXaggItem 61" xfId="51557" xr:uid="{00000000-0005-0000-0000-00005BC20000}"/>
    <cellStyle name="SAPBEXaggItem 62" xfId="51558" xr:uid="{00000000-0005-0000-0000-00005CC20000}"/>
    <cellStyle name="SAPBEXaggItem 63" xfId="51559" xr:uid="{00000000-0005-0000-0000-00005DC20000}"/>
    <cellStyle name="SAPBEXaggItem 64" xfId="51560" xr:uid="{00000000-0005-0000-0000-00005EC20000}"/>
    <cellStyle name="SAPBEXaggItem 65" xfId="51561" xr:uid="{00000000-0005-0000-0000-00005FC20000}"/>
    <cellStyle name="SAPBEXaggItem 66" xfId="51562" xr:uid="{00000000-0005-0000-0000-000060C20000}"/>
    <cellStyle name="SAPBEXaggItem 67" xfId="51563" xr:uid="{00000000-0005-0000-0000-000061C20000}"/>
    <cellStyle name="SAPBEXaggItem 68" xfId="51564" xr:uid="{00000000-0005-0000-0000-000062C20000}"/>
    <cellStyle name="SAPBEXaggItem 69" xfId="51565" xr:uid="{00000000-0005-0000-0000-000063C20000}"/>
    <cellStyle name="SAPBEXaggItem 7" xfId="1875" xr:uid="{00000000-0005-0000-0000-000064C20000}"/>
    <cellStyle name="SAPBEXaggItem 70" xfId="51566" xr:uid="{00000000-0005-0000-0000-000065C20000}"/>
    <cellStyle name="SAPBEXaggItem 71" xfId="51567" xr:uid="{00000000-0005-0000-0000-000066C20000}"/>
    <cellStyle name="SAPBEXaggItem 72" xfId="51568" xr:uid="{00000000-0005-0000-0000-000067C20000}"/>
    <cellStyle name="SAPBEXaggItem 73" xfId="51569" xr:uid="{00000000-0005-0000-0000-000068C20000}"/>
    <cellStyle name="SAPBEXaggItem 74" xfId="51570" xr:uid="{00000000-0005-0000-0000-000069C20000}"/>
    <cellStyle name="SAPBEXaggItem 75" xfId="51571" xr:uid="{00000000-0005-0000-0000-00006AC20000}"/>
    <cellStyle name="SAPBEXaggItem 76" xfId="51572" xr:uid="{00000000-0005-0000-0000-00006BC20000}"/>
    <cellStyle name="SAPBEXaggItem 77" xfId="51573" xr:uid="{00000000-0005-0000-0000-00006CC20000}"/>
    <cellStyle name="SAPBEXaggItem 78" xfId="51574" xr:uid="{00000000-0005-0000-0000-00006DC20000}"/>
    <cellStyle name="SAPBEXaggItem 79" xfId="51575" xr:uid="{00000000-0005-0000-0000-00006EC20000}"/>
    <cellStyle name="SAPBEXaggItem 8" xfId="1876" xr:uid="{00000000-0005-0000-0000-00006FC20000}"/>
    <cellStyle name="SAPBEXaggItem 80" xfId="51576" xr:uid="{00000000-0005-0000-0000-000070C20000}"/>
    <cellStyle name="SAPBEXaggItem 81" xfId="51577" xr:uid="{00000000-0005-0000-0000-000071C20000}"/>
    <cellStyle name="SAPBEXaggItem 82" xfId="51578" xr:uid="{00000000-0005-0000-0000-000072C20000}"/>
    <cellStyle name="SAPBEXaggItem 83" xfId="51579" xr:uid="{00000000-0005-0000-0000-000073C20000}"/>
    <cellStyle name="SAPBEXaggItem 84" xfId="51580" xr:uid="{00000000-0005-0000-0000-000074C20000}"/>
    <cellStyle name="SAPBEXaggItem 85" xfId="51581" xr:uid="{00000000-0005-0000-0000-000075C20000}"/>
    <cellStyle name="SAPBEXaggItem 86" xfId="51582" xr:uid="{00000000-0005-0000-0000-000076C20000}"/>
    <cellStyle name="SAPBEXaggItem 87" xfId="51583" xr:uid="{00000000-0005-0000-0000-000077C20000}"/>
    <cellStyle name="SAPBEXaggItem 88" xfId="51584" xr:uid="{00000000-0005-0000-0000-000078C20000}"/>
    <cellStyle name="SAPBEXaggItem 89" xfId="51585" xr:uid="{00000000-0005-0000-0000-000079C20000}"/>
    <cellStyle name="SAPBEXaggItem 9" xfId="1877" xr:uid="{00000000-0005-0000-0000-00007AC20000}"/>
    <cellStyle name="SAPBEXaggItem 90" xfId="51586" xr:uid="{00000000-0005-0000-0000-00007BC20000}"/>
    <cellStyle name="SAPBEXaggItem 91" xfId="51587" xr:uid="{00000000-0005-0000-0000-00007CC20000}"/>
    <cellStyle name="SAPBEXaggItem 92" xfId="51588" xr:uid="{00000000-0005-0000-0000-00007DC20000}"/>
    <cellStyle name="SAPBEXaggItem 93" xfId="51589" xr:uid="{00000000-0005-0000-0000-00007EC20000}"/>
    <cellStyle name="SAPBEXaggItem 94" xfId="51590" xr:uid="{00000000-0005-0000-0000-00007FC20000}"/>
    <cellStyle name="SAPBEXaggItem 95" xfId="51591" xr:uid="{00000000-0005-0000-0000-000080C20000}"/>
    <cellStyle name="SAPBEXaggItem 96" xfId="51592" xr:uid="{00000000-0005-0000-0000-000081C20000}"/>
    <cellStyle name="SAPBEXaggItem 97" xfId="51593" xr:uid="{00000000-0005-0000-0000-000082C20000}"/>
    <cellStyle name="SAPBEXaggItem 98" xfId="51594" xr:uid="{00000000-0005-0000-0000-000083C20000}"/>
    <cellStyle name="SAPBEXaggItem 99" xfId="51595" xr:uid="{00000000-0005-0000-0000-000084C20000}"/>
    <cellStyle name="SAPBEXaggItem_(A-7) IS-Inputs" xfId="51596" xr:uid="{00000000-0005-0000-0000-000085C20000}"/>
    <cellStyle name="SAPBEXaggItemX" xfId="54" xr:uid="{00000000-0005-0000-0000-00006E000000}"/>
    <cellStyle name="SAPBEXaggItemX 10" xfId="1878" xr:uid="{00000000-0005-0000-0000-000087C20000}"/>
    <cellStyle name="SAPBEXaggItemX 10 2" xfId="51597" xr:uid="{00000000-0005-0000-0000-000088C20000}"/>
    <cellStyle name="SAPBEXaggItemX 11" xfId="1879" xr:uid="{00000000-0005-0000-0000-000089C20000}"/>
    <cellStyle name="SAPBEXaggItemX 11 2" xfId="51598" xr:uid="{00000000-0005-0000-0000-00008AC20000}"/>
    <cellStyle name="SAPBEXaggItemX 12" xfId="1880" xr:uid="{00000000-0005-0000-0000-00008BC20000}"/>
    <cellStyle name="SAPBEXaggItemX 12 2" xfId="51599" xr:uid="{00000000-0005-0000-0000-00008CC20000}"/>
    <cellStyle name="SAPBEXaggItemX 13" xfId="1881" xr:uid="{00000000-0005-0000-0000-00008DC20000}"/>
    <cellStyle name="SAPBEXaggItemX 13 2" xfId="51600" xr:uid="{00000000-0005-0000-0000-00008EC20000}"/>
    <cellStyle name="SAPBEXaggItemX 14" xfId="1882" xr:uid="{00000000-0005-0000-0000-00008FC20000}"/>
    <cellStyle name="SAPBEXaggItemX 14 2" xfId="51601" xr:uid="{00000000-0005-0000-0000-000090C20000}"/>
    <cellStyle name="SAPBEXaggItemX 15" xfId="1883" xr:uid="{00000000-0005-0000-0000-000091C20000}"/>
    <cellStyle name="SAPBEXaggItemX 15 2" xfId="51602" xr:uid="{00000000-0005-0000-0000-000092C20000}"/>
    <cellStyle name="SAPBEXaggItemX 16" xfId="1884" xr:uid="{00000000-0005-0000-0000-000093C20000}"/>
    <cellStyle name="SAPBEXaggItemX 16 2" xfId="51603" xr:uid="{00000000-0005-0000-0000-000094C20000}"/>
    <cellStyle name="SAPBEXaggItemX 17" xfId="1885" xr:uid="{00000000-0005-0000-0000-000095C20000}"/>
    <cellStyle name="SAPBEXaggItemX 17 2" xfId="51604" xr:uid="{00000000-0005-0000-0000-000096C20000}"/>
    <cellStyle name="SAPBEXaggItemX 18" xfId="1886" xr:uid="{00000000-0005-0000-0000-000097C20000}"/>
    <cellStyle name="SAPBEXaggItemX 18 2" xfId="51605" xr:uid="{00000000-0005-0000-0000-000098C20000}"/>
    <cellStyle name="SAPBEXaggItemX 19" xfId="1887" xr:uid="{00000000-0005-0000-0000-000099C20000}"/>
    <cellStyle name="SAPBEXaggItemX 19 2" xfId="51606" xr:uid="{00000000-0005-0000-0000-00009AC20000}"/>
    <cellStyle name="SAPBEXaggItemX 2" xfId="1888" xr:uid="{00000000-0005-0000-0000-00009BC20000}"/>
    <cellStyle name="SAPBEXaggItemX 2 2" xfId="51607" xr:uid="{00000000-0005-0000-0000-00009CC20000}"/>
    <cellStyle name="SAPBEXaggItemX 2 2 2" xfId="51608" xr:uid="{00000000-0005-0000-0000-00009DC20000}"/>
    <cellStyle name="SAPBEXaggItemX 2 3" xfId="51609" xr:uid="{00000000-0005-0000-0000-00009EC20000}"/>
    <cellStyle name="SAPBEXaggItemX 20" xfId="1889" xr:uid="{00000000-0005-0000-0000-00009FC20000}"/>
    <cellStyle name="SAPBEXaggItemX 20 2" xfId="51610" xr:uid="{00000000-0005-0000-0000-0000A0C20000}"/>
    <cellStyle name="SAPBEXaggItemX 21" xfId="1890" xr:uid="{00000000-0005-0000-0000-0000A1C20000}"/>
    <cellStyle name="SAPBEXaggItemX 21 2" xfId="51611" xr:uid="{00000000-0005-0000-0000-0000A2C20000}"/>
    <cellStyle name="SAPBEXaggItemX 22" xfId="1891" xr:uid="{00000000-0005-0000-0000-0000A3C20000}"/>
    <cellStyle name="SAPBEXaggItemX 22 2" xfId="51612" xr:uid="{00000000-0005-0000-0000-0000A4C20000}"/>
    <cellStyle name="SAPBEXaggItemX 23" xfId="1892" xr:uid="{00000000-0005-0000-0000-0000A5C20000}"/>
    <cellStyle name="SAPBEXaggItemX 23 2" xfId="51613" xr:uid="{00000000-0005-0000-0000-0000A6C20000}"/>
    <cellStyle name="SAPBEXaggItemX 24" xfId="1893" xr:uid="{00000000-0005-0000-0000-0000A7C20000}"/>
    <cellStyle name="SAPBEXaggItemX 24 2" xfId="51614" xr:uid="{00000000-0005-0000-0000-0000A8C20000}"/>
    <cellStyle name="SAPBEXaggItemX 25" xfId="1894" xr:uid="{00000000-0005-0000-0000-0000A9C20000}"/>
    <cellStyle name="SAPBEXaggItemX 25 2" xfId="51615" xr:uid="{00000000-0005-0000-0000-0000AAC20000}"/>
    <cellStyle name="SAPBEXaggItemX 26" xfId="1895" xr:uid="{00000000-0005-0000-0000-0000ABC20000}"/>
    <cellStyle name="SAPBEXaggItemX 26 2" xfId="51616" xr:uid="{00000000-0005-0000-0000-0000ACC20000}"/>
    <cellStyle name="SAPBEXaggItemX 27" xfId="1896" xr:uid="{00000000-0005-0000-0000-0000ADC20000}"/>
    <cellStyle name="SAPBEXaggItemX 27 2" xfId="51617" xr:uid="{00000000-0005-0000-0000-0000AEC20000}"/>
    <cellStyle name="SAPBEXaggItemX 28" xfId="1897" xr:uid="{00000000-0005-0000-0000-0000AFC20000}"/>
    <cellStyle name="SAPBEXaggItemX 28 2" xfId="51618" xr:uid="{00000000-0005-0000-0000-0000B0C20000}"/>
    <cellStyle name="SAPBEXaggItemX 29" xfId="1898" xr:uid="{00000000-0005-0000-0000-0000B1C20000}"/>
    <cellStyle name="SAPBEXaggItemX 29 2" xfId="51619" xr:uid="{00000000-0005-0000-0000-0000B2C20000}"/>
    <cellStyle name="SAPBEXaggItemX 3" xfId="1899" xr:uid="{00000000-0005-0000-0000-0000B3C20000}"/>
    <cellStyle name="SAPBEXaggItemX 3 2" xfId="51620" xr:uid="{00000000-0005-0000-0000-0000B4C20000}"/>
    <cellStyle name="SAPBEXaggItemX 30" xfId="1900" xr:uid="{00000000-0005-0000-0000-0000B5C20000}"/>
    <cellStyle name="SAPBEXaggItemX 30 2" xfId="51621" xr:uid="{00000000-0005-0000-0000-0000B6C20000}"/>
    <cellStyle name="SAPBEXaggItemX 31" xfId="1901" xr:uid="{00000000-0005-0000-0000-0000B7C20000}"/>
    <cellStyle name="SAPBEXaggItemX 31 2" xfId="51622" xr:uid="{00000000-0005-0000-0000-0000B8C20000}"/>
    <cellStyle name="SAPBEXaggItemX 32" xfId="1902" xr:uid="{00000000-0005-0000-0000-0000B9C20000}"/>
    <cellStyle name="SAPBEXaggItemX 32 2" xfId="51623" xr:uid="{00000000-0005-0000-0000-0000BAC20000}"/>
    <cellStyle name="SAPBEXaggItemX 33" xfId="1903" xr:uid="{00000000-0005-0000-0000-0000BBC20000}"/>
    <cellStyle name="SAPBEXaggItemX 33 2" xfId="51624" xr:uid="{00000000-0005-0000-0000-0000BCC20000}"/>
    <cellStyle name="SAPBEXaggItemX 34" xfId="1904" xr:uid="{00000000-0005-0000-0000-0000BDC20000}"/>
    <cellStyle name="SAPBEXaggItemX 34 2" xfId="51625" xr:uid="{00000000-0005-0000-0000-0000BEC20000}"/>
    <cellStyle name="SAPBEXaggItemX 35" xfId="1905" xr:uid="{00000000-0005-0000-0000-0000BFC20000}"/>
    <cellStyle name="SAPBEXaggItemX 35 2" xfId="51626" xr:uid="{00000000-0005-0000-0000-0000C0C20000}"/>
    <cellStyle name="SAPBEXaggItemX 36" xfId="1906" xr:uid="{00000000-0005-0000-0000-0000C1C20000}"/>
    <cellStyle name="SAPBEXaggItemX 36 2" xfId="51627" xr:uid="{00000000-0005-0000-0000-0000C2C20000}"/>
    <cellStyle name="SAPBEXaggItemX 37" xfId="1907" xr:uid="{00000000-0005-0000-0000-0000C3C20000}"/>
    <cellStyle name="SAPBEXaggItemX 37 2" xfId="51628" xr:uid="{00000000-0005-0000-0000-0000C4C20000}"/>
    <cellStyle name="SAPBEXaggItemX 38" xfId="1908" xr:uid="{00000000-0005-0000-0000-0000C5C20000}"/>
    <cellStyle name="SAPBEXaggItemX 38 2" xfId="51629" xr:uid="{00000000-0005-0000-0000-0000C6C20000}"/>
    <cellStyle name="SAPBEXaggItemX 39" xfId="1909" xr:uid="{00000000-0005-0000-0000-0000C7C20000}"/>
    <cellStyle name="SAPBEXaggItemX 39 2" xfId="51630" xr:uid="{00000000-0005-0000-0000-0000C8C20000}"/>
    <cellStyle name="SAPBEXaggItemX 4" xfId="1910" xr:uid="{00000000-0005-0000-0000-0000C9C20000}"/>
    <cellStyle name="SAPBEXaggItemX 4 2" xfId="51631" xr:uid="{00000000-0005-0000-0000-0000CAC20000}"/>
    <cellStyle name="SAPBEXaggItemX 40" xfId="1911" xr:uid="{00000000-0005-0000-0000-0000CBC20000}"/>
    <cellStyle name="SAPBEXaggItemX 40 2" xfId="51632" xr:uid="{00000000-0005-0000-0000-0000CCC20000}"/>
    <cellStyle name="SAPBEXaggItemX 41" xfId="1912" xr:uid="{00000000-0005-0000-0000-0000CDC20000}"/>
    <cellStyle name="SAPBEXaggItemX 41 2" xfId="51633" xr:uid="{00000000-0005-0000-0000-0000CEC20000}"/>
    <cellStyle name="SAPBEXaggItemX 42" xfId="1913" xr:uid="{00000000-0005-0000-0000-0000CFC20000}"/>
    <cellStyle name="SAPBEXaggItemX 42 2" xfId="51634" xr:uid="{00000000-0005-0000-0000-0000D0C20000}"/>
    <cellStyle name="SAPBEXaggItemX 43" xfId="1914" xr:uid="{00000000-0005-0000-0000-0000D1C20000}"/>
    <cellStyle name="SAPBEXaggItemX 43 2" xfId="51635" xr:uid="{00000000-0005-0000-0000-0000D2C20000}"/>
    <cellStyle name="SAPBEXaggItemX 44" xfId="1915" xr:uid="{00000000-0005-0000-0000-0000D3C20000}"/>
    <cellStyle name="SAPBEXaggItemX 44 2" xfId="51636" xr:uid="{00000000-0005-0000-0000-0000D4C20000}"/>
    <cellStyle name="SAPBEXaggItemX 45" xfId="1916" xr:uid="{00000000-0005-0000-0000-0000D5C20000}"/>
    <cellStyle name="SAPBEXaggItemX 45 2" xfId="51637" xr:uid="{00000000-0005-0000-0000-0000D6C20000}"/>
    <cellStyle name="SAPBEXaggItemX 46" xfId="51638" xr:uid="{00000000-0005-0000-0000-0000D7C20000}"/>
    <cellStyle name="SAPBEXaggItemX 46 2" xfId="51639" xr:uid="{00000000-0005-0000-0000-0000D8C20000}"/>
    <cellStyle name="SAPBEXaggItemX 46 3" xfId="51640" xr:uid="{00000000-0005-0000-0000-0000D9C20000}"/>
    <cellStyle name="SAPBEXaggItemX 47" xfId="51641" xr:uid="{00000000-0005-0000-0000-0000DAC20000}"/>
    <cellStyle name="SAPBEXaggItemX 48" xfId="51642" xr:uid="{00000000-0005-0000-0000-0000DBC20000}"/>
    <cellStyle name="SAPBEXaggItemX 49" xfId="51643" xr:uid="{00000000-0005-0000-0000-0000DCC20000}"/>
    <cellStyle name="SAPBEXaggItemX 5" xfId="1917" xr:uid="{00000000-0005-0000-0000-0000DDC20000}"/>
    <cellStyle name="SAPBEXaggItemX 5 2" xfId="51644" xr:uid="{00000000-0005-0000-0000-0000DEC20000}"/>
    <cellStyle name="SAPBEXaggItemX 50" xfId="51645" xr:uid="{00000000-0005-0000-0000-0000DFC20000}"/>
    <cellStyle name="SAPBEXaggItemX 6" xfId="1918" xr:uid="{00000000-0005-0000-0000-0000E0C20000}"/>
    <cellStyle name="SAPBEXaggItemX 6 2" xfId="51646" xr:uid="{00000000-0005-0000-0000-0000E1C20000}"/>
    <cellStyle name="SAPBEXaggItemX 7" xfId="1919" xr:uid="{00000000-0005-0000-0000-0000E2C20000}"/>
    <cellStyle name="SAPBEXaggItemX 7 2" xfId="51647" xr:uid="{00000000-0005-0000-0000-0000E3C20000}"/>
    <cellStyle name="SAPBEXaggItemX 8" xfId="1920" xr:uid="{00000000-0005-0000-0000-0000E4C20000}"/>
    <cellStyle name="SAPBEXaggItemX 8 2" xfId="51648" xr:uid="{00000000-0005-0000-0000-0000E5C20000}"/>
    <cellStyle name="SAPBEXaggItemX 9" xfId="1921" xr:uid="{00000000-0005-0000-0000-0000E6C20000}"/>
    <cellStyle name="SAPBEXaggItemX 9 2" xfId="51649" xr:uid="{00000000-0005-0000-0000-0000E7C20000}"/>
    <cellStyle name="SAPBEXchaText" xfId="55" xr:uid="{00000000-0005-0000-0000-00006F000000}"/>
    <cellStyle name="SAPBEXchaText 10" xfId="1922" xr:uid="{00000000-0005-0000-0000-0000E9C20000}"/>
    <cellStyle name="SAPBEXchaText 100" xfId="51650" xr:uid="{00000000-0005-0000-0000-0000EAC20000}"/>
    <cellStyle name="SAPBEXchaText 101" xfId="51651" xr:uid="{00000000-0005-0000-0000-0000EBC20000}"/>
    <cellStyle name="SAPBEXchaText 102" xfId="51652" xr:uid="{00000000-0005-0000-0000-0000ECC20000}"/>
    <cellStyle name="SAPBEXchaText 103" xfId="51653" xr:uid="{00000000-0005-0000-0000-0000EDC20000}"/>
    <cellStyle name="SAPBEXchaText 104" xfId="51654" xr:uid="{00000000-0005-0000-0000-0000EEC20000}"/>
    <cellStyle name="SAPBEXchaText 105" xfId="51655" xr:uid="{00000000-0005-0000-0000-0000EFC20000}"/>
    <cellStyle name="SAPBEXchaText 106" xfId="51656" xr:uid="{00000000-0005-0000-0000-0000F0C20000}"/>
    <cellStyle name="SAPBEXchaText 107" xfId="51657" xr:uid="{00000000-0005-0000-0000-0000F1C20000}"/>
    <cellStyle name="SAPBEXchaText 108" xfId="51658" xr:uid="{00000000-0005-0000-0000-0000F2C20000}"/>
    <cellStyle name="SAPBEXchaText 109" xfId="51659" xr:uid="{00000000-0005-0000-0000-0000F3C20000}"/>
    <cellStyle name="SAPBEXchaText 11" xfId="1923" xr:uid="{00000000-0005-0000-0000-0000F4C20000}"/>
    <cellStyle name="SAPBEXchaText 110" xfId="51660" xr:uid="{00000000-0005-0000-0000-0000F5C20000}"/>
    <cellStyle name="SAPBEXchaText 12" xfId="1924" xr:uid="{00000000-0005-0000-0000-0000F6C20000}"/>
    <cellStyle name="SAPBEXchaText 13" xfId="1925" xr:uid="{00000000-0005-0000-0000-0000F7C20000}"/>
    <cellStyle name="SAPBEXchaText 14" xfId="1926" xr:uid="{00000000-0005-0000-0000-0000F8C20000}"/>
    <cellStyle name="SAPBEXchaText 15" xfId="1927" xr:uid="{00000000-0005-0000-0000-0000F9C20000}"/>
    <cellStyle name="SAPBEXchaText 16" xfId="1928" xr:uid="{00000000-0005-0000-0000-0000FAC20000}"/>
    <cellStyle name="SAPBEXchaText 17" xfId="1929" xr:uid="{00000000-0005-0000-0000-0000FBC20000}"/>
    <cellStyle name="SAPBEXchaText 18" xfId="1930" xr:uid="{00000000-0005-0000-0000-0000FCC20000}"/>
    <cellStyle name="SAPBEXchaText 19" xfId="1931" xr:uid="{00000000-0005-0000-0000-0000FDC20000}"/>
    <cellStyle name="SAPBEXchaText 2" xfId="1932" xr:uid="{00000000-0005-0000-0000-0000FEC20000}"/>
    <cellStyle name="SAPBEXchaText 2 2" xfId="51661" xr:uid="{00000000-0005-0000-0000-0000FFC20000}"/>
    <cellStyle name="SAPBEXchaText 20" xfId="1933" xr:uid="{00000000-0005-0000-0000-000000C30000}"/>
    <cellStyle name="SAPBEXchaText 21" xfId="1934" xr:uid="{00000000-0005-0000-0000-000001C30000}"/>
    <cellStyle name="SAPBEXchaText 22" xfId="1935" xr:uid="{00000000-0005-0000-0000-000002C30000}"/>
    <cellStyle name="SAPBEXchaText 23" xfId="1936" xr:uid="{00000000-0005-0000-0000-000003C30000}"/>
    <cellStyle name="SAPBEXchaText 24" xfId="1937" xr:uid="{00000000-0005-0000-0000-000004C30000}"/>
    <cellStyle name="SAPBEXchaText 25" xfId="1938" xr:uid="{00000000-0005-0000-0000-000005C30000}"/>
    <cellStyle name="SAPBEXchaText 26" xfId="1939" xr:uid="{00000000-0005-0000-0000-000006C30000}"/>
    <cellStyle name="SAPBEXchaText 27" xfId="1940" xr:uid="{00000000-0005-0000-0000-000007C30000}"/>
    <cellStyle name="SAPBEXchaText 28" xfId="1941" xr:uid="{00000000-0005-0000-0000-000008C30000}"/>
    <cellStyle name="SAPBEXchaText 29" xfId="1942" xr:uid="{00000000-0005-0000-0000-000009C30000}"/>
    <cellStyle name="SAPBEXchaText 3" xfId="1943" xr:uid="{00000000-0005-0000-0000-00000AC30000}"/>
    <cellStyle name="SAPBEXchaText 3 2" xfId="51662" xr:uid="{00000000-0005-0000-0000-00000BC30000}"/>
    <cellStyle name="SAPBEXchaText 30" xfId="1944" xr:uid="{00000000-0005-0000-0000-00000CC30000}"/>
    <cellStyle name="SAPBEXchaText 31" xfId="1945" xr:uid="{00000000-0005-0000-0000-00000DC30000}"/>
    <cellStyle name="SAPBEXchaText 32" xfId="1946" xr:uid="{00000000-0005-0000-0000-00000EC30000}"/>
    <cellStyle name="SAPBEXchaText 33" xfId="1947" xr:uid="{00000000-0005-0000-0000-00000FC30000}"/>
    <cellStyle name="SAPBEXchaText 34" xfId="1948" xr:uid="{00000000-0005-0000-0000-000010C30000}"/>
    <cellStyle name="SAPBEXchaText 35" xfId="1949" xr:uid="{00000000-0005-0000-0000-000011C30000}"/>
    <cellStyle name="SAPBEXchaText 36" xfId="1950" xr:uid="{00000000-0005-0000-0000-000012C30000}"/>
    <cellStyle name="SAPBEXchaText 37" xfId="1951" xr:uid="{00000000-0005-0000-0000-000013C30000}"/>
    <cellStyle name="SAPBEXchaText 38" xfId="1952" xr:uid="{00000000-0005-0000-0000-000014C30000}"/>
    <cellStyle name="SAPBEXchaText 39" xfId="1953" xr:uid="{00000000-0005-0000-0000-000015C30000}"/>
    <cellStyle name="SAPBEXchaText 4" xfId="1954" xr:uid="{00000000-0005-0000-0000-000016C30000}"/>
    <cellStyle name="SAPBEXchaText 40" xfId="1955" xr:uid="{00000000-0005-0000-0000-000017C30000}"/>
    <cellStyle name="SAPBEXchaText 41" xfId="1956" xr:uid="{00000000-0005-0000-0000-000018C30000}"/>
    <cellStyle name="SAPBEXchaText 42" xfId="1957" xr:uid="{00000000-0005-0000-0000-000019C30000}"/>
    <cellStyle name="SAPBEXchaText 43" xfId="1958" xr:uid="{00000000-0005-0000-0000-00001AC30000}"/>
    <cellStyle name="SAPBEXchaText 44" xfId="1959" xr:uid="{00000000-0005-0000-0000-00001BC30000}"/>
    <cellStyle name="SAPBEXchaText 45" xfId="1960" xr:uid="{00000000-0005-0000-0000-00001CC30000}"/>
    <cellStyle name="SAPBEXchaText 46" xfId="51663" xr:uid="{00000000-0005-0000-0000-00001DC30000}"/>
    <cellStyle name="SAPBEXchaText 47" xfId="51664" xr:uid="{00000000-0005-0000-0000-00001EC30000}"/>
    <cellStyle name="SAPBEXchaText 48" xfId="51665" xr:uid="{00000000-0005-0000-0000-00001FC30000}"/>
    <cellStyle name="SAPBEXchaText 49" xfId="51666" xr:uid="{00000000-0005-0000-0000-000020C30000}"/>
    <cellStyle name="SAPBEXchaText 5" xfId="1961" xr:uid="{00000000-0005-0000-0000-000021C30000}"/>
    <cellStyle name="SAPBEXchaText 50" xfId="51667" xr:uid="{00000000-0005-0000-0000-000022C30000}"/>
    <cellStyle name="SAPBEXchaText 51" xfId="51668" xr:uid="{00000000-0005-0000-0000-000023C30000}"/>
    <cellStyle name="SAPBEXchaText 52" xfId="51669" xr:uid="{00000000-0005-0000-0000-000024C30000}"/>
    <cellStyle name="SAPBEXchaText 53" xfId="51670" xr:uid="{00000000-0005-0000-0000-000025C30000}"/>
    <cellStyle name="SAPBEXchaText 54" xfId="51671" xr:uid="{00000000-0005-0000-0000-000026C30000}"/>
    <cellStyle name="SAPBEXchaText 55" xfId="51672" xr:uid="{00000000-0005-0000-0000-000027C30000}"/>
    <cellStyle name="SAPBEXchaText 56" xfId="51673" xr:uid="{00000000-0005-0000-0000-000028C30000}"/>
    <cellStyle name="SAPBEXchaText 57" xfId="51674" xr:uid="{00000000-0005-0000-0000-000029C30000}"/>
    <cellStyle name="SAPBEXchaText 58" xfId="51675" xr:uid="{00000000-0005-0000-0000-00002AC30000}"/>
    <cellStyle name="SAPBEXchaText 59" xfId="51676" xr:uid="{00000000-0005-0000-0000-00002BC30000}"/>
    <cellStyle name="SAPBEXchaText 6" xfId="1962" xr:uid="{00000000-0005-0000-0000-00002CC30000}"/>
    <cellStyle name="SAPBEXchaText 60" xfId="51677" xr:uid="{00000000-0005-0000-0000-00002DC30000}"/>
    <cellStyle name="SAPBEXchaText 61" xfId="51678" xr:uid="{00000000-0005-0000-0000-00002EC30000}"/>
    <cellStyle name="SAPBEXchaText 62" xfId="51679" xr:uid="{00000000-0005-0000-0000-00002FC30000}"/>
    <cellStyle name="SAPBEXchaText 63" xfId="51680" xr:uid="{00000000-0005-0000-0000-000030C30000}"/>
    <cellStyle name="SAPBEXchaText 64" xfId="51681" xr:uid="{00000000-0005-0000-0000-000031C30000}"/>
    <cellStyle name="SAPBEXchaText 65" xfId="51682" xr:uid="{00000000-0005-0000-0000-000032C30000}"/>
    <cellStyle name="SAPBEXchaText 66" xfId="51683" xr:uid="{00000000-0005-0000-0000-000033C30000}"/>
    <cellStyle name="SAPBEXchaText 67" xfId="51684" xr:uid="{00000000-0005-0000-0000-000034C30000}"/>
    <cellStyle name="SAPBEXchaText 68" xfId="51685" xr:uid="{00000000-0005-0000-0000-000035C30000}"/>
    <cellStyle name="SAPBEXchaText 69" xfId="51686" xr:uid="{00000000-0005-0000-0000-000036C30000}"/>
    <cellStyle name="SAPBEXchaText 7" xfId="1963" xr:uid="{00000000-0005-0000-0000-000037C30000}"/>
    <cellStyle name="SAPBEXchaText 70" xfId="51687" xr:uid="{00000000-0005-0000-0000-000038C30000}"/>
    <cellStyle name="SAPBEXchaText 71" xfId="51688" xr:uid="{00000000-0005-0000-0000-000039C30000}"/>
    <cellStyle name="SAPBEXchaText 72" xfId="51689" xr:uid="{00000000-0005-0000-0000-00003AC30000}"/>
    <cellStyle name="SAPBEXchaText 73" xfId="51690" xr:uid="{00000000-0005-0000-0000-00003BC30000}"/>
    <cellStyle name="SAPBEXchaText 74" xfId="51691" xr:uid="{00000000-0005-0000-0000-00003CC30000}"/>
    <cellStyle name="SAPBEXchaText 75" xfId="51692" xr:uid="{00000000-0005-0000-0000-00003DC30000}"/>
    <cellStyle name="SAPBEXchaText 76" xfId="51693" xr:uid="{00000000-0005-0000-0000-00003EC30000}"/>
    <cellStyle name="SAPBEXchaText 77" xfId="51694" xr:uid="{00000000-0005-0000-0000-00003FC30000}"/>
    <cellStyle name="SAPBEXchaText 78" xfId="51695" xr:uid="{00000000-0005-0000-0000-000040C30000}"/>
    <cellStyle name="SAPBEXchaText 79" xfId="51696" xr:uid="{00000000-0005-0000-0000-000041C30000}"/>
    <cellStyle name="SAPBEXchaText 8" xfId="1964" xr:uid="{00000000-0005-0000-0000-000042C30000}"/>
    <cellStyle name="SAPBEXchaText 80" xfId="51697" xr:uid="{00000000-0005-0000-0000-000043C30000}"/>
    <cellStyle name="SAPBEXchaText 81" xfId="51698" xr:uid="{00000000-0005-0000-0000-000044C30000}"/>
    <cellStyle name="SAPBEXchaText 82" xfId="51699" xr:uid="{00000000-0005-0000-0000-000045C30000}"/>
    <cellStyle name="SAPBEXchaText 83" xfId="51700" xr:uid="{00000000-0005-0000-0000-000046C30000}"/>
    <cellStyle name="SAPBEXchaText 84" xfId="51701" xr:uid="{00000000-0005-0000-0000-000047C30000}"/>
    <cellStyle name="SAPBEXchaText 85" xfId="51702" xr:uid="{00000000-0005-0000-0000-000048C30000}"/>
    <cellStyle name="SAPBEXchaText 86" xfId="51703" xr:uid="{00000000-0005-0000-0000-000049C30000}"/>
    <cellStyle name="SAPBEXchaText 87" xfId="51704" xr:uid="{00000000-0005-0000-0000-00004AC30000}"/>
    <cellStyle name="SAPBEXchaText 88" xfId="51705" xr:uid="{00000000-0005-0000-0000-00004BC30000}"/>
    <cellStyle name="SAPBEXchaText 89" xfId="51706" xr:uid="{00000000-0005-0000-0000-00004CC30000}"/>
    <cellStyle name="SAPBEXchaText 9" xfId="1965" xr:uid="{00000000-0005-0000-0000-00004DC30000}"/>
    <cellStyle name="SAPBEXchaText 90" xfId="51707" xr:uid="{00000000-0005-0000-0000-00004EC30000}"/>
    <cellStyle name="SAPBEXchaText 91" xfId="51708" xr:uid="{00000000-0005-0000-0000-00004FC30000}"/>
    <cellStyle name="SAPBEXchaText 92" xfId="51709" xr:uid="{00000000-0005-0000-0000-000050C30000}"/>
    <cellStyle name="SAPBEXchaText 93" xfId="51710" xr:uid="{00000000-0005-0000-0000-000051C30000}"/>
    <cellStyle name="SAPBEXchaText 94" xfId="51711" xr:uid="{00000000-0005-0000-0000-000052C30000}"/>
    <cellStyle name="SAPBEXchaText 95" xfId="51712" xr:uid="{00000000-0005-0000-0000-000053C30000}"/>
    <cellStyle name="SAPBEXchaText 96" xfId="51713" xr:uid="{00000000-0005-0000-0000-000054C30000}"/>
    <cellStyle name="SAPBEXchaText 97" xfId="51714" xr:uid="{00000000-0005-0000-0000-000055C30000}"/>
    <cellStyle name="SAPBEXchaText 98" xfId="51715" xr:uid="{00000000-0005-0000-0000-000056C30000}"/>
    <cellStyle name="SAPBEXchaText 99" xfId="51716" xr:uid="{00000000-0005-0000-0000-000057C30000}"/>
    <cellStyle name="SAPBEXchaText_(A-7) IS-Inputs" xfId="51717" xr:uid="{00000000-0005-0000-0000-000058C30000}"/>
    <cellStyle name="SAPBEXexcBad7" xfId="56" xr:uid="{00000000-0005-0000-0000-000070000000}"/>
    <cellStyle name="SAPBEXexcBad7 10" xfId="1966" xr:uid="{00000000-0005-0000-0000-00005AC30000}"/>
    <cellStyle name="SAPBEXexcBad7 100" xfId="51718" xr:uid="{00000000-0005-0000-0000-00005BC30000}"/>
    <cellStyle name="SAPBEXexcBad7 101" xfId="51719" xr:uid="{00000000-0005-0000-0000-00005CC30000}"/>
    <cellStyle name="SAPBEXexcBad7 102" xfId="51720" xr:uid="{00000000-0005-0000-0000-00005DC30000}"/>
    <cellStyle name="SAPBEXexcBad7 103" xfId="51721" xr:uid="{00000000-0005-0000-0000-00005EC30000}"/>
    <cellStyle name="SAPBEXexcBad7 104" xfId="51722" xr:uid="{00000000-0005-0000-0000-00005FC30000}"/>
    <cellStyle name="SAPBEXexcBad7 105" xfId="51723" xr:uid="{00000000-0005-0000-0000-000060C30000}"/>
    <cellStyle name="SAPBEXexcBad7 106" xfId="51724" xr:uid="{00000000-0005-0000-0000-000061C30000}"/>
    <cellStyle name="SAPBEXexcBad7 107" xfId="51725" xr:uid="{00000000-0005-0000-0000-000062C30000}"/>
    <cellStyle name="SAPBEXexcBad7 108" xfId="51726" xr:uid="{00000000-0005-0000-0000-000063C30000}"/>
    <cellStyle name="SAPBEXexcBad7 109" xfId="51727" xr:uid="{00000000-0005-0000-0000-000064C30000}"/>
    <cellStyle name="SAPBEXexcBad7 11" xfId="1967" xr:uid="{00000000-0005-0000-0000-000065C30000}"/>
    <cellStyle name="SAPBEXexcBad7 110" xfId="51728" xr:uid="{00000000-0005-0000-0000-000066C30000}"/>
    <cellStyle name="SAPBEXexcBad7 12" xfId="1968" xr:uid="{00000000-0005-0000-0000-000067C30000}"/>
    <cellStyle name="SAPBEXexcBad7 13" xfId="1969" xr:uid="{00000000-0005-0000-0000-000068C30000}"/>
    <cellStyle name="SAPBEXexcBad7 14" xfId="1970" xr:uid="{00000000-0005-0000-0000-000069C30000}"/>
    <cellStyle name="SAPBEXexcBad7 15" xfId="1971" xr:uid="{00000000-0005-0000-0000-00006AC30000}"/>
    <cellStyle name="SAPBEXexcBad7 16" xfId="1972" xr:uid="{00000000-0005-0000-0000-00006BC30000}"/>
    <cellStyle name="SAPBEXexcBad7 17" xfId="1973" xr:uid="{00000000-0005-0000-0000-00006CC30000}"/>
    <cellStyle name="SAPBEXexcBad7 18" xfId="1974" xr:uid="{00000000-0005-0000-0000-00006DC30000}"/>
    <cellStyle name="SAPBEXexcBad7 19" xfId="1975" xr:uid="{00000000-0005-0000-0000-00006EC30000}"/>
    <cellStyle name="SAPBEXexcBad7 2" xfId="1976" xr:uid="{00000000-0005-0000-0000-00006FC30000}"/>
    <cellStyle name="SAPBEXexcBad7 2 2" xfId="51729" xr:uid="{00000000-0005-0000-0000-000070C30000}"/>
    <cellStyle name="SAPBEXexcBad7 20" xfId="1977" xr:uid="{00000000-0005-0000-0000-000071C30000}"/>
    <cellStyle name="SAPBEXexcBad7 21" xfId="1978" xr:uid="{00000000-0005-0000-0000-000072C30000}"/>
    <cellStyle name="SAPBEXexcBad7 22" xfId="1979" xr:uid="{00000000-0005-0000-0000-000073C30000}"/>
    <cellStyle name="SAPBEXexcBad7 23" xfId="1980" xr:uid="{00000000-0005-0000-0000-000074C30000}"/>
    <cellStyle name="SAPBEXexcBad7 24" xfId="1981" xr:uid="{00000000-0005-0000-0000-000075C30000}"/>
    <cellStyle name="SAPBEXexcBad7 25" xfId="1982" xr:uid="{00000000-0005-0000-0000-000076C30000}"/>
    <cellStyle name="SAPBEXexcBad7 26" xfId="1983" xr:uid="{00000000-0005-0000-0000-000077C30000}"/>
    <cellStyle name="SAPBEXexcBad7 27" xfId="1984" xr:uid="{00000000-0005-0000-0000-000078C30000}"/>
    <cellStyle name="SAPBEXexcBad7 28" xfId="1985" xr:uid="{00000000-0005-0000-0000-000079C30000}"/>
    <cellStyle name="SAPBEXexcBad7 29" xfId="1986" xr:uid="{00000000-0005-0000-0000-00007AC30000}"/>
    <cellStyle name="SAPBEXexcBad7 3" xfId="1987" xr:uid="{00000000-0005-0000-0000-00007BC30000}"/>
    <cellStyle name="SAPBEXexcBad7 3 2" xfId="51730" xr:uid="{00000000-0005-0000-0000-00007CC30000}"/>
    <cellStyle name="SAPBEXexcBad7 30" xfId="1988" xr:uid="{00000000-0005-0000-0000-00007DC30000}"/>
    <cellStyle name="SAPBEXexcBad7 31" xfId="1989" xr:uid="{00000000-0005-0000-0000-00007EC30000}"/>
    <cellStyle name="SAPBEXexcBad7 32" xfId="1990" xr:uid="{00000000-0005-0000-0000-00007FC30000}"/>
    <cellStyle name="SAPBEXexcBad7 33" xfId="1991" xr:uid="{00000000-0005-0000-0000-000080C30000}"/>
    <cellStyle name="SAPBEXexcBad7 34" xfId="1992" xr:uid="{00000000-0005-0000-0000-000081C30000}"/>
    <cellStyle name="SAPBEXexcBad7 35" xfId="1993" xr:uid="{00000000-0005-0000-0000-000082C30000}"/>
    <cellStyle name="SAPBEXexcBad7 36" xfId="1994" xr:uid="{00000000-0005-0000-0000-000083C30000}"/>
    <cellStyle name="SAPBEXexcBad7 37" xfId="1995" xr:uid="{00000000-0005-0000-0000-000084C30000}"/>
    <cellStyle name="SAPBEXexcBad7 38" xfId="1996" xr:uid="{00000000-0005-0000-0000-000085C30000}"/>
    <cellStyle name="SAPBEXexcBad7 39" xfId="1997" xr:uid="{00000000-0005-0000-0000-000086C30000}"/>
    <cellStyle name="SAPBEXexcBad7 4" xfId="1998" xr:uid="{00000000-0005-0000-0000-000087C30000}"/>
    <cellStyle name="SAPBEXexcBad7 40" xfId="1999" xr:uid="{00000000-0005-0000-0000-000088C30000}"/>
    <cellStyle name="SAPBEXexcBad7 41" xfId="2000" xr:uid="{00000000-0005-0000-0000-000089C30000}"/>
    <cellStyle name="SAPBEXexcBad7 42" xfId="2001" xr:uid="{00000000-0005-0000-0000-00008AC30000}"/>
    <cellStyle name="SAPBEXexcBad7 43" xfId="2002" xr:uid="{00000000-0005-0000-0000-00008BC30000}"/>
    <cellStyle name="SAPBEXexcBad7 44" xfId="2003" xr:uid="{00000000-0005-0000-0000-00008CC30000}"/>
    <cellStyle name="SAPBEXexcBad7 45" xfId="2004" xr:uid="{00000000-0005-0000-0000-00008DC30000}"/>
    <cellStyle name="SAPBEXexcBad7 46" xfId="51731" xr:uid="{00000000-0005-0000-0000-00008EC30000}"/>
    <cellStyle name="SAPBEXexcBad7 47" xfId="51732" xr:uid="{00000000-0005-0000-0000-00008FC30000}"/>
    <cellStyle name="SAPBEXexcBad7 48" xfId="51733" xr:uid="{00000000-0005-0000-0000-000090C30000}"/>
    <cellStyle name="SAPBEXexcBad7 49" xfId="51734" xr:uid="{00000000-0005-0000-0000-000091C30000}"/>
    <cellStyle name="SAPBEXexcBad7 5" xfId="2005" xr:uid="{00000000-0005-0000-0000-000092C30000}"/>
    <cellStyle name="SAPBEXexcBad7 50" xfId="51735" xr:uid="{00000000-0005-0000-0000-000093C30000}"/>
    <cellStyle name="SAPBEXexcBad7 51" xfId="51736" xr:uid="{00000000-0005-0000-0000-000094C30000}"/>
    <cellStyle name="SAPBEXexcBad7 52" xfId="51737" xr:uid="{00000000-0005-0000-0000-000095C30000}"/>
    <cellStyle name="SAPBEXexcBad7 53" xfId="51738" xr:uid="{00000000-0005-0000-0000-000096C30000}"/>
    <cellStyle name="SAPBEXexcBad7 54" xfId="51739" xr:uid="{00000000-0005-0000-0000-000097C30000}"/>
    <cellStyle name="SAPBEXexcBad7 55" xfId="51740" xr:uid="{00000000-0005-0000-0000-000098C30000}"/>
    <cellStyle name="SAPBEXexcBad7 56" xfId="51741" xr:uid="{00000000-0005-0000-0000-000099C30000}"/>
    <cellStyle name="SAPBEXexcBad7 57" xfId="51742" xr:uid="{00000000-0005-0000-0000-00009AC30000}"/>
    <cellStyle name="SAPBEXexcBad7 58" xfId="51743" xr:uid="{00000000-0005-0000-0000-00009BC30000}"/>
    <cellStyle name="SAPBEXexcBad7 59" xfId="51744" xr:uid="{00000000-0005-0000-0000-00009CC30000}"/>
    <cellStyle name="SAPBEXexcBad7 6" xfId="2006" xr:uid="{00000000-0005-0000-0000-00009DC30000}"/>
    <cellStyle name="SAPBEXexcBad7 60" xfId="51745" xr:uid="{00000000-0005-0000-0000-00009EC30000}"/>
    <cellStyle name="SAPBEXexcBad7 61" xfId="51746" xr:uid="{00000000-0005-0000-0000-00009FC30000}"/>
    <cellStyle name="SAPBEXexcBad7 62" xfId="51747" xr:uid="{00000000-0005-0000-0000-0000A0C30000}"/>
    <cellStyle name="SAPBEXexcBad7 63" xfId="51748" xr:uid="{00000000-0005-0000-0000-0000A1C30000}"/>
    <cellStyle name="SAPBEXexcBad7 64" xfId="51749" xr:uid="{00000000-0005-0000-0000-0000A2C30000}"/>
    <cellStyle name="SAPBEXexcBad7 65" xfId="51750" xr:uid="{00000000-0005-0000-0000-0000A3C30000}"/>
    <cellStyle name="SAPBEXexcBad7 66" xfId="51751" xr:uid="{00000000-0005-0000-0000-0000A4C30000}"/>
    <cellStyle name="SAPBEXexcBad7 67" xfId="51752" xr:uid="{00000000-0005-0000-0000-0000A5C30000}"/>
    <cellStyle name="SAPBEXexcBad7 68" xfId="51753" xr:uid="{00000000-0005-0000-0000-0000A6C30000}"/>
    <cellStyle name="SAPBEXexcBad7 69" xfId="51754" xr:uid="{00000000-0005-0000-0000-0000A7C30000}"/>
    <cellStyle name="SAPBEXexcBad7 7" xfId="2007" xr:uid="{00000000-0005-0000-0000-0000A8C30000}"/>
    <cellStyle name="SAPBEXexcBad7 70" xfId="51755" xr:uid="{00000000-0005-0000-0000-0000A9C30000}"/>
    <cellStyle name="SAPBEXexcBad7 71" xfId="51756" xr:uid="{00000000-0005-0000-0000-0000AAC30000}"/>
    <cellStyle name="SAPBEXexcBad7 72" xfId="51757" xr:uid="{00000000-0005-0000-0000-0000ABC30000}"/>
    <cellStyle name="SAPBEXexcBad7 73" xfId="51758" xr:uid="{00000000-0005-0000-0000-0000ACC30000}"/>
    <cellStyle name="SAPBEXexcBad7 74" xfId="51759" xr:uid="{00000000-0005-0000-0000-0000ADC30000}"/>
    <cellStyle name="SAPBEXexcBad7 75" xfId="51760" xr:uid="{00000000-0005-0000-0000-0000AEC30000}"/>
    <cellStyle name="SAPBEXexcBad7 76" xfId="51761" xr:uid="{00000000-0005-0000-0000-0000AFC30000}"/>
    <cellStyle name="SAPBEXexcBad7 77" xfId="51762" xr:uid="{00000000-0005-0000-0000-0000B0C30000}"/>
    <cellStyle name="SAPBEXexcBad7 78" xfId="51763" xr:uid="{00000000-0005-0000-0000-0000B1C30000}"/>
    <cellStyle name="SAPBEXexcBad7 79" xfId="51764" xr:uid="{00000000-0005-0000-0000-0000B2C30000}"/>
    <cellStyle name="SAPBEXexcBad7 8" xfId="2008" xr:uid="{00000000-0005-0000-0000-0000B3C30000}"/>
    <cellStyle name="SAPBEXexcBad7 80" xfId="51765" xr:uid="{00000000-0005-0000-0000-0000B4C30000}"/>
    <cellStyle name="SAPBEXexcBad7 81" xfId="51766" xr:uid="{00000000-0005-0000-0000-0000B5C30000}"/>
    <cellStyle name="SAPBEXexcBad7 82" xfId="51767" xr:uid="{00000000-0005-0000-0000-0000B6C30000}"/>
    <cellStyle name="SAPBEXexcBad7 83" xfId="51768" xr:uid="{00000000-0005-0000-0000-0000B7C30000}"/>
    <cellStyle name="SAPBEXexcBad7 84" xfId="51769" xr:uid="{00000000-0005-0000-0000-0000B8C30000}"/>
    <cellStyle name="SAPBEXexcBad7 85" xfId="51770" xr:uid="{00000000-0005-0000-0000-0000B9C30000}"/>
    <cellStyle name="SAPBEXexcBad7 86" xfId="51771" xr:uid="{00000000-0005-0000-0000-0000BAC30000}"/>
    <cellStyle name="SAPBEXexcBad7 87" xfId="51772" xr:uid="{00000000-0005-0000-0000-0000BBC30000}"/>
    <cellStyle name="SAPBEXexcBad7 88" xfId="51773" xr:uid="{00000000-0005-0000-0000-0000BCC30000}"/>
    <cellStyle name="SAPBEXexcBad7 89" xfId="51774" xr:uid="{00000000-0005-0000-0000-0000BDC30000}"/>
    <cellStyle name="SAPBEXexcBad7 9" xfId="2009" xr:uid="{00000000-0005-0000-0000-0000BEC30000}"/>
    <cellStyle name="SAPBEXexcBad7 90" xfId="51775" xr:uid="{00000000-0005-0000-0000-0000BFC30000}"/>
    <cellStyle name="SAPBEXexcBad7 91" xfId="51776" xr:uid="{00000000-0005-0000-0000-0000C0C30000}"/>
    <cellStyle name="SAPBEXexcBad7 92" xfId="51777" xr:uid="{00000000-0005-0000-0000-0000C1C30000}"/>
    <cellStyle name="SAPBEXexcBad7 93" xfId="51778" xr:uid="{00000000-0005-0000-0000-0000C2C30000}"/>
    <cellStyle name="SAPBEXexcBad7 94" xfId="51779" xr:uid="{00000000-0005-0000-0000-0000C3C30000}"/>
    <cellStyle name="SAPBEXexcBad7 95" xfId="51780" xr:uid="{00000000-0005-0000-0000-0000C4C30000}"/>
    <cellStyle name="SAPBEXexcBad7 96" xfId="51781" xr:uid="{00000000-0005-0000-0000-0000C5C30000}"/>
    <cellStyle name="SAPBEXexcBad7 97" xfId="51782" xr:uid="{00000000-0005-0000-0000-0000C6C30000}"/>
    <cellStyle name="SAPBEXexcBad7 98" xfId="51783" xr:uid="{00000000-0005-0000-0000-0000C7C30000}"/>
    <cellStyle name="SAPBEXexcBad7 99" xfId="51784" xr:uid="{00000000-0005-0000-0000-0000C8C30000}"/>
    <cellStyle name="SAPBEXexcBad7_(A-7) IS-Inputs" xfId="51785" xr:uid="{00000000-0005-0000-0000-0000C9C30000}"/>
    <cellStyle name="SAPBEXexcBad8" xfId="57" xr:uid="{00000000-0005-0000-0000-000071000000}"/>
    <cellStyle name="SAPBEXexcBad8 10" xfId="2010" xr:uid="{00000000-0005-0000-0000-0000CBC30000}"/>
    <cellStyle name="SAPBEXexcBad8 100" xfId="51786" xr:uid="{00000000-0005-0000-0000-0000CCC30000}"/>
    <cellStyle name="SAPBEXexcBad8 101" xfId="51787" xr:uid="{00000000-0005-0000-0000-0000CDC30000}"/>
    <cellStyle name="SAPBEXexcBad8 102" xfId="51788" xr:uid="{00000000-0005-0000-0000-0000CEC30000}"/>
    <cellStyle name="SAPBEXexcBad8 103" xfId="51789" xr:uid="{00000000-0005-0000-0000-0000CFC30000}"/>
    <cellStyle name="SAPBEXexcBad8 104" xfId="51790" xr:uid="{00000000-0005-0000-0000-0000D0C30000}"/>
    <cellStyle name="SAPBEXexcBad8 105" xfId="51791" xr:uid="{00000000-0005-0000-0000-0000D1C30000}"/>
    <cellStyle name="SAPBEXexcBad8 106" xfId="51792" xr:uid="{00000000-0005-0000-0000-0000D2C30000}"/>
    <cellStyle name="SAPBEXexcBad8 107" xfId="51793" xr:uid="{00000000-0005-0000-0000-0000D3C30000}"/>
    <cellStyle name="SAPBEXexcBad8 108" xfId="51794" xr:uid="{00000000-0005-0000-0000-0000D4C30000}"/>
    <cellStyle name="SAPBEXexcBad8 109" xfId="51795" xr:uid="{00000000-0005-0000-0000-0000D5C30000}"/>
    <cellStyle name="SAPBEXexcBad8 11" xfId="2011" xr:uid="{00000000-0005-0000-0000-0000D6C30000}"/>
    <cellStyle name="SAPBEXexcBad8 110" xfId="51796" xr:uid="{00000000-0005-0000-0000-0000D7C30000}"/>
    <cellStyle name="SAPBEXexcBad8 12" xfId="2012" xr:uid="{00000000-0005-0000-0000-0000D8C30000}"/>
    <cellStyle name="SAPBEXexcBad8 13" xfId="2013" xr:uid="{00000000-0005-0000-0000-0000D9C30000}"/>
    <cellStyle name="SAPBEXexcBad8 14" xfId="2014" xr:uid="{00000000-0005-0000-0000-0000DAC30000}"/>
    <cellStyle name="SAPBEXexcBad8 15" xfId="2015" xr:uid="{00000000-0005-0000-0000-0000DBC30000}"/>
    <cellStyle name="SAPBEXexcBad8 16" xfId="2016" xr:uid="{00000000-0005-0000-0000-0000DCC30000}"/>
    <cellStyle name="SAPBEXexcBad8 17" xfId="2017" xr:uid="{00000000-0005-0000-0000-0000DDC30000}"/>
    <cellStyle name="SAPBEXexcBad8 18" xfId="2018" xr:uid="{00000000-0005-0000-0000-0000DEC30000}"/>
    <cellStyle name="SAPBEXexcBad8 19" xfId="2019" xr:uid="{00000000-0005-0000-0000-0000DFC30000}"/>
    <cellStyle name="SAPBEXexcBad8 2" xfId="2020" xr:uid="{00000000-0005-0000-0000-0000E0C30000}"/>
    <cellStyle name="SAPBEXexcBad8 2 2" xfId="51797" xr:uid="{00000000-0005-0000-0000-0000E1C30000}"/>
    <cellStyle name="SAPBEXexcBad8 20" xfId="2021" xr:uid="{00000000-0005-0000-0000-0000E2C30000}"/>
    <cellStyle name="SAPBEXexcBad8 21" xfId="2022" xr:uid="{00000000-0005-0000-0000-0000E3C30000}"/>
    <cellStyle name="SAPBEXexcBad8 22" xfId="2023" xr:uid="{00000000-0005-0000-0000-0000E4C30000}"/>
    <cellStyle name="SAPBEXexcBad8 23" xfId="2024" xr:uid="{00000000-0005-0000-0000-0000E5C30000}"/>
    <cellStyle name="SAPBEXexcBad8 24" xfId="2025" xr:uid="{00000000-0005-0000-0000-0000E6C30000}"/>
    <cellStyle name="SAPBEXexcBad8 25" xfId="2026" xr:uid="{00000000-0005-0000-0000-0000E7C30000}"/>
    <cellStyle name="SAPBEXexcBad8 26" xfId="2027" xr:uid="{00000000-0005-0000-0000-0000E8C30000}"/>
    <cellStyle name="SAPBEXexcBad8 27" xfId="2028" xr:uid="{00000000-0005-0000-0000-0000E9C30000}"/>
    <cellStyle name="SAPBEXexcBad8 28" xfId="2029" xr:uid="{00000000-0005-0000-0000-0000EAC30000}"/>
    <cellStyle name="SAPBEXexcBad8 29" xfId="2030" xr:uid="{00000000-0005-0000-0000-0000EBC30000}"/>
    <cellStyle name="SAPBEXexcBad8 3" xfId="2031" xr:uid="{00000000-0005-0000-0000-0000ECC30000}"/>
    <cellStyle name="SAPBEXexcBad8 3 2" xfId="51798" xr:uid="{00000000-0005-0000-0000-0000EDC30000}"/>
    <cellStyle name="SAPBEXexcBad8 30" xfId="2032" xr:uid="{00000000-0005-0000-0000-0000EEC30000}"/>
    <cellStyle name="SAPBEXexcBad8 31" xfId="2033" xr:uid="{00000000-0005-0000-0000-0000EFC30000}"/>
    <cellStyle name="SAPBEXexcBad8 32" xfId="2034" xr:uid="{00000000-0005-0000-0000-0000F0C30000}"/>
    <cellStyle name="SAPBEXexcBad8 33" xfId="2035" xr:uid="{00000000-0005-0000-0000-0000F1C30000}"/>
    <cellStyle name="SAPBEXexcBad8 34" xfId="2036" xr:uid="{00000000-0005-0000-0000-0000F2C30000}"/>
    <cellStyle name="SAPBEXexcBad8 35" xfId="2037" xr:uid="{00000000-0005-0000-0000-0000F3C30000}"/>
    <cellStyle name="SAPBEXexcBad8 36" xfId="2038" xr:uid="{00000000-0005-0000-0000-0000F4C30000}"/>
    <cellStyle name="SAPBEXexcBad8 37" xfId="2039" xr:uid="{00000000-0005-0000-0000-0000F5C30000}"/>
    <cellStyle name="SAPBEXexcBad8 38" xfId="2040" xr:uid="{00000000-0005-0000-0000-0000F6C30000}"/>
    <cellStyle name="SAPBEXexcBad8 39" xfId="2041" xr:uid="{00000000-0005-0000-0000-0000F7C30000}"/>
    <cellStyle name="SAPBEXexcBad8 4" xfId="2042" xr:uid="{00000000-0005-0000-0000-0000F8C30000}"/>
    <cellStyle name="SAPBEXexcBad8 40" xfId="2043" xr:uid="{00000000-0005-0000-0000-0000F9C30000}"/>
    <cellStyle name="SAPBEXexcBad8 41" xfId="2044" xr:uid="{00000000-0005-0000-0000-0000FAC30000}"/>
    <cellStyle name="SAPBEXexcBad8 42" xfId="2045" xr:uid="{00000000-0005-0000-0000-0000FBC30000}"/>
    <cellStyle name="SAPBEXexcBad8 43" xfId="2046" xr:uid="{00000000-0005-0000-0000-0000FCC30000}"/>
    <cellStyle name="SAPBEXexcBad8 44" xfId="2047" xr:uid="{00000000-0005-0000-0000-0000FDC30000}"/>
    <cellStyle name="SAPBEXexcBad8 45" xfId="2048" xr:uid="{00000000-0005-0000-0000-0000FEC30000}"/>
    <cellStyle name="SAPBEXexcBad8 46" xfId="51799" xr:uid="{00000000-0005-0000-0000-0000FFC30000}"/>
    <cellStyle name="SAPBEXexcBad8 47" xfId="51800" xr:uid="{00000000-0005-0000-0000-000000C40000}"/>
    <cellStyle name="SAPBEXexcBad8 48" xfId="51801" xr:uid="{00000000-0005-0000-0000-000001C40000}"/>
    <cellStyle name="SAPBEXexcBad8 49" xfId="51802" xr:uid="{00000000-0005-0000-0000-000002C40000}"/>
    <cellStyle name="SAPBEXexcBad8 5" xfId="2049" xr:uid="{00000000-0005-0000-0000-000003C40000}"/>
    <cellStyle name="SAPBEXexcBad8 50" xfId="51803" xr:uid="{00000000-0005-0000-0000-000004C40000}"/>
    <cellStyle name="SAPBEXexcBad8 51" xfId="51804" xr:uid="{00000000-0005-0000-0000-000005C40000}"/>
    <cellStyle name="SAPBEXexcBad8 52" xfId="51805" xr:uid="{00000000-0005-0000-0000-000006C40000}"/>
    <cellStyle name="SAPBEXexcBad8 53" xfId="51806" xr:uid="{00000000-0005-0000-0000-000007C40000}"/>
    <cellStyle name="SAPBEXexcBad8 54" xfId="51807" xr:uid="{00000000-0005-0000-0000-000008C40000}"/>
    <cellStyle name="SAPBEXexcBad8 55" xfId="51808" xr:uid="{00000000-0005-0000-0000-000009C40000}"/>
    <cellStyle name="SAPBEXexcBad8 56" xfId="51809" xr:uid="{00000000-0005-0000-0000-00000AC40000}"/>
    <cellStyle name="SAPBEXexcBad8 57" xfId="51810" xr:uid="{00000000-0005-0000-0000-00000BC40000}"/>
    <cellStyle name="SAPBEXexcBad8 58" xfId="51811" xr:uid="{00000000-0005-0000-0000-00000CC40000}"/>
    <cellStyle name="SAPBEXexcBad8 59" xfId="51812" xr:uid="{00000000-0005-0000-0000-00000DC40000}"/>
    <cellStyle name="SAPBEXexcBad8 6" xfId="2050" xr:uid="{00000000-0005-0000-0000-00000EC40000}"/>
    <cellStyle name="SAPBEXexcBad8 60" xfId="51813" xr:uid="{00000000-0005-0000-0000-00000FC40000}"/>
    <cellStyle name="SAPBEXexcBad8 61" xfId="51814" xr:uid="{00000000-0005-0000-0000-000010C40000}"/>
    <cellStyle name="SAPBEXexcBad8 62" xfId="51815" xr:uid="{00000000-0005-0000-0000-000011C40000}"/>
    <cellStyle name="SAPBEXexcBad8 63" xfId="51816" xr:uid="{00000000-0005-0000-0000-000012C40000}"/>
    <cellStyle name="SAPBEXexcBad8 64" xfId="51817" xr:uid="{00000000-0005-0000-0000-000013C40000}"/>
    <cellStyle name="SAPBEXexcBad8 65" xfId="51818" xr:uid="{00000000-0005-0000-0000-000014C40000}"/>
    <cellStyle name="SAPBEXexcBad8 66" xfId="51819" xr:uid="{00000000-0005-0000-0000-000015C40000}"/>
    <cellStyle name="SAPBEXexcBad8 67" xfId="51820" xr:uid="{00000000-0005-0000-0000-000016C40000}"/>
    <cellStyle name="SAPBEXexcBad8 68" xfId="51821" xr:uid="{00000000-0005-0000-0000-000017C40000}"/>
    <cellStyle name="SAPBEXexcBad8 69" xfId="51822" xr:uid="{00000000-0005-0000-0000-000018C40000}"/>
    <cellStyle name="SAPBEXexcBad8 7" xfId="2051" xr:uid="{00000000-0005-0000-0000-000019C40000}"/>
    <cellStyle name="SAPBEXexcBad8 70" xfId="51823" xr:uid="{00000000-0005-0000-0000-00001AC40000}"/>
    <cellStyle name="SAPBEXexcBad8 71" xfId="51824" xr:uid="{00000000-0005-0000-0000-00001BC40000}"/>
    <cellStyle name="SAPBEXexcBad8 72" xfId="51825" xr:uid="{00000000-0005-0000-0000-00001CC40000}"/>
    <cellStyle name="SAPBEXexcBad8 73" xfId="51826" xr:uid="{00000000-0005-0000-0000-00001DC40000}"/>
    <cellStyle name="SAPBEXexcBad8 74" xfId="51827" xr:uid="{00000000-0005-0000-0000-00001EC40000}"/>
    <cellStyle name="SAPBEXexcBad8 75" xfId="51828" xr:uid="{00000000-0005-0000-0000-00001FC40000}"/>
    <cellStyle name="SAPBEXexcBad8 76" xfId="51829" xr:uid="{00000000-0005-0000-0000-000020C40000}"/>
    <cellStyle name="SAPBEXexcBad8 77" xfId="51830" xr:uid="{00000000-0005-0000-0000-000021C40000}"/>
    <cellStyle name="SAPBEXexcBad8 78" xfId="51831" xr:uid="{00000000-0005-0000-0000-000022C40000}"/>
    <cellStyle name="SAPBEXexcBad8 79" xfId="51832" xr:uid="{00000000-0005-0000-0000-000023C40000}"/>
    <cellStyle name="SAPBEXexcBad8 8" xfId="2052" xr:uid="{00000000-0005-0000-0000-000024C40000}"/>
    <cellStyle name="SAPBEXexcBad8 80" xfId="51833" xr:uid="{00000000-0005-0000-0000-000025C40000}"/>
    <cellStyle name="SAPBEXexcBad8 81" xfId="51834" xr:uid="{00000000-0005-0000-0000-000026C40000}"/>
    <cellStyle name="SAPBEXexcBad8 82" xfId="51835" xr:uid="{00000000-0005-0000-0000-000027C40000}"/>
    <cellStyle name="SAPBEXexcBad8 83" xfId="51836" xr:uid="{00000000-0005-0000-0000-000028C40000}"/>
    <cellStyle name="SAPBEXexcBad8 84" xfId="51837" xr:uid="{00000000-0005-0000-0000-000029C40000}"/>
    <cellStyle name="SAPBEXexcBad8 85" xfId="51838" xr:uid="{00000000-0005-0000-0000-00002AC40000}"/>
    <cellStyle name="SAPBEXexcBad8 86" xfId="51839" xr:uid="{00000000-0005-0000-0000-00002BC40000}"/>
    <cellStyle name="SAPBEXexcBad8 87" xfId="51840" xr:uid="{00000000-0005-0000-0000-00002CC40000}"/>
    <cellStyle name="SAPBEXexcBad8 88" xfId="51841" xr:uid="{00000000-0005-0000-0000-00002DC40000}"/>
    <cellStyle name="SAPBEXexcBad8 89" xfId="51842" xr:uid="{00000000-0005-0000-0000-00002EC40000}"/>
    <cellStyle name="SAPBEXexcBad8 9" xfId="2053" xr:uid="{00000000-0005-0000-0000-00002FC40000}"/>
    <cellStyle name="SAPBEXexcBad8 90" xfId="51843" xr:uid="{00000000-0005-0000-0000-000030C40000}"/>
    <cellStyle name="SAPBEXexcBad8 91" xfId="51844" xr:uid="{00000000-0005-0000-0000-000031C40000}"/>
    <cellStyle name="SAPBEXexcBad8 92" xfId="51845" xr:uid="{00000000-0005-0000-0000-000032C40000}"/>
    <cellStyle name="SAPBEXexcBad8 93" xfId="51846" xr:uid="{00000000-0005-0000-0000-000033C40000}"/>
    <cellStyle name="SAPBEXexcBad8 94" xfId="51847" xr:uid="{00000000-0005-0000-0000-000034C40000}"/>
    <cellStyle name="SAPBEXexcBad8 95" xfId="51848" xr:uid="{00000000-0005-0000-0000-000035C40000}"/>
    <cellStyle name="SAPBEXexcBad8 96" xfId="51849" xr:uid="{00000000-0005-0000-0000-000036C40000}"/>
    <cellStyle name="SAPBEXexcBad8 97" xfId="51850" xr:uid="{00000000-0005-0000-0000-000037C40000}"/>
    <cellStyle name="SAPBEXexcBad8 98" xfId="51851" xr:uid="{00000000-0005-0000-0000-000038C40000}"/>
    <cellStyle name="SAPBEXexcBad8 99" xfId="51852" xr:uid="{00000000-0005-0000-0000-000039C40000}"/>
    <cellStyle name="SAPBEXexcBad8_(A-7) IS-Inputs" xfId="51853" xr:uid="{00000000-0005-0000-0000-00003AC40000}"/>
    <cellStyle name="SAPBEXexcBad9" xfId="58" xr:uid="{00000000-0005-0000-0000-000072000000}"/>
    <cellStyle name="SAPBEXexcBad9 10" xfId="2054" xr:uid="{00000000-0005-0000-0000-00003CC40000}"/>
    <cellStyle name="SAPBEXexcBad9 100" xfId="51854" xr:uid="{00000000-0005-0000-0000-00003DC40000}"/>
    <cellStyle name="SAPBEXexcBad9 101" xfId="51855" xr:uid="{00000000-0005-0000-0000-00003EC40000}"/>
    <cellStyle name="SAPBEXexcBad9 102" xfId="51856" xr:uid="{00000000-0005-0000-0000-00003FC40000}"/>
    <cellStyle name="SAPBEXexcBad9 103" xfId="51857" xr:uid="{00000000-0005-0000-0000-000040C40000}"/>
    <cellStyle name="SAPBEXexcBad9 104" xfId="51858" xr:uid="{00000000-0005-0000-0000-000041C40000}"/>
    <cellStyle name="SAPBEXexcBad9 105" xfId="51859" xr:uid="{00000000-0005-0000-0000-000042C40000}"/>
    <cellStyle name="SAPBEXexcBad9 106" xfId="51860" xr:uid="{00000000-0005-0000-0000-000043C40000}"/>
    <cellStyle name="SAPBEXexcBad9 107" xfId="51861" xr:uid="{00000000-0005-0000-0000-000044C40000}"/>
    <cellStyle name="SAPBEXexcBad9 108" xfId="51862" xr:uid="{00000000-0005-0000-0000-000045C40000}"/>
    <cellStyle name="SAPBEXexcBad9 109" xfId="51863" xr:uid="{00000000-0005-0000-0000-000046C40000}"/>
    <cellStyle name="SAPBEXexcBad9 11" xfId="2055" xr:uid="{00000000-0005-0000-0000-000047C40000}"/>
    <cellStyle name="SAPBEXexcBad9 110" xfId="51864" xr:uid="{00000000-0005-0000-0000-000048C40000}"/>
    <cellStyle name="SAPBEXexcBad9 12" xfId="2056" xr:uid="{00000000-0005-0000-0000-000049C40000}"/>
    <cellStyle name="SAPBEXexcBad9 13" xfId="2057" xr:uid="{00000000-0005-0000-0000-00004AC40000}"/>
    <cellStyle name="SAPBEXexcBad9 14" xfId="2058" xr:uid="{00000000-0005-0000-0000-00004BC40000}"/>
    <cellStyle name="SAPBEXexcBad9 15" xfId="2059" xr:uid="{00000000-0005-0000-0000-00004CC40000}"/>
    <cellStyle name="SAPBEXexcBad9 16" xfId="2060" xr:uid="{00000000-0005-0000-0000-00004DC40000}"/>
    <cellStyle name="SAPBEXexcBad9 17" xfId="2061" xr:uid="{00000000-0005-0000-0000-00004EC40000}"/>
    <cellStyle name="SAPBEXexcBad9 18" xfId="2062" xr:uid="{00000000-0005-0000-0000-00004FC40000}"/>
    <cellStyle name="SAPBEXexcBad9 19" xfId="2063" xr:uid="{00000000-0005-0000-0000-000050C40000}"/>
    <cellStyle name="SAPBEXexcBad9 2" xfId="2064" xr:uid="{00000000-0005-0000-0000-000051C40000}"/>
    <cellStyle name="SAPBEXexcBad9 2 2" xfId="51865" xr:uid="{00000000-0005-0000-0000-000052C40000}"/>
    <cellStyle name="SAPBEXexcBad9 20" xfId="2065" xr:uid="{00000000-0005-0000-0000-000053C40000}"/>
    <cellStyle name="SAPBEXexcBad9 21" xfId="2066" xr:uid="{00000000-0005-0000-0000-000054C40000}"/>
    <cellStyle name="SAPBEXexcBad9 22" xfId="2067" xr:uid="{00000000-0005-0000-0000-000055C40000}"/>
    <cellStyle name="SAPBEXexcBad9 23" xfId="2068" xr:uid="{00000000-0005-0000-0000-000056C40000}"/>
    <cellStyle name="SAPBEXexcBad9 24" xfId="2069" xr:uid="{00000000-0005-0000-0000-000057C40000}"/>
    <cellStyle name="SAPBEXexcBad9 25" xfId="2070" xr:uid="{00000000-0005-0000-0000-000058C40000}"/>
    <cellStyle name="SAPBEXexcBad9 26" xfId="2071" xr:uid="{00000000-0005-0000-0000-000059C40000}"/>
    <cellStyle name="SAPBEXexcBad9 27" xfId="2072" xr:uid="{00000000-0005-0000-0000-00005AC40000}"/>
    <cellStyle name="SAPBEXexcBad9 28" xfId="2073" xr:uid="{00000000-0005-0000-0000-00005BC40000}"/>
    <cellStyle name="SAPBEXexcBad9 29" xfId="2074" xr:uid="{00000000-0005-0000-0000-00005CC40000}"/>
    <cellStyle name="SAPBEXexcBad9 3" xfId="2075" xr:uid="{00000000-0005-0000-0000-00005DC40000}"/>
    <cellStyle name="SAPBEXexcBad9 3 2" xfId="51866" xr:uid="{00000000-0005-0000-0000-00005EC40000}"/>
    <cellStyle name="SAPBEXexcBad9 30" xfId="2076" xr:uid="{00000000-0005-0000-0000-00005FC40000}"/>
    <cellStyle name="SAPBEXexcBad9 31" xfId="2077" xr:uid="{00000000-0005-0000-0000-000060C40000}"/>
    <cellStyle name="SAPBEXexcBad9 32" xfId="2078" xr:uid="{00000000-0005-0000-0000-000061C40000}"/>
    <cellStyle name="SAPBEXexcBad9 33" xfId="2079" xr:uid="{00000000-0005-0000-0000-000062C40000}"/>
    <cellStyle name="SAPBEXexcBad9 34" xfId="2080" xr:uid="{00000000-0005-0000-0000-000063C40000}"/>
    <cellStyle name="SAPBEXexcBad9 35" xfId="2081" xr:uid="{00000000-0005-0000-0000-000064C40000}"/>
    <cellStyle name="SAPBEXexcBad9 36" xfId="2082" xr:uid="{00000000-0005-0000-0000-000065C40000}"/>
    <cellStyle name="SAPBEXexcBad9 37" xfId="2083" xr:uid="{00000000-0005-0000-0000-000066C40000}"/>
    <cellStyle name="SAPBEXexcBad9 38" xfId="2084" xr:uid="{00000000-0005-0000-0000-000067C40000}"/>
    <cellStyle name="SAPBEXexcBad9 39" xfId="2085" xr:uid="{00000000-0005-0000-0000-000068C40000}"/>
    <cellStyle name="SAPBEXexcBad9 4" xfId="2086" xr:uid="{00000000-0005-0000-0000-000069C40000}"/>
    <cellStyle name="SAPBEXexcBad9 40" xfId="2087" xr:uid="{00000000-0005-0000-0000-00006AC40000}"/>
    <cellStyle name="SAPBEXexcBad9 41" xfId="2088" xr:uid="{00000000-0005-0000-0000-00006BC40000}"/>
    <cellStyle name="SAPBEXexcBad9 42" xfId="2089" xr:uid="{00000000-0005-0000-0000-00006CC40000}"/>
    <cellStyle name="SAPBEXexcBad9 43" xfId="2090" xr:uid="{00000000-0005-0000-0000-00006DC40000}"/>
    <cellStyle name="SAPBEXexcBad9 44" xfId="2091" xr:uid="{00000000-0005-0000-0000-00006EC40000}"/>
    <cellStyle name="SAPBEXexcBad9 45" xfId="2092" xr:uid="{00000000-0005-0000-0000-00006FC40000}"/>
    <cellStyle name="SAPBEXexcBad9 46" xfId="51867" xr:uid="{00000000-0005-0000-0000-000070C40000}"/>
    <cellStyle name="SAPBEXexcBad9 47" xfId="51868" xr:uid="{00000000-0005-0000-0000-000071C40000}"/>
    <cellStyle name="SAPBEXexcBad9 48" xfId="51869" xr:uid="{00000000-0005-0000-0000-000072C40000}"/>
    <cellStyle name="SAPBEXexcBad9 49" xfId="51870" xr:uid="{00000000-0005-0000-0000-000073C40000}"/>
    <cellStyle name="SAPBEXexcBad9 5" xfId="2093" xr:uid="{00000000-0005-0000-0000-000074C40000}"/>
    <cellStyle name="SAPBEXexcBad9 50" xfId="51871" xr:uid="{00000000-0005-0000-0000-000075C40000}"/>
    <cellStyle name="SAPBEXexcBad9 51" xfId="51872" xr:uid="{00000000-0005-0000-0000-000076C40000}"/>
    <cellStyle name="SAPBEXexcBad9 52" xfId="51873" xr:uid="{00000000-0005-0000-0000-000077C40000}"/>
    <cellStyle name="SAPBEXexcBad9 53" xfId="51874" xr:uid="{00000000-0005-0000-0000-000078C40000}"/>
    <cellStyle name="SAPBEXexcBad9 54" xfId="51875" xr:uid="{00000000-0005-0000-0000-000079C40000}"/>
    <cellStyle name="SAPBEXexcBad9 55" xfId="51876" xr:uid="{00000000-0005-0000-0000-00007AC40000}"/>
    <cellStyle name="SAPBEXexcBad9 56" xfId="51877" xr:uid="{00000000-0005-0000-0000-00007BC40000}"/>
    <cellStyle name="SAPBEXexcBad9 57" xfId="51878" xr:uid="{00000000-0005-0000-0000-00007CC40000}"/>
    <cellStyle name="SAPBEXexcBad9 58" xfId="51879" xr:uid="{00000000-0005-0000-0000-00007DC40000}"/>
    <cellStyle name="SAPBEXexcBad9 59" xfId="51880" xr:uid="{00000000-0005-0000-0000-00007EC40000}"/>
    <cellStyle name="SAPBEXexcBad9 6" xfId="2094" xr:uid="{00000000-0005-0000-0000-00007FC40000}"/>
    <cellStyle name="SAPBEXexcBad9 60" xfId="51881" xr:uid="{00000000-0005-0000-0000-000080C40000}"/>
    <cellStyle name="SAPBEXexcBad9 61" xfId="51882" xr:uid="{00000000-0005-0000-0000-000081C40000}"/>
    <cellStyle name="SAPBEXexcBad9 62" xfId="51883" xr:uid="{00000000-0005-0000-0000-000082C40000}"/>
    <cellStyle name="SAPBEXexcBad9 63" xfId="51884" xr:uid="{00000000-0005-0000-0000-000083C40000}"/>
    <cellStyle name="SAPBEXexcBad9 64" xfId="51885" xr:uid="{00000000-0005-0000-0000-000084C40000}"/>
    <cellStyle name="SAPBEXexcBad9 65" xfId="51886" xr:uid="{00000000-0005-0000-0000-000085C40000}"/>
    <cellStyle name="SAPBEXexcBad9 66" xfId="51887" xr:uid="{00000000-0005-0000-0000-000086C40000}"/>
    <cellStyle name="SAPBEXexcBad9 67" xfId="51888" xr:uid="{00000000-0005-0000-0000-000087C40000}"/>
    <cellStyle name="SAPBEXexcBad9 68" xfId="51889" xr:uid="{00000000-0005-0000-0000-000088C40000}"/>
    <cellStyle name="SAPBEXexcBad9 69" xfId="51890" xr:uid="{00000000-0005-0000-0000-000089C40000}"/>
    <cellStyle name="SAPBEXexcBad9 7" xfId="2095" xr:uid="{00000000-0005-0000-0000-00008AC40000}"/>
    <cellStyle name="SAPBEXexcBad9 70" xfId="51891" xr:uid="{00000000-0005-0000-0000-00008BC40000}"/>
    <cellStyle name="SAPBEXexcBad9 71" xfId="51892" xr:uid="{00000000-0005-0000-0000-00008CC40000}"/>
    <cellStyle name="SAPBEXexcBad9 72" xfId="51893" xr:uid="{00000000-0005-0000-0000-00008DC40000}"/>
    <cellStyle name="SAPBEXexcBad9 73" xfId="51894" xr:uid="{00000000-0005-0000-0000-00008EC40000}"/>
    <cellStyle name="SAPBEXexcBad9 74" xfId="51895" xr:uid="{00000000-0005-0000-0000-00008FC40000}"/>
    <cellStyle name="SAPBEXexcBad9 75" xfId="51896" xr:uid="{00000000-0005-0000-0000-000090C40000}"/>
    <cellStyle name="SAPBEXexcBad9 76" xfId="51897" xr:uid="{00000000-0005-0000-0000-000091C40000}"/>
    <cellStyle name="SAPBEXexcBad9 77" xfId="51898" xr:uid="{00000000-0005-0000-0000-000092C40000}"/>
    <cellStyle name="SAPBEXexcBad9 78" xfId="51899" xr:uid="{00000000-0005-0000-0000-000093C40000}"/>
    <cellStyle name="SAPBEXexcBad9 79" xfId="51900" xr:uid="{00000000-0005-0000-0000-000094C40000}"/>
    <cellStyle name="SAPBEXexcBad9 8" xfId="2096" xr:uid="{00000000-0005-0000-0000-000095C40000}"/>
    <cellStyle name="SAPBEXexcBad9 80" xfId="51901" xr:uid="{00000000-0005-0000-0000-000096C40000}"/>
    <cellStyle name="SAPBEXexcBad9 81" xfId="51902" xr:uid="{00000000-0005-0000-0000-000097C40000}"/>
    <cellStyle name="SAPBEXexcBad9 82" xfId="51903" xr:uid="{00000000-0005-0000-0000-000098C40000}"/>
    <cellStyle name="SAPBEXexcBad9 83" xfId="51904" xr:uid="{00000000-0005-0000-0000-000099C40000}"/>
    <cellStyle name="SAPBEXexcBad9 84" xfId="51905" xr:uid="{00000000-0005-0000-0000-00009AC40000}"/>
    <cellStyle name="SAPBEXexcBad9 85" xfId="51906" xr:uid="{00000000-0005-0000-0000-00009BC40000}"/>
    <cellStyle name="SAPBEXexcBad9 86" xfId="51907" xr:uid="{00000000-0005-0000-0000-00009CC40000}"/>
    <cellStyle name="SAPBEXexcBad9 87" xfId="51908" xr:uid="{00000000-0005-0000-0000-00009DC40000}"/>
    <cellStyle name="SAPBEXexcBad9 88" xfId="51909" xr:uid="{00000000-0005-0000-0000-00009EC40000}"/>
    <cellStyle name="SAPBEXexcBad9 89" xfId="51910" xr:uid="{00000000-0005-0000-0000-00009FC40000}"/>
    <cellStyle name="SAPBEXexcBad9 9" xfId="2097" xr:uid="{00000000-0005-0000-0000-0000A0C40000}"/>
    <cellStyle name="SAPBEXexcBad9 90" xfId="51911" xr:uid="{00000000-0005-0000-0000-0000A1C40000}"/>
    <cellStyle name="SAPBEXexcBad9 91" xfId="51912" xr:uid="{00000000-0005-0000-0000-0000A2C40000}"/>
    <cellStyle name="SAPBEXexcBad9 92" xfId="51913" xr:uid="{00000000-0005-0000-0000-0000A3C40000}"/>
    <cellStyle name="SAPBEXexcBad9 93" xfId="51914" xr:uid="{00000000-0005-0000-0000-0000A4C40000}"/>
    <cellStyle name="SAPBEXexcBad9 94" xfId="51915" xr:uid="{00000000-0005-0000-0000-0000A5C40000}"/>
    <cellStyle name="SAPBEXexcBad9 95" xfId="51916" xr:uid="{00000000-0005-0000-0000-0000A6C40000}"/>
    <cellStyle name="SAPBEXexcBad9 96" xfId="51917" xr:uid="{00000000-0005-0000-0000-0000A7C40000}"/>
    <cellStyle name="SAPBEXexcBad9 97" xfId="51918" xr:uid="{00000000-0005-0000-0000-0000A8C40000}"/>
    <cellStyle name="SAPBEXexcBad9 98" xfId="51919" xr:uid="{00000000-0005-0000-0000-0000A9C40000}"/>
    <cellStyle name="SAPBEXexcBad9 99" xfId="51920" xr:uid="{00000000-0005-0000-0000-0000AAC40000}"/>
    <cellStyle name="SAPBEXexcBad9_(A-7) IS-Inputs" xfId="51921" xr:uid="{00000000-0005-0000-0000-0000ABC40000}"/>
    <cellStyle name="SAPBEXexcCritical4" xfId="59" xr:uid="{00000000-0005-0000-0000-000073000000}"/>
    <cellStyle name="SAPBEXexcCritical4 10" xfId="2098" xr:uid="{00000000-0005-0000-0000-0000ADC40000}"/>
    <cellStyle name="SAPBEXexcCritical4 100" xfId="51922" xr:uid="{00000000-0005-0000-0000-0000AEC40000}"/>
    <cellStyle name="SAPBEXexcCritical4 101" xfId="51923" xr:uid="{00000000-0005-0000-0000-0000AFC40000}"/>
    <cellStyle name="SAPBEXexcCritical4 102" xfId="51924" xr:uid="{00000000-0005-0000-0000-0000B0C40000}"/>
    <cellStyle name="SAPBEXexcCritical4 103" xfId="51925" xr:uid="{00000000-0005-0000-0000-0000B1C40000}"/>
    <cellStyle name="SAPBEXexcCritical4 104" xfId="51926" xr:uid="{00000000-0005-0000-0000-0000B2C40000}"/>
    <cellStyle name="SAPBEXexcCritical4 105" xfId="51927" xr:uid="{00000000-0005-0000-0000-0000B3C40000}"/>
    <cellStyle name="SAPBEXexcCritical4 106" xfId="51928" xr:uid="{00000000-0005-0000-0000-0000B4C40000}"/>
    <cellStyle name="SAPBEXexcCritical4 107" xfId="51929" xr:uid="{00000000-0005-0000-0000-0000B5C40000}"/>
    <cellStyle name="SAPBEXexcCritical4 108" xfId="51930" xr:uid="{00000000-0005-0000-0000-0000B6C40000}"/>
    <cellStyle name="SAPBEXexcCritical4 109" xfId="51931" xr:uid="{00000000-0005-0000-0000-0000B7C40000}"/>
    <cellStyle name="SAPBEXexcCritical4 11" xfId="2099" xr:uid="{00000000-0005-0000-0000-0000B8C40000}"/>
    <cellStyle name="SAPBEXexcCritical4 110" xfId="51932" xr:uid="{00000000-0005-0000-0000-0000B9C40000}"/>
    <cellStyle name="SAPBEXexcCritical4 12" xfId="2100" xr:uid="{00000000-0005-0000-0000-0000BAC40000}"/>
    <cellStyle name="SAPBEXexcCritical4 13" xfId="2101" xr:uid="{00000000-0005-0000-0000-0000BBC40000}"/>
    <cellStyle name="SAPBEXexcCritical4 14" xfId="2102" xr:uid="{00000000-0005-0000-0000-0000BCC40000}"/>
    <cellStyle name="SAPBEXexcCritical4 15" xfId="2103" xr:uid="{00000000-0005-0000-0000-0000BDC40000}"/>
    <cellStyle name="SAPBEXexcCritical4 16" xfId="2104" xr:uid="{00000000-0005-0000-0000-0000BEC40000}"/>
    <cellStyle name="SAPBEXexcCritical4 17" xfId="2105" xr:uid="{00000000-0005-0000-0000-0000BFC40000}"/>
    <cellStyle name="SAPBEXexcCritical4 18" xfId="2106" xr:uid="{00000000-0005-0000-0000-0000C0C40000}"/>
    <cellStyle name="SAPBEXexcCritical4 19" xfId="2107" xr:uid="{00000000-0005-0000-0000-0000C1C40000}"/>
    <cellStyle name="SAPBEXexcCritical4 2" xfId="2108" xr:uid="{00000000-0005-0000-0000-0000C2C40000}"/>
    <cellStyle name="SAPBEXexcCritical4 2 2" xfId="51933" xr:uid="{00000000-0005-0000-0000-0000C3C40000}"/>
    <cellStyle name="SAPBEXexcCritical4 20" xfId="2109" xr:uid="{00000000-0005-0000-0000-0000C4C40000}"/>
    <cellStyle name="SAPBEXexcCritical4 21" xfId="2110" xr:uid="{00000000-0005-0000-0000-0000C5C40000}"/>
    <cellStyle name="SAPBEXexcCritical4 22" xfId="2111" xr:uid="{00000000-0005-0000-0000-0000C6C40000}"/>
    <cellStyle name="SAPBEXexcCritical4 23" xfId="2112" xr:uid="{00000000-0005-0000-0000-0000C7C40000}"/>
    <cellStyle name="SAPBEXexcCritical4 24" xfId="2113" xr:uid="{00000000-0005-0000-0000-0000C8C40000}"/>
    <cellStyle name="SAPBEXexcCritical4 25" xfId="2114" xr:uid="{00000000-0005-0000-0000-0000C9C40000}"/>
    <cellStyle name="SAPBEXexcCritical4 26" xfId="2115" xr:uid="{00000000-0005-0000-0000-0000CAC40000}"/>
    <cellStyle name="SAPBEXexcCritical4 27" xfId="2116" xr:uid="{00000000-0005-0000-0000-0000CBC40000}"/>
    <cellStyle name="SAPBEXexcCritical4 28" xfId="2117" xr:uid="{00000000-0005-0000-0000-0000CCC40000}"/>
    <cellStyle name="SAPBEXexcCritical4 29" xfId="2118" xr:uid="{00000000-0005-0000-0000-0000CDC40000}"/>
    <cellStyle name="SAPBEXexcCritical4 3" xfId="2119" xr:uid="{00000000-0005-0000-0000-0000CEC40000}"/>
    <cellStyle name="SAPBEXexcCritical4 3 2" xfId="51934" xr:uid="{00000000-0005-0000-0000-0000CFC40000}"/>
    <cellStyle name="SAPBEXexcCritical4 30" xfId="2120" xr:uid="{00000000-0005-0000-0000-0000D0C40000}"/>
    <cellStyle name="SAPBEXexcCritical4 31" xfId="2121" xr:uid="{00000000-0005-0000-0000-0000D1C40000}"/>
    <cellStyle name="SAPBEXexcCritical4 32" xfId="2122" xr:uid="{00000000-0005-0000-0000-0000D2C40000}"/>
    <cellStyle name="SAPBEXexcCritical4 33" xfId="2123" xr:uid="{00000000-0005-0000-0000-0000D3C40000}"/>
    <cellStyle name="SAPBEXexcCritical4 34" xfId="2124" xr:uid="{00000000-0005-0000-0000-0000D4C40000}"/>
    <cellStyle name="SAPBEXexcCritical4 35" xfId="2125" xr:uid="{00000000-0005-0000-0000-0000D5C40000}"/>
    <cellStyle name="SAPBEXexcCritical4 36" xfId="2126" xr:uid="{00000000-0005-0000-0000-0000D6C40000}"/>
    <cellStyle name="SAPBEXexcCritical4 37" xfId="2127" xr:uid="{00000000-0005-0000-0000-0000D7C40000}"/>
    <cellStyle name="SAPBEXexcCritical4 38" xfId="2128" xr:uid="{00000000-0005-0000-0000-0000D8C40000}"/>
    <cellStyle name="SAPBEXexcCritical4 39" xfId="2129" xr:uid="{00000000-0005-0000-0000-0000D9C40000}"/>
    <cellStyle name="SAPBEXexcCritical4 4" xfId="2130" xr:uid="{00000000-0005-0000-0000-0000DAC40000}"/>
    <cellStyle name="SAPBEXexcCritical4 40" xfId="2131" xr:uid="{00000000-0005-0000-0000-0000DBC40000}"/>
    <cellStyle name="SAPBEXexcCritical4 41" xfId="2132" xr:uid="{00000000-0005-0000-0000-0000DCC40000}"/>
    <cellStyle name="SAPBEXexcCritical4 42" xfId="2133" xr:uid="{00000000-0005-0000-0000-0000DDC40000}"/>
    <cellStyle name="SAPBEXexcCritical4 43" xfId="2134" xr:uid="{00000000-0005-0000-0000-0000DEC40000}"/>
    <cellStyle name="SAPBEXexcCritical4 44" xfId="2135" xr:uid="{00000000-0005-0000-0000-0000DFC40000}"/>
    <cellStyle name="SAPBEXexcCritical4 45" xfId="2136" xr:uid="{00000000-0005-0000-0000-0000E0C40000}"/>
    <cellStyle name="SAPBEXexcCritical4 46" xfId="51935" xr:uid="{00000000-0005-0000-0000-0000E1C40000}"/>
    <cellStyle name="SAPBEXexcCritical4 47" xfId="51936" xr:uid="{00000000-0005-0000-0000-0000E2C40000}"/>
    <cellStyle name="SAPBEXexcCritical4 48" xfId="51937" xr:uid="{00000000-0005-0000-0000-0000E3C40000}"/>
    <cellStyle name="SAPBEXexcCritical4 49" xfId="51938" xr:uid="{00000000-0005-0000-0000-0000E4C40000}"/>
    <cellStyle name="SAPBEXexcCritical4 5" xfId="2137" xr:uid="{00000000-0005-0000-0000-0000E5C40000}"/>
    <cellStyle name="SAPBEXexcCritical4 50" xfId="51939" xr:uid="{00000000-0005-0000-0000-0000E6C40000}"/>
    <cellStyle name="SAPBEXexcCritical4 51" xfId="51940" xr:uid="{00000000-0005-0000-0000-0000E7C40000}"/>
    <cellStyle name="SAPBEXexcCritical4 52" xfId="51941" xr:uid="{00000000-0005-0000-0000-0000E8C40000}"/>
    <cellStyle name="SAPBEXexcCritical4 53" xfId="51942" xr:uid="{00000000-0005-0000-0000-0000E9C40000}"/>
    <cellStyle name="SAPBEXexcCritical4 54" xfId="51943" xr:uid="{00000000-0005-0000-0000-0000EAC40000}"/>
    <cellStyle name="SAPBEXexcCritical4 55" xfId="51944" xr:uid="{00000000-0005-0000-0000-0000EBC40000}"/>
    <cellStyle name="SAPBEXexcCritical4 56" xfId="51945" xr:uid="{00000000-0005-0000-0000-0000ECC40000}"/>
    <cellStyle name="SAPBEXexcCritical4 57" xfId="51946" xr:uid="{00000000-0005-0000-0000-0000EDC40000}"/>
    <cellStyle name="SAPBEXexcCritical4 58" xfId="51947" xr:uid="{00000000-0005-0000-0000-0000EEC40000}"/>
    <cellStyle name="SAPBEXexcCritical4 59" xfId="51948" xr:uid="{00000000-0005-0000-0000-0000EFC40000}"/>
    <cellStyle name="SAPBEXexcCritical4 6" xfId="2138" xr:uid="{00000000-0005-0000-0000-0000F0C40000}"/>
    <cellStyle name="SAPBEXexcCritical4 60" xfId="51949" xr:uid="{00000000-0005-0000-0000-0000F1C40000}"/>
    <cellStyle name="SAPBEXexcCritical4 61" xfId="51950" xr:uid="{00000000-0005-0000-0000-0000F2C40000}"/>
    <cellStyle name="SAPBEXexcCritical4 62" xfId="51951" xr:uid="{00000000-0005-0000-0000-0000F3C40000}"/>
    <cellStyle name="SAPBEXexcCritical4 63" xfId="51952" xr:uid="{00000000-0005-0000-0000-0000F4C40000}"/>
    <cellStyle name="SAPBEXexcCritical4 64" xfId="51953" xr:uid="{00000000-0005-0000-0000-0000F5C40000}"/>
    <cellStyle name="SAPBEXexcCritical4 65" xfId="51954" xr:uid="{00000000-0005-0000-0000-0000F6C40000}"/>
    <cellStyle name="SAPBEXexcCritical4 66" xfId="51955" xr:uid="{00000000-0005-0000-0000-0000F7C40000}"/>
    <cellStyle name="SAPBEXexcCritical4 67" xfId="51956" xr:uid="{00000000-0005-0000-0000-0000F8C40000}"/>
    <cellStyle name="SAPBEXexcCritical4 68" xfId="51957" xr:uid="{00000000-0005-0000-0000-0000F9C40000}"/>
    <cellStyle name="SAPBEXexcCritical4 69" xfId="51958" xr:uid="{00000000-0005-0000-0000-0000FAC40000}"/>
    <cellStyle name="SAPBEXexcCritical4 7" xfId="2139" xr:uid="{00000000-0005-0000-0000-0000FBC40000}"/>
    <cellStyle name="SAPBEXexcCritical4 70" xfId="51959" xr:uid="{00000000-0005-0000-0000-0000FCC40000}"/>
    <cellStyle name="SAPBEXexcCritical4 71" xfId="51960" xr:uid="{00000000-0005-0000-0000-0000FDC40000}"/>
    <cellStyle name="SAPBEXexcCritical4 72" xfId="51961" xr:uid="{00000000-0005-0000-0000-0000FEC40000}"/>
    <cellStyle name="SAPBEXexcCritical4 73" xfId="51962" xr:uid="{00000000-0005-0000-0000-0000FFC40000}"/>
    <cellStyle name="SAPBEXexcCritical4 74" xfId="51963" xr:uid="{00000000-0005-0000-0000-000000C50000}"/>
    <cellStyle name="SAPBEXexcCritical4 75" xfId="51964" xr:uid="{00000000-0005-0000-0000-000001C50000}"/>
    <cellStyle name="SAPBEXexcCritical4 76" xfId="51965" xr:uid="{00000000-0005-0000-0000-000002C50000}"/>
    <cellStyle name="SAPBEXexcCritical4 77" xfId="51966" xr:uid="{00000000-0005-0000-0000-000003C50000}"/>
    <cellStyle name="SAPBEXexcCritical4 78" xfId="51967" xr:uid="{00000000-0005-0000-0000-000004C50000}"/>
    <cellStyle name="SAPBEXexcCritical4 79" xfId="51968" xr:uid="{00000000-0005-0000-0000-000005C50000}"/>
    <cellStyle name="SAPBEXexcCritical4 8" xfId="2140" xr:uid="{00000000-0005-0000-0000-000006C50000}"/>
    <cellStyle name="SAPBEXexcCritical4 80" xfId="51969" xr:uid="{00000000-0005-0000-0000-000007C50000}"/>
    <cellStyle name="SAPBEXexcCritical4 81" xfId="51970" xr:uid="{00000000-0005-0000-0000-000008C50000}"/>
    <cellStyle name="SAPBEXexcCritical4 82" xfId="51971" xr:uid="{00000000-0005-0000-0000-000009C50000}"/>
    <cellStyle name="SAPBEXexcCritical4 83" xfId="51972" xr:uid="{00000000-0005-0000-0000-00000AC50000}"/>
    <cellStyle name="SAPBEXexcCritical4 84" xfId="51973" xr:uid="{00000000-0005-0000-0000-00000BC50000}"/>
    <cellStyle name="SAPBEXexcCritical4 85" xfId="51974" xr:uid="{00000000-0005-0000-0000-00000CC50000}"/>
    <cellStyle name="SAPBEXexcCritical4 86" xfId="51975" xr:uid="{00000000-0005-0000-0000-00000DC50000}"/>
    <cellStyle name="SAPBEXexcCritical4 87" xfId="51976" xr:uid="{00000000-0005-0000-0000-00000EC50000}"/>
    <cellStyle name="SAPBEXexcCritical4 88" xfId="51977" xr:uid="{00000000-0005-0000-0000-00000FC50000}"/>
    <cellStyle name="SAPBEXexcCritical4 89" xfId="51978" xr:uid="{00000000-0005-0000-0000-000010C50000}"/>
    <cellStyle name="SAPBEXexcCritical4 9" xfId="2141" xr:uid="{00000000-0005-0000-0000-000011C50000}"/>
    <cellStyle name="SAPBEXexcCritical4 90" xfId="51979" xr:uid="{00000000-0005-0000-0000-000012C50000}"/>
    <cellStyle name="SAPBEXexcCritical4 91" xfId="51980" xr:uid="{00000000-0005-0000-0000-000013C50000}"/>
    <cellStyle name="SAPBEXexcCritical4 92" xfId="51981" xr:uid="{00000000-0005-0000-0000-000014C50000}"/>
    <cellStyle name="SAPBEXexcCritical4 93" xfId="51982" xr:uid="{00000000-0005-0000-0000-000015C50000}"/>
    <cellStyle name="SAPBEXexcCritical4 94" xfId="51983" xr:uid="{00000000-0005-0000-0000-000016C50000}"/>
    <cellStyle name="SAPBEXexcCritical4 95" xfId="51984" xr:uid="{00000000-0005-0000-0000-000017C50000}"/>
    <cellStyle name="SAPBEXexcCritical4 96" xfId="51985" xr:uid="{00000000-0005-0000-0000-000018C50000}"/>
    <cellStyle name="SAPBEXexcCritical4 97" xfId="51986" xr:uid="{00000000-0005-0000-0000-000019C50000}"/>
    <cellStyle name="SAPBEXexcCritical4 98" xfId="51987" xr:uid="{00000000-0005-0000-0000-00001AC50000}"/>
    <cellStyle name="SAPBEXexcCritical4 99" xfId="51988" xr:uid="{00000000-0005-0000-0000-00001BC50000}"/>
    <cellStyle name="SAPBEXexcCritical4_(A-7) IS-Inputs" xfId="51989" xr:uid="{00000000-0005-0000-0000-00001CC50000}"/>
    <cellStyle name="SAPBEXexcCritical5" xfId="60" xr:uid="{00000000-0005-0000-0000-000074000000}"/>
    <cellStyle name="SAPBEXexcCritical5 10" xfId="2142" xr:uid="{00000000-0005-0000-0000-00001EC50000}"/>
    <cellStyle name="SAPBEXexcCritical5 100" xfId="51990" xr:uid="{00000000-0005-0000-0000-00001FC50000}"/>
    <cellStyle name="SAPBEXexcCritical5 101" xfId="51991" xr:uid="{00000000-0005-0000-0000-000020C50000}"/>
    <cellStyle name="SAPBEXexcCritical5 102" xfId="51992" xr:uid="{00000000-0005-0000-0000-000021C50000}"/>
    <cellStyle name="SAPBEXexcCritical5 103" xfId="51993" xr:uid="{00000000-0005-0000-0000-000022C50000}"/>
    <cellStyle name="SAPBEXexcCritical5 104" xfId="51994" xr:uid="{00000000-0005-0000-0000-000023C50000}"/>
    <cellStyle name="SAPBEXexcCritical5 105" xfId="51995" xr:uid="{00000000-0005-0000-0000-000024C50000}"/>
    <cellStyle name="SAPBEXexcCritical5 106" xfId="51996" xr:uid="{00000000-0005-0000-0000-000025C50000}"/>
    <cellStyle name="SAPBEXexcCritical5 107" xfId="51997" xr:uid="{00000000-0005-0000-0000-000026C50000}"/>
    <cellStyle name="SAPBEXexcCritical5 108" xfId="51998" xr:uid="{00000000-0005-0000-0000-000027C50000}"/>
    <cellStyle name="SAPBEXexcCritical5 109" xfId="51999" xr:uid="{00000000-0005-0000-0000-000028C50000}"/>
    <cellStyle name="SAPBEXexcCritical5 11" xfId="2143" xr:uid="{00000000-0005-0000-0000-000029C50000}"/>
    <cellStyle name="SAPBEXexcCritical5 110" xfId="52000" xr:uid="{00000000-0005-0000-0000-00002AC50000}"/>
    <cellStyle name="SAPBEXexcCritical5 12" xfId="2144" xr:uid="{00000000-0005-0000-0000-00002BC50000}"/>
    <cellStyle name="SAPBEXexcCritical5 13" xfId="2145" xr:uid="{00000000-0005-0000-0000-00002CC50000}"/>
    <cellStyle name="SAPBEXexcCritical5 14" xfId="2146" xr:uid="{00000000-0005-0000-0000-00002DC50000}"/>
    <cellStyle name="SAPBEXexcCritical5 15" xfId="2147" xr:uid="{00000000-0005-0000-0000-00002EC50000}"/>
    <cellStyle name="SAPBEXexcCritical5 16" xfId="2148" xr:uid="{00000000-0005-0000-0000-00002FC50000}"/>
    <cellStyle name="SAPBEXexcCritical5 17" xfId="2149" xr:uid="{00000000-0005-0000-0000-000030C50000}"/>
    <cellStyle name="SAPBEXexcCritical5 18" xfId="2150" xr:uid="{00000000-0005-0000-0000-000031C50000}"/>
    <cellStyle name="SAPBEXexcCritical5 19" xfId="2151" xr:uid="{00000000-0005-0000-0000-000032C50000}"/>
    <cellStyle name="SAPBEXexcCritical5 2" xfId="2152" xr:uid="{00000000-0005-0000-0000-000033C50000}"/>
    <cellStyle name="SAPBEXexcCritical5 2 2" xfId="52001" xr:uid="{00000000-0005-0000-0000-000034C50000}"/>
    <cellStyle name="SAPBEXexcCritical5 20" xfId="2153" xr:uid="{00000000-0005-0000-0000-000035C50000}"/>
    <cellStyle name="SAPBEXexcCritical5 21" xfId="2154" xr:uid="{00000000-0005-0000-0000-000036C50000}"/>
    <cellStyle name="SAPBEXexcCritical5 22" xfId="2155" xr:uid="{00000000-0005-0000-0000-000037C50000}"/>
    <cellStyle name="SAPBEXexcCritical5 23" xfId="2156" xr:uid="{00000000-0005-0000-0000-000038C50000}"/>
    <cellStyle name="SAPBEXexcCritical5 24" xfId="2157" xr:uid="{00000000-0005-0000-0000-000039C50000}"/>
    <cellStyle name="SAPBEXexcCritical5 25" xfId="2158" xr:uid="{00000000-0005-0000-0000-00003AC50000}"/>
    <cellStyle name="SAPBEXexcCritical5 26" xfId="2159" xr:uid="{00000000-0005-0000-0000-00003BC50000}"/>
    <cellStyle name="SAPBEXexcCritical5 27" xfId="2160" xr:uid="{00000000-0005-0000-0000-00003CC50000}"/>
    <cellStyle name="SAPBEXexcCritical5 28" xfId="2161" xr:uid="{00000000-0005-0000-0000-00003DC50000}"/>
    <cellStyle name="SAPBEXexcCritical5 29" xfId="2162" xr:uid="{00000000-0005-0000-0000-00003EC50000}"/>
    <cellStyle name="SAPBEXexcCritical5 3" xfId="2163" xr:uid="{00000000-0005-0000-0000-00003FC50000}"/>
    <cellStyle name="SAPBEXexcCritical5 3 2" xfId="52002" xr:uid="{00000000-0005-0000-0000-000040C50000}"/>
    <cellStyle name="SAPBEXexcCritical5 30" xfId="2164" xr:uid="{00000000-0005-0000-0000-000041C50000}"/>
    <cellStyle name="SAPBEXexcCritical5 31" xfId="2165" xr:uid="{00000000-0005-0000-0000-000042C50000}"/>
    <cellStyle name="SAPBEXexcCritical5 32" xfId="2166" xr:uid="{00000000-0005-0000-0000-000043C50000}"/>
    <cellStyle name="SAPBEXexcCritical5 33" xfId="2167" xr:uid="{00000000-0005-0000-0000-000044C50000}"/>
    <cellStyle name="SAPBEXexcCritical5 34" xfId="2168" xr:uid="{00000000-0005-0000-0000-000045C50000}"/>
    <cellStyle name="SAPBEXexcCritical5 35" xfId="2169" xr:uid="{00000000-0005-0000-0000-000046C50000}"/>
    <cellStyle name="SAPBEXexcCritical5 36" xfId="2170" xr:uid="{00000000-0005-0000-0000-000047C50000}"/>
    <cellStyle name="SAPBEXexcCritical5 37" xfId="2171" xr:uid="{00000000-0005-0000-0000-000048C50000}"/>
    <cellStyle name="SAPBEXexcCritical5 38" xfId="2172" xr:uid="{00000000-0005-0000-0000-000049C50000}"/>
    <cellStyle name="SAPBEXexcCritical5 39" xfId="2173" xr:uid="{00000000-0005-0000-0000-00004AC50000}"/>
    <cellStyle name="SAPBEXexcCritical5 4" xfId="2174" xr:uid="{00000000-0005-0000-0000-00004BC50000}"/>
    <cellStyle name="SAPBEXexcCritical5 40" xfId="2175" xr:uid="{00000000-0005-0000-0000-00004CC50000}"/>
    <cellStyle name="SAPBEXexcCritical5 41" xfId="2176" xr:uid="{00000000-0005-0000-0000-00004DC50000}"/>
    <cellStyle name="SAPBEXexcCritical5 42" xfId="2177" xr:uid="{00000000-0005-0000-0000-00004EC50000}"/>
    <cellStyle name="SAPBEXexcCritical5 43" xfId="2178" xr:uid="{00000000-0005-0000-0000-00004FC50000}"/>
    <cellStyle name="SAPBEXexcCritical5 44" xfId="2179" xr:uid="{00000000-0005-0000-0000-000050C50000}"/>
    <cellStyle name="SAPBEXexcCritical5 45" xfId="2180" xr:uid="{00000000-0005-0000-0000-000051C50000}"/>
    <cellStyle name="SAPBEXexcCritical5 46" xfId="52003" xr:uid="{00000000-0005-0000-0000-000052C50000}"/>
    <cellStyle name="SAPBEXexcCritical5 47" xfId="52004" xr:uid="{00000000-0005-0000-0000-000053C50000}"/>
    <cellStyle name="SAPBEXexcCritical5 48" xfId="52005" xr:uid="{00000000-0005-0000-0000-000054C50000}"/>
    <cellStyle name="SAPBEXexcCritical5 49" xfId="52006" xr:uid="{00000000-0005-0000-0000-000055C50000}"/>
    <cellStyle name="SAPBEXexcCritical5 5" xfId="2181" xr:uid="{00000000-0005-0000-0000-000056C50000}"/>
    <cellStyle name="SAPBEXexcCritical5 50" xfId="52007" xr:uid="{00000000-0005-0000-0000-000057C50000}"/>
    <cellStyle name="SAPBEXexcCritical5 51" xfId="52008" xr:uid="{00000000-0005-0000-0000-000058C50000}"/>
    <cellStyle name="SAPBEXexcCritical5 52" xfId="52009" xr:uid="{00000000-0005-0000-0000-000059C50000}"/>
    <cellStyle name="SAPBEXexcCritical5 53" xfId="52010" xr:uid="{00000000-0005-0000-0000-00005AC50000}"/>
    <cellStyle name="SAPBEXexcCritical5 54" xfId="52011" xr:uid="{00000000-0005-0000-0000-00005BC50000}"/>
    <cellStyle name="SAPBEXexcCritical5 55" xfId="52012" xr:uid="{00000000-0005-0000-0000-00005CC50000}"/>
    <cellStyle name="SAPBEXexcCritical5 56" xfId="52013" xr:uid="{00000000-0005-0000-0000-00005DC50000}"/>
    <cellStyle name="SAPBEXexcCritical5 57" xfId="52014" xr:uid="{00000000-0005-0000-0000-00005EC50000}"/>
    <cellStyle name="SAPBEXexcCritical5 58" xfId="52015" xr:uid="{00000000-0005-0000-0000-00005FC50000}"/>
    <cellStyle name="SAPBEXexcCritical5 59" xfId="52016" xr:uid="{00000000-0005-0000-0000-000060C50000}"/>
    <cellStyle name="SAPBEXexcCritical5 6" xfId="2182" xr:uid="{00000000-0005-0000-0000-000061C50000}"/>
    <cellStyle name="SAPBEXexcCritical5 60" xfId="52017" xr:uid="{00000000-0005-0000-0000-000062C50000}"/>
    <cellStyle name="SAPBEXexcCritical5 61" xfId="52018" xr:uid="{00000000-0005-0000-0000-000063C50000}"/>
    <cellStyle name="SAPBEXexcCritical5 62" xfId="52019" xr:uid="{00000000-0005-0000-0000-000064C50000}"/>
    <cellStyle name="SAPBEXexcCritical5 63" xfId="52020" xr:uid="{00000000-0005-0000-0000-000065C50000}"/>
    <cellStyle name="SAPBEXexcCritical5 64" xfId="52021" xr:uid="{00000000-0005-0000-0000-000066C50000}"/>
    <cellStyle name="SAPBEXexcCritical5 65" xfId="52022" xr:uid="{00000000-0005-0000-0000-000067C50000}"/>
    <cellStyle name="SAPBEXexcCritical5 66" xfId="52023" xr:uid="{00000000-0005-0000-0000-000068C50000}"/>
    <cellStyle name="SAPBEXexcCritical5 67" xfId="52024" xr:uid="{00000000-0005-0000-0000-000069C50000}"/>
    <cellStyle name="SAPBEXexcCritical5 68" xfId="52025" xr:uid="{00000000-0005-0000-0000-00006AC50000}"/>
    <cellStyle name="SAPBEXexcCritical5 69" xfId="52026" xr:uid="{00000000-0005-0000-0000-00006BC50000}"/>
    <cellStyle name="SAPBEXexcCritical5 7" xfId="2183" xr:uid="{00000000-0005-0000-0000-00006CC50000}"/>
    <cellStyle name="SAPBEXexcCritical5 70" xfId="52027" xr:uid="{00000000-0005-0000-0000-00006DC50000}"/>
    <cellStyle name="SAPBEXexcCritical5 71" xfId="52028" xr:uid="{00000000-0005-0000-0000-00006EC50000}"/>
    <cellStyle name="SAPBEXexcCritical5 72" xfId="52029" xr:uid="{00000000-0005-0000-0000-00006FC50000}"/>
    <cellStyle name="SAPBEXexcCritical5 73" xfId="52030" xr:uid="{00000000-0005-0000-0000-000070C50000}"/>
    <cellStyle name="SAPBEXexcCritical5 74" xfId="52031" xr:uid="{00000000-0005-0000-0000-000071C50000}"/>
    <cellStyle name="SAPBEXexcCritical5 75" xfId="52032" xr:uid="{00000000-0005-0000-0000-000072C50000}"/>
    <cellStyle name="SAPBEXexcCritical5 76" xfId="52033" xr:uid="{00000000-0005-0000-0000-000073C50000}"/>
    <cellStyle name="SAPBEXexcCritical5 77" xfId="52034" xr:uid="{00000000-0005-0000-0000-000074C50000}"/>
    <cellStyle name="SAPBEXexcCritical5 78" xfId="52035" xr:uid="{00000000-0005-0000-0000-000075C50000}"/>
    <cellStyle name="SAPBEXexcCritical5 79" xfId="52036" xr:uid="{00000000-0005-0000-0000-000076C50000}"/>
    <cellStyle name="SAPBEXexcCritical5 8" xfId="2184" xr:uid="{00000000-0005-0000-0000-000077C50000}"/>
    <cellStyle name="SAPBEXexcCritical5 80" xfId="52037" xr:uid="{00000000-0005-0000-0000-000078C50000}"/>
    <cellStyle name="SAPBEXexcCritical5 81" xfId="52038" xr:uid="{00000000-0005-0000-0000-000079C50000}"/>
    <cellStyle name="SAPBEXexcCritical5 82" xfId="52039" xr:uid="{00000000-0005-0000-0000-00007AC50000}"/>
    <cellStyle name="SAPBEXexcCritical5 83" xfId="52040" xr:uid="{00000000-0005-0000-0000-00007BC50000}"/>
    <cellStyle name="SAPBEXexcCritical5 84" xfId="52041" xr:uid="{00000000-0005-0000-0000-00007CC50000}"/>
    <cellStyle name="SAPBEXexcCritical5 85" xfId="52042" xr:uid="{00000000-0005-0000-0000-00007DC50000}"/>
    <cellStyle name="SAPBEXexcCritical5 86" xfId="52043" xr:uid="{00000000-0005-0000-0000-00007EC50000}"/>
    <cellStyle name="SAPBEXexcCritical5 87" xfId="52044" xr:uid="{00000000-0005-0000-0000-00007FC50000}"/>
    <cellStyle name="SAPBEXexcCritical5 88" xfId="52045" xr:uid="{00000000-0005-0000-0000-000080C50000}"/>
    <cellStyle name="SAPBEXexcCritical5 89" xfId="52046" xr:uid="{00000000-0005-0000-0000-000081C50000}"/>
    <cellStyle name="SAPBEXexcCritical5 9" xfId="2185" xr:uid="{00000000-0005-0000-0000-000082C50000}"/>
    <cellStyle name="SAPBEXexcCritical5 90" xfId="52047" xr:uid="{00000000-0005-0000-0000-000083C50000}"/>
    <cellStyle name="SAPBEXexcCritical5 91" xfId="52048" xr:uid="{00000000-0005-0000-0000-000084C50000}"/>
    <cellStyle name="SAPBEXexcCritical5 92" xfId="52049" xr:uid="{00000000-0005-0000-0000-000085C50000}"/>
    <cellStyle name="SAPBEXexcCritical5 93" xfId="52050" xr:uid="{00000000-0005-0000-0000-000086C50000}"/>
    <cellStyle name="SAPBEXexcCritical5 94" xfId="52051" xr:uid="{00000000-0005-0000-0000-000087C50000}"/>
    <cellStyle name="SAPBEXexcCritical5 95" xfId="52052" xr:uid="{00000000-0005-0000-0000-000088C50000}"/>
    <cellStyle name="SAPBEXexcCritical5 96" xfId="52053" xr:uid="{00000000-0005-0000-0000-000089C50000}"/>
    <cellStyle name="SAPBEXexcCritical5 97" xfId="52054" xr:uid="{00000000-0005-0000-0000-00008AC50000}"/>
    <cellStyle name="SAPBEXexcCritical5 98" xfId="52055" xr:uid="{00000000-0005-0000-0000-00008BC50000}"/>
    <cellStyle name="SAPBEXexcCritical5 99" xfId="52056" xr:uid="{00000000-0005-0000-0000-00008CC50000}"/>
    <cellStyle name="SAPBEXexcCritical5_(A-7) IS-Inputs" xfId="52057" xr:uid="{00000000-0005-0000-0000-00008DC50000}"/>
    <cellStyle name="SAPBEXexcCritical6" xfId="61" xr:uid="{00000000-0005-0000-0000-000075000000}"/>
    <cellStyle name="SAPBEXexcCritical6 10" xfId="2186" xr:uid="{00000000-0005-0000-0000-00008FC50000}"/>
    <cellStyle name="SAPBEXexcCritical6 100" xfId="52058" xr:uid="{00000000-0005-0000-0000-000090C50000}"/>
    <cellStyle name="SAPBEXexcCritical6 101" xfId="52059" xr:uid="{00000000-0005-0000-0000-000091C50000}"/>
    <cellStyle name="SAPBEXexcCritical6 102" xfId="52060" xr:uid="{00000000-0005-0000-0000-000092C50000}"/>
    <cellStyle name="SAPBEXexcCritical6 103" xfId="52061" xr:uid="{00000000-0005-0000-0000-000093C50000}"/>
    <cellStyle name="SAPBEXexcCritical6 104" xfId="52062" xr:uid="{00000000-0005-0000-0000-000094C50000}"/>
    <cellStyle name="SAPBEXexcCritical6 105" xfId="52063" xr:uid="{00000000-0005-0000-0000-000095C50000}"/>
    <cellStyle name="SAPBEXexcCritical6 106" xfId="52064" xr:uid="{00000000-0005-0000-0000-000096C50000}"/>
    <cellStyle name="SAPBEXexcCritical6 107" xfId="52065" xr:uid="{00000000-0005-0000-0000-000097C50000}"/>
    <cellStyle name="SAPBEXexcCritical6 108" xfId="52066" xr:uid="{00000000-0005-0000-0000-000098C50000}"/>
    <cellStyle name="SAPBEXexcCritical6 109" xfId="52067" xr:uid="{00000000-0005-0000-0000-000099C50000}"/>
    <cellStyle name="SAPBEXexcCritical6 11" xfId="2187" xr:uid="{00000000-0005-0000-0000-00009AC50000}"/>
    <cellStyle name="SAPBEXexcCritical6 110" xfId="52068" xr:uid="{00000000-0005-0000-0000-00009BC50000}"/>
    <cellStyle name="SAPBEXexcCritical6 12" xfId="2188" xr:uid="{00000000-0005-0000-0000-00009CC50000}"/>
    <cellStyle name="SAPBEXexcCritical6 13" xfId="2189" xr:uid="{00000000-0005-0000-0000-00009DC50000}"/>
    <cellStyle name="SAPBEXexcCritical6 14" xfId="2190" xr:uid="{00000000-0005-0000-0000-00009EC50000}"/>
    <cellStyle name="SAPBEXexcCritical6 15" xfId="2191" xr:uid="{00000000-0005-0000-0000-00009FC50000}"/>
    <cellStyle name="SAPBEXexcCritical6 16" xfId="2192" xr:uid="{00000000-0005-0000-0000-0000A0C50000}"/>
    <cellStyle name="SAPBEXexcCritical6 17" xfId="2193" xr:uid="{00000000-0005-0000-0000-0000A1C50000}"/>
    <cellStyle name="SAPBEXexcCritical6 18" xfId="2194" xr:uid="{00000000-0005-0000-0000-0000A2C50000}"/>
    <cellStyle name="SAPBEXexcCritical6 19" xfId="2195" xr:uid="{00000000-0005-0000-0000-0000A3C50000}"/>
    <cellStyle name="SAPBEXexcCritical6 2" xfId="2196" xr:uid="{00000000-0005-0000-0000-0000A4C50000}"/>
    <cellStyle name="SAPBEXexcCritical6 2 2" xfId="52069" xr:uid="{00000000-0005-0000-0000-0000A5C50000}"/>
    <cellStyle name="SAPBEXexcCritical6 20" xfId="2197" xr:uid="{00000000-0005-0000-0000-0000A6C50000}"/>
    <cellStyle name="SAPBEXexcCritical6 21" xfId="2198" xr:uid="{00000000-0005-0000-0000-0000A7C50000}"/>
    <cellStyle name="SAPBEXexcCritical6 22" xfId="2199" xr:uid="{00000000-0005-0000-0000-0000A8C50000}"/>
    <cellStyle name="SAPBEXexcCritical6 23" xfId="2200" xr:uid="{00000000-0005-0000-0000-0000A9C50000}"/>
    <cellStyle name="SAPBEXexcCritical6 24" xfId="2201" xr:uid="{00000000-0005-0000-0000-0000AAC50000}"/>
    <cellStyle name="SAPBEXexcCritical6 25" xfId="2202" xr:uid="{00000000-0005-0000-0000-0000ABC50000}"/>
    <cellStyle name="SAPBEXexcCritical6 26" xfId="2203" xr:uid="{00000000-0005-0000-0000-0000ACC50000}"/>
    <cellStyle name="SAPBEXexcCritical6 27" xfId="2204" xr:uid="{00000000-0005-0000-0000-0000ADC50000}"/>
    <cellStyle name="SAPBEXexcCritical6 28" xfId="2205" xr:uid="{00000000-0005-0000-0000-0000AEC50000}"/>
    <cellStyle name="SAPBEXexcCritical6 29" xfId="2206" xr:uid="{00000000-0005-0000-0000-0000AFC50000}"/>
    <cellStyle name="SAPBEXexcCritical6 3" xfId="2207" xr:uid="{00000000-0005-0000-0000-0000B0C50000}"/>
    <cellStyle name="SAPBEXexcCritical6 3 2" xfId="52070" xr:uid="{00000000-0005-0000-0000-0000B1C50000}"/>
    <cellStyle name="SAPBEXexcCritical6 30" xfId="2208" xr:uid="{00000000-0005-0000-0000-0000B2C50000}"/>
    <cellStyle name="SAPBEXexcCritical6 31" xfId="2209" xr:uid="{00000000-0005-0000-0000-0000B3C50000}"/>
    <cellStyle name="SAPBEXexcCritical6 32" xfId="2210" xr:uid="{00000000-0005-0000-0000-0000B4C50000}"/>
    <cellStyle name="SAPBEXexcCritical6 33" xfId="2211" xr:uid="{00000000-0005-0000-0000-0000B5C50000}"/>
    <cellStyle name="SAPBEXexcCritical6 34" xfId="2212" xr:uid="{00000000-0005-0000-0000-0000B6C50000}"/>
    <cellStyle name="SAPBEXexcCritical6 35" xfId="2213" xr:uid="{00000000-0005-0000-0000-0000B7C50000}"/>
    <cellStyle name="SAPBEXexcCritical6 36" xfId="2214" xr:uid="{00000000-0005-0000-0000-0000B8C50000}"/>
    <cellStyle name="SAPBEXexcCritical6 37" xfId="2215" xr:uid="{00000000-0005-0000-0000-0000B9C50000}"/>
    <cellStyle name="SAPBEXexcCritical6 38" xfId="2216" xr:uid="{00000000-0005-0000-0000-0000BAC50000}"/>
    <cellStyle name="SAPBEXexcCritical6 39" xfId="2217" xr:uid="{00000000-0005-0000-0000-0000BBC50000}"/>
    <cellStyle name="SAPBEXexcCritical6 4" xfId="2218" xr:uid="{00000000-0005-0000-0000-0000BCC50000}"/>
    <cellStyle name="SAPBEXexcCritical6 40" xfId="2219" xr:uid="{00000000-0005-0000-0000-0000BDC50000}"/>
    <cellStyle name="SAPBEXexcCritical6 41" xfId="2220" xr:uid="{00000000-0005-0000-0000-0000BEC50000}"/>
    <cellStyle name="SAPBEXexcCritical6 42" xfId="2221" xr:uid="{00000000-0005-0000-0000-0000BFC50000}"/>
    <cellStyle name="SAPBEXexcCritical6 43" xfId="2222" xr:uid="{00000000-0005-0000-0000-0000C0C50000}"/>
    <cellStyle name="SAPBEXexcCritical6 44" xfId="2223" xr:uid="{00000000-0005-0000-0000-0000C1C50000}"/>
    <cellStyle name="SAPBEXexcCritical6 45" xfId="2224" xr:uid="{00000000-0005-0000-0000-0000C2C50000}"/>
    <cellStyle name="SAPBEXexcCritical6 46" xfId="52071" xr:uid="{00000000-0005-0000-0000-0000C3C50000}"/>
    <cellStyle name="SAPBEXexcCritical6 47" xfId="52072" xr:uid="{00000000-0005-0000-0000-0000C4C50000}"/>
    <cellStyle name="SAPBEXexcCritical6 48" xfId="52073" xr:uid="{00000000-0005-0000-0000-0000C5C50000}"/>
    <cellStyle name="SAPBEXexcCritical6 49" xfId="52074" xr:uid="{00000000-0005-0000-0000-0000C6C50000}"/>
    <cellStyle name="SAPBEXexcCritical6 5" xfId="2225" xr:uid="{00000000-0005-0000-0000-0000C7C50000}"/>
    <cellStyle name="SAPBEXexcCritical6 50" xfId="52075" xr:uid="{00000000-0005-0000-0000-0000C8C50000}"/>
    <cellStyle name="SAPBEXexcCritical6 51" xfId="52076" xr:uid="{00000000-0005-0000-0000-0000C9C50000}"/>
    <cellStyle name="SAPBEXexcCritical6 52" xfId="52077" xr:uid="{00000000-0005-0000-0000-0000CAC50000}"/>
    <cellStyle name="SAPBEXexcCritical6 53" xfId="52078" xr:uid="{00000000-0005-0000-0000-0000CBC50000}"/>
    <cellStyle name="SAPBEXexcCritical6 54" xfId="52079" xr:uid="{00000000-0005-0000-0000-0000CCC50000}"/>
    <cellStyle name="SAPBEXexcCritical6 55" xfId="52080" xr:uid="{00000000-0005-0000-0000-0000CDC50000}"/>
    <cellStyle name="SAPBEXexcCritical6 56" xfId="52081" xr:uid="{00000000-0005-0000-0000-0000CEC50000}"/>
    <cellStyle name="SAPBEXexcCritical6 57" xfId="52082" xr:uid="{00000000-0005-0000-0000-0000CFC50000}"/>
    <cellStyle name="SAPBEXexcCritical6 58" xfId="52083" xr:uid="{00000000-0005-0000-0000-0000D0C50000}"/>
    <cellStyle name="SAPBEXexcCritical6 59" xfId="52084" xr:uid="{00000000-0005-0000-0000-0000D1C50000}"/>
    <cellStyle name="SAPBEXexcCritical6 6" xfId="2226" xr:uid="{00000000-0005-0000-0000-0000D2C50000}"/>
    <cellStyle name="SAPBEXexcCritical6 60" xfId="52085" xr:uid="{00000000-0005-0000-0000-0000D3C50000}"/>
    <cellStyle name="SAPBEXexcCritical6 61" xfId="52086" xr:uid="{00000000-0005-0000-0000-0000D4C50000}"/>
    <cellStyle name="SAPBEXexcCritical6 62" xfId="52087" xr:uid="{00000000-0005-0000-0000-0000D5C50000}"/>
    <cellStyle name="SAPBEXexcCritical6 63" xfId="52088" xr:uid="{00000000-0005-0000-0000-0000D6C50000}"/>
    <cellStyle name="SAPBEXexcCritical6 64" xfId="52089" xr:uid="{00000000-0005-0000-0000-0000D7C50000}"/>
    <cellStyle name="SAPBEXexcCritical6 65" xfId="52090" xr:uid="{00000000-0005-0000-0000-0000D8C50000}"/>
    <cellStyle name="SAPBEXexcCritical6 66" xfId="52091" xr:uid="{00000000-0005-0000-0000-0000D9C50000}"/>
    <cellStyle name="SAPBEXexcCritical6 67" xfId="52092" xr:uid="{00000000-0005-0000-0000-0000DAC50000}"/>
    <cellStyle name="SAPBEXexcCritical6 68" xfId="52093" xr:uid="{00000000-0005-0000-0000-0000DBC50000}"/>
    <cellStyle name="SAPBEXexcCritical6 69" xfId="52094" xr:uid="{00000000-0005-0000-0000-0000DCC50000}"/>
    <cellStyle name="SAPBEXexcCritical6 7" xfId="2227" xr:uid="{00000000-0005-0000-0000-0000DDC50000}"/>
    <cellStyle name="SAPBEXexcCritical6 70" xfId="52095" xr:uid="{00000000-0005-0000-0000-0000DEC50000}"/>
    <cellStyle name="SAPBEXexcCritical6 71" xfId="52096" xr:uid="{00000000-0005-0000-0000-0000DFC50000}"/>
    <cellStyle name="SAPBEXexcCritical6 72" xfId="52097" xr:uid="{00000000-0005-0000-0000-0000E0C50000}"/>
    <cellStyle name="SAPBEXexcCritical6 73" xfId="52098" xr:uid="{00000000-0005-0000-0000-0000E1C50000}"/>
    <cellStyle name="SAPBEXexcCritical6 74" xfId="52099" xr:uid="{00000000-0005-0000-0000-0000E2C50000}"/>
    <cellStyle name="SAPBEXexcCritical6 75" xfId="52100" xr:uid="{00000000-0005-0000-0000-0000E3C50000}"/>
    <cellStyle name="SAPBEXexcCritical6 76" xfId="52101" xr:uid="{00000000-0005-0000-0000-0000E4C50000}"/>
    <cellStyle name="SAPBEXexcCritical6 77" xfId="52102" xr:uid="{00000000-0005-0000-0000-0000E5C50000}"/>
    <cellStyle name="SAPBEXexcCritical6 78" xfId="52103" xr:uid="{00000000-0005-0000-0000-0000E6C50000}"/>
    <cellStyle name="SAPBEXexcCritical6 79" xfId="52104" xr:uid="{00000000-0005-0000-0000-0000E7C50000}"/>
    <cellStyle name="SAPBEXexcCritical6 8" xfId="2228" xr:uid="{00000000-0005-0000-0000-0000E8C50000}"/>
    <cellStyle name="SAPBEXexcCritical6 80" xfId="52105" xr:uid="{00000000-0005-0000-0000-0000E9C50000}"/>
    <cellStyle name="SAPBEXexcCritical6 81" xfId="52106" xr:uid="{00000000-0005-0000-0000-0000EAC50000}"/>
    <cellStyle name="SAPBEXexcCritical6 82" xfId="52107" xr:uid="{00000000-0005-0000-0000-0000EBC50000}"/>
    <cellStyle name="SAPBEXexcCritical6 83" xfId="52108" xr:uid="{00000000-0005-0000-0000-0000ECC50000}"/>
    <cellStyle name="SAPBEXexcCritical6 84" xfId="52109" xr:uid="{00000000-0005-0000-0000-0000EDC50000}"/>
    <cellStyle name="SAPBEXexcCritical6 85" xfId="52110" xr:uid="{00000000-0005-0000-0000-0000EEC50000}"/>
    <cellStyle name="SAPBEXexcCritical6 86" xfId="52111" xr:uid="{00000000-0005-0000-0000-0000EFC50000}"/>
    <cellStyle name="SAPBEXexcCritical6 87" xfId="52112" xr:uid="{00000000-0005-0000-0000-0000F0C50000}"/>
    <cellStyle name="SAPBEXexcCritical6 88" xfId="52113" xr:uid="{00000000-0005-0000-0000-0000F1C50000}"/>
    <cellStyle name="SAPBEXexcCritical6 89" xfId="52114" xr:uid="{00000000-0005-0000-0000-0000F2C50000}"/>
    <cellStyle name="SAPBEXexcCritical6 9" xfId="2229" xr:uid="{00000000-0005-0000-0000-0000F3C50000}"/>
    <cellStyle name="SAPBEXexcCritical6 90" xfId="52115" xr:uid="{00000000-0005-0000-0000-0000F4C50000}"/>
    <cellStyle name="SAPBEXexcCritical6 91" xfId="52116" xr:uid="{00000000-0005-0000-0000-0000F5C50000}"/>
    <cellStyle name="SAPBEXexcCritical6 92" xfId="52117" xr:uid="{00000000-0005-0000-0000-0000F6C50000}"/>
    <cellStyle name="SAPBEXexcCritical6 93" xfId="52118" xr:uid="{00000000-0005-0000-0000-0000F7C50000}"/>
    <cellStyle name="SAPBEXexcCritical6 94" xfId="52119" xr:uid="{00000000-0005-0000-0000-0000F8C50000}"/>
    <cellStyle name="SAPBEXexcCritical6 95" xfId="52120" xr:uid="{00000000-0005-0000-0000-0000F9C50000}"/>
    <cellStyle name="SAPBEXexcCritical6 96" xfId="52121" xr:uid="{00000000-0005-0000-0000-0000FAC50000}"/>
    <cellStyle name="SAPBEXexcCritical6 97" xfId="52122" xr:uid="{00000000-0005-0000-0000-0000FBC50000}"/>
    <cellStyle name="SAPBEXexcCritical6 98" xfId="52123" xr:uid="{00000000-0005-0000-0000-0000FCC50000}"/>
    <cellStyle name="SAPBEXexcCritical6 99" xfId="52124" xr:uid="{00000000-0005-0000-0000-0000FDC50000}"/>
    <cellStyle name="SAPBEXexcCritical6_(A-7) IS-Inputs" xfId="52125" xr:uid="{00000000-0005-0000-0000-0000FEC50000}"/>
    <cellStyle name="SAPBEXexcGood1" xfId="62" xr:uid="{00000000-0005-0000-0000-000076000000}"/>
    <cellStyle name="SAPBEXexcGood1 10" xfId="2230" xr:uid="{00000000-0005-0000-0000-000000C60000}"/>
    <cellStyle name="SAPBEXexcGood1 100" xfId="52126" xr:uid="{00000000-0005-0000-0000-000001C60000}"/>
    <cellStyle name="SAPBEXexcGood1 101" xfId="52127" xr:uid="{00000000-0005-0000-0000-000002C60000}"/>
    <cellStyle name="SAPBEXexcGood1 102" xfId="52128" xr:uid="{00000000-0005-0000-0000-000003C60000}"/>
    <cellStyle name="SAPBEXexcGood1 103" xfId="52129" xr:uid="{00000000-0005-0000-0000-000004C60000}"/>
    <cellStyle name="SAPBEXexcGood1 104" xfId="52130" xr:uid="{00000000-0005-0000-0000-000005C60000}"/>
    <cellStyle name="SAPBEXexcGood1 105" xfId="52131" xr:uid="{00000000-0005-0000-0000-000006C60000}"/>
    <cellStyle name="SAPBEXexcGood1 106" xfId="52132" xr:uid="{00000000-0005-0000-0000-000007C60000}"/>
    <cellStyle name="SAPBEXexcGood1 107" xfId="52133" xr:uid="{00000000-0005-0000-0000-000008C60000}"/>
    <cellStyle name="SAPBEXexcGood1 108" xfId="52134" xr:uid="{00000000-0005-0000-0000-000009C60000}"/>
    <cellStyle name="SAPBEXexcGood1 109" xfId="52135" xr:uid="{00000000-0005-0000-0000-00000AC60000}"/>
    <cellStyle name="SAPBEXexcGood1 11" xfId="2231" xr:uid="{00000000-0005-0000-0000-00000BC60000}"/>
    <cellStyle name="SAPBEXexcGood1 110" xfId="52136" xr:uid="{00000000-0005-0000-0000-00000CC60000}"/>
    <cellStyle name="SAPBEXexcGood1 12" xfId="2232" xr:uid="{00000000-0005-0000-0000-00000DC60000}"/>
    <cellStyle name="SAPBEXexcGood1 13" xfId="2233" xr:uid="{00000000-0005-0000-0000-00000EC60000}"/>
    <cellStyle name="SAPBEXexcGood1 14" xfId="2234" xr:uid="{00000000-0005-0000-0000-00000FC60000}"/>
    <cellStyle name="SAPBEXexcGood1 15" xfId="2235" xr:uid="{00000000-0005-0000-0000-000010C60000}"/>
    <cellStyle name="SAPBEXexcGood1 16" xfId="2236" xr:uid="{00000000-0005-0000-0000-000011C60000}"/>
    <cellStyle name="SAPBEXexcGood1 17" xfId="2237" xr:uid="{00000000-0005-0000-0000-000012C60000}"/>
    <cellStyle name="SAPBEXexcGood1 18" xfId="2238" xr:uid="{00000000-0005-0000-0000-000013C60000}"/>
    <cellStyle name="SAPBEXexcGood1 19" xfId="2239" xr:uid="{00000000-0005-0000-0000-000014C60000}"/>
    <cellStyle name="SAPBEXexcGood1 2" xfId="2240" xr:uid="{00000000-0005-0000-0000-000015C60000}"/>
    <cellStyle name="SAPBEXexcGood1 2 2" xfId="52137" xr:uid="{00000000-0005-0000-0000-000016C60000}"/>
    <cellStyle name="SAPBEXexcGood1 20" xfId="2241" xr:uid="{00000000-0005-0000-0000-000017C60000}"/>
    <cellStyle name="SAPBEXexcGood1 21" xfId="2242" xr:uid="{00000000-0005-0000-0000-000018C60000}"/>
    <cellStyle name="SAPBEXexcGood1 22" xfId="2243" xr:uid="{00000000-0005-0000-0000-000019C60000}"/>
    <cellStyle name="SAPBEXexcGood1 23" xfId="2244" xr:uid="{00000000-0005-0000-0000-00001AC60000}"/>
    <cellStyle name="SAPBEXexcGood1 24" xfId="2245" xr:uid="{00000000-0005-0000-0000-00001BC60000}"/>
    <cellStyle name="SAPBEXexcGood1 25" xfId="2246" xr:uid="{00000000-0005-0000-0000-00001CC60000}"/>
    <cellStyle name="SAPBEXexcGood1 26" xfId="2247" xr:uid="{00000000-0005-0000-0000-00001DC60000}"/>
    <cellStyle name="SAPBEXexcGood1 27" xfId="2248" xr:uid="{00000000-0005-0000-0000-00001EC60000}"/>
    <cellStyle name="SAPBEXexcGood1 28" xfId="2249" xr:uid="{00000000-0005-0000-0000-00001FC60000}"/>
    <cellStyle name="SAPBEXexcGood1 29" xfId="2250" xr:uid="{00000000-0005-0000-0000-000020C60000}"/>
    <cellStyle name="SAPBEXexcGood1 3" xfId="2251" xr:uid="{00000000-0005-0000-0000-000021C60000}"/>
    <cellStyle name="SAPBEXexcGood1 3 2" xfId="52138" xr:uid="{00000000-0005-0000-0000-000022C60000}"/>
    <cellStyle name="SAPBEXexcGood1 30" xfId="2252" xr:uid="{00000000-0005-0000-0000-000023C60000}"/>
    <cellStyle name="SAPBEXexcGood1 31" xfId="2253" xr:uid="{00000000-0005-0000-0000-000024C60000}"/>
    <cellStyle name="SAPBEXexcGood1 32" xfId="2254" xr:uid="{00000000-0005-0000-0000-000025C60000}"/>
    <cellStyle name="SAPBEXexcGood1 33" xfId="2255" xr:uid="{00000000-0005-0000-0000-000026C60000}"/>
    <cellStyle name="SAPBEXexcGood1 34" xfId="2256" xr:uid="{00000000-0005-0000-0000-000027C60000}"/>
    <cellStyle name="SAPBEXexcGood1 35" xfId="2257" xr:uid="{00000000-0005-0000-0000-000028C60000}"/>
    <cellStyle name="SAPBEXexcGood1 36" xfId="2258" xr:uid="{00000000-0005-0000-0000-000029C60000}"/>
    <cellStyle name="SAPBEXexcGood1 37" xfId="2259" xr:uid="{00000000-0005-0000-0000-00002AC60000}"/>
    <cellStyle name="SAPBEXexcGood1 38" xfId="2260" xr:uid="{00000000-0005-0000-0000-00002BC60000}"/>
    <cellStyle name="SAPBEXexcGood1 39" xfId="2261" xr:uid="{00000000-0005-0000-0000-00002CC60000}"/>
    <cellStyle name="SAPBEXexcGood1 4" xfId="2262" xr:uid="{00000000-0005-0000-0000-00002DC60000}"/>
    <cellStyle name="SAPBEXexcGood1 40" xfId="2263" xr:uid="{00000000-0005-0000-0000-00002EC60000}"/>
    <cellStyle name="SAPBEXexcGood1 41" xfId="2264" xr:uid="{00000000-0005-0000-0000-00002FC60000}"/>
    <cellStyle name="SAPBEXexcGood1 42" xfId="2265" xr:uid="{00000000-0005-0000-0000-000030C60000}"/>
    <cellStyle name="SAPBEXexcGood1 43" xfId="2266" xr:uid="{00000000-0005-0000-0000-000031C60000}"/>
    <cellStyle name="SAPBEXexcGood1 44" xfId="2267" xr:uid="{00000000-0005-0000-0000-000032C60000}"/>
    <cellStyle name="SAPBEXexcGood1 45" xfId="2268" xr:uid="{00000000-0005-0000-0000-000033C60000}"/>
    <cellStyle name="SAPBEXexcGood1 46" xfId="52139" xr:uid="{00000000-0005-0000-0000-000034C60000}"/>
    <cellStyle name="SAPBEXexcGood1 47" xfId="52140" xr:uid="{00000000-0005-0000-0000-000035C60000}"/>
    <cellStyle name="SAPBEXexcGood1 48" xfId="52141" xr:uid="{00000000-0005-0000-0000-000036C60000}"/>
    <cellStyle name="SAPBEXexcGood1 49" xfId="52142" xr:uid="{00000000-0005-0000-0000-000037C60000}"/>
    <cellStyle name="SAPBEXexcGood1 5" xfId="2269" xr:uid="{00000000-0005-0000-0000-000038C60000}"/>
    <cellStyle name="SAPBEXexcGood1 50" xfId="52143" xr:uid="{00000000-0005-0000-0000-000039C60000}"/>
    <cellStyle name="SAPBEXexcGood1 51" xfId="52144" xr:uid="{00000000-0005-0000-0000-00003AC60000}"/>
    <cellStyle name="SAPBEXexcGood1 52" xfId="52145" xr:uid="{00000000-0005-0000-0000-00003BC60000}"/>
    <cellStyle name="SAPBEXexcGood1 53" xfId="52146" xr:uid="{00000000-0005-0000-0000-00003CC60000}"/>
    <cellStyle name="SAPBEXexcGood1 54" xfId="52147" xr:uid="{00000000-0005-0000-0000-00003DC60000}"/>
    <cellStyle name="SAPBEXexcGood1 55" xfId="52148" xr:uid="{00000000-0005-0000-0000-00003EC60000}"/>
    <cellStyle name="SAPBEXexcGood1 56" xfId="52149" xr:uid="{00000000-0005-0000-0000-00003FC60000}"/>
    <cellStyle name="SAPBEXexcGood1 57" xfId="52150" xr:uid="{00000000-0005-0000-0000-000040C60000}"/>
    <cellStyle name="SAPBEXexcGood1 58" xfId="52151" xr:uid="{00000000-0005-0000-0000-000041C60000}"/>
    <cellStyle name="SAPBEXexcGood1 59" xfId="52152" xr:uid="{00000000-0005-0000-0000-000042C60000}"/>
    <cellStyle name="SAPBEXexcGood1 6" xfId="2270" xr:uid="{00000000-0005-0000-0000-000043C60000}"/>
    <cellStyle name="SAPBEXexcGood1 60" xfId="52153" xr:uid="{00000000-0005-0000-0000-000044C60000}"/>
    <cellStyle name="SAPBEXexcGood1 61" xfId="52154" xr:uid="{00000000-0005-0000-0000-000045C60000}"/>
    <cellStyle name="SAPBEXexcGood1 62" xfId="52155" xr:uid="{00000000-0005-0000-0000-000046C60000}"/>
    <cellStyle name="SAPBEXexcGood1 63" xfId="52156" xr:uid="{00000000-0005-0000-0000-000047C60000}"/>
    <cellStyle name="SAPBEXexcGood1 64" xfId="52157" xr:uid="{00000000-0005-0000-0000-000048C60000}"/>
    <cellStyle name="SAPBEXexcGood1 65" xfId="52158" xr:uid="{00000000-0005-0000-0000-000049C60000}"/>
    <cellStyle name="SAPBEXexcGood1 66" xfId="52159" xr:uid="{00000000-0005-0000-0000-00004AC60000}"/>
    <cellStyle name="SAPBEXexcGood1 67" xfId="52160" xr:uid="{00000000-0005-0000-0000-00004BC60000}"/>
    <cellStyle name="SAPBEXexcGood1 68" xfId="52161" xr:uid="{00000000-0005-0000-0000-00004CC60000}"/>
    <cellStyle name="SAPBEXexcGood1 69" xfId="52162" xr:uid="{00000000-0005-0000-0000-00004DC60000}"/>
    <cellStyle name="SAPBEXexcGood1 7" xfId="2271" xr:uid="{00000000-0005-0000-0000-00004EC60000}"/>
    <cellStyle name="SAPBEXexcGood1 70" xfId="52163" xr:uid="{00000000-0005-0000-0000-00004FC60000}"/>
    <cellStyle name="SAPBEXexcGood1 71" xfId="52164" xr:uid="{00000000-0005-0000-0000-000050C60000}"/>
    <cellStyle name="SAPBEXexcGood1 72" xfId="52165" xr:uid="{00000000-0005-0000-0000-000051C60000}"/>
    <cellStyle name="SAPBEXexcGood1 73" xfId="52166" xr:uid="{00000000-0005-0000-0000-000052C60000}"/>
    <cellStyle name="SAPBEXexcGood1 74" xfId="52167" xr:uid="{00000000-0005-0000-0000-000053C60000}"/>
    <cellStyle name="SAPBEXexcGood1 75" xfId="52168" xr:uid="{00000000-0005-0000-0000-000054C60000}"/>
    <cellStyle name="SAPBEXexcGood1 76" xfId="52169" xr:uid="{00000000-0005-0000-0000-000055C60000}"/>
    <cellStyle name="SAPBEXexcGood1 77" xfId="52170" xr:uid="{00000000-0005-0000-0000-000056C60000}"/>
    <cellStyle name="SAPBEXexcGood1 78" xfId="52171" xr:uid="{00000000-0005-0000-0000-000057C60000}"/>
    <cellStyle name="SAPBEXexcGood1 79" xfId="52172" xr:uid="{00000000-0005-0000-0000-000058C60000}"/>
    <cellStyle name="SAPBEXexcGood1 8" xfId="2272" xr:uid="{00000000-0005-0000-0000-000059C60000}"/>
    <cellStyle name="SAPBEXexcGood1 80" xfId="52173" xr:uid="{00000000-0005-0000-0000-00005AC60000}"/>
    <cellStyle name="SAPBEXexcGood1 81" xfId="52174" xr:uid="{00000000-0005-0000-0000-00005BC60000}"/>
    <cellStyle name="SAPBEXexcGood1 82" xfId="52175" xr:uid="{00000000-0005-0000-0000-00005CC60000}"/>
    <cellStyle name="SAPBEXexcGood1 83" xfId="52176" xr:uid="{00000000-0005-0000-0000-00005DC60000}"/>
    <cellStyle name="SAPBEXexcGood1 84" xfId="52177" xr:uid="{00000000-0005-0000-0000-00005EC60000}"/>
    <cellStyle name="SAPBEXexcGood1 85" xfId="52178" xr:uid="{00000000-0005-0000-0000-00005FC60000}"/>
    <cellStyle name="SAPBEXexcGood1 86" xfId="52179" xr:uid="{00000000-0005-0000-0000-000060C60000}"/>
    <cellStyle name="SAPBEXexcGood1 87" xfId="52180" xr:uid="{00000000-0005-0000-0000-000061C60000}"/>
    <cellStyle name="SAPBEXexcGood1 88" xfId="52181" xr:uid="{00000000-0005-0000-0000-000062C60000}"/>
    <cellStyle name="SAPBEXexcGood1 89" xfId="52182" xr:uid="{00000000-0005-0000-0000-000063C60000}"/>
    <cellStyle name="SAPBEXexcGood1 9" xfId="2273" xr:uid="{00000000-0005-0000-0000-000064C60000}"/>
    <cellStyle name="SAPBEXexcGood1 90" xfId="52183" xr:uid="{00000000-0005-0000-0000-000065C60000}"/>
    <cellStyle name="SAPBEXexcGood1 91" xfId="52184" xr:uid="{00000000-0005-0000-0000-000066C60000}"/>
    <cellStyle name="SAPBEXexcGood1 92" xfId="52185" xr:uid="{00000000-0005-0000-0000-000067C60000}"/>
    <cellStyle name="SAPBEXexcGood1 93" xfId="52186" xr:uid="{00000000-0005-0000-0000-000068C60000}"/>
    <cellStyle name="SAPBEXexcGood1 94" xfId="52187" xr:uid="{00000000-0005-0000-0000-000069C60000}"/>
    <cellStyle name="SAPBEXexcGood1 95" xfId="52188" xr:uid="{00000000-0005-0000-0000-00006AC60000}"/>
    <cellStyle name="SAPBEXexcGood1 96" xfId="52189" xr:uid="{00000000-0005-0000-0000-00006BC60000}"/>
    <cellStyle name="SAPBEXexcGood1 97" xfId="52190" xr:uid="{00000000-0005-0000-0000-00006CC60000}"/>
    <cellStyle name="SAPBEXexcGood1 98" xfId="52191" xr:uid="{00000000-0005-0000-0000-00006DC60000}"/>
    <cellStyle name="SAPBEXexcGood1 99" xfId="52192" xr:uid="{00000000-0005-0000-0000-00006EC60000}"/>
    <cellStyle name="SAPBEXexcGood1_(A-7) IS-Inputs" xfId="52193" xr:uid="{00000000-0005-0000-0000-00006FC60000}"/>
    <cellStyle name="SAPBEXexcGood2" xfId="63" xr:uid="{00000000-0005-0000-0000-000077000000}"/>
    <cellStyle name="SAPBEXexcGood2 10" xfId="2274" xr:uid="{00000000-0005-0000-0000-000071C60000}"/>
    <cellStyle name="SAPBEXexcGood2 100" xfId="52194" xr:uid="{00000000-0005-0000-0000-000072C60000}"/>
    <cellStyle name="SAPBEXexcGood2 101" xfId="52195" xr:uid="{00000000-0005-0000-0000-000073C60000}"/>
    <cellStyle name="SAPBEXexcGood2 102" xfId="52196" xr:uid="{00000000-0005-0000-0000-000074C60000}"/>
    <cellStyle name="SAPBEXexcGood2 103" xfId="52197" xr:uid="{00000000-0005-0000-0000-000075C60000}"/>
    <cellStyle name="SAPBEXexcGood2 104" xfId="52198" xr:uid="{00000000-0005-0000-0000-000076C60000}"/>
    <cellStyle name="SAPBEXexcGood2 105" xfId="52199" xr:uid="{00000000-0005-0000-0000-000077C60000}"/>
    <cellStyle name="SAPBEXexcGood2 106" xfId="52200" xr:uid="{00000000-0005-0000-0000-000078C60000}"/>
    <cellStyle name="SAPBEXexcGood2 107" xfId="52201" xr:uid="{00000000-0005-0000-0000-000079C60000}"/>
    <cellStyle name="SAPBEXexcGood2 108" xfId="52202" xr:uid="{00000000-0005-0000-0000-00007AC60000}"/>
    <cellStyle name="SAPBEXexcGood2 109" xfId="52203" xr:uid="{00000000-0005-0000-0000-00007BC60000}"/>
    <cellStyle name="SAPBEXexcGood2 11" xfId="2275" xr:uid="{00000000-0005-0000-0000-00007CC60000}"/>
    <cellStyle name="SAPBEXexcGood2 110" xfId="52204" xr:uid="{00000000-0005-0000-0000-00007DC60000}"/>
    <cellStyle name="SAPBEXexcGood2 12" xfId="2276" xr:uid="{00000000-0005-0000-0000-00007EC60000}"/>
    <cellStyle name="SAPBEXexcGood2 13" xfId="2277" xr:uid="{00000000-0005-0000-0000-00007FC60000}"/>
    <cellStyle name="SAPBEXexcGood2 14" xfId="2278" xr:uid="{00000000-0005-0000-0000-000080C60000}"/>
    <cellStyle name="SAPBEXexcGood2 15" xfId="2279" xr:uid="{00000000-0005-0000-0000-000081C60000}"/>
    <cellStyle name="SAPBEXexcGood2 16" xfId="2280" xr:uid="{00000000-0005-0000-0000-000082C60000}"/>
    <cellStyle name="SAPBEXexcGood2 17" xfId="2281" xr:uid="{00000000-0005-0000-0000-000083C60000}"/>
    <cellStyle name="SAPBEXexcGood2 18" xfId="2282" xr:uid="{00000000-0005-0000-0000-000084C60000}"/>
    <cellStyle name="SAPBEXexcGood2 19" xfId="2283" xr:uid="{00000000-0005-0000-0000-000085C60000}"/>
    <cellStyle name="SAPBEXexcGood2 2" xfId="2284" xr:uid="{00000000-0005-0000-0000-000086C60000}"/>
    <cellStyle name="SAPBEXexcGood2 2 2" xfId="52205" xr:uid="{00000000-0005-0000-0000-000087C60000}"/>
    <cellStyle name="SAPBEXexcGood2 20" xfId="2285" xr:uid="{00000000-0005-0000-0000-000088C60000}"/>
    <cellStyle name="SAPBEXexcGood2 21" xfId="2286" xr:uid="{00000000-0005-0000-0000-000089C60000}"/>
    <cellStyle name="SAPBEXexcGood2 22" xfId="2287" xr:uid="{00000000-0005-0000-0000-00008AC60000}"/>
    <cellStyle name="SAPBEXexcGood2 23" xfId="2288" xr:uid="{00000000-0005-0000-0000-00008BC60000}"/>
    <cellStyle name="SAPBEXexcGood2 24" xfId="2289" xr:uid="{00000000-0005-0000-0000-00008CC60000}"/>
    <cellStyle name="SAPBEXexcGood2 25" xfId="2290" xr:uid="{00000000-0005-0000-0000-00008DC60000}"/>
    <cellStyle name="SAPBEXexcGood2 26" xfId="2291" xr:uid="{00000000-0005-0000-0000-00008EC60000}"/>
    <cellStyle name="SAPBEXexcGood2 27" xfId="2292" xr:uid="{00000000-0005-0000-0000-00008FC60000}"/>
    <cellStyle name="SAPBEXexcGood2 28" xfId="2293" xr:uid="{00000000-0005-0000-0000-000090C60000}"/>
    <cellStyle name="SAPBEXexcGood2 29" xfId="2294" xr:uid="{00000000-0005-0000-0000-000091C60000}"/>
    <cellStyle name="SAPBEXexcGood2 3" xfId="2295" xr:uid="{00000000-0005-0000-0000-000092C60000}"/>
    <cellStyle name="SAPBEXexcGood2 3 2" xfId="52206" xr:uid="{00000000-0005-0000-0000-000093C60000}"/>
    <cellStyle name="SAPBEXexcGood2 30" xfId="2296" xr:uid="{00000000-0005-0000-0000-000094C60000}"/>
    <cellStyle name="SAPBEXexcGood2 31" xfId="2297" xr:uid="{00000000-0005-0000-0000-000095C60000}"/>
    <cellStyle name="SAPBEXexcGood2 32" xfId="2298" xr:uid="{00000000-0005-0000-0000-000096C60000}"/>
    <cellStyle name="SAPBEXexcGood2 33" xfId="2299" xr:uid="{00000000-0005-0000-0000-000097C60000}"/>
    <cellStyle name="SAPBEXexcGood2 34" xfId="2300" xr:uid="{00000000-0005-0000-0000-000098C60000}"/>
    <cellStyle name="SAPBEXexcGood2 35" xfId="2301" xr:uid="{00000000-0005-0000-0000-000099C60000}"/>
    <cellStyle name="SAPBEXexcGood2 36" xfId="2302" xr:uid="{00000000-0005-0000-0000-00009AC60000}"/>
    <cellStyle name="SAPBEXexcGood2 37" xfId="2303" xr:uid="{00000000-0005-0000-0000-00009BC60000}"/>
    <cellStyle name="SAPBEXexcGood2 38" xfId="2304" xr:uid="{00000000-0005-0000-0000-00009CC60000}"/>
    <cellStyle name="SAPBEXexcGood2 39" xfId="2305" xr:uid="{00000000-0005-0000-0000-00009DC60000}"/>
    <cellStyle name="SAPBEXexcGood2 4" xfId="2306" xr:uid="{00000000-0005-0000-0000-00009EC60000}"/>
    <cellStyle name="SAPBEXexcGood2 40" xfId="2307" xr:uid="{00000000-0005-0000-0000-00009FC60000}"/>
    <cellStyle name="SAPBEXexcGood2 41" xfId="2308" xr:uid="{00000000-0005-0000-0000-0000A0C60000}"/>
    <cellStyle name="SAPBEXexcGood2 42" xfId="2309" xr:uid="{00000000-0005-0000-0000-0000A1C60000}"/>
    <cellStyle name="SAPBEXexcGood2 43" xfId="2310" xr:uid="{00000000-0005-0000-0000-0000A2C60000}"/>
    <cellStyle name="SAPBEXexcGood2 44" xfId="2311" xr:uid="{00000000-0005-0000-0000-0000A3C60000}"/>
    <cellStyle name="SAPBEXexcGood2 45" xfId="2312" xr:uid="{00000000-0005-0000-0000-0000A4C60000}"/>
    <cellStyle name="SAPBEXexcGood2 46" xfId="52207" xr:uid="{00000000-0005-0000-0000-0000A5C60000}"/>
    <cellStyle name="SAPBEXexcGood2 47" xfId="52208" xr:uid="{00000000-0005-0000-0000-0000A6C60000}"/>
    <cellStyle name="SAPBEXexcGood2 48" xfId="52209" xr:uid="{00000000-0005-0000-0000-0000A7C60000}"/>
    <cellStyle name="SAPBEXexcGood2 49" xfId="52210" xr:uid="{00000000-0005-0000-0000-0000A8C60000}"/>
    <cellStyle name="SAPBEXexcGood2 5" xfId="2313" xr:uid="{00000000-0005-0000-0000-0000A9C60000}"/>
    <cellStyle name="SAPBEXexcGood2 50" xfId="52211" xr:uid="{00000000-0005-0000-0000-0000AAC60000}"/>
    <cellStyle name="SAPBEXexcGood2 51" xfId="52212" xr:uid="{00000000-0005-0000-0000-0000ABC60000}"/>
    <cellStyle name="SAPBEXexcGood2 52" xfId="52213" xr:uid="{00000000-0005-0000-0000-0000ACC60000}"/>
    <cellStyle name="SAPBEXexcGood2 53" xfId="52214" xr:uid="{00000000-0005-0000-0000-0000ADC60000}"/>
    <cellStyle name="SAPBEXexcGood2 54" xfId="52215" xr:uid="{00000000-0005-0000-0000-0000AEC60000}"/>
    <cellStyle name="SAPBEXexcGood2 55" xfId="52216" xr:uid="{00000000-0005-0000-0000-0000AFC60000}"/>
    <cellStyle name="SAPBEXexcGood2 56" xfId="52217" xr:uid="{00000000-0005-0000-0000-0000B0C60000}"/>
    <cellStyle name="SAPBEXexcGood2 57" xfId="52218" xr:uid="{00000000-0005-0000-0000-0000B1C60000}"/>
    <cellStyle name="SAPBEXexcGood2 58" xfId="52219" xr:uid="{00000000-0005-0000-0000-0000B2C60000}"/>
    <cellStyle name="SAPBEXexcGood2 59" xfId="52220" xr:uid="{00000000-0005-0000-0000-0000B3C60000}"/>
    <cellStyle name="SAPBEXexcGood2 6" xfId="2314" xr:uid="{00000000-0005-0000-0000-0000B4C60000}"/>
    <cellStyle name="SAPBEXexcGood2 60" xfId="52221" xr:uid="{00000000-0005-0000-0000-0000B5C60000}"/>
    <cellStyle name="SAPBEXexcGood2 61" xfId="52222" xr:uid="{00000000-0005-0000-0000-0000B6C60000}"/>
    <cellStyle name="SAPBEXexcGood2 62" xfId="52223" xr:uid="{00000000-0005-0000-0000-0000B7C60000}"/>
    <cellStyle name="SAPBEXexcGood2 63" xfId="52224" xr:uid="{00000000-0005-0000-0000-0000B8C60000}"/>
    <cellStyle name="SAPBEXexcGood2 64" xfId="52225" xr:uid="{00000000-0005-0000-0000-0000B9C60000}"/>
    <cellStyle name="SAPBEXexcGood2 65" xfId="52226" xr:uid="{00000000-0005-0000-0000-0000BAC60000}"/>
    <cellStyle name="SAPBEXexcGood2 66" xfId="52227" xr:uid="{00000000-0005-0000-0000-0000BBC60000}"/>
    <cellStyle name="SAPBEXexcGood2 67" xfId="52228" xr:uid="{00000000-0005-0000-0000-0000BCC60000}"/>
    <cellStyle name="SAPBEXexcGood2 68" xfId="52229" xr:uid="{00000000-0005-0000-0000-0000BDC60000}"/>
    <cellStyle name="SAPBEXexcGood2 69" xfId="52230" xr:uid="{00000000-0005-0000-0000-0000BEC60000}"/>
    <cellStyle name="SAPBEXexcGood2 7" xfId="2315" xr:uid="{00000000-0005-0000-0000-0000BFC60000}"/>
    <cellStyle name="SAPBEXexcGood2 70" xfId="52231" xr:uid="{00000000-0005-0000-0000-0000C0C60000}"/>
    <cellStyle name="SAPBEXexcGood2 71" xfId="52232" xr:uid="{00000000-0005-0000-0000-0000C1C60000}"/>
    <cellStyle name="SAPBEXexcGood2 72" xfId="52233" xr:uid="{00000000-0005-0000-0000-0000C2C60000}"/>
    <cellStyle name="SAPBEXexcGood2 73" xfId="52234" xr:uid="{00000000-0005-0000-0000-0000C3C60000}"/>
    <cellStyle name="SAPBEXexcGood2 74" xfId="52235" xr:uid="{00000000-0005-0000-0000-0000C4C60000}"/>
    <cellStyle name="SAPBEXexcGood2 75" xfId="52236" xr:uid="{00000000-0005-0000-0000-0000C5C60000}"/>
    <cellStyle name="SAPBEXexcGood2 76" xfId="52237" xr:uid="{00000000-0005-0000-0000-0000C6C60000}"/>
    <cellStyle name="SAPBEXexcGood2 77" xfId="52238" xr:uid="{00000000-0005-0000-0000-0000C7C60000}"/>
    <cellStyle name="SAPBEXexcGood2 78" xfId="52239" xr:uid="{00000000-0005-0000-0000-0000C8C60000}"/>
    <cellStyle name="SAPBEXexcGood2 79" xfId="52240" xr:uid="{00000000-0005-0000-0000-0000C9C60000}"/>
    <cellStyle name="SAPBEXexcGood2 8" xfId="2316" xr:uid="{00000000-0005-0000-0000-0000CAC60000}"/>
    <cellStyle name="SAPBEXexcGood2 80" xfId="52241" xr:uid="{00000000-0005-0000-0000-0000CBC60000}"/>
    <cellStyle name="SAPBEXexcGood2 81" xfId="52242" xr:uid="{00000000-0005-0000-0000-0000CCC60000}"/>
    <cellStyle name="SAPBEXexcGood2 82" xfId="52243" xr:uid="{00000000-0005-0000-0000-0000CDC60000}"/>
    <cellStyle name="SAPBEXexcGood2 83" xfId="52244" xr:uid="{00000000-0005-0000-0000-0000CEC60000}"/>
    <cellStyle name="SAPBEXexcGood2 84" xfId="52245" xr:uid="{00000000-0005-0000-0000-0000CFC60000}"/>
    <cellStyle name="SAPBEXexcGood2 85" xfId="52246" xr:uid="{00000000-0005-0000-0000-0000D0C60000}"/>
    <cellStyle name="SAPBEXexcGood2 86" xfId="52247" xr:uid="{00000000-0005-0000-0000-0000D1C60000}"/>
    <cellStyle name="SAPBEXexcGood2 87" xfId="52248" xr:uid="{00000000-0005-0000-0000-0000D2C60000}"/>
    <cellStyle name="SAPBEXexcGood2 88" xfId="52249" xr:uid="{00000000-0005-0000-0000-0000D3C60000}"/>
    <cellStyle name="SAPBEXexcGood2 89" xfId="52250" xr:uid="{00000000-0005-0000-0000-0000D4C60000}"/>
    <cellStyle name="SAPBEXexcGood2 9" xfId="2317" xr:uid="{00000000-0005-0000-0000-0000D5C60000}"/>
    <cellStyle name="SAPBEXexcGood2 90" xfId="52251" xr:uid="{00000000-0005-0000-0000-0000D6C60000}"/>
    <cellStyle name="SAPBEXexcGood2 91" xfId="52252" xr:uid="{00000000-0005-0000-0000-0000D7C60000}"/>
    <cellStyle name="SAPBEXexcGood2 92" xfId="52253" xr:uid="{00000000-0005-0000-0000-0000D8C60000}"/>
    <cellStyle name="SAPBEXexcGood2 93" xfId="52254" xr:uid="{00000000-0005-0000-0000-0000D9C60000}"/>
    <cellStyle name="SAPBEXexcGood2 94" xfId="52255" xr:uid="{00000000-0005-0000-0000-0000DAC60000}"/>
    <cellStyle name="SAPBEXexcGood2 95" xfId="52256" xr:uid="{00000000-0005-0000-0000-0000DBC60000}"/>
    <cellStyle name="SAPBEXexcGood2 96" xfId="52257" xr:uid="{00000000-0005-0000-0000-0000DCC60000}"/>
    <cellStyle name="SAPBEXexcGood2 97" xfId="52258" xr:uid="{00000000-0005-0000-0000-0000DDC60000}"/>
    <cellStyle name="SAPBEXexcGood2 98" xfId="52259" xr:uid="{00000000-0005-0000-0000-0000DEC60000}"/>
    <cellStyle name="SAPBEXexcGood2 99" xfId="52260" xr:uid="{00000000-0005-0000-0000-0000DFC60000}"/>
    <cellStyle name="SAPBEXexcGood2_(A-7) IS-Inputs" xfId="52261" xr:uid="{00000000-0005-0000-0000-0000E0C60000}"/>
    <cellStyle name="SAPBEXexcGood3" xfId="64" xr:uid="{00000000-0005-0000-0000-000078000000}"/>
    <cellStyle name="SAPBEXexcGood3 10" xfId="2318" xr:uid="{00000000-0005-0000-0000-0000E2C60000}"/>
    <cellStyle name="SAPBEXexcGood3 100" xfId="52262" xr:uid="{00000000-0005-0000-0000-0000E3C60000}"/>
    <cellStyle name="SAPBEXexcGood3 101" xfId="52263" xr:uid="{00000000-0005-0000-0000-0000E4C60000}"/>
    <cellStyle name="SAPBEXexcGood3 102" xfId="52264" xr:uid="{00000000-0005-0000-0000-0000E5C60000}"/>
    <cellStyle name="SAPBEXexcGood3 103" xfId="52265" xr:uid="{00000000-0005-0000-0000-0000E6C60000}"/>
    <cellStyle name="SAPBEXexcGood3 104" xfId="52266" xr:uid="{00000000-0005-0000-0000-0000E7C60000}"/>
    <cellStyle name="SAPBEXexcGood3 105" xfId="52267" xr:uid="{00000000-0005-0000-0000-0000E8C60000}"/>
    <cellStyle name="SAPBEXexcGood3 106" xfId="52268" xr:uid="{00000000-0005-0000-0000-0000E9C60000}"/>
    <cellStyle name="SAPBEXexcGood3 107" xfId="52269" xr:uid="{00000000-0005-0000-0000-0000EAC60000}"/>
    <cellStyle name="SAPBEXexcGood3 108" xfId="52270" xr:uid="{00000000-0005-0000-0000-0000EBC60000}"/>
    <cellStyle name="SAPBEXexcGood3 109" xfId="52271" xr:uid="{00000000-0005-0000-0000-0000ECC60000}"/>
    <cellStyle name="SAPBEXexcGood3 11" xfId="2319" xr:uid="{00000000-0005-0000-0000-0000EDC60000}"/>
    <cellStyle name="SAPBEXexcGood3 110" xfId="52272" xr:uid="{00000000-0005-0000-0000-0000EEC60000}"/>
    <cellStyle name="SAPBEXexcGood3 12" xfId="2320" xr:uid="{00000000-0005-0000-0000-0000EFC60000}"/>
    <cellStyle name="SAPBEXexcGood3 13" xfId="2321" xr:uid="{00000000-0005-0000-0000-0000F0C60000}"/>
    <cellStyle name="SAPBEXexcGood3 14" xfId="2322" xr:uid="{00000000-0005-0000-0000-0000F1C60000}"/>
    <cellStyle name="SAPBEXexcGood3 15" xfId="2323" xr:uid="{00000000-0005-0000-0000-0000F2C60000}"/>
    <cellStyle name="SAPBEXexcGood3 16" xfId="2324" xr:uid="{00000000-0005-0000-0000-0000F3C60000}"/>
    <cellStyle name="SAPBEXexcGood3 17" xfId="2325" xr:uid="{00000000-0005-0000-0000-0000F4C60000}"/>
    <cellStyle name="SAPBEXexcGood3 18" xfId="2326" xr:uid="{00000000-0005-0000-0000-0000F5C60000}"/>
    <cellStyle name="SAPBEXexcGood3 19" xfId="2327" xr:uid="{00000000-0005-0000-0000-0000F6C60000}"/>
    <cellStyle name="SAPBEXexcGood3 2" xfId="2328" xr:uid="{00000000-0005-0000-0000-0000F7C60000}"/>
    <cellStyle name="SAPBEXexcGood3 2 2" xfId="52273" xr:uid="{00000000-0005-0000-0000-0000F8C60000}"/>
    <cellStyle name="SAPBEXexcGood3 20" xfId="2329" xr:uid="{00000000-0005-0000-0000-0000F9C60000}"/>
    <cellStyle name="SAPBEXexcGood3 21" xfId="2330" xr:uid="{00000000-0005-0000-0000-0000FAC60000}"/>
    <cellStyle name="SAPBEXexcGood3 22" xfId="2331" xr:uid="{00000000-0005-0000-0000-0000FBC60000}"/>
    <cellStyle name="SAPBEXexcGood3 23" xfId="2332" xr:uid="{00000000-0005-0000-0000-0000FCC60000}"/>
    <cellStyle name="SAPBEXexcGood3 24" xfId="2333" xr:uid="{00000000-0005-0000-0000-0000FDC60000}"/>
    <cellStyle name="SAPBEXexcGood3 25" xfId="2334" xr:uid="{00000000-0005-0000-0000-0000FEC60000}"/>
    <cellStyle name="SAPBEXexcGood3 26" xfId="2335" xr:uid="{00000000-0005-0000-0000-0000FFC60000}"/>
    <cellStyle name="SAPBEXexcGood3 27" xfId="2336" xr:uid="{00000000-0005-0000-0000-000000C70000}"/>
    <cellStyle name="SAPBEXexcGood3 28" xfId="2337" xr:uid="{00000000-0005-0000-0000-000001C70000}"/>
    <cellStyle name="SAPBEXexcGood3 29" xfId="2338" xr:uid="{00000000-0005-0000-0000-000002C70000}"/>
    <cellStyle name="SAPBEXexcGood3 3" xfId="2339" xr:uid="{00000000-0005-0000-0000-000003C70000}"/>
    <cellStyle name="SAPBEXexcGood3 3 2" xfId="52274" xr:uid="{00000000-0005-0000-0000-000004C70000}"/>
    <cellStyle name="SAPBEXexcGood3 30" xfId="2340" xr:uid="{00000000-0005-0000-0000-000005C70000}"/>
    <cellStyle name="SAPBEXexcGood3 31" xfId="2341" xr:uid="{00000000-0005-0000-0000-000006C70000}"/>
    <cellStyle name="SAPBEXexcGood3 32" xfId="2342" xr:uid="{00000000-0005-0000-0000-000007C70000}"/>
    <cellStyle name="SAPBEXexcGood3 33" xfId="2343" xr:uid="{00000000-0005-0000-0000-000008C70000}"/>
    <cellStyle name="SAPBEXexcGood3 34" xfId="2344" xr:uid="{00000000-0005-0000-0000-000009C70000}"/>
    <cellStyle name="SAPBEXexcGood3 35" xfId="2345" xr:uid="{00000000-0005-0000-0000-00000AC70000}"/>
    <cellStyle name="SAPBEXexcGood3 36" xfId="2346" xr:uid="{00000000-0005-0000-0000-00000BC70000}"/>
    <cellStyle name="SAPBEXexcGood3 37" xfId="2347" xr:uid="{00000000-0005-0000-0000-00000CC70000}"/>
    <cellStyle name="SAPBEXexcGood3 38" xfId="2348" xr:uid="{00000000-0005-0000-0000-00000DC70000}"/>
    <cellStyle name="SAPBEXexcGood3 39" xfId="2349" xr:uid="{00000000-0005-0000-0000-00000EC70000}"/>
    <cellStyle name="SAPBEXexcGood3 4" xfId="2350" xr:uid="{00000000-0005-0000-0000-00000FC70000}"/>
    <cellStyle name="SAPBEXexcGood3 40" xfId="2351" xr:uid="{00000000-0005-0000-0000-000010C70000}"/>
    <cellStyle name="SAPBEXexcGood3 41" xfId="2352" xr:uid="{00000000-0005-0000-0000-000011C70000}"/>
    <cellStyle name="SAPBEXexcGood3 42" xfId="2353" xr:uid="{00000000-0005-0000-0000-000012C70000}"/>
    <cellStyle name="SAPBEXexcGood3 43" xfId="2354" xr:uid="{00000000-0005-0000-0000-000013C70000}"/>
    <cellStyle name="SAPBEXexcGood3 44" xfId="2355" xr:uid="{00000000-0005-0000-0000-000014C70000}"/>
    <cellStyle name="SAPBEXexcGood3 45" xfId="2356" xr:uid="{00000000-0005-0000-0000-000015C70000}"/>
    <cellStyle name="SAPBEXexcGood3 46" xfId="52275" xr:uid="{00000000-0005-0000-0000-000016C70000}"/>
    <cellStyle name="SAPBEXexcGood3 47" xfId="52276" xr:uid="{00000000-0005-0000-0000-000017C70000}"/>
    <cellStyle name="SAPBEXexcGood3 48" xfId="52277" xr:uid="{00000000-0005-0000-0000-000018C70000}"/>
    <cellStyle name="SAPBEXexcGood3 49" xfId="52278" xr:uid="{00000000-0005-0000-0000-000019C70000}"/>
    <cellStyle name="SAPBEXexcGood3 5" xfId="2357" xr:uid="{00000000-0005-0000-0000-00001AC70000}"/>
    <cellStyle name="SAPBEXexcGood3 50" xfId="52279" xr:uid="{00000000-0005-0000-0000-00001BC70000}"/>
    <cellStyle name="SAPBEXexcGood3 51" xfId="52280" xr:uid="{00000000-0005-0000-0000-00001CC70000}"/>
    <cellStyle name="SAPBEXexcGood3 52" xfId="52281" xr:uid="{00000000-0005-0000-0000-00001DC70000}"/>
    <cellStyle name="SAPBEXexcGood3 53" xfId="52282" xr:uid="{00000000-0005-0000-0000-00001EC70000}"/>
    <cellStyle name="SAPBEXexcGood3 54" xfId="52283" xr:uid="{00000000-0005-0000-0000-00001FC70000}"/>
    <cellStyle name="SAPBEXexcGood3 55" xfId="52284" xr:uid="{00000000-0005-0000-0000-000020C70000}"/>
    <cellStyle name="SAPBEXexcGood3 56" xfId="52285" xr:uid="{00000000-0005-0000-0000-000021C70000}"/>
    <cellStyle name="SAPBEXexcGood3 57" xfId="52286" xr:uid="{00000000-0005-0000-0000-000022C70000}"/>
    <cellStyle name="SAPBEXexcGood3 58" xfId="52287" xr:uid="{00000000-0005-0000-0000-000023C70000}"/>
    <cellStyle name="SAPBEXexcGood3 59" xfId="52288" xr:uid="{00000000-0005-0000-0000-000024C70000}"/>
    <cellStyle name="SAPBEXexcGood3 6" xfId="2358" xr:uid="{00000000-0005-0000-0000-000025C70000}"/>
    <cellStyle name="SAPBEXexcGood3 60" xfId="52289" xr:uid="{00000000-0005-0000-0000-000026C70000}"/>
    <cellStyle name="SAPBEXexcGood3 61" xfId="52290" xr:uid="{00000000-0005-0000-0000-000027C70000}"/>
    <cellStyle name="SAPBEXexcGood3 62" xfId="52291" xr:uid="{00000000-0005-0000-0000-000028C70000}"/>
    <cellStyle name="SAPBEXexcGood3 63" xfId="52292" xr:uid="{00000000-0005-0000-0000-000029C70000}"/>
    <cellStyle name="SAPBEXexcGood3 64" xfId="52293" xr:uid="{00000000-0005-0000-0000-00002AC70000}"/>
    <cellStyle name="SAPBEXexcGood3 65" xfId="52294" xr:uid="{00000000-0005-0000-0000-00002BC70000}"/>
    <cellStyle name="SAPBEXexcGood3 66" xfId="52295" xr:uid="{00000000-0005-0000-0000-00002CC70000}"/>
    <cellStyle name="SAPBEXexcGood3 67" xfId="52296" xr:uid="{00000000-0005-0000-0000-00002DC70000}"/>
    <cellStyle name="SAPBEXexcGood3 68" xfId="52297" xr:uid="{00000000-0005-0000-0000-00002EC70000}"/>
    <cellStyle name="SAPBEXexcGood3 69" xfId="52298" xr:uid="{00000000-0005-0000-0000-00002FC70000}"/>
    <cellStyle name="SAPBEXexcGood3 7" xfId="2359" xr:uid="{00000000-0005-0000-0000-000030C70000}"/>
    <cellStyle name="SAPBEXexcGood3 70" xfId="52299" xr:uid="{00000000-0005-0000-0000-000031C70000}"/>
    <cellStyle name="SAPBEXexcGood3 71" xfId="52300" xr:uid="{00000000-0005-0000-0000-000032C70000}"/>
    <cellStyle name="SAPBEXexcGood3 72" xfId="52301" xr:uid="{00000000-0005-0000-0000-000033C70000}"/>
    <cellStyle name="SAPBEXexcGood3 73" xfId="52302" xr:uid="{00000000-0005-0000-0000-000034C70000}"/>
    <cellStyle name="SAPBEXexcGood3 74" xfId="52303" xr:uid="{00000000-0005-0000-0000-000035C70000}"/>
    <cellStyle name="SAPBEXexcGood3 75" xfId="52304" xr:uid="{00000000-0005-0000-0000-000036C70000}"/>
    <cellStyle name="SAPBEXexcGood3 76" xfId="52305" xr:uid="{00000000-0005-0000-0000-000037C70000}"/>
    <cellStyle name="SAPBEXexcGood3 77" xfId="52306" xr:uid="{00000000-0005-0000-0000-000038C70000}"/>
    <cellStyle name="SAPBEXexcGood3 78" xfId="52307" xr:uid="{00000000-0005-0000-0000-000039C70000}"/>
    <cellStyle name="SAPBEXexcGood3 79" xfId="52308" xr:uid="{00000000-0005-0000-0000-00003AC70000}"/>
    <cellStyle name="SAPBEXexcGood3 8" xfId="2360" xr:uid="{00000000-0005-0000-0000-00003BC70000}"/>
    <cellStyle name="SAPBEXexcGood3 80" xfId="52309" xr:uid="{00000000-0005-0000-0000-00003CC70000}"/>
    <cellStyle name="SAPBEXexcGood3 81" xfId="52310" xr:uid="{00000000-0005-0000-0000-00003DC70000}"/>
    <cellStyle name="SAPBEXexcGood3 82" xfId="52311" xr:uid="{00000000-0005-0000-0000-00003EC70000}"/>
    <cellStyle name="SAPBEXexcGood3 83" xfId="52312" xr:uid="{00000000-0005-0000-0000-00003FC70000}"/>
    <cellStyle name="SAPBEXexcGood3 84" xfId="52313" xr:uid="{00000000-0005-0000-0000-000040C70000}"/>
    <cellStyle name="SAPBEXexcGood3 85" xfId="52314" xr:uid="{00000000-0005-0000-0000-000041C70000}"/>
    <cellStyle name="SAPBEXexcGood3 86" xfId="52315" xr:uid="{00000000-0005-0000-0000-000042C70000}"/>
    <cellStyle name="SAPBEXexcGood3 87" xfId="52316" xr:uid="{00000000-0005-0000-0000-000043C70000}"/>
    <cellStyle name="SAPBEXexcGood3 88" xfId="52317" xr:uid="{00000000-0005-0000-0000-000044C70000}"/>
    <cellStyle name="SAPBEXexcGood3 89" xfId="52318" xr:uid="{00000000-0005-0000-0000-000045C70000}"/>
    <cellStyle name="SAPBEXexcGood3 9" xfId="2361" xr:uid="{00000000-0005-0000-0000-000046C70000}"/>
    <cellStyle name="SAPBEXexcGood3 90" xfId="52319" xr:uid="{00000000-0005-0000-0000-000047C70000}"/>
    <cellStyle name="SAPBEXexcGood3 91" xfId="52320" xr:uid="{00000000-0005-0000-0000-000048C70000}"/>
    <cellStyle name="SAPBEXexcGood3 92" xfId="52321" xr:uid="{00000000-0005-0000-0000-000049C70000}"/>
    <cellStyle name="SAPBEXexcGood3 93" xfId="52322" xr:uid="{00000000-0005-0000-0000-00004AC70000}"/>
    <cellStyle name="SAPBEXexcGood3 94" xfId="52323" xr:uid="{00000000-0005-0000-0000-00004BC70000}"/>
    <cellStyle name="SAPBEXexcGood3 95" xfId="52324" xr:uid="{00000000-0005-0000-0000-00004CC70000}"/>
    <cellStyle name="SAPBEXexcGood3 96" xfId="52325" xr:uid="{00000000-0005-0000-0000-00004DC70000}"/>
    <cellStyle name="SAPBEXexcGood3 97" xfId="52326" xr:uid="{00000000-0005-0000-0000-00004EC70000}"/>
    <cellStyle name="SAPBEXexcGood3 98" xfId="52327" xr:uid="{00000000-0005-0000-0000-00004FC70000}"/>
    <cellStyle name="SAPBEXexcGood3 99" xfId="52328" xr:uid="{00000000-0005-0000-0000-000050C70000}"/>
    <cellStyle name="SAPBEXexcGood3_(A-7) IS-Inputs" xfId="52329" xr:uid="{00000000-0005-0000-0000-000051C70000}"/>
    <cellStyle name="SAPBEXfilterDrill" xfId="65" xr:uid="{00000000-0005-0000-0000-000079000000}"/>
    <cellStyle name="SAPBEXfilterDrill 10" xfId="2362" xr:uid="{00000000-0005-0000-0000-000053C70000}"/>
    <cellStyle name="SAPBEXfilterDrill 100" xfId="52330" xr:uid="{00000000-0005-0000-0000-000054C70000}"/>
    <cellStyle name="SAPBEXfilterDrill 101" xfId="52331" xr:uid="{00000000-0005-0000-0000-000055C70000}"/>
    <cellStyle name="SAPBEXfilterDrill 102" xfId="52332" xr:uid="{00000000-0005-0000-0000-000056C70000}"/>
    <cellStyle name="SAPBEXfilterDrill 103" xfId="52333" xr:uid="{00000000-0005-0000-0000-000057C70000}"/>
    <cellStyle name="SAPBEXfilterDrill 104" xfId="52334" xr:uid="{00000000-0005-0000-0000-000058C70000}"/>
    <cellStyle name="SAPBEXfilterDrill 105" xfId="52335" xr:uid="{00000000-0005-0000-0000-000059C70000}"/>
    <cellStyle name="SAPBEXfilterDrill 106" xfId="52336" xr:uid="{00000000-0005-0000-0000-00005AC70000}"/>
    <cellStyle name="SAPBEXfilterDrill 107" xfId="52337" xr:uid="{00000000-0005-0000-0000-00005BC70000}"/>
    <cellStyle name="SAPBEXfilterDrill 108" xfId="52338" xr:uid="{00000000-0005-0000-0000-00005CC70000}"/>
    <cellStyle name="SAPBEXfilterDrill 109" xfId="52339" xr:uid="{00000000-0005-0000-0000-00005DC70000}"/>
    <cellStyle name="SAPBEXfilterDrill 11" xfId="2363" xr:uid="{00000000-0005-0000-0000-00005EC70000}"/>
    <cellStyle name="SAPBEXfilterDrill 110" xfId="52340" xr:uid="{00000000-0005-0000-0000-00005FC70000}"/>
    <cellStyle name="SAPBEXfilterDrill 12" xfId="2364" xr:uid="{00000000-0005-0000-0000-000060C70000}"/>
    <cellStyle name="SAPBEXfilterDrill 13" xfId="2365" xr:uid="{00000000-0005-0000-0000-000061C70000}"/>
    <cellStyle name="SAPBEXfilterDrill 14" xfId="2366" xr:uid="{00000000-0005-0000-0000-000062C70000}"/>
    <cellStyle name="SAPBEXfilterDrill 15" xfId="2367" xr:uid="{00000000-0005-0000-0000-000063C70000}"/>
    <cellStyle name="SAPBEXfilterDrill 16" xfId="2368" xr:uid="{00000000-0005-0000-0000-000064C70000}"/>
    <cellStyle name="SAPBEXfilterDrill 17" xfId="2369" xr:uid="{00000000-0005-0000-0000-000065C70000}"/>
    <cellStyle name="SAPBEXfilterDrill 18" xfId="2370" xr:uid="{00000000-0005-0000-0000-000066C70000}"/>
    <cellStyle name="SAPBEXfilterDrill 19" xfId="2371" xr:uid="{00000000-0005-0000-0000-000067C70000}"/>
    <cellStyle name="SAPBEXfilterDrill 2" xfId="2372" xr:uid="{00000000-0005-0000-0000-000068C70000}"/>
    <cellStyle name="SAPBEXfilterDrill 2 2" xfId="52341" xr:uid="{00000000-0005-0000-0000-000069C70000}"/>
    <cellStyle name="SAPBEXfilterDrill 20" xfId="2373" xr:uid="{00000000-0005-0000-0000-00006AC70000}"/>
    <cellStyle name="SAPBEXfilterDrill 21" xfId="2374" xr:uid="{00000000-0005-0000-0000-00006BC70000}"/>
    <cellStyle name="SAPBEXfilterDrill 22" xfId="2375" xr:uid="{00000000-0005-0000-0000-00006CC70000}"/>
    <cellStyle name="SAPBEXfilterDrill 23" xfId="2376" xr:uid="{00000000-0005-0000-0000-00006DC70000}"/>
    <cellStyle name="SAPBEXfilterDrill 24" xfId="2377" xr:uid="{00000000-0005-0000-0000-00006EC70000}"/>
    <cellStyle name="SAPBEXfilterDrill 25" xfId="2378" xr:uid="{00000000-0005-0000-0000-00006FC70000}"/>
    <cellStyle name="SAPBEXfilterDrill 26" xfId="2379" xr:uid="{00000000-0005-0000-0000-000070C70000}"/>
    <cellStyle name="SAPBEXfilterDrill 27" xfId="2380" xr:uid="{00000000-0005-0000-0000-000071C70000}"/>
    <cellStyle name="SAPBEXfilterDrill 28" xfId="2381" xr:uid="{00000000-0005-0000-0000-000072C70000}"/>
    <cellStyle name="SAPBEXfilterDrill 29" xfId="2382" xr:uid="{00000000-0005-0000-0000-000073C70000}"/>
    <cellStyle name="SAPBEXfilterDrill 3" xfId="2383" xr:uid="{00000000-0005-0000-0000-000074C70000}"/>
    <cellStyle name="SAPBEXfilterDrill 3 2" xfId="52342" xr:uid="{00000000-0005-0000-0000-000075C70000}"/>
    <cellStyle name="SAPBEXfilterDrill 30" xfId="2384" xr:uid="{00000000-0005-0000-0000-000076C70000}"/>
    <cellStyle name="SAPBEXfilterDrill 31" xfId="2385" xr:uid="{00000000-0005-0000-0000-000077C70000}"/>
    <cellStyle name="SAPBEXfilterDrill 32" xfId="2386" xr:uid="{00000000-0005-0000-0000-000078C70000}"/>
    <cellStyle name="SAPBEXfilterDrill 33" xfId="2387" xr:uid="{00000000-0005-0000-0000-000079C70000}"/>
    <cellStyle name="SAPBEXfilterDrill 34" xfId="2388" xr:uid="{00000000-0005-0000-0000-00007AC70000}"/>
    <cellStyle name="SAPBEXfilterDrill 35" xfId="2389" xr:uid="{00000000-0005-0000-0000-00007BC70000}"/>
    <cellStyle name="SAPBEXfilterDrill 36" xfId="2390" xr:uid="{00000000-0005-0000-0000-00007CC70000}"/>
    <cellStyle name="SAPBEXfilterDrill 37" xfId="2391" xr:uid="{00000000-0005-0000-0000-00007DC70000}"/>
    <cellStyle name="SAPBEXfilterDrill 38" xfId="2392" xr:uid="{00000000-0005-0000-0000-00007EC70000}"/>
    <cellStyle name="SAPBEXfilterDrill 39" xfId="2393" xr:uid="{00000000-0005-0000-0000-00007FC70000}"/>
    <cellStyle name="SAPBEXfilterDrill 4" xfId="2394" xr:uid="{00000000-0005-0000-0000-000080C70000}"/>
    <cellStyle name="SAPBEXfilterDrill 40" xfId="2395" xr:uid="{00000000-0005-0000-0000-000081C70000}"/>
    <cellStyle name="SAPBEXfilterDrill 41" xfId="2396" xr:uid="{00000000-0005-0000-0000-000082C70000}"/>
    <cellStyle name="SAPBEXfilterDrill 42" xfId="2397" xr:uid="{00000000-0005-0000-0000-000083C70000}"/>
    <cellStyle name="SAPBEXfilterDrill 43" xfId="2398" xr:uid="{00000000-0005-0000-0000-000084C70000}"/>
    <cellStyle name="SAPBEXfilterDrill 44" xfId="2399" xr:uid="{00000000-0005-0000-0000-000085C70000}"/>
    <cellStyle name="SAPBEXfilterDrill 45" xfId="2400" xr:uid="{00000000-0005-0000-0000-000086C70000}"/>
    <cellStyle name="SAPBEXfilterDrill 46" xfId="52343" xr:uid="{00000000-0005-0000-0000-000087C70000}"/>
    <cellStyle name="SAPBEXfilterDrill 47" xfId="52344" xr:uid="{00000000-0005-0000-0000-000088C70000}"/>
    <cellStyle name="SAPBEXfilterDrill 48" xfId="52345" xr:uid="{00000000-0005-0000-0000-000089C70000}"/>
    <cellStyle name="SAPBEXfilterDrill 49" xfId="52346" xr:uid="{00000000-0005-0000-0000-00008AC70000}"/>
    <cellStyle name="SAPBEXfilterDrill 5" xfId="2401" xr:uid="{00000000-0005-0000-0000-00008BC70000}"/>
    <cellStyle name="SAPBEXfilterDrill 50" xfId="52347" xr:uid="{00000000-0005-0000-0000-00008CC70000}"/>
    <cellStyle name="SAPBEXfilterDrill 51" xfId="52348" xr:uid="{00000000-0005-0000-0000-00008DC70000}"/>
    <cellStyle name="SAPBEXfilterDrill 52" xfId="52349" xr:uid="{00000000-0005-0000-0000-00008EC70000}"/>
    <cellStyle name="SAPBEXfilterDrill 53" xfId="52350" xr:uid="{00000000-0005-0000-0000-00008FC70000}"/>
    <cellStyle name="SAPBEXfilterDrill 54" xfId="52351" xr:uid="{00000000-0005-0000-0000-000090C70000}"/>
    <cellStyle name="SAPBEXfilterDrill 55" xfId="52352" xr:uid="{00000000-0005-0000-0000-000091C70000}"/>
    <cellStyle name="SAPBEXfilterDrill 56" xfId="52353" xr:uid="{00000000-0005-0000-0000-000092C70000}"/>
    <cellStyle name="SAPBEXfilterDrill 57" xfId="52354" xr:uid="{00000000-0005-0000-0000-000093C70000}"/>
    <cellStyle name="SAPBEXfilterDrill 58" xfId="52355" xr:uid="{00000000-0005-0000-0000-000094C70000}"/>
    <cellStyle name="SAPBEXfilterDrill 59" xfId="52356" xr:uid="{00000000-0005-0000-0000-000095C70000}"/>
    <cellStyle name="SAPBEXfilterDrill 6" xfId="2402" xr:uid="{00000000-0005-0000-0000-000096C70000}"/>
    <cellStyle name="SAPBEXfilterDrill 60" xfId="52357" xr:uid="{00000000-0005-0000-0000-000097C70000}"/>
    <cellStyle name="SAPBEXfilterDrill 61" xfId="52358" xr:uid="{00000000-0005-0000-0000-000098C70000}"/>
    <cellStyle name="SAPBEXfilterDrill 62" xfId="52359" xr:uid="{00000000-0005-0000-0000-000099C70000}"/>
    <cellStyle name="SAPBEXfilterDrill 63" xfId="52360" xr:uid="{00000000-0005-0000-0000-00009AC70000}"/>
    <cellStyle name="SAPBEXfilterDrill 64" xfId="52361" xr:uid="{00000000-0005-0000-0000-00009BC70000}"/>
    <cellStyle name="SAPBEXfilterDrill 65" xfId="52362" xr:uid="{00000000-0005-0000-0000-00009CC70000}"/>
    <cellStyle name="SAPBEXfilterDrill 66" xfId="52363" xr:uid="{00000000-0005-0000-0000-00009DC70000}"/>
    <cellStyle name="SAPBEXfilterDrill 67" xfId="52364" xr:uid="{00000000-0005-0000-0000-00009EC70000}"/>
    <cellStyle name="SAPBEXfilterDrill 68" xfId="52365" xr:uid="{00000000-0005-0000-0000-00009FC70000}"/>
    <cellStyle name="SAPBEXfilterDrill 69" xfId="52366" xr:uid="{00000000-0005-0000-0000-0000A0C70000}"/>
    <cellStyle name="SAPBEXfilterDrill 7" xfId="2403" xr:uid="{00000000-0005-0000-0000-0000A1C70000}"/>
    <cellStyle name="SAPBEXfilterDrill 70" xfId="52367" xr:uid="{00000000-0005-0000-0000-0000A2C70000}"/>
    <cellStyle name="SAPBEXfilterDrill 71" xfId="52368" xr:uid="{00000000-0005-0000-0000-0000A3C70000}"/>
    <cellStyle name="SAPBEXfilterDrill 72" xfId="52369" xr:uid="{00000000-0005-0000-0000-0000A4C70000}"/>
    <cellStyle name="SAPBEXfilterDrill 73" xfId="52370" xr:uid="{00000000-0005-0000-0000-0000A5C70000}"/>
    <cellStyle name="SAPBEXfilterDrill 74" xfId="52371" xr:uid="{00000000-0005-0000-0000-0000A6C70000}"/>
    <cellStyle name="SAPBEXfilterDrill 75" xfId="52372" xr:uid="{00000000-0005-0000-0000-0000A7C70000}"/>
    <cellStyle name="SAPBEXfilterDrill 76" xfId="52373" xr:uid="{00000000-0005-0000-0000-0000A8C70000}"/>
    <cellStyle name="SAPBEXfilterDrill 77" xfId="52374" xr:uid="{00000000-0005-0000-0000-0000A9C70000}"/>
    <cellStyle name="SAPBEXfilterDrill 78" xfId="52375" xr:uid="{00000000-0005-0000-0000-0000AAC70000}"/>
    <cellStyle name="SAPBEXfilterDrill 79" xfId="52376" xr:uid="{00000000-0005-0000-0000-0000ABC70000}"/>
    <cellStyle name="SAPBEXfilterDrill 8" xfId="2404" xr:uid="{00000000-0005-0000-0000-0000ACC70000}"/>
    <cellStyle name="SAPBEXfilterDrill 80" xfId="52377" xr:uid="{00000000-0005-0000-0000-0000ADC70000}"/>
    <cellStyle name="SAPBEXfilterDrill 81" xfId="52378" xr:uid="{00000000-0005-0000-0000-0000AEC70000}"/>
    <cellStyle name="SAPBEXfilterDrill 82" xfId="52379" xr:uid="{00000000-0005-0000-0000-0000AFC70000}"/>
    <cellStyle name="SAPBEXfilterDrill 83" xfId="52380" xr:uid="{00000000-0005-0000-0000-0000B0C70000}"/>
    <cellStyle name="SAPBEXfilterDrill 84" xfId="52381" xr:uid="{00000000-0005-0000-0000-0000B1C70000}"/>
    <cellStyle name="SAPBEXfilterDrill 85" xfId="52382" xr:uid="{00000000-0005-0000-0000-0000B2C70000}"/>
    <cellStyle name="SAPBEXfilterDrill 86" xfId="52383" xr:uid="{00000000-0005-0000-0000-0000B3C70000}"/>
    <cellStyle name="SAPBEXfilterDrill 87" xfId="52384" xr:uid="{00000000-0005-0000-0000-0000B4C70000}"/>
    <cellStyle name="SAPBEXfilterDrill 88" xfId="52385" xr:uid="{00000000-0005-0000-0000-0000B5C70000}"/>
    <cellStyle name="SAPBEXfilterDrill 89" xfId="52386" xr:uid="{00000000-0005-0000-0000-0000B6C70000}"/>
    <cellStyle name="SAPBEXfilterDrill 9" xfId="2405" xr:uid="{00000000-0005-0000-0000-0000B7C70000}"/>
    <cellStyle name="SAPBEXfilterDrill 90" xfId="52387" xr:uid="{00000000-0005-0000-0000-0000B8C70000}"/>
    <cellStyle name="SAPBEXfilterDrill 91" xfId="52388" xr:uid="{00000000-0005-0000-0000-0000B9C70000}"/>
    <cellStyle name="SAPBEXfilterDrill 92" xfId="52389" xr:uid="{00000000-0005-0000-0000-0000BAC70000}"/>
    <cellStyle name="SAPBEXfilterDrill 93" xfId="52390" xr:uid="{00000000-0005-0000-0000-0000BBC70000}"/>
    <cellStyle name="SAPBEXfilterDrill 94" xfId="52391" xr:uid="{00000000-0005-0000-0000-0000BCC70000}"/>
    <cellStyle name="SAPBEXfilterDrill 95" xfId="52392" xr:uid="{00000000-0005-0000-0000-0000BDC70000}"/>
    <cellStyle name="SAPBEXfilterDrill 96" xfId="52393" xr:uid="{00000000-0005-0000-0000-0000BEC70000}"/>
    <cellStyle name="SAPBEXfilterDrill 97" xfId="52394" xr:uid="{00000000-0005-0000-0000-0000BFC70000}"/>
    <cellStyle name="SAPBEXfilterDrill 98" xfId="52395" xr:uid="{00000000-0005-0000-0000-0000C0C70000}"/>
    <cellStyle name="SAPBEXfilterDrill 99" xfId="52396" xr:uid="{00000000-0005-0000-0000-0000C1C70000}"/>
    <cellStyle name="SAPBEXfilterDrill_(A-7) IS-Inputs" xfId="52397" xr:uid="{00000000-0005-0000-0000-0000C2C70000}"/>
    <cellStyle name="SAPBEXfilterItem" xfId="66" xr:uid="{00000000-0005-0000-0000-00007A000000}"/>
    <cellStyle name="SAPBEXfilterItem 10" xfId="2406" xr:uid="{00000000-0005-0000-0000-0000C4C70000}"/>
    <cellStyle name="SAPBEXfilterItem 10 2" xfId="52398" xr:uid="{00000000-0005-0000-0000-0000C5C70000}"/>
    <cellStyle name="SAPBEXfilterItem 11" xfId="2407" xr:uid="{00000000-0005-0000-0000-0000C6C70000}"/>
    <cellStyle name="SAPBEXfilterItem 11 2" xfId="52399" xr:uid="{00000000-0005-0000-0000-0000C7C70000}"/>
    <cellStyle name="SAPBEXfilterItem 12" xfId="2408" xr:uid="{00000000-0005-0000-0000-0000C8C70000}"/>
    <cellStyle name="SAPBEXfilterItem 12 2" xfId="52400" xr:uid="{00000000-0005-0000-0000-0000C9C70000}"/>
    <cellStyle name="SAPBEXfilterItem 13" xfId="2409" xr:uid="{00000000-0005-0000-0000-0000CAC70000}"/>
    <cellStyle name="SAPBEXfilterItem 13 2" xfId="52401" xr:uid="{00000000-0005-0000-0000-0000CBC70000}"/>
    <cellStyle name="SAPBEXfilterItem 14" xfId="2410" xr:uid="{00000000-0005-0000-0000-0000CCC70000}"/>
    <cellStyle name="SAPBEXfilterItem 14 2" xfId="52402" xr:uid="{00000000-0005-0000-0000-0000CDC70000}"/>
    <cellStyle name="SAPBEXfilterItem 15" xfId="2411" xr:uid="{00000000-0005-0000-0000-0000CEC70000}"/>
    <cellStyle name="SAPBEXfilterItem 15 2" xfId="52403" xr:uid="{00000000-0005-0000-0000-0000CFC70000}"/>
    <cellStyle name="SAPBEXfilterItem 16" xfId="2412" xr:uid="{00000000-0005-0000-0000-0000D0C70000}"/>
    <cellStyle name="SAPBEXfilterItem 16 2" xfId="52404" xr:uid="{00000000-0005-0000-0000-0000D1C70000}"/>
    <cellStyle name="SAPBEXfilterItem 17" xfId="2413" xr:uid="{00000000-0005-0000-0000-0000D2C70000}"/>
    <cellStyle name="SAPBEXfilterItem 17 2" xfId="52405" xr:uid="{00000000-0005-0000-0000-0000D3C70000}"/>
    <cellStyle name="SAPBEXfilterItem 18" xfId="2414" xr:uid="{00000000-0005-0000-0000-0000D4C70000}"/>
    <cellStyle name="SAPBEXfilterItem 18 2" xfId="52406" xr:uid="{00000000-0005-0000-0000-0000D5C70000}"/>
    <cellStyle name="SAPBEXfilterItem 19" xfId="2415" xr:uid="{00000000-0005-0000-0000-0000D6C70000}"/>
    <cellStyle name="SAPBEXfilterItem 19 2" xfId="52407" xr:uid="{00000000-0005-0000-0000-0000D7C70000}"/>
    <cellStyle name="SAPBEXfilterItem 2" xfId="2416" xr:uid="{00000000-0005-0000-0000-0000D8C70000}"/>
    <cellStyle name="SAPBEXfilterItem 2 2" xfId="52408" xr:uid="{00000000-0005-0000-0000-0000D9C70000}"/>
    <cellStyle name="SAPBEXfilterItem 2 2 2" xfId="52409" xr:uid="{00000000-0005-0000-0000-0000DAC70000}"/>
    <cellStyle name="SAPBEXfilterItem 2 2 2 2" xfId="52410" xr:uid="{00000000-0005-0000-0000-0000DBC70000}"/>
    <cellStyle name="SAPBEXfilterItem 2 2 3" xfId="52411" xr:uid="{00000000-0005-0000-0000-0000DCC70000}"/>
    <cellStyle name="SAPBEXfilterItem 2 3" xfId="52412" xr:uid="{00000000-0005-0000-0000-0000DDC70000}"/>
    <cellStyle name="SAPBEXfilterItem 2 3 2" xfId="52413" xr:uid="{00000000-0005-0000-0000-0000DEC70000}"/>
    <cellStyle name="SAPBEXfilterItem 2 4" xfId="52414" xr:uid="{00000000-0005-0000-0000-0000DFC70000}"/>
    <cellStyle name="SAPBEXfilterItem 20" xfId="2417" xr:uid="{00000000-0005-0000-0000-0000E0C70000}"/>
    <cellStyle name="SAPBEXfilterItem 20 2" xfId="52415" xr:uid="{00000000-0005-0000-0000-0000E1C70000}"/>
    <cellStyle name="SAPBEXfilterItem 21" xfId="2418" xr:uid="{00000000-0005-0000-0000-0000E2C70000}"/>
    <cellStyle name="SAPBEXfilterItem 21 2" xfId="52416" xr:uid="{00000000-0005-0000-0000-0000E3C70000}"/>
    <cellStyle name="SAPBEXfilterItem 22" xfId="2419" xr:uid="{00000000-0005-0000-0000-0000E4C70000}"/>
    <cellStyle name="SAPBEXfilterItem 22 2" xfId="52417" xr:uid="{00000000-0005-0000-0000-0000E5C70000}"/>
    <cellStyle name="SAPBEXfilterItem 23" xfId="2420" xr:uid="{00000000-0005-0000-0000-0000E6C70000}"/>
    <cellStyle name="SAPBEXfilterItem 23 2" xfId="52418" xr:uid="{00000000-0005-0000-0000-0000E7C70000}"/>
    <cellStyle name="SAPBEXfilterItem 24" xfId="2421" xr:uid="{00000000-0005-0000-0000-0000E8C70000}"/>
    <cellStyle name="SAPBEXfilterItem 24 2" xfId="52419" xr:uid="{00000000-0005-0000-0000-0000E9C70000}"/>
    <cellStyle name="SAPBEXfilterItem 25" xfId="2422" xr:uid="{00000000-0005-0000-0000-0000EAC70000}"/>
    <cellStyle name="SAPBEXfilterItem 25 2" xfId="52420" xr:uid="{00000000-0005-0000-0000-0000EBC70000}"/>
    <cellStyle name="SAPBEXfilterItem 26" xfId="2423" xr:uid="{00000000-0005-0000-0000-0000ECC70000}"/>
    <cellStyle name="SAPBEXfilterItem 26 2" xfId="52421" xr:uid="{00000000-0005-0000-0000-0000EDC70000}"/>
    <cellStyle name="SAPBEXfilterItem 27" xfId="2424" xr:uid="{00000000-0005-0000-0000-0000EEC70000}"/>
    <cellStyle name="SAPBEXfilterItem 27 2" xfId="52422" xr:uid="{00000000-0005-0000-0000-0000EFC70000}"/>
    <cellStyle name="SAPBEXfilterItem 28" xfId="2425" xr:uid="{00000000-0005-0000-0000-0000F0C70000}"/>
    <cellStyle name="SAPBEXfilterItem 28 2" xfId="52423" xr:uid="{00000000-0005-0000-0000-0000F1C70000}"/>
    <cellStyle name="SAPBEXfilterItem 29" xfId="2426" xr:uid="{00000000-0005-0000-0000-0000F2C70000}"/>
    <cellStyle name="SAPBEXfilterItem 29 2" xfId="52424" xr:uid="{00000000-0005-0000-0000-0000F3C70000}"/>
    <cellStyle name="SAPBEXfilterItem 3" xfId="2427" xr:uid="{00000000-0005-0000-0000-0000F4C70000}"/>
    <cellStyle name="SAPBEXfilterItem 3 2" xfId="52425" xr:uid="{00000000-0005-0000-0000-0000F5C70000}"/>
    <cellStyle name="SAPBEXfilterItem 30" xfId="2428" xr:uid="{00000000-0005-0000-0000-0000F6C70000}"/>
    <cellStyle name="SAPBEXfilterItem 30 2" xfId="52426" xr:uid="{00000000-0005-0000-0000-0000F7C70000}"/>
    <cellStyle name="SAPBEXfilterItem 31" xfId="2429" xr:uid="{00000000-0005-0000-0000-0000F8C70000}"/>
    <cellStyle name="SAPBEXfilterItem 31 2" xfId="52427" xr:uid="{00000000-0005-0000-0000-0000F9C70000}"/>
    <cellStyle name="SAPBEXfilterItem 32" xfId="2430" xr:uid="{00000000-0005-0000-0000-0000FAC70000}"/>
    <cellStyle name="SAPBEXfilterItem 32 2" xfId="52428" xr:uid="{00000000-0005-0000-0000-0000FBC70000}"/>
    <cellStyle name="SAPBEXfilterItem 33" xfId="2431" xr:uid="{00000000-0005-0000-0000-0000FCC70000}"/>
    <cellStyle name="SAPBEXfilterItem 33 2" xfId="52429" xr:uid="{00000000-0005-0000-0000-0000FDC70000}"/>
    <cellStyle name="SAPBEXfilterItem 34" xfId="2432" xr:uid="{00000000-0005-0000-0000-0000FEC70000}"/>
    <cellStyle name="SAPBEXfilterItem 34 2" xfId="52430" xr:uid="{00000000-0005-0000-0000-0000FFC70000}"/>
    <cellStyle name="SAPBEXfilterItem 35" xfId="2433" xr:uid="{00000000-0005-0000-0000-000000C80000}"/>
    <cellStyle name="SAPBEXfilterItem 35 2" xfId="52431" xr:uid="{00000000-0005-0000-0000-000001C80000}"/>
    <cellStyle name="SAPBEXfilterItem 36" xfId="2434" xr:uid="{00000000-0005-0000-0000-000002C80000}"/>
    <cellStyle name="SAPBEXfilterItem 36 2" xfId="52432" xr:uid="{00000000-0005-0000-0000-000003C80000}"/>
    <cellStyle name="SAPBEXfilterItem 37" xfId="2435" xr:uid="{00000000-0005-0000-0000-000004C80000}"/>
    <cellStyle name="SAPBEXfilterItem 37 2" xfId="52433" xr:uid="{00000000-0005-0000-0000-000005C80000}"/>
    <cellStyle name="SAPBEXfilterItem 38" xfId="2436" xr:uid="{00000000-0005-0000-0000-000006C80000}"/>
    <cellStyle name="SAPBEXfilterItem 38 2" xfId="52434" xr:uid="{00000000-0005-0000-0000-000007C80000}"/>
    <cellStyle name="SAPBEXfilterItem 39" xfId="2437" xr:uid="{00000000-0005-0000-0000-000008C80000}"/>
    <cellStyle name="SAPBEXfilterItem 39 2" xfId="52435" xr:uid="{00000000-0005-0000-0000-000009C80000}"/>
    <cellStyle name="SAPBEXfilterItem 4" xfId="2438" xr:uid="{00000000-0005-0000-0000-00000AC80000}"/>
    <cellStyle name="SAPBEXfilterItem 4 2" xfId="52436" xr:uid="{00000000-0005-0000-0000-00000BC80000}"/>
    <cellStyle name="SAPBEXfilterItem 40" xfId="2439" xr:uid="{00000000-0005-0000-0000-00000CC80000}"/>
    <cellStyle name="SAPBEXfilterItem 40 2" xfId="52437" xr:uid="{00000000-0005-0000-0000-00000DC80000}"/>
    <cellStyle name="SAPBEXfilterItem 41" xfId="2440" xr:uid="{00000000-0005-0000-0000-00000EC80000}"/>
    <cellStyle name="SAPBEXfilterItem 41 2" xfId="52438" xr:uid="{00000000-0005-0000-0000-00000FC80000}"/>
    <cellStyle name="SAPBEXfilterItem 42" xfId="2441" xr:uid="{00000000-0005-0000-0000-000010C80000}"/>
    <cellStyle name="SAPBEXfilterItem 42 2" xfId="52439" xr:uid="{00000000-0005-0000-0000-000011C80000}"/>
    <cellStyle name="SAPBEXfilterItem 43" xfId="2442" xr:uid="{00000000-0005-0000-0000-000012C80000}"/>
    <cellStyle name="SAPBEXfilterItem 43 2" xfId="52440" xr:uid="{00000000-0005-0000-0000-000013C80000}"/>
    <cellStyle name="SAPBEXfilterItem 44" xfId="2443" xr:uid="{00000000-0005-0000-0000-000014C80000}"/>
    <cellStyle name="SAPBEXfilterItem 44 2" xfId="52441" xr:uid="{00000000-0005-0000-0000-000015C80000}"/>
    <cellStyle name="SAPBEXfilterItem 45" xfId="2444" xr:uid="{00000000-0005-0000-0000-000016C80000}"/>
    <cellStyle name="SAPBEXfilterItem 45 2" xfId="52442" xr:uid="{00000000-0005-0000-0000-000017C80000}"/>
    <cellStyle name="SAPBEXfilterItem 46" xfId="52443" xr:uid="{00000000-0005-0000-0000-000018C80000}"/>
    <cellStyle name="SAPBEXfilterItem 47" xfId="52444" xr:uid="{00000000-0005-0000-0000-000019C80000}"/>
    <cellStyle name="SAPBEXfilterItem 5" xfId="2445" xr:uid="{00000000-0005-0000-0000-00001AC80000}"/>
    <cellStyle name="SAPBEXfilterItem 5 2" xfId="52445" xr:uid="{00000000-0005-0000-0000-00001BC80000}"/>
    <cellStyle name="SAPBEXfilterItem 6" xfId="2446" xr:uid="{00000000-0005-0000-0000-00001CC80000}"/>
    <cellStyle name="SAPBEXfilterItem 6 2" xfId="52446" xr:uid="{00000000-0005-0000-0000-00001DC80000}"/>
    <cellStyle name="SAPBEXfilterItem 7" xfId="2447" xr:uid="{00000000-0005-0000-0000-00001EC80000}"/>
    <cellStyle name="SAPBEXfilterItem 7 2" xfId="52447" xr:uid="{00000000-0005-0000-0000-00001FC80000}"/>
    <cellStyle name="SAPBEXfilterItem 8" xfId="2448" xr:uid="{00000000-0005-0000-0000-000020C80000}"/>
    <cellStyle name="SAPBEXfilterItem 8 2" xfId="52448" xr:uid="{00000000-0005-0000-0000-000021C80000}"/>
    <cellStyle name="SAPBEXfilterItem 9" xfId="2449" xr:uid="{00000000-0005-0000-0000-000022C80000}"/>
    <cellStyle name="SAPBEXfilterItem 9 2" xfId="52449" xr:uid="{00000000-0005-0000-0000-000023C80000}"/>
    <cellStyle name="SAPBEXfilterText" xfId="67" xr:uid="{00000000-0005-0000-0000-00007B000000}"/>
    <cellStyle name="SAPBEXfilterText 10" xfId="2450" xr:uid="{00000000-0005-0000-0000-000025C80000}"/>
    <cellStyle name="SAPBEXfilterText 10 2" xfId="52450" xr:uid="{00000000-0005-0000-0000-000026C80000}"/>
    <cellStyle name="SAPBEXfilterText 11" xfId="2451" xr:uid="{00000000-0005-0000-0000-000027C80000}"/>
    <cellStyle name="SAPBEXfilterText 11 2" xfId="52451" xr:uid="{00000000-0005-0000-0000-000028C80000}"/>
    <cellStyle name="SAPBEXfilterText 12" xfId="2452" xr:uid="{00000000-0005-0000-0000-000029C80000}"/>
    <cellStyle name="SAPBEXfilterText 12 2" xfId="52452" xr:uid="{00000000-0005-0000-0000-00002AC80000}"/>
    <cellStyle name="SAPBEXfilterText 13" xfId="2453" xr:uid="{00000000-0005-0000-0000-00002BC80000}"/>
    <cellStyle name="SAPBEXfilterText 13 2" xfId="52453" xr:uid="{00000000-0005-0000-0000-00002CC80000}"/>
    <cellStyle name="SAPBEXfilterText 14" xfId="2454" xr:uid="{00000000-0005-0000-0000-00002DC80000}"/>
    <cellStyle name="SAPBEXfilterText 14 2" xfId="52454" xr:uid="{00000000-0005-0000-0000-00002EC80000}"/>
    <cellStyle name="SAPBEXfilterText 15" xfId="2455" xr:uid="{00000000-0005-0000-0000-00002FC80000}"/>
    <cellStyle name="SAPBEXfilterText 15 2" xfId="52455" xr:uid="{00000000-0005-0000-0000-000030C80000}"/>
    <cellStyle name="SAPBEXfilterText 16" xfId="2456" xr:uid="{00000000-0005-0000-0000-000031C80000}"/>
    <cellStyle name="SAPBEXfilterText 16 2" xfId="52456" xr:uid="{00000000-0005-0000-0000-000032C80000}"/>
    <cellStyle name="SAPBEXfilterText 17" xfId="2457" xr:uid="{00000000-0005-0000-0000-000033C80000}"/>
    <cellStyle name="SAPBEXfilterText 17 2" xfId="52457" xr:uid="{00000000-0005-0000-0000-000034C80000}"/>
    <cellStyle name="SAPBEXfilterText 18" xfId="2458" xr:uid="{00000000-0005-0000-0000-000035C80000}"/>
    <cellStyle name="SAPBEXfilterText 18 2" xfId="52458" xr:uid="{00000000-0005-0000-0000-000036C80000}"/>
    <cellStyle name="SAPBEXfilterText 19" xfId="2459" xr:uid="{00000000-0005-0000-0000-000037C80000}"/>
    <cellStyle name="SAPBEXfilterText 19 2" xfId="52459" xr:uid="{00000000-0005-0000-0000-000038C80000}"/>
    <cellStyle name="SAPBEXfilterText 2" xfId="2460" xr:uid="{00000000-0005-0000-0000-000039C80000}"/>
    <cellStyle name="SAPBEXfilterText 2 2" xfId="52460" xr:uid="{00000000-0005-0000-0000-00003AC80000}"/>
    <cellStyle name="SAPBEXfilterText 2 2 2" xfId="52461" xr:uid="{00000000-0005-0000-0000-00003BC80000}"/>
    <cellStyle name="SAPBEXfilterText 2 2 2 2" xfId="52462" xr:uid="{00000000-0005-0000-0000-00003CC80000}"/>
    <cellStyle name="SAPBEXfilterText 2 2 3" xfId="52463" xr:uid="{00000000-0005-0000-0000-00003DC80000}"/>
    <cellStyle name="SAPBEXfilterText 2 3" xfId="52464" xr:uid="{00000000-0005-0000-0000-00003EC80000}"/>
    <cellStyle name="SAPBEXfilterText 2 3 2" xfId="52465" xr:uid="{00000000-0005-0000-0000-00003FC80000}"/>
    <cellStyle name="SAPBEXfilterText 2 4" xfId="52466" xr:uid="{00000000-0005-0000-0000-000040C80000}"/>
    <cellStyle name="SAPBEXfilterText 20" xfId="2461" xr:uid="{00000000-0005-0000-0000-000041C80000}"/>
    <cellStyle name="SAPBEXfilterText 20 2" xfId="52467" xr:uid="{00000000-0005-0000-0000-000042C80000}"/>
    <cellStyle name="SAPBEXfilterText 21" xfId="2462" xr:uid="{00000000-0005-0000-0000-000043C80000}"/>
    <cellStyle name="SAPBEXfilterText 21 2" xfId="52468" xr:uid="{00000000-0005-0000-0000-000044C80000}"/>
    <cellStyle name="SAPBEXfilterText 22" xfId="2463" xr:uid="{00000000-0005-0000-0000-000045C80000}"/>
    <cellStyle name="SAPBEXfilterText 22 2" xfId="52469" xr:uid="{00000000-0005-0000-0000-000046C80000}"/>
    <cellStyle name="SAPBEXfilterText 23" xfId="2464" xr:uid="{00000000-0005-0000-0000-000047C80000}"/>
    <cellStyle name="SAPBEXfilterText 23 2" xfId="52470" xr:uid="{00000000-0005-0000-0000-000048C80000}"/>
    <cellStyle name="SAPBEXfilterText 24" xfId="2465" xr:uid="{00000000-0005-0000-0000-000049C80000}"/>
    <cellStyle name="SAPBEXfilterText 24 2" xfId="52471" xr:uid="{00000000-0005-0000-0000-00004AC80000}"/>
    <cellStyle name="SAPBEXfilterText 25" xfId="2466" xr:uid="{00000000-0005-0000-0000-00004BC80000}"/>
    <cellStyle name="SAPBEXfilterText 25 2" xfId="52472" xr:uid="{00000000-0005-0000-0000-00004CC80000}"/>
    <cellStyle name="SAPBEXfilterText 26" xfId="2467" xr:uid="{00000000-0005-0000-0000-00004DC80000}"/>
    <cellStyle name="SAPBEXfilterText 26 2" xfId="52473" xr:uid="{00000000-0005-0000-0000-00004EC80000}"/>
    <cellStyle name="SAPBEXfilterText 27" xfId="2468" xr:uid="{00000000-0005-0000-0000-00004FC80000}"/>
    <cellStyle name="SAPBEXfilterText 27 2" xfId="52474" xr:uid="{00000000-0005-0000-0000-000050C80000}"/>
    <cellStyle name="SAPBEXfilterText 28" xfId="2469" xr:uid="{00000000-0005-0000-0000-000051C80000}"/>
    <cellStyle name="SAPBEXfilterText 28 2" xfId="52475" xr:uid="{00000000-0005-0000-0000-000052C80000}"/>
    <cellStyle name="SAPBEXfilterText 29" xfId="2470" xr:uid="{00000000-0005-0000-0000-000053C80000}"/>
    <cellStyle name="SAPBEXfilterText 29 2" xfId="52476" xr:uid="{00000000-0005-0000-0000-000054C80000}"/>
    <cellStyle name="SAPBEXfilterText 3" xfId="2471" xr:uid="{00000000-0005-0000-0000-000055C80000}"/>
    <cellStyle name="SAPBEXfilterText 3 2" xfId="52477" xr:uid="{00000000-0005-0000-0000-000056C80000}"/>
    <cellStyle name="SAPBEXfilterText 30" xfId="2472" xr:uid="{00000000-0005-0000-0000-000057C80000}"/>
    <cellStyle name="SAPBEXfilterText 30 2" xfId="52478" xr:uid="{00000000-0005-0000-0000-000058C80000}"/>
    <cellStyle name="SAPBEXfilterText 31" xfId="2473" xr:uid="{00000000-0005-0000-0000-000059C80000}"/>
    <cellStyle name="SAPBEXfilterText 31 2" xfId="52479" xr:uid="{00000000-0005-0000-0000-00005AC80000}"/>
    <cellStyle name="SAPBEXfilterText 32" xfId="2474" xr:uid="{00000000-0005-0000-0000-00005BC80000}"/>
    <cellStyle name="SAPBEXfilterText 32 2" xfId="52480" xr:uid="{00000000-0005-0000-0000-00005CC80000}"/>
    <cellStyle name="SAPBEXfilterText 33" xfId="2475" xr:uid="{00000000-0005-0000-0000-00005DC80000}"/>
    <cellStyle name="SAPBEXfilterText 33 2" xfId="52481" xr:uid="{00000000-0005-0000-0000-00005EC80000}"/>
    <cellStyle name="SAPBEXfilterText 34" xfId="2476" xr:uid="{00000000-0005-0000-0000-00005FC80000}"/>
    <cellStyle name="SAPBEXfilterText 34 2" xfId="52482" xr:uid="{00000000-0005-0000-0000-000060C80000}"/>
    <cellStyle name="SAPBEXfilterText 35" xfId="2477" xr:uid="{00000000-0005-0000-0000-000061C80000}"/>
    <cellStyle name="SAPBEXfilterText 35 2" xfId="52483" xr:uid="{00000000-0005-0000-0000-000062C80000}"/>
    <cellStyle name="SAPBEXfilterText 36" xfId="2478" xr:uid="{00000000-0005-0000-0000-000063C80000}"/>
    <cellStyle name="SAPBEXfilterText 36 2" xfId="52484" xr:uid="{00000000-0005-0000-0000-000064C80000}"/>
    <cellStyle name="SAPBEXfilterText 37" xfId="2479" xr:uid="{00000000-0005-0000-0000-000065C80000}"/>
    <cellStyle name="SAPBEXfilterText 37 2" xfId="52485" xr:uid="{00000000-0005-0000-0000-000066C80000}"/>
    <cellStyle name="SAPBEXfilterText 38" xfId="2480" xr:uid="{00000000-0005-0000-0000-000067C80000}"/>
    <cellStyle name="SAPBEXfilterText 38 2" xfId="52486" xr:uid="{00000000-0005-0000-0000-000068C80000}"/>
    <cellStyle name="SAPBEXfilterText 39" xfId="2481" xr:uid="{00000000-0005-0000-0000-000069C80000}"/>
    <cellStyle name="SAPBEXfilterText 39 2" xfId="52487" xr:uid="{00000000-0005-0000-0000-00006AC80000}"/>
    <cellStyle name="SAPBEXfilterText 4" xfId="2482" xr:uid="{00000000-0005-0000-0000-00006BC80000}"/>
    <cellStyle name="SAPBEXfilterText 4 2" xfId="52488" xr:uid="{00000000-0005-0000-0000-00006CC80000}"/>
    <cellStyle name="SAPBEXfilterText 40" xfId="2483" xr:uid="{00000000-0005-0000-0000-00006DC80000}"/>
    <cellStyle name="SAPBEXfilterText 40 2" xfId="52489" xr:uid="{00000000-0005-0000-0000-00006EC80000}"/>
    <cellStyle name="SAPBEXfilterText 41" xfId="2484" xr:uid="{00000000-0005-0000-0000-00006FC80000}"/>
    <cellStyle name="SAPBEXfilterText 41 2" xfId="52490" xr:uid="{00000000-0005-0000-0000-000070C80000}"/>
    <cellStyle name="SAPBEXfilterText 42" xfId="2485" xr:uid="{00000000-0005-0000-0000-000071C80000}"/>
    <cellStyle name="SAPBEXfilterText 42 2" xfId="52491" xr:uid="{00000000-0005-0000-0000-000072C80000}"/>
    <cellStyle name="SAPBEXfilterText 43" xfId="2486" xr:uid="{00000000-0005-0000-0000-000073C80000}"/>
    <cellStyle name="SAPBEXfilterText 43 2" xfId="52492" xr:uid="{00000000-0005-0000-0000-000074C80000}"/>
    <cellStyle name="SAPBEXfilterText 44" xfId="2487" xr:uid="{00000000-0005-0000-0000-000075C80000}"/>
    <cellStyle name="SAPBEXfilterText 44 2" xfId="52493" xr:uid="{00000000-0005-0000-0000-000076C80000}"/>
    <cellStyle name="SAPBEXfilterText 45" xfId="2488" xr:uid="{00000000-0005-0000-0000-000077C80000}"/>
    <cellStyle name="SAPBEXfilterText 45 2" xfId="52494" xr:uid="{00000000-0005-0000-0000-000078C80000}"/>
    <cellStyle name="SAPBEXfilterText 46" xfId="52495" xr:uid="{00000000-0005-0000-0000-000079C80000}"/>
    <cellStyle name="SAPBEXfilterText 47" xfId="52496" xr:uid="{00000000-0005-0000-0000-00007AC80000}"/>
    <cellStyle name="SAPBEXfilterText 5" xfId="2489" xr:uid="{00000000-0005-0000-0000-00007BC80000}"/>
    <cellStyle name="SAPBEXfilterText 5 2" xfId="52497" xr:uid="{00000000-0005-0000-0000-00007CC80000}"/>
    <cellStyle name="SAPBEXfilterText 6" xfId="2490" xr:uid="{00000000-0005-0000-0000-00007DC80000}"/>
    <cellStyle name="SAPBEXfilterText 6 2" xfId="52498" xr:uid="{00000000-0005-0000-0000-00007EC80000}"/>
    <cellStyle name="SAPBEXfilterText 7" xfId="2491" xr:uid="{00000000-0005-0000-0000-00007FC80000}"/>
    <cellStyle name="SAPBEXfilterText 7 2" xfId="52499" xr:uid="{00000000-0005-0000-0000-000080C80000}"/>
    <cellStyle name="SAPBEXfilterText 8" xfId="2492" xr:uid="{00000000-0005-0000-0000-000081C80000}"/>
    <cellStyle name="SAPBEXfilterText 8 2" xfId="52500" xr:uid="{00000000-0005-0000-0000-000082C80000}"/>
    <cellStyle name="SAPBEXfilterText 9" xfId="2493" xr:uid="{00000000-0005-0000-0000-000083C80000}"/>
    <cellStyle name="SAPBEXfilterText 9 2" xfId="52501" xr:uid="{00000000-0005-0000-0000-000084C80000}"/>
    <cellStyle name="SAPBEXformats" xfId="68" xr:uid="{00000000-0005-0000-0000-00007C000000}"/>
    <cellStyle name="SAPBEXformats 10" xfId="2494" xr:uid="{00000000-0005-0000-0000-000086C80000}"/>
    <cellStyle name="SAPBEXformats 100" xfId="52502" xr:uid="{00000000-0005-0000-0000-000087C80000}"/>
    <cellStyle name="SAPBEXformats 101" xfId="52503" xr:uid="{00000000-0005-0000-0000-000088C80000}"/>
    <cellStyle name="SAPBEXformats 102" xfId="52504" xr:uid="{00000000-0005-0000-0000-000089C80000}"/>
    <cellStyle name="SAPBEXformats 103" xfId="52505" xr:uid="{00000000-0005-0000-0000-00008AC80000}"/>
    <cellStyle name="SAPBEXformats 104" xfId="52506" xr:uid="{00000000-0005-0000-0000-00008BC80000}"/>
    <cellStyle name="SAPBEXformats 105" xfId="52507" xr:uid="{00000000-0005-0000-0000-00008CC80000}"/>
    <cellStyle name="SAPBEXformats 106" xfId="52508" xr:uid="{00000000-0005-0000-0000-00008DC80000}"/>
    <cellStyle name="SAPBEXformats 107" xfId="52509" xr:uid="{00000000-0005-0000-0000-00008EC80000}"/>
    <cellStyle name="SAPBEXformats 108" xfId="52510" xr:uid="{00000000-0005-0000-0000-00008FC80000}"/>
    <cellStyle name="SAPBEXformats 109" xfId="52511" xr:uid="{00000000-0005-0000-0000-000090C80000}"/>
    <cellStyle name="SAPBEXformats 11" xfId="2495" xr:uid="{00000000-0005-0000-0000-000091C80000}"/>
    <cellStyle name="SAPBEXformats 110" xfId="52512" xr:uid="{00000000-0005-0000-0000-000092C80000}"/>
    <cellStyle name="SAPBEXformats 12" xfId="2496" xr:uid="{00000000-0005-0000-0000-000093C80000}"/>
    <cellStyle name="SAPBEXformats 13" xfId="2497" xr:uid="{00000000-0005-0000-0000-000094C80000}"/>
    <cellStyle name="SAPBEXformats 14" xfId="2498" xr:uid="{00000000-0005-0000-0000-000095C80000}"/>
    <cellStyle name="SAPBEXformats 15" xfId="2499" xr:uid="{00000000-0005-0000-0000-000096C80000}"/>
    <cellStyle name="SAPBEXformats 16" xfId="2500" xr:uid="{00000000-0005-0000-0000-000097C80000}"/>
    <cellStyle name="SAPBEXformats 17" xfId="2501" xr:uid="{00000000-0005-0000-0000-000098C80000}"/>
    <cellStyle name="SAPBEXformats 18" xfId="2502" xr:uid="{00000000-0005-0000-0000-000099C80000}"/>
    <cellStyle name="SAPBEXformats 19" xfId="2503" xr:uid="{00000000-0005-0000-0000-00009AC80000}"/>
    <cellStyle name="SAPBEXformats 2" xfId="2504" xr:uid="{00000000-0005-0000-0000-00009BC80000}"/>
    <cellStyle name="SAPBEXformats 2 2" xfId="52513" xr:uid="{00000000-0005-0000-0000-00009CC80000}"/>
    <cellStyle name="SAPBEXformats 20" xfId="2505" xr:uid="{00000000-0005-0000-0000-00009DC80000}"/>
    <cellStyle name="SAPBEXformats 21" xfId="2506" xr:uid="{00000000-0005-0000-0000-00009EC80000}"/>
    <cellStyle name="SAPBEXformats 22" xfId="2507" xr:uid="{00000000-0005-0000-0000-00009FC80000}"/>
    <cellStyle name="SAPBEXformats 23" xfId="2508" xr:uid="{00000000-0005-0000-0000-0000A0C80000}"/>
    <cellStyle name="SAPBEXformats 24" xfId="2509" xr:uid="{00000000-0005-0000-0000-0000A1C80000}"/>
    <cellStyle name="SAPBEXformats 25" xfId="2510" xr:uid="{00000000-0005-0000-0000-0000A2C80000}"/>
    <cellStyle name="SAPBEXformats 26" xfId="2511" xr:uid="{00000000-0005-0000-0000-0000A3C80000}"/>
    <cellStyle name="SAPBEXformats 27" xfId="2512" xr:uid="{00000000-0005-0000-0000-0000A4C80000}"/>
    <cellStyle name="SAPBEXformats 28" xfId="2513" xr:uid="{00000000-0005-0000-0000-0000A5C80000}"/>
    <cellStyle name="SAPBEXformats 29" xfId="2514" xr:uid="{00000000-0005-0000-0000-0000A6C80000}"/>
    <cellStyle name="SAPBEXformats 3" xfId="2515" xr:uid="{00000000-0005-0000-0000-0000A7C80000}"/>
    <cellStyle name="SAPBEXformats 3 2" xfId="52514" xr:uid="{00000000-0005-0000-0000-0000A8C80000}"/>
    <cellStyle name="SAPBEXformats 30" xfId="2516" xr:uid="{00000000-0005-0000-0000-0000A9C80000}"/>
    <cellStyle name="SAPBEXformats 31" xfId="2517" xr:uid="{00000000-0005-0000-0000-0000AAC80000}"/>
    <cellStyle name="SAPBEXformats 32" xfId="2518" xr:uid="{00000000-0005-0000-0000-0000ABC80000}"/>
    <cellStyle name="SAPBEXformats 33" xfId="2519" xr:uid="{00000000-0005-0000-0000-0000ACC80000}"/>
    <cellStyle name="SAPBEXformats 34" xfId="2520" xr:uid="{00000000-0005-0000-0000-0000ADC80000}"/>
    <cellStyle name="SAPBEXformats 35" xfId="2521" xr:uid="{00000000-0005-0000-0000-0000AEC80000}"/>
    <cellStyle name="SAPBEXformats 36" xfId="2522" xr:uid="{00000000-0005-0000-0000-0000AFC80000}"/>
    <cellStyle name="SAPBEXformats 37" xfId="2523" xr:uid="{00000000-0005-0000-0000-0000B0C80000}"/>
    <cellStyle name="SAPBEXformats 38" xfId="2524" xr:uid="{00000000-0005-0000-0000-0000B1C80000}"/>
    <cellStyle name="SAPBEXformats 39" xfId="2525" xr:uid="{00000000-0005-0000-0000-0000B2C80000}"/>
    <cellStyle name="SAPBEXformats 4" xfId="2526" xr:uid="{00000000-0005-0000-0000-0000B3C80000}"/>
    <cellStyle name="SAPBEXformats 40" xfId="2527" xr:uid="{00000000-0005-0000-0000-0000B4C80000}"/>
    <cellStyle name="SAPBEXformats 41" xfId="2528" xr:uid="{00000000-0005-0000-0000-0000B5C80000}"/>
    <cellStyle name="SAPBEXformats 42" xfId="2529" xr:uid="{00000000-0005-0000-0000-0000B6C80000}"/>
    <cellStyle name="SAPBEXformats 43" xfId="2530" xr:uid="{00000000-0005-0000-0000-0000B7C80000}"/>
    <cellStyle name="SAPBEXformats 44" xfId="2531" xr:uid="{00000000-0005-0000-0000-0000B8C80000}"/>
    <cellStyle name="SAPBEXformats 45" xfId="2532" xr:uid="{00000000-0005-0000-0000-0000B9C80000}"/>
    <cellStyle name="SAPBEXformats 46" xfId="52515" xr:uid="{00000000-0005-0000-0000-0000BAC80000}"/>
    <cellStyle name="SAPBEXformats 47" xfId="52516" xr:uid="{00000000-0005-0000-0000-0000BBC80000}"/>
    <cellStyle name="SAPBEXformats 48" xfId="52517" xr:uid="{00000000-0005-0000-0000-0000BCC80000}"/>
    <cellStyle name="SAPBEXformats 49" xfId="52518" xr:uid="{00000000-0005-0000-0000-0000BDC80000}"/>
    <cellStyle name="SAPBEXformats 5" xfId="2533" xr:uid="{00000000-0005-0000-0000-0000BEC80000}"/>
    <cellStyle name="SAPBEXformats 50" xfId="52519" xr:uid="{00000000-0005-0000-0000-0000BFC80000}"/>
    <cellStyle name="SAPBEXformats 51" xfId="52520" xr:uid="{00000000-0005-0000-0000-0000C0C80000}"/>
    <cellStyle name="SAPBEXformats 52" xfId="52521" xr:uid="{00000000-0005-0000-0000-0000C1C80000}"/>
    <cellStyle name="SAPBEXformats 53" xfId="52522" xr:uid="{00000000-0005-0000-0000-0000C2C80000}"/>
    <cellStyle name="SAPBEXformats 54" xfId="52523" xr:uid="{00000000-0005-0000-0000-0000C3C80000}"/>
    <cellStyle name="SAPBEXformats 55" xfId="52524" xr:uid="{00000000-0005-0000-0000-0000C4C80000}"/>
    <cellStyle name="SAPBEXformats 56" xfId="52525" xr:uid="{00000000-0005-0000-0000-0000C5C80000}"/>
    <cellStyle name="SAPBEXformats 57" xfId="52526" xr:uid="{00000000-0005-0000-0000-0000C6C80000}"/>
    <cellStyle name="SAPBEXformats 58" xfId="52527" xr:uid="{00000000-0005-0000-0000-0000C7C80000}"/>
    <cellStyle name="SAPBEXformats 59" xfId="52528" xr:uid="{00000000-0005-0000-0000-0000C8C80000}"/>
    <cellStyle name="SAPBEXformats 6" xfId="2534" xr:uid="{00000000-0005-0000-0000-0000C9C80000}"/>
    <cellStyle name="SAPBEXformats 60" xfId="52529" xr:uid="{00000000-0005-0000-0000-0000CAC80000}"/>
    <cellStyle name="SAPBEXformats 61" xfId="52530" xr:uid="{00000000-0005-0000-0000-0000CBC80000}"/>
    <cellStyle name="SAPBEXformats 62" xfId="52531" xr:uid="{00000000-0005-0000-0000-0000CCC80000}"/>
    <cellStyle name="SAPBEXformats 63" xfId="52532" xr:uid="{00000000-0005-0000-0000-0000CDC80000}"/>
    <cellStyle name="SAPBEXformats 64" xfId="52533" xr:uid="{00000000-0005-0000-0000-0000CEC80000}"/>
    <cellStyle name="SAPBEXformats 65" xfId="52534" xr:uid="{00000000-0005-0000-0000-0000CFC80000}"/>
    <cellStyle name="SAPBEXformats 66" xfId="52535" xr:uid="{00000000-0005-0000-0000-0000D0C80000}"/>
    <cellStyle name="SAPBEXformats 67" xfId="52536" xr:uid="{00000000-0005-0000-0000-0000D1C80000}"/>
    <cellStyle name="SAPBEXformats 68" xfId="52537" xr:uid="{00000000-0005-0000-0000-0000D2C80000}"/>
    <cellStyle name="SAPBEXformats 69" xfId="52538" xr:uid="{00000000-0005-0000-0000-0000D3C80000}"/>
    <cellStyle name="SAPBEXformats 7" xfId="2535" xr:uid="{00000000-0005-0000-0000-0000D4C80000}"/>
    <cellStyle name="SAPBEXformats 70" xfId="52539" xr:uid="{00000000-0005-0000-0000-0000D5C80000}"/>
    <cellStyle name="SAPBEXformats 71" xfId="52540" xr:uid="{00000000-0005-0000-0000-0000D6C80000}"/>
    <cellStyle name="SAPBEXformats 72" xfId="52541" xr:uid="{00000000-0005-0000-0000-0000D7C80000}"/>
    <cellStyle name="SAPBEXformats 73" xfId="52542" xr:uid="{00000000-0005-0000-0000-0000D8C80000}"/>
    <cellStyle name="SAPBEXformats 74" xfId="52543" xr:uid="{00000000-0005-0000-0000-0000D9C80000}"/>
    <cellStyle name="SAPBEXformats 75" xfId="52544" xr:uid="{00000000-0005-0000-0000-0000DAC80000}"/>
    <cellStyle name="SAPBEXformats 76" xfId="52545" xr:uid="{00000000-0005-0000-0000-0000DBC80000}"/>
    <cellStyle name="SAPBEXformats 77" xfId="52546" xr:uid="{00000000-0005-0000-0000-0000DCC80000}"/>
    <cellStyle name="SAPBEXformats 78" xfId="52547" xr:uid="{00000000-0005-0000-0000-0000DDC80000}"/>
    <cellStyle name="SAPBEXformats 79" xfId="52548" xr:uid="{00000000-0005-0000-0000-0000DEC80000}"/>
    <cellStyle name="SAPBEXformats 8" xfId="2536" xr:uid="{00000000-0005-0000-0000-0000DFC80000}"/>
    <cellStyle name="SAPBEXformats 80" xfId="52549" xr:uid="{00000000-0005-0000-0000-0000E0C80000}"/>
    <cellStyle name="SAPBEXformats 81" xfId="52550" xr:uid="{00000000-0005-0000-0000-0000E1C80000}"/>
    <cellStyle name="SAPBEXformats 82" xfId="52551" xr:uid="{00000000-0005-0000-0000-0000E2C80000}"/>
    <cellStyle name="SAPBEXformats 83" xfId="52552" xr:uid="{00000000-0005-0000-0000-0000E3C80000}"/>
    <cellStyle name="SAPBEXformats 84" xfId="52553" xr:uid="{00000000-0005-0000-0000-0000E4C80000}"/>
    <cellStyle name="SAPBEXformats 85" xfId="52554" xr:uid="{00000000-0005-0000-0000-0000E5C80000}"/>
    <cellStyle name="SAPBEXformats 86" xfId="52555" xr:uid="{00000000-0005-0000-0000-0000E6C80000}"/>
    <cellStyle name="SAPBEXformats 87" xfId="52556" xr:uid="{00000000-0005-0000-0000-0000E7C80000}"/>
    <cellStyle name="SAPBEXformats 88" xfId="52557" xr:uid="{00000000-0005-0000-0000-0000E8C80000}"/>
    <cellStyle name="SAPBEXformats 89" xfId="52558" xr:uid="{00000000-0005-0000-0000-0000E9C80000}"/>
    <cellStyle name="SAPBEXformats 9" xfId="2537" xr:uid="{00000000-0005-0000-0000-0000EAC80000}"/>
    <cellStyle name="SAPBEXformats 90" xfId="52559" xr:uid="{00000000-0005-0000-0000-0000EBC80000}"/>
    <cellStyle name="SAPBEXformats 91" xfId="52560" xr:uid="{00000000-0005-0000-0000-0000ECC80000}"/>
    <cellStyle name="SAPBEXformats 92" xfId="52561" xr:uid="{00000000-0005-0000-0000-0000EDC80000}"/>
    <cellStyle name="SAPBEXformats 93" xfId="52562" xr:uid="{00000000-0005-0000-0000-0000EEC80000}"/>
    <cellStyle name="SAPBEXformats 94" xfId="52563" xr:uid="{00000000-0005-0000-0000-0000EFC80000}"/>
    <cellStyle name="SAPBEXformats 95" xfId="52564" xr:uid="{00000000-0005-0000-0000-0000F0C80000}"/>
    <cellStyle name="SAPBEXformats 96" xfId="52565" xr:uid="{00000000-0005-0000-0000-0000F1C80000}"/>
    <cellStyle name="SAPBEXformats 97" xfId="52566" xr:uid="{00000000-0005-0000-0000-0000F2C80000}"/>
    <cellStyle name="SAPBEXformats 98" xfId="52567" xr:uid="{00000000-0005-0000-0000-0000F3C80000}"/>
    <cellStyle name="SAPBEXformats 99" xfId="52568" xr:uid="{00000000-0005-0000-0000-0000F4C80000}"/>
    <cellStyle name="SAPBEXformats_(A-7) IS-Inputs" xfId="52569" xr:uid="{00000000-0005-0000-0000-0000F5C80000}"/>
    <cellStyle name="SAPBEXheaderItem" xfId="69" xr:uid="{00000000-0005-0000-0000-00007D000000}"/>
    <cellStyle name="SAPBEXheaderItem 10" xfId="2538" xr:uid="{00000000-0005-0000-0000-0000F7C80000}"/>
    <cellStyle name="SAPBEXheaderItem 100" xfId="52570" xr:uid="{00000000-0005-0000-0000-0000F8C80000}"/>
    <cellStyle name="SAPBEXheaderItem 101" xfId="52571" xr:uid="{00000000-0005-0000-0000-0000F9C80000}"/>
    <cellStyle name="SAPBEXheaderItem 102" xfId="52572" xr:uid="{00000000-0005-0000-0000-0000FAC80000}"/>
    <cellStyle name="SAPBEXheaderItem 103" xfId="52573" xr:uid="{00000000-0005-0000-0000-0000FBC80000}"/>
    <cellStyle name="SAPBEXheaderItem 104" xfId="52574" xr:uid="{00000000-0005-0000-0000-0000FCC80000}"/>
    <cellStyle name="SAPBEXheaderItem 105" xfId="52575" xr:uid="{00000000-0005-0000-0000-0000FDC80000}"/>
    <cellStyle name="SAPBEXheaderItem 106" xfId="52576" xr:uid="{00000000-0005-0000-0000-0000FEC80000}"/>
    <cellStyle name="SAPBEXheaderItem 107" xfId="52577" xr:uid="{00000000-0005-0000-0000-0000FFC80000}"/>
    <cellStyle name="SAPBEXheaderItem 108" xfId="52578" xr:uid="{00000000-0005-0000-0000-000000C90000}"/>
    <cellStyle name="SAPBEXheaderItem 109" xfId="52579" xr:uid="{00000000-0005-0000-0000-000001C90000}"/>
    <cellStyle name="SAPBEXheaderItem 11" xfId="2539" xr:uid="{00000000-0005-0000-0000-000002C90000}"/>
    <cellStyle name="SAPBEXheaderItem 110" xfId="52580" xr:uid="{00000000-0005-0000-0000-000003C90000}"/>
    <cellStyle name="SAPBEXheaderItem 12" xfId="2540" xr:uid="{00000000-0005-0000-0000-000004C90000}"/>
    <cellStyle name="SAPBEXheaderItem 13" xfId="2541" xr:uid="{00000000-0005-0000-0000-000005C90000}"/>
    <cellStyle name="SAPBEXheaderItem 14" xfId="2542" xr:uid="{00000000-0005-0000-0000-000006C90000}"/>
    <cellStyle name="SAPBEXheaderItem 15" xfId="2543" xr:uid="{00000000-0005-0000-0000-000007C90000}"/>
    <cellStyle name="SAPBEXheaderItem 16" xfId="2544" xr:uid="{00000000-0005-0000-0000-000008C90000}"/>
    <cellStyle name="SAPBEXheaderItem 17" xfId="2545" xr:uid="{00000000-0005-0000-0000-000009C90000}"/>
    <cellStyle name="SAPBEXheaderItem 18" xfId="2546" xr:uid="{00000000-0005-0000-0000-00000AC90000}"/>
    <cellStyle name="SAPBEXheaderItem 19" xfId="2547" xr:uid="{00000000-0005-0000-0000-00000BC90000}"/>
    <cellStyle name="SAPBEXheaderItem 2" xfId="2548" xr:uid="{00000000-0005-0000-0000-00000CC90000}"/>
    <cellStyle name="SAPBEXheaderItem 2 2" xfId="2549" xr:uid="{00000000-0005-0000-0000-00000DC90000}"/>
    <cellStyle name="SAPBEXheaderItem 2 2 2" xfId="2550" xr:uid="{00000000-0005-0000-0000-00000EC90000}"/>
    <cellStyle name="SAPBEXheaderItem 2 2 2 2" xfId="2551" xr:uid="{00000000-0005-0000-0000-00000FC90000}"/>
    <cellStyle name="SAPBEXheaderItem 2 2 2 3" xfId="2552" xr:uid="{00000000-0005-0000-0000-000010C90000}"/>
    <cellStyle name="SAPBEXheaderItem 2 2 2 4" xfId="2553" xr:uid="{00000000-0005-0000-0000-000011C90000}"/>
    <cellStyle name="SAPBEXheaderItem 2 2 2 5" xfId="2554" xr:uid="{00000000-0005-0000-0000-000012C90000}"/>
    <cellStyle name="SAPBEXheaderItem 2 2 2 6" xfId="2555" xr:uid="{00000000-0005-0000-0000-000013C90000}"/>
    <cellStyle name="SAPBEXheaderItem 2 2 2 7" xfId="2556" xr:uid="{00000000-0005-0000-0000-000014C90000}"/>
    <cellStyle name="SAPBEXheaderItem 2 2 3" xfId="2557" xr:uid="{00000000-0005-0000-0000-000015C90000}"/>
    <cellStyle name="SAPBEXheaderItem 2 2 4" xfId="2558" xr:uid="{00000000-0005-0000-0000-000016C90000}"/>
    <cellStyle name="SAPBEXheaderItem 2 2 5" xfId="2559" xr:uid="{00000000-0005-0000-0000-000017C90000}"/>
    <cellStyle name="SAPBEXheaderItem 2 2 6" xfId="2560" xr:uid="{00000000-0005-0000-0000-000018C90000}"/>
    <cellStyle name="SAPBEXheaderItem 2 2 7" xfId="2561" xr:uid="{00000000-0005-0000-0000-000019C90000}"/>
    <cellStyle name="SAPBEXheaderItem 2 3" xfId="2562" xr:uid="{00000000-0005-0000-0000-00001AC90000}"/>
    <cellStyle name="SAPBEXheaderItem 2 4" xfId="2563" xr:uid="{00000000-0005-0000-0000-00001BC90000}"/>
    <cellStyle name="SAPBEXheaderItem 2 5" xfId="2564" xr:uid="{00000000-0005-0000-0000-00001CC90000}"/>
    <cellStyle name="SAPBEXheaderItem 2 6" xfId="2565" xr:uid="{00000000-0005-0000-0000-00001DC90000}"/>
    <cellStyle name="SAPBEXheaderItem 2 7" xfId="2566" xr:uid="{00000000-0005-0000-0000-00001EC90000}"/>
    <cellStyle name="SAPBEXheaderItem 2 8" xfId="2567" xr:uid="{00000000-0005-0000-0000-00001FC90000}"/>
    <cellStyle name="SAPBEXheaderItem 2 9" xfId="52581" xr:uid="{00000000-0005-0000-0000-000020C90000}"/>
    <cellStyle name="SAPBEXheaderItem 20" xfId="2568" xr:uid="{00000000-0005-0000-0000-000021C90000}"/>
    <cellStyle name="SAPBEXheaderItem 21" xfId="2569" xr:uid="{00000000-0005-0000-0000-000022C90000}"/>
    <cellStyle name="SAPBEXheaderItem 22" xfId="2570" xr:uid="{00000000-0005-0000-0000-000023C90000}"/>
    <cellStyle name="SAPBEXheaderItem 23" xfId="2571" xr:uid="{00000000-0005-0000-0000-000024C90000}"/>
    <cellStyle name="SAPBEXheaderItem 24" xfId="2572" xr:uid="{00000000-0005-0000-0000-000025C90000}"/>
    <cellStyle name="SAPBEXheaderItem 25" xfId="2573" xr:uid="{00000000-0005-0000-0000-000026C90000}"/>
    <cellStyle name="SAPBEXheaderItem 26" xfId="2574" xr:uid="{00000000-0005-0000-0000-000027C90000}"/>
    <cellStyle name="SAPBEXheaderItem 27" xfId="2575" xr:uid="{00000000-0005-0000-0000-000028C90000}"/>
    <cellStyle name="SAPBEXheaderItem 28" xfId="2576" xr:uid="{00000000-0005-0000-0000-000029C90000}"/>
    <cellStyle name="SAPBEXheaderItem 29" xfId="2577" xr:uid="{00000000-0005-0000-0000-00002AC90000}"/>
    <cellStyle name="SAPBEXheaderItem 3" xfId="2578" xr:uid="{00000000-0005-0000-0000-00002BC90000}"/>
    <cellStyle name="SAPBEXheaderItem 3 2" xfId="52582" xr:uid="{00000000-0005-0000-0000-00002CC90000}"/>
    <cellStyle name="SAPBEXheaderItem 30" xfId="2579" xr:uid="{00000000-0005-0000-0000-00002DC90000}"/>
    <cellStyle name="SAPBEXheaderItem 31" xfId="2580" xr:uid="{00000000-0005-0000-0000-00002EC90000}"/>
    <cellStyle name="SAPBEXheaderItem 32" xfId="2581" xr:uid="{00000000-0005-0000-0000-00002FC90000}"/>
    <cellStyle name="SAPBEXheaderItem 33" xfId="2582" xr:uid="{00000000-0005-0000-0000-000030C90000}"/>
    <cellStyle name="SAPBEXheaderItem 34" xfId="2583" xr:uid="{00000000-0005-0000-0000-000031C90000}"/>
    <cellStyle name="SAPBEXheaderItem 35" xfId="2584" xr:uid="{00000000-0005-0000-0000-000032C90000}"/>
    <cellStyle name="SAPBEXheaderItem 36" xfId="2585" xr:uid="{00000000-0005-0000-0000-000033C90000}"/>
    <cellStyle name="SAPBEXheaderItem 37" xfId="2586" xr:uid="{00000000-0005-0000-0000-000034C90000}"/>
    <cellStyle name="SAPBEXheaderItem 38" xfId="2587" xr:uid="{00000000-0005-0000-0000-000035C90000}"/>
    <cellStyle name="SAPBEXheaderItem 39" xfId="2588" xr:uid="{00000000-0005-0000-0000-000036C90000}"/>
    <cellStyle name="SAPBEXheaderItem 4" xfId="2589" xr:uid="{00000000-0005-0000-0000-000037C90000}"/>
    <cellStyle name="SAPBEXheaderItem 40" xfId="2590" xr:uid="{00000000-0005-0000-0000-000038C90000}"/>
    <cellStyle name="SAPBEXheaderItem 41" xfId="2591" xr:uid="{00000000-0005-0000-0000-000039C90000}"/>
    <cellStyle name="SAPBEXheaderItem 42" xfId="2592" xr:uid="{00000000-0005-0000-0000-00003AC90000}"/>
    <cellStyle name="SAPBEXheaderItem 43" xfId="2593" xr:uid="{00000000-0005-0000-0000-00003BC90000}"/>
    <cellStyle name="SAPBEXheaderItem 44" xfId="2594" xr:uid="{00000000-0005-0000-0000-00003CC90000}"/>
    <cellStyle name="SAPBEXheaderItem 45" xfId="2595" xr:uid="{00000000-0005-0000-0000-00003DC90000}"/>
    <cellStyle name="SAPBEXheaderItem 46" xfId="2596" xr:uid="{00000000-0005-0000-0000-00003EC90000}"/>
    <cellStyle name="SAPBEXheaderItem 46 2" xfId="52583" xr:uid="{00000000-0005-0000-0000-00003FC90000}"/>
    <cellStyle name="SAPBEXheaderItem 46 3" xfId="52584" xr:uid="{00000000-0005-0000-0000-000040C90000}"/>
    <cellStyle name="SAPBEXheaderItem 47" xfId="2597" xr:uid="{00000000-0005-0000-0000-000041C90000}"/>
    <cellStyle name="SAPBEXheaderItem 47 2" xfId="52585" xr:uid="{00000000-0005-0000-0000-000042C90000}"/>
    <cellStyle name="SAPBEXheaderItem 47 3" xfId="52586" xr:uid="{00000000-0005-0000-0000-000043C90000}"/>
    <cellStyle name="SAPBEXheaderItem 48" xfId="2598" xr:uid="{00000000-0005-0000-0000-000044C90000}"/>
    <cellStyle name="SAPBEXheaderItem 48 2" xfId="52587" xr:uid="{00000000-0005-0000-0000-000045C90000}"/>
    <cellStyle name="SAPBEXheaderItem 48 3" xfId="52588" xr:uid="{00000000-0005-0000-0000-000046C90000}"/>
    <cellStyle name="SAPBEXheaderItem 49" xfId="2599" xr:uid="{00000000-0005-0000-0000-000047C90000}"/>
    <cellStyle name="SAPBEXheaderItem 49 2" xfId="52589" xr:uid="{00000000-0005-0000-0000-000048C90000}"/>
    <cellStyle name="SAPBEXheaderItem 49 3" xfId="52590" xr:uid="{00000000-0005-0000-0000-000049C90000}"/>
    <cellStyle name="SAPBEXheaderItem 5" xfId="2600" xr:uid="{00000000-0005-0000-0000-00004AC90000}"/>
    <cellStyle name="SAPBEXheaderItem 50" xfId="2601" xr:uid="{00000000-0005-0000-0000-00004BC90000}"/>
    <cellStyle name="SAPBEXheaderItem 50 2" xfId="52591" xr:uid="{00000000-0005-0000-0000-00004CC90000}"/>
    <cellStyle name="SAPBEXheaderItem 50 3" xfId="52592" xr:uid="{00000000-0005-0000-0000-00004DC90000}"/>
    <cellStyle name="SAPBEXheaderItem 51" xfId="2602" xr:uid="{00000000-0005-0000-0000-00004EC90000}"/>
    <cellStyle name="SAPBEXheaderItem 51 2" xfId="52593" xr:uid="{00000000-0005-0000-0000-00004FC90000}"/>
    <cellStyle name="SAPBEXheaderItem 51 3" xfId="52594" xr:uid="{00000000-0005-0000-0000-000050C90000}"/>
    <cellStyle name="SAPBEXheaderItem 52" xfId="2603" xr:uid="{00000000-0005-0000-0000-000051C90000}"/>
    <cellStyle name="SAPBEXheaderItem 52 2" xfId="52595" xr:uid="{00000000-0005-0000-0000-000052C90000}"/>
    <cellStyle name="SAPBEXheaderItem 52 3" xfId="52596" xr:uid="{00000000-0005-0000-0000-000053C90000}"/>
    <cellStyle name="SAPBEXheaderItem 53" xfId="52597" xr:uid="{00000000-0005-0000-0000-000054C90000}"/>
    <cellStyle name="SAPBEXheaderItem 54" xfId="52598" xr:uid="{00000000-0005-0000-0000-000055C90000}"/>
    <cellStyle name="SAPBEXheaderItem 55" xfId="52599" xr:uid="{00000000-0005-0000-0000-000056C90000}"/>
    <cellStyle name="SAPBEXheaderItem 56" xfId="52600" xr:uid="{00000000-0005-0000-0000-000057C90000}"/>
    <cellStyle name="SAPBEXheaderItem 57" xfId="52601" xr:uid="{00000000-0005-0000-0000-000058C90000}"/>
    <cellStyle name="SAPBEXheaderItem 58" xfId="52602" xr:uid="{00000000-0005-0000-0000-000059C90000}"/>
    <cellStyle name="SAPBEXheaderItem 59" xfId="52603" xr:uid="{00000000-0005-0000-0000-00005AC90000}"/>
    <cellStyle name="SAPBEXheaderItem 6" xfId="2604" xr:uid="{00000000-0005-0000-0000-00005BC90000}"/>
    <cellStyle name="SAPBEXheaderItem 60" xfId="52604" xr:uid="{00000000-0005-0000-0000-00005CC90000}"/>
    <cellStyle name="SAPBEXheaderItem 61" xfId="52605" xr:uid="{00000000-0005-0000-0000-00005DC90000}"/>
    <cellStyle name="SAPBEXheaderItem 62" xfId="52606" xr:uid="{00000000-0005-0000-0000-00005EC90000}"/>
    <cellStyle name="SAPBEXheaderItem 63" xfId="52607" xr:uid="{00000000-0005-0000-0000-00005FC90000}"/>
    <cellStyle name="SAPBEXheaderItem 64" xfId="52608" xr:uid="{00000000-0005-0000-0000-000060C90000}"/>
    <cellStyle name="SAPBEXheaderItem 65" xfId="52609" xr:uid="{00000000-0005-0000-0000-000061C90000}"/>
    <cellStyle name="SAPBEXheaderItem 66" xfId="52610" xr:uid="{00000000-0005-0000-0000-000062C90000}"/>
    <cellStyle name="SAPBEXheaderItem 67" xfId="52611" xr:uid="{00000000-0005-0000-0000-000063C90000}"/>
    <cellStyle name="SAPBEXheaderItem 68" xfId="52612" xr:uid="{00000000-0005-0000-0000-000064C90000}"/>
    <cellStyle name="SAPBEXheaderItem 69" xfId="52613" xr:uid="{00000000-0005-0000-0000-000065C90000}"/>
    <cellStyle name="SAPBEXheaderItem 7" xfId="2605" xr:uid="{00000000-0005-0000-0000-000066C90000}"/>
    <cellStyle name="SAPBEXheaderItem 70" xfId="52614" xr:uid="{00000000-0005-0000-0000-000067C90000}"/>
    <cellStyle name="SAPBEXheaderItem 71" xfId="52615" xr:uid="{00000000-0005-0000-0000-000068C90000}"/>
    <cellStyle name="SAPBEXheaderItem 72" xfId="52616" xr:uid="{00000000-0005-0000-0000-000069C90000}"/>
    <cellStyle name="SAPBEXheaderItem 73" xfId="52617" xr:uid="{00000000-0005-0000-0000-00006AC90000}"/>
    <cellStyle name="SAPBEXheaderItem 74" xfId="52618" xr:uid="{00000000-0005-0000-0000-00006BC90000}"/>
    <cellStyle name="SAPBEXheaderItem 75" xfId="52619" xr:uid="{00000000-0005-0000-0000-00006CC90000}"/>
    <cellStyle name="SAPBEXheaderItem 76" xfId="52620" xr:uid="{00000000-0005-0000-0000-00006DC90000}"/>
    <cellStyle name="SAPBEXheaderItem 77" xfId="52621" xr:uid="{00000000-0005-0000-0000-00006EC90000}"/>
    <cellStyle name="SAPBEXheaderItem 78" xfId="52622" xr:uid="{00000000-0005-0000-0000-00006FC90000}"/>
    <cellStyle name="SAPBEXheaderItem 79" xfId="52623" xr:uid="{00000000-0005-0000-0000-000070C90000}"/>
    <cellStyle name="SAPBEXheaderItem 8" xfId="2606" xr:uid="{00000000-0005-0000-0000-000071C90000}"/>
    <cellStyle name="SAPBEXheaderItem 80" xfId="52624" xr:uid="{00000000-0005-0000-0000-000072C90000}"/>
    <cellStyle name="SAPBEXheaderItem 81" xfId="52625" xr:uid="{00000000-0005-0000-0000-000073C90000}"/>
    <cellStyle name="SAPBEXheaderItem 82" xfId="52626" xr:uid="{00000000-0005-0000-0000-000074C90000}"/>
    <cellStyle name="SAPBEXheaderItem 83" xfId="52627" xr:uid="{00000000-0005-0000-0000-000075C90000}"/>
    <cellStyle name="SAPBEXheaderItem 84" xfId="52628" xr:uid="{00000000-0005-0000-0000-000076C90000}"/>
    <cellStyle name="SAPBEXheaderItem 85" xfId="52629" xr:uid="{00000000-0005-0000-0000-000077C90000}"/>
    <cellStyle name="SAPBEXheaderItem 86" xfId="52630" xr:uid="{00000000-0005-0000-0000-000078C90000}"/>
    <cellStyle name="SAPBEXheaderItem 87" xfId="52631" xr:uid="{00000000-0005-0000-0000-000079C90000}"/>
    <cellStyle name="SAPBEXheaderItem 88" xfId="52632" xr:uid="{00000000-0005-0000-0000-00007AC90000}"/>
    <cellStyle name="SAPBEXheaderItem 89" xfId="52633" xr:uid="{00000000-0005-0000-0000-00007BC90000}"/>
    <cellStyle name="SAPBEXheaderItem 9" xfId="2607" xr:uid="{00000000-0005-0000-0000-00007CC90000}"/>
    <cellStyle name="SAPBEXheaderItem 90" xfId="52634" xr:uid="{00000000-0005-0000-0000-00007DC90000}"/>
    <cellStyle name="SAPBEXheaderItem 91" xfId="52635" xr:uid="{00000000-0005-0000-0000-00007EC90000}"/>
    <cellStyle name="SAPBEXheaderItem 92" xfId="52636" xr:uid="{00000000-0005-0000-0000-00007FC90000}"/>
    <cellStyle name="SAPBEXheaderItem 93" xfId="52637" xr:uid="{00000000-0005-0000-0000-000080C90000}"/>
    <cellStyle name="SAPBEXheaderItem 94" xfId="52638" xr:uid="{00000000-0005-0000-0000-000081C90000}"/>
    <cellStyle name="SAPBEXheaderItem 95" xfId="52639" xr:uid="{00000000-0005-0000-0000-000082C90000}"/>
    <cellStyle name="SAPBEXheaderItem 96" xfId="52640" xr:uid="{00000000-0005-0000-0000-000083C90000}"/>
    <cellStyle name="SAPBEXheaderItem 97" xfId="52641" xr:uid="{00000000-0005-0000-0000-000084C90000}"/>
    <cellStyle name="SAPBEXheaderItem 98" xfId="52642" xr:uid="{00000000-0005-0000-0000-000085C90000}"/>
    <cellStyle name="SAPBEXheaderItem 99" xfId="52643" xr:uid="{00000000-0005-0000-0000-000086C90000}"/>
    <cellStyle name="SAPBEXheaderItem_(A-7) IS-Inputs" xfId="52644" xr:uid="{00000000-0005-0000-0000-000087C90000}"/>
    <cellStyle name="SAPBEXheaderText" xfId="70" xr:uid="{00000000-0005-0000-0000-00007E000000}"/>
    <cellStyle name="SAPBEXheaderText 10" xfId="2608" xr:uid="{00000000-0005-0000-0000-000089C90000}"/>
    <cellStyle name="SAPBEXheaderText 100" xfId="52645" xr:uid="{00000000-0005-0000-0000-00008AC90000}"/>
    <cellStyle name="SAPBEXheaderText 101" xfId="52646" xr:uid="{00000000-0005-0000-0000-00008BC90000}"/>
    <cellStyle name="SAPBEXheaderText 102" xfId="52647" xr:uid="{00000000-0005-0000-0000-00008CC90000}"/>
    <cellStyle name="SAPBEXheaderText 103" xfId="52648" xr:uid="{00000000-0005-0000-0000-00008DC90000}"/>
    <cellStyle name="SAPBEXheaderText 104" xfId="52649" xr:uid="{00000000-0005-0000-0000-00008EC90000}"/>
    <cellStyle name="SAPBEXheaderText 105" xfId="52650" xr:uid="{00000000-0005-0000-0000-00008FC90000}"/>
    <cellStyle name="SAPBEXheaderText 106" xfId="52651" xr:uid="{00000000-0005-0000-0000-000090C90000}"/>
    <cellStyle name="SAPBEXheaderText 107" xfId="52652" xr:uid="{00000000-0005-0000-0000-000091C90000}"/>
    <cellStyle name="SAPBEXheaderText 108" xfId="52653" xr:uid="{00000000-0005-0000-0000-000092C90000}"/>
    <cellStyle name="SAPBEXheaderText 109" xfId="52654" xr:uid="{00000000-0005-0000-0000-000093C90000}"/>
    <cellStyle name="SAPBEXheaderText 11" xfId="2609" xr:uid="{00000000-0005-0000-0000-000094C90000}"/>
    <cellStyle name="SAPBEXheaderText 110" xfId="52655" xr:uid="{00000000-0005-0000-0000-000095C90000}"/>
    <cellStyle name="SAPBEXheaderText 12" xfId="2610" xr:uid="{00000000-0005-0000-0000-000096C90000}"/>
    <cellStyle name="SAPBEXheaderText 13" xfId="2611" xr:uid="{00000000-0005-0000-0000-000097C90000}"/>
    <cellStyle name="SAPBEXheaderText 14" xfId="2612" xr:uid="{00000000-0005-0000-0000-000098C90000}"/>
    <cellStyle name="SAPBEXheaderText 15" xfId="2613" xr:uid="{00000000-0005-0000-0000-000099C90000}"/>
    <cellStyle name="SAPBEXheaderText 16" xfId="2614" xr:uid="{00000000-0005-0000-0000-00009AC90000}"/>
    <cellStyle name="SAPBEXheaderText 17" xfId="2615" xr:uid="{00000000-0005-0000-0000-00009BC90000}"/>
    <cellStyle name="SAPBEXheaderText 18" xfId="2616" xr:uid="{00000000-0005-0000-0000-00009CC90000}"/>
    <cellStyle name="SAPBEXheaderText 19" xfId="2617" xr:uid="{00000000-0005-0000-0000-00009DC90000}"/>
    <cellStyle name="SAPBEXheaderText 2" xfId="2618" xr:uid="{00000000-0005-0000-0000-00009EC90000}"/>
    <cellStyle name="SAPBEXheaderText 2 2" xfId="2619" xr:uid="{00000000-0005-0000-0000-00009FC90000}"/>
    <cellStyle name="SAPBEXheaderText 2 2 2" xfId="2620" xr:uid="{00000000-0005-0000-0000-0000A0C90000}"/>
    <cellStyle name="SAPBEXheaderText 2 2 2 2" xfId="2621" xr:uid="{00000000-0005-0000-0000-0000A1C90000}"/>
    <cellStyle name="SAPBEXheaderText 2 2 2 3" xfId="2622" xr:uid="{00000000-0005-0000-0000-0000A2C90000}"/>
    <cellStyle name="SAPBEXheaderText 2 2 2 4" xfId="2623" xr:uid="{00000000-0005-0000-0000-0000A3C90000}"/>
    <cellStyle name="SAPBEXheaderText 2 2 2 5" xfId="2624" xr:uid="{00000000-0005-0000-0000-0000A4C90000}"/>
    <cellStyle name="SAPBEXheaderText 2 2 2 6" xfId="2625" xr:uid="{00000000-0005-0000-0000-0000A5C90000}"/>
    <cellStyle name="SAPBEXheaderText 2 2 2 7" xfId="2626" xr:uid="{00000000-0005-0000-0000-0000A6C90000}"/>
    <cellStyle name="SAPBEXheaderText 2 2 3" xfId="2627" xr:uid="{00000000-0005-0000-0000-0000A7C90000}"/>
    <cellStyle name="SAPBEXheaderText 2 2 4" xfId="2628" xr:uid="{00000000-0005-0000-0000-0000A8C90000}"/>
    <cellStyle name="SAPBEXheaderText 2 2 5" xfId="2629" xr:uid="{00000000-0005-0000-0000-0000A9C90000}"/>
    <cellStyle name="SAPBEXheaderText 2 2 6" xfId="2630" xr:uid="{00000000-0005-0000-0000-0000AAC90000}"/>
    <cellStyle name="SAPBEXheaderText 2 2 7" xfId="2631" xr:uid="{00000000-0005-0000-0000-0000ABC90000}"/>
    <cellStyle name="SAPBEXheaderText 2 3" xfId="2632" xr:uid="{00000000-0005-0000-0000-0000ACC90000}"/>
    <cellStyle name="SAPBEXheaderText 2 4" xfId="2633" xr:uid="{00000000-0005-0000-0000-0000ADC90000}"/>
    <cellStyle name="SAPBEXheaderText 2 5" xfId="2634" xr:uid="{00000000-0005-0000-0000-0000AEC90000}"/>
    <cellStyle name="SAPBEXheaderText 2 6" xfId="2635" xr:uid="{00000000-0005-0000-0000-0000AFC90000}"/>
    <cellStyle name="SAPBEXheaderText 2 7" xfId="2636" xr:uid="{00000000-0005-0000-0000-0000B0C90000}"/>
    <cellStyle name="SAPBEXheaderText 2 8" xfId="2637" xr:uid="{00000000-0005-0000-0000-0000B1C90000}"/>
    <cellStyle name="SAPBEXheaderText 2 9" xfId="52656" xr:uid="{00000000-0005-0000-0000-0000B2C90000}"/>
    <cellStyle name="SAPBEXheaderText 20" xfId="2638" xr:uid="{00000000-0005-0000-0000-0000B3C90000}"/>
    <cellStyle name="SAPBEXheaderText 21" xfId="2639" xr:uid="{00000000-0005-0000-0000-0000B4C90000}"/>
    <cellStyle name="SAPBEXheaderText 22" xfId="2640" xr:uid="{00000000-0005-0000-0000-0000B5C90000}"/>
    <cellStyle name="SAPBEXheaderText 23" xfId="2641" xr:uid="{00000000-0005-0000-0000-0000B6C90000}"/>
    <cellStyle name="SAPBEXheaderText 24" xfId="2642" xr:uid="{00000000-0005-0000-0000-0000B7C90000}"/>
    <cellStyle name="SAPBEXheaderText 25" xfId="2643" xr:uid="{00000000-0005-0000-0000-0000B8C90000}"/>
    <cellStyle name="SAPBEXheaderText 26" xfId="2644" xr:uid="{00000000-0005-0000-0000-0000B9C90000}"/>
    <cellStyle name="SAPBEXheaderText 27" xfId="2645" xr:uid="{00000000-0005-0000-0000-0000BAC90000}"/>
    <cellStyle name="SAPBEXheaderText 28" xfId="2646" xr:uid="{00000000-0005-0000-0000-0000BBC90000}"/>
    <cellStyle name="SAPBEXheaderText 29" xfId="2647" xr:uid="{00000000-0005-0000-0000-0000BCC90000}"/>
    <cellStyle name="SAPBEXheaderText 3" xfId="2648" xr:uid="{00000000-0005-0000-0000-0000BDC90000}"/>
    <cellStyle name="SAPBEXheaderText 3 2" xfId="52657" xr:uid="{00000000-0005-0000-0000-0000BEC90000}"/>
    <cellStyle name="SAPBEXheaderText 30" xfId="2649" xr:uid="{00000000-0005-0000-0000-0000BFC90000}"/>
    <cellStyle name="SAPBEXheaderText 31" xfId="2650" xr:uid="{00000000-0005-0000-0000-0000C0C90000}"/>
    <cellStyle name="SAPBEXheaderText 32" xfId="2651" xr:uid="{00000000-0005-0000-0000-0000C1C90000}"/>
    <cellStyle name="SAPBEXheaderText 33" xfId="2652" xr:uid="{00000000-0005-0000-0000-0000C2C90000}"/>
    <cellStyle name="SAPBEXheaderText 34" xfId="2653" xr:uid="{00000000-0005-0000-0000-0000C3C90000}"/>
    <cellStyle name="SAPBEXheaderText 35" xfId="2654" xr:uid="{00000000-0005-0000-0000-0000C4C90000}"/>
    <cellStyle name="SAPBEXheaderText 36" xfId="2655" xr:uid="{00000000-0005-0000-0000-0000C5C90000}"/>
    <cellStyle name="SAPBEXheaderText 37" xfId="2656" xr:uid="{00000000-0005-0000-0000-0000C6C90000}"/>
    <cellStyle name="SAPBEXheaderText 38" xfId="2657" xr:uid="{00000000-0005-0000-0000-0000C7C90000}"/>
    <cellStyle name="SAPBEXheaderText 39" xfId="2658" xr:uid="{00000000-0005-0000-0000-0000C8C90000}"/>
    <cellStyle name="SAPBEXheaderText 4" xfId="2659" xr:uid="{00000000-0005-0000-0000-0000C9C90000}"/>
    <cellStyle name="SAPBEXheaderText 40" xfId="2660" xr:uid="{00000000-0005-0000-0000-0000CAC90000}"/>
    <cellStyle name="SAPBEXheaderText 41" xfId="2661" xr:uid="{00000000-0005-0000-0000-0000CBC90000}"/>
    <cellStyle name="SAPBEXheaderText 42" xfId="2662" xr:uid="{00000000-0005-0000-0000-0000CCC90000}"/>
    <cellStyle name="SAPBEXheaderText 43" xfId="2663" xr:uid="{00000000-0005-0000-0000-0000CDC90000}"/>
    <cellStyle name="SAPBEXheaderText 44" xfId="2664" xr:uid="{00000000-0005-0000-0000-0000CEC90000}"/>
    <cellStyle name="SAPBEXheaderText 45" xfId="2665" xr:uid="{00000000-0005-0000-0000-0000CFC90000}"/>
    <cellStyle name="SAPBEXheaderText 46" xfId="2666" xr:uid="{00000000-0005-0000-0000-0000D0C90000}"/>
    <cellStyle name="SAPBEXheaderText 46 2" xfId="52658" xr:uid="{00000000-0005-0000-0000-0000D1C90000}"/>
    <cellStyle name="SAPBEXheaderText 46 3" xfId="52659" xr:uid="{00000000-0005-0000-0000-0000D2C90000}"/>
    <cellStyle name="SAPBEXheaderText 47" xfId="2667" xr:uid="{00000000-0005-0000-0000-0000D3C90000}"/>
    <cellStyle name="SAPBEXheaderText 47 2" xfId="52660" xr:uid="{00000000-0005-0000-0000-0000D4C90000}"/>
    <cellStyle name="SAPBEXheaderText 47 3" xfId="52661" xr:uid="{00000000-0005-0000-0000-0000D5C90000}"/>
    <cellStyle name="SAPBEXheaderText 48" xfId="2668" xr:uid="{00000000-0005-0000-0000-0000D6C90000}"/>
    <cellStyle name="SAPBEXheaderText 48 2" xfId="52662" xr:uid="{00000000-0005-0000-0000-0000D7C90000}"/>
    <cellStyle name="SAPBEXheaderText 48 3" xfId="52663" xr:uid="{00000000-0005-0000-0000-0000D8C90000}"/>
    <cellStyle name="SAPBEXheaderText 49" xfId="2669" xr:uid="{00000000-0005-0000-0000-0000D9C90000}"/>
    <cellStyle name="SAPBEXheaderText 49 2" xfId="52664" xr:uid="{00000000-0005-0000-0000-0000DAC90000}"/>
    <cellStyle name="SAPBEXheaderText 49 3" xfId="52665" xr:uid="{00000000-0005-0000-0000-0000DBC90000}"/>
    <cellStyle name="SAPBEXheaderText 5" xfId="2670" xr:uid="{00000000-0005-0000-0000-0000DCC90000}"/>
    <cellStyle name="SAPBEXheaderText 50" xfId="2671" xr:uid="{00000000-0005-0000-0000-0000DDC90000}"/>
    <cellStyle name="SAPBEXheaderText 50 2" xfId="52666" xr:uid="{00000000-0005-0000-0000-0000DEC90000}"/>
    <cellStyle name="SAPBEXheaderText 50 3" xfId="52667" xr:uid="{00000000-0005-0000-0000-0000DFC90000}"/>
    <cellStyle name="SAPBEXheaderText 51" xfId="2672" xr:uid="{00000000-0005-0000-0000-0000E0C90000}"/>
    <cellStyle name="SAPBEXheaderText 51 2" xfId="52668" xr:uid="{00000000-0005-0000-0000-0000E1C90000}"/>
    <cellStyle name="SAPBEXheaderText 51 3" xfId="52669" xr:uid="{00000000-0005-0000-0000-0000E2C90000}"/>
    <cellStyle name="SAPBEXheaderText 52" xfId="2673" xr:uid="{00000000-0005-0000-0000-0000E3C90000}"/>
    <cellStyle name="SAPBEXheaderText 52 2" xfId="52670" xr:uid="{00000000-0005-0000-0000-0000E4C90000}"/>
    <cellStyle name="SAPBEXheaderText 52 3" xfId="52671" xr:uid="{00000000-0005-0000-0000-0000E5C90000}"/>
    <cellStyle name="SAPBEXheaderText 53" xfId="52672" xr:uid="{00000000-0005-0000-0000-0000E6C90000}"/>
    <cellStyle name="SAPBEXheaderText 54" xfId="52673" xr:uid="{00000000-0005-0000-0000-0000E7C90000}"/>
    <cellStyle name="SAPBEXheaderText 55" xfId="52674" xr:uid="{00000000-0005-0000-0000-0000E8C90000}"/>
    <cellStyle name="SAPBEXheaderText 56" xfId="52675" xr:uid="{00000000-0005-0000-0000-0000E9C90000}"/>
    <cellStyle name="SAPBEXheaderText 57" xfId="52676" xr:uid="{00000000-0005-0000-0000-0000EAC90000}"/>
    <cellStyle name="SAPBEXheaderText 58" xfId="52677" xr:uid="{00000000-0005-0000-0000-0000EBC90000}"/>
    <cellStyle name="SAPBEXheaderText 59" xfId="52678" xr:uid="{00000000-0005-0000-0000-0000ECC90000}"/>
    <cellStyle name="SAPBEXheaderText 6" xfId="2674" xr:uid="{00000000-0005-0000-0000-0000EDC90000}"/>
    <cellStyle name="SAPBEXheaderText 60" xfId="52679" xr:uid="{00000000-0005-0000-0000-0000EEC90000}"/>
    <cellStyle name="SAPBEXheaderText 61" xfId="52680" xr:uid="{00000000-0005-0000-0000-0000EFC90000}"/>
    <cellStyle name="SAPBEXheaderText 62" xfId="52681" xr:uid="{00000000-0005-0000-0000-0000F0C90000}"/>
    <cellStyle name="SAPBEXheaderText 63" xfId="52682" xr:uid="{00000000-0005-0000-0000-0000F1C90000}"/>
    <cellStyle name="SAPBEXheaderText 64" xfId="52683" xr:uid="{00000000-0005-0000-0000-0000F2C90000}"/>
    <cellStyle name="SAPBEXheaderText 65" xfId="52684" xr:uid="{00000000-0005-0000-0000-0000F3C90000}"/>
    <cellStyle name="SAPBEXheaderText 66" xfId="52685" xr:uid="{00000000-0005-0000-0000-0000F4C90000}"/>
    <cellStyle name="SAPBEXheaderText 67" xfId="52686" xr:uid="{00000000-0005-0000-0000-0000F5C90000}"/>
    <cellStyle name="SAPBEXheaderText 68" xfId="52687" xr:uid="{00000000-0005-0000-0000-0000F6C90000}"/>
    <cellStyle name="SAPBEXheaderText 69" xfId="52688" xr:uid="{00000000-0005-0000-0000-0000F7C90000}"/>
    <cellStyle name="SAPBEXheaderText 7" xfId="2675" xr:uid="{00000000-0005-0000-0000-0000F8C90000}"/>
    <cellStyle name="SAPBEXheaderText 70" xfId="52689" xr:uid="{00000000-0005-0000-0000-0000F9C90000}"/>
    <cellStyle name="SAPBEXheaderText 71" xfId="52690" xr:uid="{00000000-0005-0000-0000-0000FAC90000}"/>
    <cellStyle name="SAPBEXheaderText 72" xfId="52691" xr:uid="{00000000-0005-0000-0000-0000FBC90000}"/>
    <cellStyle name="SAPBEXheaderText 73" xfId="52692" xr:uid="{00000000-0005-0000-0000-0000FCC90000}"/>
    <cellStyle name="SAPBEXheaderText 74" xfId="52693" xr:uid="{00000000-0005-0000-0000-0000FDC90000}"/>
    <cellStyle name="SAPBEXheaderText 75" xfId="52694" xr:uid="{00000000-0005-0000-0000-0000FEC90000}"/>
    <cellStyle name="SAPBEXheaderText 76" xfId="52695" xr:uid="{00000000-0005-0000-0000-0000FFC90000}"/>
    <cellStyle name="SAPBEXheaderText 77" xfId="52696" xr:uid="{00000000-0005-0000-0000-000000CA0000}"/>
    <cellStyle name="SAPBEXheaderText 78" xfId="52697" xr:uid="{00000000-0005-0000-0000-000001CA0000}"/>
    <cellStyle name="SAPBEXheaderText 79" xfId="52698" xr:uid="{00000000-0005-0000-0000-000002CA0000}"/>
    <cellStyle name="SAPBEXheaderText 8" xfId="2676" xr:uid="{00000000-0005-0000-0000-000003CA0000}"/>
    <cellStyle name="SAPBEXheaderText 80" xfId="52699" xr:uid="{00000000-0005-0000-0000-000004CA0000}"/>
    <cellStyle name="SAPBEXheaderText 81" xfId="52700" xr:uid="{00000000-0005-0000-0000-000005CA0000}"/>
    <cellStyle name="SAPBEXheaderText 82" xfId="52701" xr:uid="{00000000-0005-0000-0000-000006CA0000}"/>
    <cellStyle name="SAPBEXheaderText 83" xfId="52702" xr:uid="{00000000-0005-0000-0000-000007CA0000}"/>
    <cellStyle name="SAPBEXheaderText 84" xfId="52703" xr:uid="{00000000-0005-0000-0000-000008CA0000}"/>
    <cellStyle name="SAPBEXheaderText 85" xfId="52704" xr:uid="{00000000-0005-0000-0000-000009CA0000}"/>
    <cellStyle name="SAPBEXheaderText 86" xfId="52705" xr:uid="{00000000-0005-0000-0000-00000ACA0000}"/>
    <cellStyle name="SAPBEXheaderText 87" xfId="52706" xr:uid="{00000000-0005-0000-0000-00000BCA0000}"/>
    <cellStyle name="SAPBEXheaderText 88" xfId="52707" xr:uid="{00000000-0005-0000-0000-00000CCA0000}"/>
    <cellStyle name="SAPBEXheaderText 89" xfId="52708" xr:uid="{00000000-0005-0000-0000-00000DCA0000}"/>
    <cellStyle name="SAPBEXheaderText 9" xfId="2677" xr:uid="{00000000-0005-0000-0000-00000ECA0000}"/>
    <cellStyle name="SAPBEXheaderText 90" xfId="52709" xr:uid="{00000000-0005-0000-0000-00000FCA0000}"/>
    <cellStyle name="SAPBEXheaderText 91" xfId="52710" xr:uid="{00000000-0005-0000-0000-000010CA0000}"/>
    <cellStyle name="SAPBEXheaderText 92" xfId="52711" xr:uid="{00000000-0005-0000-0000-000011CA0000}"/>
    <cellStyle name="SAPBEXheaderText 93" xfId="52712" xr:uid="{00000000-0005-0000-0000-000012CA0000}"/>
    <cellStyle name="SAPBEXheaderText 94" xfId="52713" xr:uid="{00000000-0005-0000-0000-000013CA0000}"/>
    <cellStyle name="SAPBEXheaderText 95" xfId="52714" xr:uid="{00000000-0005-0000-0000-000014CA0000}"/>
    <cellStyle name="SAPBEXheaderText 96" xfId="52715" xr:uid="{00000000-0005-0000-0000-000015CA0000}"/>
    <cellStyle name="SAPBEXheaderText 97" xfId="52716" xr:uid="{00000000-0005-0000-0000-000016CA0000}"/>
    <cellStyle name="SAPBEXheaderText 98" xfId="52717" xr:uid="{00000000-0005-0000-0000-000017CA0000}"/>
    <cellStyle name="SAPBEXheaderText 99" xfId="52718" xr:uid="{00000000-0005-0000-0000-000018CA0000}"/>
    <cellStyle name="SAPBEXheaderText_(A-7) IS-Inputs" xfId="52719" xr:uid="{00000000-0005-0000-0000-000019CA0000}"/>
    <cellStyle name="SAPBEXHLevel0" xfId="71" xr:uid="{00000000-0005-0000-0000-00007F000000}"/>
    <cellStyle name="SAPBEXHLevel0 10" xfId="2678" xr:uid="{00000000-0005-0000-0000-00001BCA0000}"/>
    <cellStyle name="SAPBEXHLevel0 10 2" xfId="52720" xr:uid="{00000000-0005-0000-0000-00001CCA0000}"/>
    <cellStyle name="SAPBEXHLevel0 100" xfId="52721" xr:uid="{00000000-0005-0000-0000-00001DCA0000}"/>
    <cellStyle name="SAPBEXHLevel0 100 2" xfId="52722" xr:uid="{00000000-0005-0000-0000-00001ECA0000}"/>
    <cellStyle name="SAPBEXHLevel0 101" xfId="52723" xr:uid="{00000000-0005-0000-0000-00001FCA0000}"/>
    <cellStyle name="SAPBEXHLevel0 101 2" xfId="52724" xr:uid="{00000000-0005-0000-0000-000020CA0000}"/>
    <cellStyle name="SAPBEXHLevel0 102" xfId="52725" xr:uid="{00000000-0005-0000-0000-000021CA0000}"/>
    <cellStyle name="SAPBEXHLevel0 102 2" xfId="52726" xr:uid="{00000000-0005-0000-0000-000022CA0000}"/>
    <cellStyle name="SAPBEXHLevel0 103" xfId="52727" xr:uid="{00000000-0005-0000-0000-000023CA0000}"/>
    <cellStyle name="SAPBEXHLevel0 103 2" xfId="52728" xr:uid="{00000000-0005-0000-0000-000024CA0000}"/>
    <cellStyle name="SAPBEXHLevel0 104" xfId="52729" xr:uid="{00000000-0005-0000-0000-000025CA0000}"/>
    <cellStyle name="SAPBEXHLevel0 104 2" xfId="52730" xr:uid="{00000000-0005-0000-0000-000026CA0000}"/>
    <cellStyle name="SAPBEXHLevel0 105" xfId="52731" xr:uid="{00000000-0005-0000-0000-000027CA0000}"/>
    <cellStyle name="SAPBEXHLevel0 105 2" xfId="52732" xr:uid="{00000000-0005-0000-0000-000028CA0000}"/>
    <cellStyle name="SAPBEXHLevel0 106" xfId="52733" xr:uid="{00000000-0005-0000-0000-000029CA0000}"/>
    <cellStyle name="SAPBEXHLevel0 106 2" xfId="52734" xr:uid="{00000000-0005-0000-0000-00002ACA0000}"/>
    <cellStyle name="SAPBEXHLevel0 107" xfId="52735" xr:uid="{00000000-0005-0000-0000-00002BCA0000}"/>
    <cellStyle name="SAPBEXHLevel0 107 2" xfId="52736" xr:uid="{00000000-0005-0000-0000-00002CCA0000}"/>
    <cellStyle name="SAPBEXHLevel0 108" xfId="52737" xr:uid="{00000000-0005-0000-0000-00002DCA0000}"/>
    <cellStyle name="SAPBEXHLevel0 108 2" xfId="52738" xr:uid="{00000000-0005-0000-0000-00002ECA0000}"/>
    <cellStyle name="SAPBEXHLevel0 109" xfId="52739" xr:uid="{00000000-0005-0000-0000-00002FCA0000}"/>
    <cellStyle name="SAPBEXHLevel0 109 2" xfId="52740" xr:uid="{00000000-0005-0000-0000-000030CA0000}"/>
    <cellStyle name="SAPBEXHLevel0 11" xfId="2679" xr:uid="{00000000-0005-0000-0000-000031CA0000}"/>
    <cellStyle name="SAPBEXHLevel0 11 2" xfId="52741" xr:uid="{00000000-0005-0000-0000-000032CA0000}"/>
    <cellStyle name="SAPBEXHLevel0 110" xfId="52742" xr:uid="{00000000-0005-0000-0000-000033CA0000}"/>
    <cellStyle name="SAPBEXHLevel0 110 2" xfId="52743" xr:uid="{00000000-0005-0000-0000-000034CA0000}"/>
    <cellStyle name="SAPBEXHLevel0 110 3" xfId="52744" xr:uid="{00000000-0005-0000-0000-000035CA0000}"/>
    <cellStyle name="SAPBEXHLevel0 111" xfId="52745" xr:uid="{00000000-0005-0000-0000-000036CA0000}"/>
    <cellStyle name="SAPBEXHLevel0 112" xfId="52746" xr:uid="{00000000-0005-0000-0000-000037CA0000}"/>
    <cellStyle name="SAPBEXHLevel0 113" xfId="52747" xr:uid="{00000000-0005-0000-0000-000038CA0000}"/>
    <cellStyle name="SAPBEXHLevel0 12" xfId="2680" xr:uid="{00000000-0005-0000-0000-000039CA0000}"/>
    <cellStyle name="SAPBEXHLevel0 12 2" xfId="52748" xr:uid="{00000000-0005-0000-0000-00003ACA0000}"/>
    <cellStyle name="SAPBEXHLevel0 13" xfId="2681" xr:uid="{00000000-0005-0000-0000-00003BCA0000}"/>
    <cellStyle name="SAPBEXHLevel0 13 2" xfId="52749" xr:uid="{00000000-0005-0000-0000-00003CCA0000}"/>
    <cellStyle name="SAPBEXHLevel0 14" xfId="2682" xr:uid="{00000000-0005-0000-0000-00003DCA0000}"/>
    <cellStyle name="SAPBEXHLevel0 14 2" xfId="52750" xr:uid="{00000000-0005-0000-0000-00003ECA0000}"/>
    <cellStyle name="SAPBEXHLevel0 15" xfId="2683" xr:uid="{00000000-0005-0000-0000-00003FCA0000}"/>
    <cellStyle name="SAPBEXHLevel0 15 2" xfId="52751" xr:uid="{00000000-0005-0000-0000-000040CA0000}"/>
    <cellStyle name="SAPBEXHLevel0 16" xfId="2684" xr:uid="{00000000-0005-0000-0000-000041CA0000}"/>
    <cellStyle name="SAPBEXHLevel0 16 2" xfId="52752" xr:uid="{00000000-0005-0000-0000-000042CA0000}"/>
    <cellStyle name="SAPBEXHLevel0 17" xfId="2685" xr:uid="{00000000-0005-0000-0000-000043CA0000}"/>
    <cellStyle name="SAPBEXHLevel0 17 2" xfId="52753" xr:uid="{00000000-0005-0000-0000-000044CA0000}"/>
    <cellStyle name="SAPBEXHLevel0 18" xfId="2686" xr:uid="{00000000-0005-0000-0000-000045CA0000}"/>
    <cellStyle name="SAPBEXHLevel0 18 2" xfId="52754" xr:uid="{00000000-0005-0000-0000-000046CA0000}"/>
    <cellStyle name="SAPBEXHLevel0 19" xfId="2687" xr:uid="{00000000-0005-0000-0000-000047CA0000}"/>
    <cellStyle name="SAPBEXHLevel0 19 2" xfId="52755" xr:uid="{00000000-0005-0000-0000-000048CA0000}"/>
    <cellStyle name="SAPBEXHLevel0 2" xfId="2688" xr:uid="{00000000-0005-0000-0000-000049CA0000}"/>
    <cellStyle name="SAPBEXHLevel0 2 2" xfId="52756" xr:uid="{00000000-0005-0000-0000-00004ACA0000}"/>
    <cellStyle name="SAPBEXHLevel0 20" xfId="2689" xr:uid="{00000000-0005-0000-0000-00004BCA0000}"/>
    <cellStyle name="SAPBEXHLevel0 20 2" xfId="52757" xr:uid="{00000000-0005-0000-0000-00004CCA0000}"/>
    <cellStyle name="SAPBEXHLevel0 21" xfId="2690" xr:uid="{00000000-0005-0000-0000-00004DCA0000}"/>
    <cellStyle name="SAPBEXHLevel0 21 2" xfId="52758" xr:uid="{00000000-0005-0000-0000-00004ECA0000}"/>
    <cellStyle name="SAPBEXHLevel0 22" xfId="2691" xr:uid="{00000000-0005-0000-0000-00004FCA0000}"/>
    <cellStyle name="SAPBEXHLevel0 22 2" xfId="52759" xr:uid="{00000000-0005-0000-0000-000050CA0000}"/>
    <cellStyle name="SAPBEXHLevel0 23" xfId="2692" xr:uid="{00000000-0005-0000-0000-000051CA0000}"/>
    <cellStyle name="SAPBEXHLevel0 23 2" xfId="52760" xr:uid="{00000000-0005-0000-0000-000052CA0000}"/>
    <cellStyle name="SAPBEXHLevel0 24" xfId="2693" xr:uid="{00000000-0005-0000-0000-000053CA0000}"/>
    <cellStyle name="SAPBEXHLevel0 24 2" xfId="52761" xr:uid="{00000000-0005-0000-0000-000054CA0000}"/>
    <cellStyle name="SAPBEXHLevel0 25" xfId="2694" xr:uid="{00000000-0005-0000-0000-000055CA0000}"/>
    <cellStyle name="SAPBEXHLevel0 25 2" xfId="52762" xr:uid="{00000000-0005-0000-0000-000056CA0000}"/>
    <cellStyle name="SAPBEXHLevel0 26" xfId="2695" xr:uid="{00000000-0005-0000-0000-000057CA0000}"/>
    <cellStyle name="SAPBEXHLevel0 26 2" xfId="52763" xr:uid="{00000000-0005-0000-0000-000058CA0000}"/>
    <cellStyle name="SAPBEXHLevel0 27" xfId="2696" xr:uid="{00000000-0005-0000-0000-000059CA0000}"/>
    <cellStyle name="SAPBEXHLevel0 27 2" xfId="52764" xr:uid="{00000000-0005-0000-0000-00005ACA0000}"/>
    <cellStyle name="SAPBEXHLevel0 28" xfId="2697" xr:uid="{00000000-0005-0000-0000-00005BCA0000}"/>
    <cellStyle name="SAPBEXHLevel0 28 2" xfId="52765" xr:uid="{00000000-0005-0000-0000-00005CCA0000}"/>
    <cellStyle name="SAPBEXHLevel0 29" xfId="2698" xr:uid="{00000000-0005-0000-0000-00005DCA0000}"/>
    <cellStyle name="SAPBEXHLevel0 29 2" xfId="52766" xr:uid="{00000000-0005-0000-0000-00005ECA0000}"/>
    <cellStyle name="SAPBEXHLevel0 3" xfId="2699" xr:uid="{00000000-0005-0000-0000-00005FCA0000}"/>
    <cellStyle name="SAPBEXHLevel0 3 2" xfId="52767" xr:uid="{00000000-0005-0000-0000-000060CA0000}"/>
    <cellStyle name="SAPBEXHLevel0 30" xfId="2700" xr:uid="{00000000-0005-0000-0000-000061CA0000}"/>
    <cellStyle name="SAPBEXHLevel0 30 2" xfId="52768" xr:uid="{00000000-0005-0000-0000-000062CA0000}"/>
    <cellStyle name="SAPBEXHLevel0 31" xfId="2701" xr:uid="{00000000-0005-0000-0000-000063CA0000}"/>
    <cellStyle name="SAPBEXHLevel0 31 2" xfId="52769" xr:uid="{00000000-0005-0000-0000-000064CA0000}"/>
    <cellStyle name="SAPBEXHLevel0 32" xfId="2702" xr:uid="{00000000-0005-0000-0000-000065CA0000}"/>
    <cellStyle name="SAPBEXHLevel0 32 2" xfId="52770" xr:uid="{00000000-0005-0000-0000-000066CA0000}"/>
    <cellStyle name="SAPBEXHLevel0 33" xfId="2703" xr:uid="{00000000-0005-0000-0000-000067CA0000}"/>
    <cellStyle name="SAPBEXHLevel0 33 2" xfId="52771" xr:uid="{00000000-0005-0000-0000-000068CA0000}"/>
    <cellStyle name="SAPBEXHLevel0 34" xfId="2704" xr:uid="{00000000-0005-0000-0000-000069CA0000}"/>
    <cellStyle name="SAPBEXHLevel0 34 2" xfId="52772" xr:uid="{00000000-0005-0000-0000-00006ACA0000}"/>
    <cellStyle name="SAPBEXHLevel0 35" xfId="2705" xr:uid="{00000000-0005-0000-0000-00006BCA0000}"/>
    <cellStyle name="SAPBEXHLevel0 35 2" xfId="52773" xr:uid="{00000000-0005-0000-0000-00006CCA0000}"/>
    <cellStyle name="SAPBEXHLevel0 36" xfId="2706" xr:uid="{00000000-0005-0000-0000-00006DCA0000}"/>
    <cellStyle name="SAPBEXHLevel0 36 2" xfId="52774" xr:uid="{00000000-0005-0000-0000-00006ECA0000}"/>
    <cellStyle name="SAPBEXHLevel0 37" xfId="2707" xr:uid="{00000000-0005-0000-0000-00006FCA0000}"/>
    <cellStyle name="SAPBEXHLevel0 37 2" xfId="52775" xr:uid="{00000000-0005-0000-0000-000070CA0000}"/>
    <cellStyle name="SAPBEXHLevel0 38" xfId="2708" xr:uid="{00000000-0005-0000-0000-000071CA0000}"/>
    <cellStyle name="SAPBEXHLevel0 38 2" xfId="52776" xr:uid="{00000000-0005-0000-0000-000072CA0000}"/>
    <cellStyle name="SAPBEXHLevel0 39" xfId="2709" xr:uid="{00000000-0005-0000-0000-000073CA0000}"/>
    <cellStyle name="SAPBEXHLevel0 39 2" xfId="52777" xr:uid="{00000000-0005-0000-0000-000074CA0000}"/>
    <cellStyle name="SAPBEXHLevel0 4" xfId="2710" xr:uid="{00000000-0005-0000-0000-000075CA0000}"/>
    <cellStyle name="SAPBEXHLevel0 4 2" xfId="52778" xr:uid="{00000000-0005-0000-0000-000076CA0000}"/>
    <cellStyle name="SAPBEXHLevel0 40" xfId="2711" xr:uid="{00000000-0005-0000-0000-000077CA0000}"/>
    <cellStyle name="SAPBEXHLevel0 40 2" xfId="52779" xr:uid="{00000000-0005-0000-0000-000078CA0000}"/>
    <cellStyle name="SAPBEXHLevel0 41" xfId="2712" xr:uid="{00000000-0005-0000-0000-000079CA0000}"/>
    <cellStyle name="SAPBEXHLevel0 41 2" xfId="52780" xr:uid="{00000000-0005-0000-0000-00007ACA0000}"/>
    <cellStyle name="SAPBEXHLevel0 42" xfId="2713" xr:uid="{00000000-0005-0000-0000-00007BCA0000}"/>
    <cellStyle name="SAPBEXHLevel0 42 2" xfId="52781" xr:uid="{00000000-0005-0000-0000-00007CCA0000}"/>
    <cellStyle name="SAPBEXHLevel0 43" xfId="2714" xr:uid="{00000000-0005-0000-0000-00007DCA0000}"/>
    <cellStyle name="SAPBEXHLevel0 43 2" xfId="52782" xr:uid="{00000000-0005-0000-0000-00007ECA0000}"/>
    <cellStyle name="SAPBEXHLevel0 44" xfId="2715" xr:uid="{00000000-0005-0000-0000-00007FCA0000}"/>
    <cellStyle name="SAPBEXHLevel0 44 2" xfId="52783" xr:uid="{00000000-0005-0000-0000-000080CA0000}"/>
    <cellStyle name="SAPBEXHLevel0 45" xfId="2716" xr:uid="{00000000-0005-0000-0000-000081CA0000}"/>
    <cellStyle name="SAPBEXHLevel0 45 2" xfId="52784" xr:uid="{00000000-0005-0000-0000-000082CA0000}"/>
    <cellStyle name="SAPBEXHLevel0 46" xfId="52785" xr:uid="{00000000-0005-0000-0000-000083CA0000}"/>
    <cellStyle name="SAPBEXHLevel0 46 2" xfId="52786" xr:uid="{00000000-0005-0000-0000-000084CA0000}"/>
    <cellStyle name="SAPBEXHLevel0 46 3" xfId="52787" xr:uid="{00000000-0005-0000-0000-000085CA0000}"/>
    <cellStyle name="SAPBEXHLevel0 46 4" xfId="52788" xr:uid="{00000000-0005-0000-0000-000086CA0000}"/>
    <cellStyle name="SAPBEXHLevel0 47" xfId="52789" xr:uid="{00000000-0005-0000-0000-000087CA0000}"/>
    <cellStyle name="SAPBEXHLevel0 47 2" xfId="52790" xr:uid="{00000000-0005-0000-0000-000088CA0000}"/>
    <cellStyle name="SAPBEXHLevel0 47 3" xfId="52791" xr:uid="{00000000-0005-0000-0000-000089CA0000}"/>
    <cellStyle name="SAPBEXHLevel0 47 4" xfId="52792" xr:uid="{00000000-0005-0000-0000-00008ACA0000}"/>
    <cellStyle name="SAPBEXHLevel0 48" xfId="52793" xr:uid="{00000000-0005-0000-0000-00008BCA0000}"/>
    <cellStyle name="SAPBEXHLevel0 48 2" xfId="52794" xr:uid="{00000000-0005-0000-0000-00008CCA0000}"/>
    <cellStyle name="SAPBEXHLevel0 49" xfId="52795" xr:uid="{00000000-0005-0000-0000-00008DCA0000}"/>
    <cellStyle name="SAPBEXHLevel0 49 2" xfId="52796" xr:uid="{00000000-0005-0000-0000-00008ECA0000}"/>
    <cellStyle name="SAPBEXHLevel0 5" xfId="2717" xr:uid="{00000000-0005-0000-0000-00008FCA0000}"/>
    <cellStyle name="SAPBEXHLevel0 5 2" xfId="52797" xr:uid="{00000000-0005-0000-0000-000090CA0000}"/>
    <cellStyle name="SAPBEXHLevel0 50" xfId="52798" xr:uid="{00000000-0005-0000-0000-000091CA0000}"/>
    <cellStyle name="SAPBEXHLevel0 50 2" xfId="52799" xr:uid="{00000000-0005-0000-0000-000092CA0000}"/>
    <cellStyle name="SAPBEXHLevel0 51" xfId="52800" xr:uid="{00000000-0005-0000-0000-000093CA0000}"/>
    <cellStyle name="SAPBEXHLevel0 51 2" xfId="52801" xr:uid="{00000000-0005-0000-0000-000094CA0000}"/>
    <cellStyle name="SAPBEXHLevel0 52" xfId="52802" xr:uid="{00000000-0005-0000-0000-000095CA0000}"/>
    <cellStyle name="SAPBEXHLevel0 52 2" xfId="52803" xr:uid="{00000000-0005-0000-0000-000096CA0000}"/>
    <cellStyle name="SAPBEXHLevel0 53" xfId="52804" xr:uid="{00000000-0005-0000-0000-000097CA0000}"/>
    <cellStyle name="SAPBEXHLevel0 53 2" xfId="52805" xr:uid="{00000000-0005-0000-0000-000098CA0000}"/>
    <cellStyle name="SAPBEXHLevel0 54" xfId="52806" xr:uid="{00000000-0005-0000-0000-000099CA0000}"/>
    <cellStyle name="SAPBEXHLevel0 54 2" xfId="52807" xr:uid="{00000000-0005-0000-0000-00009ACA0000}"/>
    <cellStyle name="SAPBEXHLevel0 55" xfId="52808" xr:uid="{00000000-0005-0000-0000-00009BCA0000}"/>
    <cellStyle name="SAPBEXHLevel0 55 2" xfId="52809" xr:uid="{00000000-0005-0000-0000-00009CCA0000}"/>
    <cellStyle name="SAPBEXHLevel0 56" xfId="52810" xr:uid="{00000000-0005-0000-0000-00009DCA0000}"/>
    <cellStyle name="SAPBEXHLevel0 56 2" xfId="52811" xr:uid="{00000000-0005-0000-0000-00009ECA0000}"/>
    <cellStyle name="SAPBEXHLevel0 57" xfId="52812" xr:uid="{00000000-0005-0000-0000-00009FCA0000}"/>
    <cellStyle name="SAPBEXHLevel0 57 2" xfId="52813" xr:uid="{00000000-0005-0000-0000-0000A0CA0000}"/>
    <cellStyle name="SAPBEXHLevel0 58" xfId="52814" xr:uid="{00000000-0005-0000-0000-0000A1CA0000}"/>
    <cellStyle name="SAPBEXHLevel0 58 2" xfId="52815" xr:uid="{00000000-0005-0000-0000-0000A2CA0000}"/>
    <cellStyle name="SAPBEXHLevel0 59" xfId="52816" xr:uid="{00000000-0005-0000-0000-0000A3CA0000}"/>
    <cellStyle name="SAPBEXHLevel0 59 2" xfId="52817" xr:uid="{00000000-0005-0000-0000-0000A4CA0000}"/>
    <cellStyle name="SAPBEXHLevel0 6" xfId="2718" xr:uid="{00000000-0005-0000-0000-0000A5CA0000}"/>
    <cellStyle name="SAPBEXHLevel0 6 2" xfId="52818" xr:uid="{00000000-0005-0000-0000-0000A6CA0000}"/>
    <cellStyle name="SAPBEXHLevel0 60" xfId="52819" xr:uid="{00000000-0005-0000-0000-0000A7CA0000}"/>
    <cellStyle name="SAPBEXHLevel0 60 2" xfId="52820" xr:uid="{00000000-0005-0000-0000-0000A8CA0000}"/>
    <cellStyle name="SAPBEXHLevel0 61" xfId="52821" xr:uid="{00000000-0005-0000-0000-0000A9CA0000}"/>
    <cellStyle name="SAPBEXHLevel0 61 2" xfId="52822" xr:uid="{00000000-0005-0000-0000-0000AACA0000}"/>
    <cellStyle name="SAPBEXHLevel0 62" xfId="52823" xr:uid="{00000000-0005-0000-0000-0000ABCA0000}"/>
    <cellStyle name="SAPBEXHLevel0 62 2" xfId="52824" xr:uid="{00000000-0005-0000-0000-0000ACCA0000}"/>
    <cellStyle name="SAPBEXHLevel0 63" xfId="52825" xr:uid="{00000000-0005-0000-0000-0000ADCA0000}"/>
    <cellStyle name="SAPBEXHLevel0 63 2" xfId="52826" xr:uid="{00000000-0005-0000-0000-0000AECA0000}"/>
    <cellStyle name="SAPBEXHLevel0 64" xfId="52827" xr:uid="{00000000-0005-0000-0000-0000AFCA0000}"/>
    <cellStyle name="SAPBEXHLevel0 64 2" xfId="52828" xr:uid="{00000000-0005-0000-0000-0000B0CA0000}"/>
    <cellStyle name="SAPBEXHLevel0 65" xfId="52829" xr:uid="{00000000-0005-0000-0000-0000B1CA0000}"/>
    <cellStyle name="SAPBEXHLevel0 65 2" xfId="52830" xr:uid="{00000000-0005-0000-0000-0000B2CA0000}"/>
    <cellStyle name="SAPBEXHLevel0 66" xfId="52831" xr:uid="{00000000-0005-0000-0000-0000B3CA0000}"/>
    <cellStyle name="SAPBEXHLevel0 66 2" xfId="52832" xr:uid="{00000000-0005-0000-0000-0000B4CA0000}"/>
    <cellStyle name="SAPBEXHLevel0 67" xfId="52833" xr:uid="{00000000-0005-0000-0000-0000B5CA0000}"/>
    <cellStyle name="SAPBEXHLevel0 67 2" xfId="52834" xr:uid="{00000000-0005-0000-0000-0000B6CA0000}"/>
    <cellStyle name="SAPBEXHLevel0 68" xfId="52835" xr:uid="{00000000-0005-0000-0000-0000B7CA0000}"/>
    <cellStyle name="SAPBEXHLevel0 68 2" xfId="52836" xr:uid="{00000000-0005-0000-0000-0000B8CA0000}"/>
    <cellStyle name="SAPBEXHLevel0 69" xfId="52837" xr:uid="{00000000-0005-0000-0000-0000B9CA0000}"/>
    <cellStyle name="SAPBEXHLevel0 69 2" xfId="52838" xr:uid="{00000000-0005-0000-0000-0000BACA0000}"/>
    <cellStyle name="SAPBEXHLevel0 7" xfId="2719" xr:uid="{00000000-0005-0000-0000-0000BBCA0000}"/>
    <cellStyle name="SAPBEXHLevel0 7 2" xfId="52839" xr:uid="{00000000-0005-0000-0000-0000BCCA0000}"/>
    <cellStyle name="SAPBEXHLevel0 70" xfId="52840" xr:uid="{00000000-0005-0000-0000-0000BDCA0000}"/>
    <cellStyle name="SAPBEXHLevel0 70 2" xfId="52841" xr:uid="{00000000-0005-0000-0000-0000BECA0000}"/>
    <cellStyle name="SAPBEXHLevel0 71" xfId="52842" xr:uid="{00000000-0005-0000-0000-0000BFCA0000}"/>
    <cellStyle name="SAPBEXHLevel0 71 2" xfId="52843" xr:uid="{00000000-0005-0000-0000-0000C0CA0000}"/>
    <cellStyle name="SAPBEXHLevel0 72" xfId="52844" xr:uid="{00000000-0005-0000-0000-0000C1CA0000}"/>
    <cellStyle name="SAPBEXHLevel0 72 2" xfId="52845" xr:uid="{00000000-0005-0000-0000-0000C2CA0000}"/>
    <cellStyle name="SAPBEXHLevel0 73" xfId="52846" xr:uid="{00000000-0005-0000-0000-0000C3CA0000}"/>
    <cellStyle name="SAPBEXHLevel0 73 2" xfId="52847" xr:uid="{00000000-0005-0000-0000-0000C4CA0000}"/>
    <cellStyle name="SAPBEXHLevel0 74" xfId="52848" xr:uid="{00000000-0005-0000-0000-0000C5CA0000}"/>
    <cellStyle name="SAPBEXHLevel0 74 2" xfId="52849" xr:uid="{00000000-0005-0000-0000-0000C6CA0000}"/>
    <cellStyle name="SAPBEXHLevel0 75" xfId="52850" xr:uid="{00000000-0005-0000-0000-0000C7CA0000}"/>
    <cellStyle name="SAPBEXHLevel0 75 2" xfId="52851" xr:uid="{00000000-0005-0000-0000-0000C8CA0000}"/>
    <cellStyle name="SAPBEXHLevel0 76" xfId="52852" xr:uid="{00000000-0005-0000-0000-0000C9CA0000}"/>
    <cellStyle name="SAPBEXHLevel0 76 2" xfId="52853" xr:uid="{00000000-0005-0000-0000-0000CACA0000}"/>
    <cellStyle name="SAPBEXHLevel0 77" xfId="52854" xr:uid="{00000000-0005-0000-0000-0000CBCA0000}"/>
    <cellStyle name="SAPBEXHLevel0 77 2" xfId="52855" xr:uid="{00000000-0005-0000-0000-0000CCCA0000}"/>
    <cellStyle name="SAPBEXHLevel0 78" xfId="52856" xr:uid="{00000000-0005-0000-0000-0000CDCA0000}"/>
    <cellStyle name="SAPBEXHLevel0 78 2" xfId="52857" xr:uid="{00000000-0005-0000-0000-0000CECA0000}"/>
    <cellStyle name="SAPBEXHLevel0 79" xfId="52858" xr:uid="{00000000-0005-0000-0000-0000CFCA0000}"/>
    <cellStyle name="SAPBEXHLevel0 79 2" xfId="52859" xr:uid="{00000000-0005-0000-0000-0000D0CA0000}"/>
    <cellStyle name="SAPBEXHLevel0 8" xfId="2720" xr:uid="{00000000-0005-0000-0000-0000D1CA0000}"/>
    <cellStyle name="SAPBEXHLevel0 8 2" xfId="52860" xr:uid="{00000000-0005-0000-0000-0000D2CA0000}"/>
    <cellStyle name="SAPBEXHLevel0 80" xfId="52861" xr:uid="{00000000-0005-0000-0000-0000D3CA0000}"/>
    <cellStyle name="SAPBEXHLevel0 80 2" xfId="52862" xr:uid="{00000000-0005-0000-0000-0000D4CA0000}"/>
    <cellStyle name="SAPBEXHLevel0 81" xfId="52863" xr:uid="{00000000-0005-0000-0000-0000D5CA0000}"/>
    <cellStyle name="SAPBEXHLevel0 81 2" xfId="52864" xr:uid="{00000000-0005-0000-0000-0000D6CA0000}"/>
    <cellStyle name="SAPBEXHLevel0 82" xfId="52865" xr:uid="{00000000-0005-0000-0000-0000D7CA0000}"/>
    <cellStyle name="SAPBEXHLevel0 82 2" xfId="52866" xr:uid="{00000000-0005-0000-0000-0000D8CA0000}"/>
    <cellStyle name="SAPBEXHLevel0 83" xfId="52867" xr:uid="{00000000-0005-0000-0000-0000D9CA0000}"/>
    <cellStyle name="SAPBEXHLevel0 83 2" xfId="52868" xr:uid="{00000000-0005-0000-0000-0000DACA0000}"/>
    <cellStyle name="SAPBEXHLevel0 84" xfId="52869" xr:uid="{00000000-0005-0000-0000-0000DBCA0000}"/>
    <cellStyle name="SAPBEXHLevel0 84 2" xfId="52870" xr:uid="{00000000-0005-0000-0000-0000DCCA0000}"/>
    <cellStyle name="SAPBEXHLevel0 85" xfId="52871" xr:uid="{00000000-0005-0000-0000-0000DDCA0000}"/>
    <cellStyle name="SAPBEXHLevel0 85 2" xfId="52872" xr:uid="{00000000-0005-0000-0000-0000DECA0000}"/>
    <cellStyle name="SAPBEXHLevel0 86" xfId="52873" xr:uid="{00000000-0005-0000-0000-0000DFCA0000}"/>
    <cellStyle name="SAPBEXHLevel0 86 2" xfId="52874" xr:uid="{00000000-0005-0000-0000-0000E0CA0000}"/>
    <cellStyle name="SAPBEXHLevel0 87" xfId="52875" xr:uid="{00000000-0005-0000-0000-0000E1CA0000}"/>
    <cellStyle name="SAPBEXHLevel0 87 2" xfId="52876" xr:uid="{00000000-0005-0000-0000-0000E2CA0000}"/>
    <cellStyle name="SAPBEXHLevel0 88" xfId="52877" xr:uid="{00000000-0005-0000-0000-0000E3CA0000}"/>
    <cellStyle name="SAPBEXHLevel0 88 2" xfId="52878" xr:uid="{00000000-0005-0000-0000-0000E4CA0000}"/>
    <cellStyle name="SAPBEXHLevel0 89" xfId="52879" xr:uid="{00000000-0005-0000-0000-0000E5CA0000}"/>
    <cellStyle name="SAPBEXHLevel0 89 2" xfId="52880" xr:uid="{00000000-0005-0000-0000-0000E6CA0000}"/>
    <cellStyle name="SAPBEXHLevel0 9" xfId="2721" xr:uid="{00000000-0005-0000-0000-0000E7CA0000}"/>
    <cellStyle name="SAPBEXHLevel0 9 2" xfId="52881" xr:uid="{00000000-0005-0000-0000-0000E8CA0000}"/>
    <cellStyle name="SAPBEXHLevel0 90" xfId="52882" xr:uid="{00000000-0005-0000-0000-0000E9CA0000}"/>
    <cellStyle name="SAPBEXHLevel0 90 2" xfId="52883" xr:uid="{00000000-0005-0000-0000-0000EACA0000}"/>
    <cellStyle name="SAPBEXHLevel0 91" xfId="52884" xr:uid="{00000000-0005-0000-0000-0000EBCA0000}"/>
    <cellStyle name="SAPBEXHLevel0 91 2" xfId="52885" xr:uid="{00000000-0005-0000-0000-0000ECCA0000}"/>
    <cellStyle name="SAPBEXHLevel0 92" xfId="52886" xr:uid="{00000000-0005-0000-0000-0000EDCA0000}"/>
    <cellStyle name="SAPBEXHLevel0 92 2" xfId="52887" xr:uid="{00000000-0005-0000-0000-0000EECA0000}"/>
    <cellStyle name="SAPBEXHLevel0 93" xfId="52888" xr:uid="{00000000-0005-0000-0000-0000EFCA0000}"/>
    <cellStyle name="SAPBEXHLevel0 93 2" xfId="52889" xr:uid="{00000000-0005-0000-0000-0000F0CA0000}"/>
    <cellStyle name="SAPBEXHLevel0 94" xfId="52890" xr:uid="{00000000-0005-0000-0000-0000F1CA0000}"/>
    <cellStyle name="SAPBEXHLevel0 94 2" xfId="52891" xr:uid="{00000000-0005-0000-0000-0000F2CA0000}"/>
    <cellStyle name="SAPBEXHLevel0 95" xfId="52892" xr:uid="{00000000-0005-0000-0000-0000F3CA0000}"/>
    <cellStyle name="SAPBEXHLevel0 95 2" xfId="52893" xr:uid="{00000000-0005-0000-0000-0000F4CA0000}"/>
    <cellStyle name="SAPBEXHLevel0 96" xfId="52894" xr:uid="{00000000-0005-0000-0000-0000F5CA0000}"/>
    <cellStyle name="SAPBEXHLevel0 96 2" xfId="52895" xr:uid="{00000000-0005-0000-0000-0000F6CA0000}"/>
    <cellStyle name="SAPBEXHLevel0 97" xfId="52896" xr:uid="{00000000-0005-0000-0000-0000F7CA0000}"/>
    <cellStyle name="SAPBEXHLevel0 97 2" xfId="52897" xr:uid="{00000000-0005-0000-0000-0000F8CA0000}"/>
    <cellStyle name="SAPBEXHLevel0 98" xfId="52898" xr:uid="{00000000-0005-0000-0000-0000F9CA0000}"/>
    <cellStyle name="SAPBEXHLevel0 98 2" xfId="52899" xr:uid="{00000000-0005-0000-0000-0000FACA0000}"/>
    <cellStyle name="SAPBEXHLevel0 99" xfId="52900" xr:uid="{00000000-0005-0000-0000-0000FBCA0000}"/>
    <cellStyle name="SAPBEXHLevel0 99 2" xfId="52901" xr:uid="{00000000-0005-0000-0000-0000FCCA0000}"/>
    <cellStyle name="SAPBEXHLevel0_(A-7) IS-Inputs" xfId="52902" xr:uid="{00000000-0005-0000-0000-0000FDCA0000}"/>
    <cellStyle name="SAPBEXHLevel0X" xfId="72" xr:uid="{00000000-0005-0000-0000-000080000000}"/>
    <cellStyle name="SAPBEXHLevel0X 10" xfId="2722" xr:uid="{00000000-0005-0000-0000-0000FFCA0000}"/>
    <cellStyle name="SAPBEXHLevel0X 10 10" xfId="52903" xr:uid="{00000000-0005-0000-0000-000000CB0000}"/>
    <cellStyle name="SAPBEXHLevel0X 10 2" xfId="52904" xr:uid="{00000000-0005-0000-0000-000001CB0000}"/>
    <cellStyle name="SAPBEXHLevel0X 10 2 2" xfId="52905" xr:uid="{00000000-0005-0000-0000-000002CB0000}"/>
    <cellStyle name="SAPBEXHLevel0X 10 3" xfId="52906" xr:uid="{00000000-0005-0000-0000-000003CB0000}"/>
    <cellStyle name="SAPBEXHLevel0X 10 3 2" xfId="52907" xr:uid="{00000000-0005-0000-0000-000004CB0000}"/>
    <cellStyle name="SAPBEXHLevel0X 10 4" xfId="52908" xr:uid="{00000000-0005-0000-0000-000005CB0000}"/>
    <cellStyle name="SAPBEXHLevel0X 10 4 2" xfId="52909" xr:uid="{00000000-0005-0000-0000-000006CB0000}"/>
    <cellStyle name="SAPBEXHLevel0X 10 5" xfId="52910" xr:uid="{00000000-0005-0000-0000-000007CB0000}"/>
    <cellStyle name="SAPBEXHLevel0X 10 5 2" xfId="52911" xr:uid="{00000000-0005-0000-0000-000008CB0000}"/>
    <cellStyle name="SAPBEXHLevel0X 10 6" xfId="52912" xr:uid="{00000000-0005-0000-0000-000009CB0000}"/>
    <cellStyle name="SAPBEXHLevel0X 10 6 2" xfId="52913" xr:uid="{00000000-0005-0000-0000-00000ACB0000}"/>
    <cellStyle name="SAPBEXHLevel0X 10 7" xfId="52914" xr:uid="{00000000-0005-0000-0000-00000BCB0000}"/>
    <cellStyle name="SAPBEXHLevel0X 10 7 2" xfId="52915" xr:uid="{00000000-0005-0000-0000-00000CCB0000}"/>
    <cellStyle name="SAPBEXHLevel0X 10 8" xfId="52916" xr:uid="{00000000-0005-0000-0000-00000DCB0000}"/>
    <cellStyle name="SAPBEXHLevel0X 10 8 2" xfId="52917" xr:uid="{00000000-0005-0000-0000-00000ECB0000}"/>
    <cellStyle name="SAPBEXHLevel0X 10 9" xfId="52918" xr:uid="{00000000-0005-0000-0000-00000FCB0000}"/>
    <cellStyle name="SAPBEXHLevel0X 10 9 2" xfId="52919" xr:uid="{00000000-0005-0000-0000-000010CB0000}"/>
    <cellStyle name="SAPBEXHLevel0X 11" xfId="2723" xr:uid="{00000000-0005-0000-0000-000011CB0000}"/>
    <cellStyle name="SAPBEXHLevel0X 11 2" xfId="52920" xr:uid="{00000000-0005-0000-0000-000012CB0000}"/>
    <cellStyle name="SAPBEXHLevel0X 11 2 2" xfId="52921" xr:uid="{00000000-0005-0000-0000-000013CB0000}"/>
    <cellStyle name="SAPBEXHLevel0X 11 3" xfId="52922" xr:uid="{00000000-0005-0000-0000-000014CB0000}"/>
    <cellStyle name="SAPBEXHLevel0X 12" xfId="2724" xr:uid="{00000000-0005-0000-0000-000015CB0000}"/>
    <cellStyle name="SAPBEXHLevel0X 12 2" xfId="52923" xr:uid="{00000000-0005-0000-0000-000016CB0000}"/>
    <cellStyle name="SAPBEXHLevel0X 12 2 2" xfId="52924" xr:uid="{00000000-0005-0000-0000-000017CB0000}"/>
    <cellStyle name="SAPBEXHLevel0X 12 3" xfId="52925" xr:uid="{00000000-0005-0000-0000-000018CB0000}"/>
    <cellStyle name="SAPBEXHLevel0X 12 3 2" xfId="52926" xr:uid="{00000000-0005-0000-0000-000019CB0000}"/>
    <cellStyle name="SAPBEXHLevel0X 12 4" xfId="52927" xr:uid="{00000000-0005-0000-0000-00001ACB0000}"/>
    <cellStyle name="SAPBEXHLevel0X 12 4 2" xfId="52928" xr:uid="{00000000-0005-0000-0000-00001BCB0000}"/>
    <cellStyle name="SAPBEXHLevel0X 12 5" xfId="52929" xr:uid="{00000000-0005-0000-0000-00001CCB0000}"/>
    <cellStyle name="SAPBEXHLevel0X 12 5 2" xfId="52930" xr:uid="{00000000-0005-0000-0000-00001DCB0000}"/>
    <cellStyle name="SAPBEXHLevel0X 12 6" xfId="52931" xr:uid="{00000000-0005-0000-0000-00001ECB0000}"/>
    <cellStyle name="SAPBEXHLevel0X 12 6 2" xfId="52932" xr:uid="{00000000-0005-0000-0000-00001FCB0000}"/>
    <cellStyle name="SAPBEXHLevel0X 12 7" xfId="52933" xr:uid="{00000000-0005-0000-0000-000020CB0000}"/>
    <cellStyle name="SAPBEXHLevel0X 12 7 2" xfId="52934" xr:uid="{00000000-0005-0000-0000-000021CB0000}"/>
    <cellStyle name="SAPBEXHLevel0X 12 8" xfId="52935" xr:uid="{00000000-0005-0000-0000-000022CB0000}"/>
    <cellStyle name="SAPBEXHLevel0X 12 8 2" xfId="52936" xr:uid="{00000000-0005-0000-0000-000023CB0000}"/>
    <cellStyle name="SAPBEXHLevel0X 12 9" xfId="52937" xr:uid="{00000000-0005-0000-0000-000024CB0000}"/>
    <cellStyle name="SAPBEXHLevel0X 13" xfId="2725" xr:uid="{00000000-0005-0000-0000-000025CB0000}"/>
    <cellStyle name="SAPBEXHLevel0X 13 2" xfId="52938" xr:uid="{00000000-0005-0000-0000-000026CB0000}"/>
    <cellStyle name="SAPBEXHLevel0X 13 2 2" xfId="52939" xr:uid="{00000000-0005-0000-0000-000027CB0000}"/>
    <cellStyle name="SAPBEXHLevel0X 13 3" xfId="52940" xr:uid="{00000000-0005-0000-0000-000028CB0000}"/>
    <cellStyle name="SAPBEXHLevel0X 13 3 2" xfId="52941" xr:uid="{00000000-0005-0000-0000-000029CB0000}"/>
    <cellStyle name="SAPBEXHLevel0X 13 4" xfId="52942" xr:uid="{00000000-0005-0000-0000-00002ACB0000}"/>
    <cellStyle name="SAPBEXHLevel0X 13 4 2" xfId="52943" xr:uid="{00000000-0005-0000-0000-00002BCB0000}"/>
    <cellStyle name="SAPBEXHLevel0X 13 5" xfId="52944" xr:uid="{00000000-0005-0000-0000-00002CCB0000}"/>
    <cellStyle name="SAPBEXHLevel0X 13 5 2" xfId="52945" xr:uid="{00000000-0005-0000-0000-00002DCB0000}"/>
    <cellStyle name="SAPBEXHLevel0X 13 6" xfId="52946" xr:uid="{00000000-0005-0000-0000-00002ECB0000}"/>
    <cellStyle name="SAPBEXHLevel0X 13 6 2" xfId="52947" xr:uid="{00000000-0005-0000-0000-00002FCB0000}"/>
    <cellStyle name="SAPBEXHLevel0X 13 7" xfId="52948" xr:uid="{00000000-0005-0000-0000-000030CB0000}"/>
    <cellStyle name="SAPBEXHLevel0X 13 7 2" xfId="52949" xr:uid="{00000000-0005-0000-0000-000031CB0000}"/>
    <cellStyle name="SAPBEXHLevel0X 13 8" xfId="52950" xr:uid="{00000000-0005-0000-0000-000032CB0000}"/>
    <cellStyle name="SAPBEXHLevel0X 13 8 2" xfId="52951" xr:uid="{00000000-0005-0000-0000-000033CB0000}"/>
    <cellStyle name="SAPBEXHLevel0X 13 9" xfId="52952" xr:uid="{00000000-0005-0000-0000-000034CB0000}"/>
    <cellStyle name="SAPBEXHLevel0X 14" xfId="2726" xr:uid="{00000000-0005-0000-0000-000035CB0000}"/>
    <cellStyle name="SAPBEXHLevel0X 14 2" xfId="52953" xr:uid="{00000000-0005-0000-0000-000036CB0000}"/>
    <cellStyle name="SAPBEXHLevel0X 14 2 2" xfId="52954" xr:uid="{00000000-0005-0000-0000-000037CB0000}"/>
    <cellStyle name="SAPBEXHLevel0X 14 3" xfId="52955" xr:uid="{00000000-0005-0000-0000-000038CB0000}"/>
    <cellStyle name="SAPBEXHLevel0X 15" xfId="2727" xr:uid="{00000000-0005-0000-0000-000039CB0000}"/>
    <cellStyle name="SAPBEXHLevel0X 15 2" xfId="52956" xr:uid="{00000000-0005-0000-0000-00003ACB0000}"/>
    <cellStyle name="SAPBEXHLevel0X 15 2 2" xfId="52957" xr:uid="{00000000-0005-0000-0000-00003BCB0000}"/>
    <cellStyle name="SAPBEXHLevel0X 15 3" xfId="52958" xr:uid="{00000000-0005-0000-0000-00003CCB0000}"/>
    <cellStyle name="SAPBEXHLevel0X 16" xfId="2728" xr:uid="{00000000-0005-0000-0000-00003DCB0000}"/>
    <cellStyle name="SAPBEXHLevel0X 16 2" xfId="52959" xr:uid="{00000000-0005-0000-0000-00003ECB0000}"/>
    <cellStyle name="SAPBEXHLevel0X 16 2 2" xfId="52960" xr:uid="{00000000-0005-0000-0000-00003FCB0000}"/>
    <cellStyle name="SAPBEXHLevel0X 16 3" xfId="52961" xr:uid="{00000000-0005-0000-0000-000040CB0000}"/>
    <cellStyle name="SAPBEXHLevel0X 17" xfId="2729" xr:uid="{00000000-0005-0000-0000-000041CB0000}"/>
    <cellStyle name="SAPBEXHLevel0X 17 2" xfId="52962" xr:uid="{00000000-0005-0000-0000-000042CB0000}"/>
    <cellStyle name="SAPBEXHLevel0X 17 2 2" xfId="52963" xr:uid="{00000000-0005-0000-0000-000043CB0000}"/>
    <cellStyle name="SAPBEXHLevel0X 17 3" xfId="52964" xr:uid="{00000000-0005-0000-0000-000044CB0000}"/>
    <cellStyle name="SAPBEXHLevel0X 18" xfId="2730" xr:uid="{00000000-0005-0000-0000-000045CB0000}"/>
    <cellStyle name="SAPBEXHLevel0X 18 2" xfId="52965" xr:uid="{00000000-0005-0000-0000-000046CB0000}"/>
    <cellStyle name="SAPBEXHLevel0X 18 2 2" xfId="52966" xr:uid="{00000000-0005-0000-0000-000047CB0000}"/>
    <cellStyle name="SAPBEXHLevel0X 18 3" xfId="52967" xr:uid="{00000000-0005-0000-0000-000048CB0000}"/>
    <cellStyle name="SAPBEXHLevel0X 19" xfId="2731" xr:uid="{00000000-0005-0000-0000-000049CB0000}"/>
    <cellStyle name="SAPBEXHLevel0X 19 2" xfId="52968" xr:uid="{00000000-0005-0000-0000-00004ACB0000}"/>
    <cellStyle name="SAPBEXHLevel0X 19 2 2" xfId="52969" xr:uid="{00000000-0005-0000-0000-00004BCB0000}"/>
    <cellStyle name="SAPBEXHLevel0X 19 3" xfId="52970" xr:uid="{00000000-0005-0000-0000-00004CCB0000}"/>
    <cellStyle name="SAPBEXHLevel0X 2" xfId="2732" xr:uid="{00000000-0005-0000-0000-00004DCB0000}"/>
    <cellStyle name="SAPBEXHLevel0X 2 10" xfId="52971" xr:uid="{00000000-0005-0000-0000-00004ECB0000}"/>
    <cellStyle name="SAPBEXHLevel0X 2 2" xfId="52972" xr:uid="{00000000-0005-0000-0000-00004FCB0000}"/>
    <cellStyle name="SAPBEXHLevel0X 2 2 2" xfId="52973" xr:uid="{00000000-0005-0000-0000-000050CB0000}"/>
    <cellStyle name="SAPBEXHLevel0X 2 3" xfId="52974" xr:uid="{00000000-0005-0000-0000-000051CB0000}"/>
    <cellStyle name="SAPBEXHLevel0X 2 3 2" xfId="52975" xr:uid="{00000000-0005-0000-0000-000052CB0000}"/>
    <cellStyle name="SAPBEXHLevel0X 2 4" xfId="52976" xr:uid="{00000000-0005-0000-0000-000053CB0000}"/>
    <cellStyle name="SAPBEXHLevel0X 2 4 2" xfId="52977" xr:uid="{00000000-0005-0000-0000-000054CB0000}"/>
    <cellStyle name="SAPBEXHLevel0X 2 5" xfId="52978" xr:uid="{00000000-0005-0000-0000-000055CB0000}"/>
    <cellStyle name="SAPBEXHLevel0X 2 5 2" xfId="52979" xr:uid="{00000000-0005-0000-0000-000056CB0000}"/>
    <cellStyle name="SAPBEXHLevel0X 2 6" xfId="52980" xr:uid="{00000000-0005-0000-0000-000057CB0000}"/>
    <cellStyle name="SAPBEXHLevel0X 2 6 2" xfId="52981" xr:uid="{00000000-0005-0000-0000-000058CB0000}"/>
    <cellStyle name="SAPBEXHLevel0X 2 7" xfId="52982" xr:uid="{00000000-0005-0000-0000-000059CB0000}"/>
    <cellStyle name="SAPBEXHLevel0X 2 7 2" xfId="52983" xr:uid="{00000000-0005-0000-0000-00005ACB0000}"/>
    <cellStyle name="SAPBEXHLevel0X 2 8" xfId="52984" xr:uid="{00000000-0005-0000-0000-00005BCB0000}"/>
    <cellStyle name="SAPBEXHLevel0X 2 8 2" xfId="52985" xr:uid="{00000000-0005-0000-0000-00005CCB0000}"/>
    <cellStyle name="SAPBEXHLevel0X 2 9" xfId="52986" xr:uid="{00000000-0005-0000-0000-00005DCB0000}"/>
    <cellStyle name="SAPBEXHLevel0X 2 9 2" xfId="52987" xr:uid="{00000000-0005-0000-0000-00005ECB0000}"/>
    <cellStyle name="SAPBEXHLevel0X 20" xfId="2733" xr:uid="{00000000-0005-0000-0000-00005FCB0000}"/>
    <cellStyle name="SAPBEXHLevel0X 20 2" xfId="52988" xr:uid="{00000000-0005-0000-0000-000060CB0000}"/>
    <cellStyle name="SAPBEXHLevel0X 20 2 2" xfId="52989" xr:uid="{00000000-0005-0000-0000-000061CB0000}"/>
    <cellStyle name="SAPBEXHLevel0X 20 3" xfId="52990" xr:uid="{00000000-0005-0000-0000-000062CB0000}"/>
    <cellStyle name="SAPBEXHLevel0X 21" xfId="2734" xr:uid="{00000000-0005-0000-0000-000063CB0000}"/>
    <cellStyle name="SAPBEXHLevel0X 21 2" xfId="52991" xr:uid="{00000000-0005-0000-0000-000064CB0000}"/>
    <cellStyle name="SAPBEXHLevel0X 22" xfId="2735" xr:uid="{00000000-0005-0000-0000-000065CB0000}"/>
    <cellStyle name="SAPBEXHLevel0X 22 2" xfId="52992" xr:uid="{00000000-0005-0000-0000-000066CB0000}"/>
    <cellStyle name="SAPBEXHLevel0X 23" xfId="2736" xr:uid="{00000000-0005-0000-0000-000067CB0000}"/>
    <cellStyle name="SAPBEXHLevel0X 23 2" xfId="52993" xr:uid="{00000000-0005-0000-0000-000068CB0000}"/>
    <cellStyle name="SAPBEXHLevel0X 24" xfId="2737" xr:uid="{00000000-0005-0000-0000-000069CB0000}"/>
    <cellStyle name="SAPBEXHLevel0X 24 2" xfId="52994" xr:uid="{00000000-0005-0000-0000-00006ACB0000}"/>
    <cellStyle name="SAPBEXHLevel0X 25" xfId="2738" xr:uid="{00000000-0005-0000-0000-00006BCB0000}"/>
    <cellStyle name="SAPBEXHLevel0X 25 2" xfId="52995" xr:uid="{00000000-0005-0000-0000-00006CCB0000}"/>
    <cellStyle name="SAPBEXHLevel0X 26" xfId="2739" xr:uid="{00000000-0005-0000-0000-00006DCB0000}"/>
    <cellStyle name="SAPBEXHLevel0X 26 2" xfId="52996" xr:uid="{00000000-0005-0000-0000-00006ECB0000}"/>
    <cellStyle name="SAPBEXHLevel0X 27" xfId="2740" xr:uid="{00000000-0005-0000-0000-00006FCB0000}"/>
    <cellStyle name="SAPBEXHLevel0X 27 2" xfId="52997" xr:uid="{00000000-0005-0000-0000-000070CB0000}"/>
    <cellStyle name="SAPBEXHLevel0X 28" xfId="2741" xr:uid="{00000000-0005-0000-0000-000071CB0000}"/>
    <cellStyle name="SAPBEXHLevel0X 28 2" xfId="52998" xr:uid="{00000000-0005-0000-0000-000072CB0000}"/>
    <cellStyle name="SAPBEXHLevel0X 29" xfId="2742" xr:uid="{00000000-0005-0000-0000-000073CB0000}"/>
    <cellStyle name="SAPBEXHLevel0X 29 2" xfId="52999" xr:uid="{00000000-0005-0000-0000-000074CB0000}"/>
    <cellStyle name="SAPBEXHLevel0X 3" xfId="2743" xr:uid="{00000000-0005-0000-0000-000075CB0000}"/>
    <cellStyle name="SAPBEXHLevel0X 3 10" xfId="53000" xr:uid="{00000000-0005-0000-0000-000076CB0000}"/>
    <cellStyle name="SAPBEXHLevel0X 3 2" xfId="53001" xr:uid="{00000000-0005-0000-0000-000077CB0000}"/>
    <cellStyle name="SAPBEXHLevel0X 3 2 2" xfId="53002" xr:uid="{00000000-0005-0000-0000-000078CB0000}"/>
    <cellStyle name="SAPBEXHLevel0X 3 3" xfId="53003" xr:uid="{00000000-0005-0000-0000-000079CB0000}"/>
    <cellStyle name="SAPBEXHLevel0X 3 3 2" xfId="53004" xr:uid="{00000000-0005-0000-0000-00007ACB0000}"/>
    <cellStyle name="SAPBEXHLevel0X 3 4" xfId="53005" xr:uid="{00000000-0005-0000-0000-00007BCB0000}"/>
    <cellStyle name="SAPBEXHLevel0X 3 4 2" xfId="53006" xr:uid="{00000000-0005-0000-0000-00007CCB0000}"/>
    <cellStyle name="SAPBEXHLevel0X 3 5" xfId="53007" xr:uid="{00000000-0005-0000-0000-00007DCB0000}"/>
    <cellStyle name="SAPBEXHLevel0X 3 5 2" xfId="53008" xr:uid="{00000000-0005-0000-0000-00007ECB0000}"/>
    <cellStyle name="SAPBEXHLevel0X 3 6" xfId="53009" xr:uid="{00000000-0005-0000-0000-00007FCB0000}"/>
    <cellStyle name="SAPBEXHLevel0X 3 6 2" xfId="53010" xr:uid="{00000000-0005-0000-0000-000080CB0000}"/>
    <cellStyle name="SAPBEXHLevel0X 3 7" xfId="53011" xr:uid="{00000000-0005-0000-0000-000081CB0000}"/>
    <cellStyle name="SAPBEXHLevel0X 3 7 2" xfId="53012" xr:uid="{00000000-0005-0000-0000-000082CB0000}"/>
    <cellStyle name="SAPBEXHLevel0X 3 8" xfId="53013" xr:uid="{00000000-0005-0000-0000-000083CB0000}"/>
    <cellStyle name="SAPBEXHLevel0X 3 8 2" xfId="53014" xr:uid="{00000000-0005-0000-0000-000084CB0000}"/>
    <cellStyle name="SAPBEXHLevel0X 3 9" xfId="53015" xr:uid="{00000000-0005-0000-0000-000085CB0000}"/>
    <cellStyle name="SAPBEXHLevel0X 3 9 2" xfId="53016" xr:uid="{00000000-0005-0000-0000-000086CB0000}"/>
    <cellStyle name="SAPBEXHLevel0X 30" xfId="2744" xr:uid="{00000000-0005-0000-0000-000087CB0000}"/>
    <cellStyle name="SAPBEXHLevel0X 30 2" xfId="53017" xr:uid="{00000000-0005-0000-0000-000088CB0000}"/>
    <cellStyle name="SAPBEXHLevel0X 31" xfId="2745" xr:uid="{00000000-0005-0000-0000-000089CB0000}"/>
    <cellStyle name="SAPBEXHLevel0X 31 2" xfId="53018" xr:uid="{00000000-0005-0000-0000-00008ACB0000}"/>
    <cellStyle name="SAPBEXHLevel0X 32" xfId="2746" xr:uid="{00000000-0005-0000-0000-00008BCB0000}"/>
    <cellStyle name="SAPBEXHLevel0X 32 2" xfId="53019" xr:uid="{00000000-0005-0000-0000-00008CCB0000}"/>
    <cellStyle name="SAPBEXHLevel0X 33" xfId="2747" xr:uid="{00000000-0005-0000-0000-00008DCB0000}"/>
    <cellStyle name="SAPBEXHLevel0X 33 2" xfId="53020" xr:uid="{00000000-0005-0000-0000-00008ECB0000}"/>
    <cellStyle name="SAPBEXHLevel0X 34" xfId="2748" xr:uid="{00000000-0005-0000-0000-00008FCB0000}"/>
    <cellStyle name="SAPBEXHLevel0X 34 2" xfId="53021" xr:uid="{00000000-0005-0000-0000-000090CB0000}"/>
    <cellStyle name="SAPBEXHLevel0X 35" xfId="2749" xr:uid="{00000000-0005-0000-0000-000091CB0000}"/>
    <cellStyle name="SAPBEXHLevel0X 35 2" xfId="53022" xr:uid="{00000000-0005-0000-0000-000092CB0000}"/>
    <cellStyle name="SAPBEXHLevel0X 36" xfId="2750" xr:uid="{00000000-0005-0000-0000-000093CB0000}"/>
    <cellStyle name="SAPBEXHLevel0X 36 2" xfId="53023" xr:uid="{00000000-0005-0000-0000-000094CB0000}"/>
    <cellStyle name="SAPBEXHLevel0X 37" xfId="2751" xr:uid="{00000000-0005-0000-0000-000095CB0000}"/>
    <cellStyle name="SAPBEXHLevel0X 37 2" xfId="53024" xr:uid="{00000000-0005-0000-0000-000096CB0000}"/>
    <cellStyle name="SAPBEXHLevel0X 38" xfId="2752" xr:uid="{00000000-0005-0000-0000-000097CB0000}"/>
    <cellStyle name="SAPBEXHLevel0X 38 2" xfId="53025" xr:uid="{00000000-0005-0000-0000-000098CB0000}"/>
    <cellStyle name="SAPBEXHLevel0X 39" xfId="2753" xr:uid="{00000000-0005-0000-0000-000099CB0000}"/>
    <cellStyle name="SAPBEXHLevel0X 39 2" xfId="53026" xr:uid="{00000000-0005-0000-0000-00009ACB0000}"/>
    <cellStyle name="SAPBEXHLevel0X 4" xfId="2754" xr:uid="{00000000-0005-0000-0000-00009BCB0000}"/>
    <cellStyle name="SAPBEXHLevel0X 4 10" xfId="53027" xr:uid="{00000000-0005-0000-0000-00009CCB0000}"/>
    <cellStyle name="SAPBEXHLevel0X 4 2" xfId="53028" xr:uid="{00000000-0005-0000-0000-00009DCB0000}"/>
    <cellStyle name="SAPBEXHLevel0X 4 2 2" xfId="53029" xr:uid="{00000000-0005-0000-0000-00009ECB0000}"/>
    <cellStyle name="SAPBEXHLevel0X 4 3" xfId="53030" xr:uid="{00000000-0005-0000-0000-00009FCB0000}"/>
    <cellStyle name="SAPBEXHLevel0X 4 3 2" xfId="53031" xr:uid="{00000000-0005-0000-0000-0000A0CB0000}"/>
    <cellStyle name="SAPBEXHLevel0X 4 4" xfId="53032" xr:uid="{00000000-0005-0000-0000-0000A1CB0000}"/>
    <cellStyle name="SAPBEXHLevel0X 4 4 2" xfId="53033" xr:uid="{00000000-0005-0000-0000-0000A2CB0000}"/>
    <cellStyle name="SAPBEXHLevel0X 4 5" xfId="53034" xr:uid="{00000000-0005-0000-0000-0000A3CB0000}"/>
    <cellStyle name="SAPBEXHLevel0X 4 5 2" xfId="53035" xr:uid="{00000000-0005-0000-0000-0000A4CB0000}"/>
    <cellStyle name="SAPBEXHLevel0X 4 6" xfId="53036" xr:uid="{00000000-0005-0000-0000-0000A5CB0000}"/>
    <cellStyle name="SAPBEXHLevel0X 4 6 2" xfId="53037" xr:uid="{00000000-0005-0000-0000-0000A6CB0000}"/>
    <cellStyle name="SAPBEXHLevel0X 4 7" xfId="53038" xr:uid="{00000000-0005-0000-0000-0000A7CB0000}"/>
    <cellStyle name="SAPBEXHLevel0X 4 7 2" xfId="53039" xr:uid="{00000000-0005-0000-0000-0000A8CB0000}"/>
    <cellStyle name="SAPBEXHLevel0X 4 8" xfId="53040" xr:uid="{00000000-0005-0000-0000-0000A9CB0000}"/>
    <cellStyle name="SAPBEXHLevel0X 4 8 2" xfId="53041" xr:uid="{00000000-0005-0000-0000-0000AACB0000}"/>
    <cellStyle name="SAPBEXHLevel0X 4 9" xfId="53042" xr:uid="{00000000-0005-0000-0000-0000ABCB0000}"/>
    <cellStyle name="SAPBEXHLevel0X 4 9 2" xfId="53043" xr:uid="{00000000-0005-0000-0000-0000ACCB0000}"/>
    <cellStyle name="SAPBEXHLevel0X 40" xfId="2755" xr:uid="{00000000-0005-0000-0000-0000ADCB0000}"/>
    <cellStyle name="SAPBEXHLevel0X 40 2" xfId="53044" xr:uid="{00000000-0005-0000-0000-0000AECB0000}"/>
    <cellStyle name="SAPBEXHLevel0X 41" xfId="2756" xr:uid="{00000000-0005-0000-0000-0000AFCB0000}"/>
    <cellStyle name="SAPBEXHLevel0X 41 2" xfId="53045" xr:uid="{00000000-0005-0000-0000-0000B0CB0000}"/>
    <cellStyle name="SAPBEXHLevel0X 42" xfId="2757" xr:uid="{00000000-0005-0000-0000-0000B1CB0000}"/>
    <cellStyle name="SAPBEXHLevel0X 42 2" xfId="53046" xr:uid="{00000000-0005-0000-0000-0000B2CB0000}"/>
    <cellStyle name="SAPBEXHLevel0X 43" xfId="2758" xr:uid="{00000000-0005-0000-0000-0000B3CB0000}"/>
    <cellStyle name="SAPBEXHLevel0X 43 2" xfId="53047" xr:uid="{00000000-0005-0000-0000-0000B4CB0000}"/>
    <cellStyle name="SAPBEXHLevel0X 44" xfId="2759" xr:uid="{00000000-0005-0000-0000-0000B5CB0000}"/>
    <cellStyle name="SAPBEXHLevel0X 44 2" xfId="53048" xr:uid="{00000000-0005-0000-0000-0000B6CB0000}"/>
    <cellStyle name="SAPBEXHLevel0X 45" xfId="2760" xr:uid="{00000000-0005-0000-0000-0000B7CB0000}"/>
    <cellStyle name="SAPBEXHLevel0X 45 2" xfId="53049" xr:uid="{00000000-0005-0000-0000-0000B8CB0000}"/>
    <cellStyle name="SAPBEXHLevel0X 46" xfId="53050" xr:uid="{00000000-0005-0000-0000-0000B9CB0000}"/>
    <cellStyle name="SAPBEXHLevel0X 46 2" xfId="53051" xr:uid="{00000000-0005-0000-0000-0000BACB0000}"/>
    <cellStyle name="SAPBEXHLevel0X 46 2 2" xfId="53052" xr:uid="{00000000-0005-0000-0000-0000BBCB0000}"/>
    <cellStyle name="SAPBEXHLevel0X 46 3" xfId="53053" xr:uid="{00000000-0005-0000-0000-0000BCCB0000}"/>
    <cellStyle name="SAPBEXHLevel0X 47" xfId="53054" xr:uid="{00000000-0005-0000-0000-0000BDCB0000}"/>
    <cellStyle name="SAPBEXHLevel0X 48" xfId="53055" xr:uid="{00000000-0005-0000-0000-0000BECB0000}"/>
    <cellStyle name="SAPBEXHLevel0X 49" xfId="53056" xr:uid="{00000000-0005-0000-0000-0000BFCB0000}"/>
    <cellStyle name="SAPBEXHLevel0X 5" xfId="2761" xr:uid="{00000000-0005-0000-0000-0000C0CB0000}"/>
    <cellStyle name="SAPBEXHLevel0X 5 10" xfId="53057" xr:uid="{00000000-0005-0000-0000-0000C1CB0000}"/>
    <cellStyle name="SAPBEXHLevel0X 5 2" xfId="53058" xr:uid="{00000000-0005-0000-0000-0000C2CB0000}"/>
    <cellStyle name="SAPBEXHLevel0X 5 2 2" xfId="53059" xr:uid="{00000000-0005-0000-0000-0000C3CB0000}"/>
    <cellStyle name="SAPBEXHLevel0X 5 3" xfId="53060" xr:uid="{00000000-0005-0000-0000-0000C4CB0000}"/>
    <cellStyle name="SAPBEXHLevel0X 5 3 2" xfId="53061" xr:uid="{00000000-0005-0000-0000-0000C5CB0000}"/>
    <cellStyle name="SAPBEXHLevel0X 5 4" xfId="53062" xr:uid="{00000000-0005-0000-0000-0000C6CB0000}"/>
    <cellStyle name="SAPBEXHLevel0X 5 4 2" xfId="53063" xr:uid="{00000000-0005-0000-0000-0000C7CB0000}"/>
    <cellStyle name="SAPBEXHLevel0X 5 5" xfId="53064" xr:uid="{00000000-0005-0000-0000-0000C8CB0000}"/>
    <cellStyle name="SAPBEXHLevel0X 5 5 2" xfId="53065" xr:uid="{00000000-0005-0000-0000-0000C9CB0000}"/>
    <cellStyle name="SAPBEXHLevel0X 5 6" xfId="53066" xr:uid="{00000000-0005-0000-0000-0000CACB0000}"/>
    <cellStyle name="SAPBEXHLevel0X 5 6 2" xfId="53067" xr:uid="{00000000-0005-0000-0000-0000CBCB0000}"/>
    <cellStyle name="SAPBEXHLevel0X 5 7" xfId="53068" xr:uid="{00000000-0005-0000-0000-0000CCCB0000}"/>
    <cellStyle name="SAPBEXHLevel0X 5 7 2" xfId="53069" xr:uid="{00000000-0005-0000-0000-0000CDCB0000}"/>
    <cellStyle name="SAPBEXHLevel0X 5 8" xfId="53070" xr:uid="{00000000-0005-0000-0000-0000CECB0000}"/>
    <cellStyle name="SAPBEXHLevel0X 5 8 2" xfId="53071" xr:uid="{00000000-0005-0000-0000-0000CFCB0000}"/>
    <cellStyle name="SAPBEXHLevel0X 5 9" xfId="53072" xr:uid="{00000000-0005-0000-0000-0000D0CB0000}"/>
    <cellStyle name="SAPBEXHLevel0X 5 9 2" xfId="53073" xr:uid="{00000000-0005-0000-0000-0000D1CB0000}"/>
    <cellStyle name="SAPBEXHLevel0X 50" xfId="53074" xr:uid="{00000000-0005-0000-0000-0000D2CB0000}"/>
    <cellStyle name="SAPBEXHLevel0X 6" xfId="2762" xr:uid="{00000000-0005-0000-0000-0000D3CB0000}"/>
    <cellStyle name="SAPBEXHLevel0X 6 10" xfId="53075" xr:uid="{00000000-0005-0000-0000-0000D4CB0000}"/>
    <cellStyle name="SAPBEXHLevel0X 6 2" xfId="53076" xr:uid="{00000000-0005-0000-0000-0000D5CB0000}"/>
    <cellStyle name="SAPBEXHLevel0X 6 2 2" xfId="53077" xr:uid="{00000000-0005-0000-0000-0000D6CB0000}"/>
    <cellStyle name="SAPBEXHLevel0X 6 3" xfId="53078" xr:uid="{00000000-0005-0000-0000-0000D7CB0000}"/>
    <cellStyle name="SAPBEXHLevel0X 6 3 2" xfId="53079" xr:uid="{00000000-0005-0000-0000-0000D8CB0000}"/>
    <cellStyle name="SAPBEXHLevel0X 6 4" xfId="53080" xr:uid="{00000000-0005-0000-0000-0000D9CB0000}"/>
    <cellStyle name="SAPBEXHLevel0X 6 4 2" xfId="53081" xr:uid="{00000000-0005-0000-0000-0000DACB0000}"/>
    <cellStyle name="SAPBEXHLevel0X 6 5" xfId="53082" xr:uid="{00000000-0005-0000-0000-0000DBCB0000}"/>
    <cellStyle name="SAPBEXHLevel0X 6 5 2" xfId="53083" xr:uid="{00000000-0005-0000-0000-0000DCCB0000}"/>
    <cellStyle name="SAPBEXHLevel0X 6 6" xfId="53084" xr:uid="{00000000-0005-0000-0000-0000DDCB0000}"/>
    <cellStyle name="SAPBEXHLevel0X 6 6 2" xfId="53085" xr:uid="{00000000-0005-0000-0000-0000DECB0000}"/>
    <cellStyle name="SAPBEXHLevel0X 6 7" xfId="53086" xr:uid="{00000000-0005-0000-0000-0000DFCB0000}"/>
    <cellStyle name="SAPBEXHLevel0X 6 7 2" xfId="53087" xr:uid="{00000000-0005-0000-0000-0000E0CB0000}"/>
    <cellStyle name="SAPBEXHLevel0X 6 8" xfId="53088" xr:uid="{00000000-0005-0000-0000-0000E1CB0000}"/>
    <cellStyle name="SAPBEXHLevel0X 6 8 2" xfId="53089" xr:uid="{00000000-0005-0000-0000-0000E2CB0000}"/>
    <cellStyle name="SAPBEXHLevel0X 6 9" xfId="53090" xr:uid="{00000000-0005-0000-0000-0000E3CB0000}"/>
    <cellStyle name="SAPBEXHLevel0X 6 9 2" xfId="53091" xr:uid="{00000000-0005-0000-0000-0000E4CB0000}"/>
    <cellStyle name="SAPBEXHLevel0X 7" xfId="2763" xr:uid="{00000000-0005-0000-0000-0000E5CB0000}"/>
    <cellStyle name="SAPBEXHLevel0X 7 10" xfId="53092" xr:uid="{00000000-0005-0000-0000-0000E6CB0000}"/>
    <cellStyle name="SAPBEXHLevel0X 7 2" xfId="53093" xr:uid="{00000000-0005-0000-0000-0000E7CB0000}"/>
    <cellStyle name="SAPBEXHLevel0X 7 2 2" xfId="53094" xr:uid="{00000000-0005-0000-0000-0000E8CB0000}"/>
    <cellStyle name="SAPBEXHLevel0X 7 3" xfId="53095" xr:uid="{00000000-0005-0000-0000-0000E9CB0000}"/>
    <cellStyle name="SAPBEXHLevel0X 7 3 2" xfId="53096" xr:uid="{00000000-0005-0000-0000-0000EACB0000}"/>
    <cellStyle name="SAPBEXHLevel0X 7 4" xfId="53097" xr:uid="{00000000-0005-0000-0000-0000EBCB0000}"/>
    <cellStyle name="SAPBEXHLevel0X 7 4 2" xfId="53098" xr:uid="{00000000-0005-0000-0000-0000ECCB0000}"/>
    <cellStyle name="SAPBEXHLevel0X 7 5" xfId="53099" xr:uid="{00000000-0005-0000-0000-0000EDCB0000}"/>
    <cellStyle name="SAPBEXHLevel0X 7 5 2" xfId="53100" xr:uid="{00000000-0005-0000-0000-0000EECB0000}"/>
    <cellStyle name="SAPBEXHLevel0X 7 6" xfId="53101" xr:uid="{00000000-0005-0000-0000-0000EFCB0000}"/>
    <cellStyle name="SAPBEXHLevel0X 7 6 2" xfId="53102" xr:uid="{00000000-0005-0000-0000-0000F0CB0000}"/>
    <cellStyle name="SAPBEXHLevel0X 7 7" xfId="53103" xr:uid="{00000000-0005-0000-0000-0000F1CB0000}"/>
    <cellStyle name="SAPBEXHLevel0X 7 7 2" xfId="53104" xr:uid="{00000000-0005-0000-0000-0000F2CB0000}"/>
    <cellStyle name="SAPBEXHLevel0X 7 8" xfId="53105" xr:uid="{00000000-0005-0000-0000-0000F3CB0000}"/>
    <cellStyle name="SAPBEXHLevel0X 7 8 2" xfId="53106" xr:uid="{00000000-0005-0000-0000-0000F4CB0000}"/>
    <cellStyle name="SAPBEXHLevel0X 7 9" xfId="53107" xr:uid="{00000000-0005-0000-0000-0000F5CB0000}"/>
    <cellStyle name="SAPBEXHLevel0X 7 9 2" xfId="53108" xr:uid="{00000000-0005-0000-0000-0000F6CB0000}"/>
    <cellStyle name="SAPBEXHLevel0X 8" xfId="2764" xr:uid="{00000000-0005-0000-0000-0000F7CB0000}"/>
    <cellStyle name="SAPBEXHLevel0X 8 10" xfId="53109" xr:uid="{00000000-0005-0000-0000-0000F8CB0000}"/>
    <cellStyle name="SAPBEXHLevel0X 8 2" xfId="53110" xr:uid="{00000000-0005-0000-0000-0000F9CB0000}"/>
    <cellStyle name="SAPBEXHLevel0X 8 2 2" xfId="53111" xr:uid="{00000000-0005-0000-0000-0000FACB0000}"/>
    <cellStyle name="SAPBEXHLevel0X 8 3" xfId="53112" xr:uid="{00000000-0005-0000-0000-0000FBCB0000}"/>
    <cellStyle name="SAPBEXHLevel0X 8 3 2" xfId="53113" xr:uid="{00000000-0005-0000-0000-0000FCCB0000}"/>
    <cellStyle name="SAPBEXHLevel0X 8 4" xfId="53114" xr:uid="{00000000-0005-0000-0000-0000FDCB0000}"/>
    <cellStyle name="SAPBEXHLevel0X 8 4 2" xfId="53115" xr:uid="{00000000-0005-0000-0000-0000FECB0000}"/>
    <cellStyle name="SAPBEXHLevel0X 8 5" xfId="53116" xr:uid="{00000000-0005-0000-0000-0000FFCB0000}"/>
    <cellStyle name="SAPBEXHLevel0X 8 5 2" xfId="53117" xr:uid="{00000000-0005-0000-0000-000000CC0000}"/>
    <cellStyle name="SAPBEXHLevel0X 8 6" xfId="53118" xr:uid="{00000000-0005-0000-0000-000001CC0000}"/>
    <cellStyle name="SAPBEXHLevel0X 8 6 2" xfId="53119" xr:uid="{00000000-0005-0000-0000-000002CC0000}"/>
    <cellStyle name="SAPBEXHLevel0X 8 7" xfId="53120" xr:uid="{00000000-0005-0000-0000-000003CC0000}"/>
    <cellStyle name="SAPBEXHLevel0X 8 7 2" xfId="53121" xr:uid="{00000000-0005-0000-0000-000004CC0000}"/>
    <cellStyle name="SAPBEXHLevel0X 8 8" xfId="53122" xr:uid="{00000000-0005-0000-0000-000005CC0000}"/>
    <cellStyle name="SAPBEXHLevel0X 8 8 2" xfId="53123" xr:uid="{00000000-0005-0000-0000-000006CC0000}"/>
    <cellStyle name="SAPBEXHLevel0X 8 9" xfId="53124" xr:uid="{00000000-0005-0000-0000-000007CC0000}"/>
    <cellStyle name="SAPBEXHLevel0X 8 9 2" xfId="53125" xr:uid="{00000000-0005-0000-0000-000008CC0000}"/>
    <cellStyle name="SAPBEXHLevel0X 9" xfId="2765" xr:uid="{00000000-0005-0000-0000-000009CC0000}"/>
    <cellStyle name="SAPBEXHLevel0X 9 10" xfId="53126" xr:uid="{00000000-0005-0000-0000-00000ACC0000}"/>
    <cellStyle name="SAPBEXHLevel0X 9 2" xfId="53127" xr:uid="{00000000-0005-0000-0000-00000BCC0000}"/>
    <cellStyle name="SAPBEXHLevel0X 9 2 2" xfId="53128" xr:uid="{00000000-0005-0000-0000-00000CCC0000}"/>
    <cellStyle name="SAPBEXHLevel0X 9 3" xfId="53129" xr:uid="{00000000-0005-0000-0000-00000DCC0000}"/>
    <cellStyle name="SAPBEXHLevel0X 9 3 2" xfId="53130" xr:uid="{00000000-0005-0000-0000-00000ECC0000}"/>
    <cellStyle name="SAPBEXHLevel0X 9 4" xfId="53131" xr:uid="{00000000-0005-0000-0000-00000FCC0000}"/>
    <cellStyle name="SAPBEXHLevel0X 9 4 2" xfId="53132" xr:uid="{00000000-0005-0000-0000-000010CC0000}"/>
    <cellStyle name="SAPBEXHLevel0X 9 5" xfId="53133" xr:uid="{00000000-0005-0000-0000-000011CC0000}"/>
    <cellStyle name="SAPBEXHLevel0X 9 5 2" xfId="53134" xr:uid="{00000000-0005-0000-0000-000012CC0000}"/>
    <cellStyle name="SAPBEXHLevel0X 9 6" xfId="53135" xr:uid="{00000000-0005-0000-0000-000013CC0000}"/>
    <cellStyle name="SAPBEXHLevel0X 9 6 2" xfId="53136" xr:uid="{00000000-0005-0000-0000-000014CC0000}"/>
    <cellStyle name="SAPBEXHLevel0X 9 7" xfId="53137" xr:uid="{00000000-0005-0000-0000-000015CC0000}"/>
    <cellStyle name="SAPBEXHLevel0X 9 7 2" xfId="53138" xr:uid="{00000000-0005-0000-0000-000016CC0000}"/>
    <cellStyle name="SAPBEXHLevel0X 9 8" xfId="53139" xr:uid="{00000000-0005-0000-0000-000017CC0000}"/>
    <cellStyle name="SAPBEXHLevel0X 9 8 2" xfId="53140" xr:uid="{00000000-0005-0000-0000-000018CC0000}"/>
    <cellStyle name="SAPBEXHLevel0X 9 9" xfId="53141" xr:uid="{00000000-0005-0000-0000-000019CC0000}"/>
    <cellStyle name="SAPBEXHLevel0X 9 9 2" xfId="53142" xr:uid="{00000000-0005-0000-0000-00001ACC0000}"/>
    <cellStyle name="SAPBEXHLevel0X_(A-7) IS-Inputs" xfId="53143" xr:uid="{00000000-0005-0000-0000-00001BCC0000}"/>
    <cellStyle name="SAPBEXHLevel1" xfId="73" xr:uid="{00000000-0005-0000-0000-000081000000}"/>
    <cellStyle name="SAPBEXHLevel1 10" xfId="2766" xr:uid="{00000000-0005-0000-0000-00001DCC0000}"/>
    <cellStyle name="SAPBEXHLevel1 10 2" xfId="53144" xr:uid="{00000000-0005-0000-0000-00001ECC0000}"/>
    <cellStyle name="SAPBEXHLevel1 100" xfId="53145" xr:uid="{00000000-0005-0000-0000-00001FCC0000}"/>
    <cellStyle name="SAPBEXHLevel1 100 2" xfId="53146" xr:uid="{00000000-0005-0000-0000-000020CC0000}"/>
    <cellStyle name="SAPBEXHLevel1 101" xfId="53147" xr:uid="{00000000-0005-0000-0000-000021CC0000}"/>
    <cellStyle name="SAPBEXHLevel1 101 2" xfId="53148" xr:uid="{00000000-0005-0000-0000-000022CC0000}"/>
    <cellStyle name="SAPBEXHLevel1 102" xfId="53149" xr:uid="{00000000-0005-0000-0000-000023CC0000}"/>
    <cellStyle name="SAPBEXHLevel1 102 2" xfId="53150" xr:uid="{00000000-0005-0000-0000-000024CC0000}"/>
    <cellStyle name="SAPBEXHLevel1 103" xfId="53151" xr:uid="{00000000-0005-0000-0000-000025CC0000}"/>
    <cellStyle name="SAPBEXHLevel1 103 2" xfId="53152" xr:uid="{00000000-0005-0000-0000-000026CC0000}"/>
    <cellStyle name="SAPBEXHLevel1 104" xfId="53153" xr:uid="{00000000-0005-0000-0000-000027CC0000}"/>
    <cellStyle name="SAPBEXHLevel1 104 2" xfId="53154" xr:uid="{00000000-0005-0000-0000-000028CC0000}"/>
    <cellStyle name="SAPBEXHLevel1 105" xfId="53155" xr:uid="{00000000-0005-0000-0000-000029CC0000}"/>
    <cellStyle name="SAPBEXHLevel1 105 2" xfId="53156" xr:uid="{00000000-0005-0000-0000-00002ACC0000}"/>
    <cellStyle name="SAPBEXHLevel1 106" xfId="53157" xr:uid="{00000000-0005-0000-0000-00002BCC0000}"/>
    <cellStyle name="SAPBEXHLevel1 106 2" xfId="53158" xr:uid="{00000000-0005-0000-0000-00002CCC0000}"/>
    <cellStyle name="SAPBEXHLevel1 107" xfId="53159" xr:uid="{00000000-0005-0000-0000-00002DCC0000}"/>
    <cellStyle name="SAPBEXHLevel1 107 2" xfId="53160" xr:uid="{00000000-0005-0000-0000-00002ECC0000}"/>
    <cellStyle name="SAPBEXHLevel1 108" xfId="53161" xr:uid="{00000000-0005-0000-0000-00002FCC0000}"/>
    <cellStyle name="SAPBEXHLevel1 108 2" xfId="53162" xr:uid="{00000000-0005-0000-0000-000030CC0000}"/>
    <cellStyle name="SAPBEXHLevel1 109" xfId="53163" xr:uid="{00000000-0005-0000-0000-000031CC0000}"/>
    <cellStyle name="SAPBEXHLevel1 109 2" xfId="53164" xr:uid="{00000000-0005-0000-0000-000032CC0000}"/>
    <cellStyle name="SAPBEXHLevel1 11" xfId="2767" xr:uid="{00000000-0005-0000-0000-000033CC0000}"/>
    <cellStyle name="SAPBEXHLevel1 11 2" xfId="53165" xr:uid="{00000000-0005-0000-0000-000034CC0000}"/>
    <cellStyle name="SAPBEXHLevel1 110" xfId="53166" xr:uid="{00000000-0005-0000-0000-000035CC0000}"/>
    <cellStyle name="SAPBEXHLevel1 110 2" xfId="53167" xr:uid="{00000000-0005-0000-0000-000036CC0000}"/>
    <cellStyle name="SAPBEXHLevel1 110 3" xfId="53168" xr:uid="{00000000-0005-0000-0000-000037CC0000}"/>
    <cellStyle name="SAPBEXHLevel1 111" xfId="53169" xr:uid="{00000000-0005-0000-0000-000038CC0000}"/>
    <cellStyle name="SAPBEXHLevel1 112" xfId="53170" xr:uid="{00000000-0005-0000-0000-000039CC0000}"/>
    <cellStyle name="SAPBEXHLevel1 113" xfId="53171" xr:uid="{00000000-0005-0000-0000-00003ACC0000}"/>
    <cellStyle name="SAPBEXHLevel1 12" xfId="2768" xr:uid="{00000000-0005-0000-0000-00003BCC0000}"/>
    <cellStyle name="SAPBEXHLevel1 12 2" xfId="53172" xr:uid="{00000000-0005-0000-0000-00003CCC0000}"/>
    <cellStyle name="SAPBEXHLevel1 13" xfId="2769" xr:uid="{00000000-0005-0000-0000-00003DCC0000}"/>
    <cellStyle name="SAPBEXHLevel1 13 2" xfId="53173" xr:uid="{00000000-0005-0000-0000-00003ECC0000}"/>
    <cellStyle name="SAPBEXHLevel1 14" xfId="2770" xr:uid="{00000000-0005-0000-0000-00003FCC0000}"/>
    <cellStyle name="SAPBEXHLevel1 14 2" xfId="53174" xr:uid="{00000000-0005-0000-0000-000040CC0000}"/>
    <cellStyle name="SAPBEXHLevel1 15" xfId="2771" xr:uid="{00000000-0005-0000-0000-000041CC0000}"/>
    <cellStyle name="SAPBEXHLevel1 15 2" xfId="53175" xr:uid="{00000000-0005-0000-0000-000042CC0000}"/>
    <cellStyle name="SAPBEXHLevel1 16" xfId="2772" xr:uid="{00000000-0005-0000-0000-000043CC0000}"/>
    <cellStyle name="SAPBEXHLevel1 16 2" xfId="53176" xr:uid="{00000000-0005-0000-0000-000044CC0000}"/>
    <cellStyle name="SAPBEXHLevel1 17" xfId="2773" xr:uid="{00000000-0005-0000-0000-000045CC0000}"/>
    <cellStyle name="SAPBEXHLevel1 17 2" xfId="53177" xr:uid="{00000000-0005-0000-0000-000046CC0000}"/>
    <cellStyle name="SAPBEXHLevel1 18" xfId="2774" xr:uid="{00000000-0005-0000-0000-000047CC0000}"/>
    <cellStyle name="SAPBEXHLevel1 18 2" xfId="53178" xr:uid="{00000000-0005-0000-0000-000048CC0000}"/>
    <cellStyle name="SAPBEXHLevel1 19" xfId="2775" xr:uid="{00000000-0005-0000-0000-000049CC0000}"/>
    <cellStyle name="SAPBEXHLevel1 19 2" xfId="53179" xr:uid="{00000000-0005-0000-0000-00004ACC0000}"/>
    <cellStyle name="SAPBEXHLevel1 2" xfId="2776" xr:uid="{00000000-0005-0000-0000-00004BCC0000}"/>
    <cellStyle name="SAPBEXHLevel1 2 2" xfId="53180" xr:uid="{00000000-0005-0000-0000-00004CCC0000}"/>
    <cellStyle name="SAPBEXHLevel1 20" xfId="2777" xr:uid="{00000000-0005-0000-0000-00004DCC0000}"/>
    <cellStyle name="SAPBEXHLevel1 20 2" xfId="53181" xr:uid="{00000000-0005-0000-0000-00004ECC0000}"/>
    <cellStyle name="SAPBEXHLevel1 21" xfId="2778" xr:uid="{00000000-0005-0000-0000-00004FCC0000}"/>
    <cellStyle name="SAPBEXHLevel1 21 2" xfId="53182" xr:uid="{00000000-0005-0000-0000-000050CC0000}"/>
    <cellStyle name="SAPBEXHLevel1 22" xfId="2779" xr:uid="{00000000-0005-0000-0000-000051CC0000}"/>
    <cellStyle name="SAPBEXHLevel1 22 2" xfId="53183" xr:uid="{00000000-0005-0000-0000-000052CC0000}"/>
    <cellStyle name="SAPBEXHLevel1 23" xfId="2780" xr:uid="{00000000-0005-0000-0000-000053CC0000}"/>
    <cellStyle name="SAPBEXHLevel1 23 2" xfId="53184" xr:uid="{00000000-0005-0000-0000-000054CC0000}"/>
    <cellStyle name="SAPBEXHLevel1 24" xfId="2781" xr:uid="{00000000-0005-0000-0000-000055CC0000}"/>
    <cellStyle name="SAPBEXHLevel1 24 2" xfId="53185" xr:uid="{00000000-0005-0000-0000-000056CC0000}"/>
    <cellStyle name="SAPBEXHLevel1 25" xfId="2782" xr:uid="{00000000-0005-0000-0000-000057CC0000}"/>
    <cellStyle name="SAPBEXHLevel1 25 2" xfId="53186" xr:uid="{00000000-0005-0000-0000-000058CC0000}"/>
    <cellStyle name="SAPBEXHLevel1 26" xfId="2783" xr:uid="{00000000-0005-0000-0000-000059CC0000}"/>
    <cellStyle name="SAPBEXHLevel1 26 2" xfId="53187" xr:uid="{00000000-0005-0000-0000-00005ACC0000}"/>
    <cellStyle name="SAPBEXHLevel1 27" xfId="2784" xr:uid="{00000000-0005-0000-0000-00005BCC0000}"/>
    <cellStyle name="SAPBEXHLevel1 27 2" xfId="53188" xr:uid="{00000000-0005-0000-0000-00005CCC0000}"/>
    <cellStyle name="SAPBEXHLevel1 28" xfId="2785" xr:uid="{00000000-0005-0000-0000-00005DCC0000}"/>
    <cellStyle name="SAPBEXHLevel1 28 2" xfId="53189" xr:uid="{00000000-0005-0000-0000-00005ECC0000}"/>
    <cellStyle name="SAPBEXHLevel1 29" xfId="2786" xr:uid="{00000000-0005-0000-0000-00005FCC0000}"/>
    <cellStyle name="SAPBEXHLevel1 29 2" xfId="53190" xr:uid="{00000000-0005-0000-0000-000060CC0000}"/>
    <cellStyle name="SAPBEXHLevel1 3" xfId="2787" xr:uid="{00000000-0005-0000-0000-000061CC0000}"/>
    <cellStyle name="SAPBEXHLevel1 3 2" xfId="53191" xr:uid="{00000000-0005-0000-0000-000062CC0000}"/>
    <cellStyle name="SAPBEXHLevel1 30" xfId="2788" xr:uid="{00000000-0005-0000-0000-000063CC0000}"/>
    <cellStyle name="SAPBEXHLevel1 30 2" xfId="53192" xr:uid="{00000000-0005-0000-0000-000064CC0000}"/>
    <cellStyle name="SAPBEXHLevel1 31" xfId="2789" xr:uid="{00000000-0005-0000-0000-000065CC0000}"/>
    <cellStyle name="SAPBEXHLevel1 31 2" xfId="53193" xr:uid="{00000000-0005-0000-0000-000066CC0000}"/>
    <cellStyle name="SAPBEXHLevel1 32" xfId="2790" xr:uid="{00000000-0005-0000-0000-000067CC0000}"/>
    <cellStyle name="SAPBEXHLevel1 32 2" xfId="53194" xr:uid="{00000000-0005-0000-0000-000068CC0000}"/>
    <cellStyle name="SAPBEXHLevel1 33" xfId="2791" xr:uid="{00000000-0005-0000-0000-000069CC0000}"/>
    <cellStyle name="SAPBEXHLevel1 33 2" xfId="53195" xr:uid="{00000000-0005-0000-0000-00006ACC0000}"/>
    <cellStyle name="SAPBEXHLevel1 34" xfId="2792" xr:uid="{00000000-0005-0000-0000-00006BCC0000}"/>
    <cellStyle name="SAPBEXHLevel1 34 2" xfId="53196" xr:uid="{00000000-0005-0000-0000-00006CCC0000}"/>
    <cellStyle name="SAPBEXHLevel1 35" xfId="2793" xr:uid="{00000000-0005-0000-0000-00006DCC0000}"/>
    <cellStyle name="SAPBEXHLevel1 35 2" xfId="53197" xr:uid="{00000000-0005-0000-0000-00006ECC0000}"/>
    <cellStyle name="SAPBEXHLevel1 36" xfId="2794" xr:uid="{00000000-0005-0000-0000-00006FCC0000}"/>
    <cellStyle name="SAPBEXHLevel1 36 2" xfId="53198" xr:uid="{00000000-0005-0000-0000-000070CC0000}"/>
    <cellStyle name="SAPBEXHLevel1 37" xfId="2795" xr:uid="{00000000-0005-0000-0000-000071CC0000}"/>
    <cellStyle name="SAPBEXHLevel1 37 2" xfId="53199" xr:uid="{00000000-0005-0000-0000-000072CC0000}"/>
    <cellStyle name="SAPBEXHLevel1 38" xfId="2796" xr:uid="{00000000-0005-0000-0000-000073CC0000}"/>
    <cellStyle name="SAPBEXHLevel1 38 2" xfId="53200" xr:uid="{00000000-0005-0000-0000-000074CC0000}"/>
    <cellStyle name="SAPBEXHLevel1 39" xfId="2797" xr:uid="{00000000-0005-0000-0000-000075CC0000}"/>
    <cellStyle name="SAPBEXHLevel1 39 2" xfId="53201" xr:uid="{00000000-0005-0000-0000-000076CC0000}"/>
    <cellStyle name="SAPBEXHLevel1 4" xfId="2798" xr:uid="{00000000-0005-0000-0000-000077CC0000}"/>
    <cellStyle name="SAPBEXHLevel1 4 2" xfId="53202" xr:uid="{00000000-0005-0000-0000-000078CC0000}"/>
    <cellStyle name="SAPBEXHLevel1 40" xfId="2799" xr:uid="{00000000-0005-0000-0000-000079CC0000}"/>
    <cellStyle name="SAPBEXHLevel1 40 2" xfId="53203" xr:uid="{00000000-0005-0000-0000-00007ACC0000}"/>
    <cellStyle name="SAPBEXHLevel1 41" xfId="2800" xr:uid="{00000000-0005-0000-0000-00007BCC0000}"/>
    <cellStyle name="SAPBEXHLevel1 41 2" xfId="53204" xr:uid="{00000000-0005-0000-0000-00007CCC0000}"/>
    <cellStyle name="SAPBEXHLevel1 42" xfId="2801" xr:uid="{00000000-0005-0000-0000-00007DCC0000}"/>
    <cellStyle name="SAPBEXHLevel1 42 2" xfId="53205" xr:uid="{00000000-0005-0000-0000-00007ECC0000}"/>
    <cellStyle name="SAPBEXHLevel1 43" xfId="2802" xr:uid="{00000000-0005-0000-0000-00007FCC0000}"/>
    <cellStyle name="SAPBEXHLevel1 43 2" xfId="53206" xr:uid="{00000000-0005-0000-0000-000080CC0000}"/>
    <cellStyle name="SAPBEXHLevel1 44" xfId="2803" xr:uid="{00000000-0005-0000-0000-000081CC0000}"/>
    <cellStyle name="SAPBEXHLevel1 44 2" xfId="53207" xr:uid="{00000000-0005-0000-0000-000082CC0000}"/>
    <cellStyle name="SAPBEXHLevel1 45" xfId="2804" xr:uid="{00000000-0005-0000-0000-000083CC0000}"/>
    <cellStyle name="SAPBEXHLevel1 45 2" xfId="53208" xr:uid="{00000000-0005-0000-0000-000084CC0000}"/>
    <cellStyle name="SAPBEXHLevel1 46" xfId="53209" xr:uid="{00000000-0005-0000-0000-000085CC0000}"/>
    <cellStyle name="SAPBEXHLevel1 46 2" xfId="53210" xr:uid="{00000000-0005-0000-0000-000086CC0000}"/>
    <cellStyle name="SAPBEXHLevel1 46 3" xfId="53211" xr:uid="{00000000-0005-0000-0000-000087CC0000}"/>
    <cellStyle name="SAPBEXHLevel1 46 4" xfId="53212" xr:uid="{00000000-0005-0000-0000-000088CC0000}"/>
    <cellStyle name="SAPBEXHLevel1 47" xfId="53213" xr:uid="{00000000-0005-0000-0000-000089CC0000}"/>
    <cellStyle name="SAPBEXHLevel1 47 2" xfId="53214" xr:uid="{00000000-0005-0000-0000-00008ACC0000}"/>
    <cellStyle name="SAPBEXHLevel1 47 3" xfId="53215" xr:uid="{00000000-0005-0000-0000-00008BCC0000}"/>
    <cellStyle name="SAPBEXHLevel1 47 4" xfId="53216" xr:uid="{00000000-0005-0000-0000-00008CCC0000}"/>
    <cellStyle name="SAPBEXHLevel1 48" xfId="53217" xr:uid="{00000000-0005-0000-0000-00008DCC0000}"/>
    <cellStyle name="SAPBEXHLevel1 48 2" xfId="53218" xr:uid="{00000000-0005-0000-0000-00008ECC0000}"/>
    <cellStyle name="SAPBEXHLevel1 49" xfId="53219" xr:uid="{00000000-0005-0000-0000-00008FCC0000}"/>
    <cellStyle name="SAPBEXHLevel1 49 2" xfId="53220" xr:uid="{00000000-0005-0000-0000-000090CC0000}"/>
    <cellStyle name="SAPBEXHLevel1 5" xfId="2805" xr:uid="{00000000-0005-0000-0000-000091CC0000}"/>
    <cellStyle name="SAPBEXHLevel1 5 2" xfId="53221" xr:uid="{00000000-0005-0000-0000-000092CC0000}"/>
    <cellStyle name="SAPBEXHLevel1 50" xfId="53222" xr:uid="{00000000-0005-0000-0000-000093CC0000}"/>
    <cellStyle name="SAPBEXHLevel1 50 2" xfId="53223" xr:uid="{00000000-0005-0000-0000-000094CC0000}"/>
    <cellStyle name="SAPBEXHLevel1 51" xfId="53224" xr:uid="{00000000-0005-0000-0000-000095CC0000}"/>
    <cellStyle name="SAPBEXHLevel1 51 2" xfId="53225" xr:uid="{00000000-0005-0000-0000-000096CC0000}"/>
    <cellStyle name="SAPBEXHLevel1 52" xfId="53226" xr:uid="{00000000-0005-0000-0000-000097CC0000}"/>
    <cellStyle name="SAPBEXHLevel1 52 2" xfId="53227" xr:uid="{00000000-0005-0000-0000-000098CC0000}"/>
    <cellStyle name="SAPBEXHLevel1 53" xfId="53228" xr:uid="{00000000-0005-0000-0000-000099CC0000}"/>
    <cellStyle name="SAPBEXHLevel1 53 2" xfId="53229" xr:uid="{00000000-0005-0000-0000-00009ACC0000}"/>
    <cellStyle name="SAPBEXHLevel1 54" xfId="53230" xr:uid="{00000000-0005-0000-0000-00009BCC0000}"/>
    <cellStyle name="SAPBEXHLevel1 54 2" xfId="53231" xr:uid="{00000000-0005-0000-0000-00009CCC0000}"/>
    <cellStyle name="SAPBEXHLevel1 55" xfId="53232" xr:uid="{00000000-0005-0000-0000-00009DCC0000}"/>
    <cellStyle name="SAPBEXHLevel1 55 2" xfId="53233" xr:uid="{00000000-0005-0000-0000-00009ECC0000}"/>
    <cellStyle name="SAPBEXHLevel1 56" xfId="53234" xr:uid="{00000000-0005-0000-0000-00009FCC0000}"/>
    <cellStyle name="SAPBEXHLevel1 56 2" xfId="53235" xr:uid="{00000000-0005-0000-0000-0000A0CC0000}"/>
    <cellStyle name="SAPBEXHLevel1 57" xfId="53236" xr:uid="{00000000-0005-0000-0000-0000A1CC0000}"/>
    <cellStyle name="SAPBEXHLevel1 57 2" xfId="53237" xr:uid="{00000000-0005-0000-0000-0000A2CC0000}"/>
    <cellStyle name="SAPBEXHLevel1 58" xfId="53238" xr:uid="{00000000-0005-0000-0000-0000A3CC0000}"/>
    <cellStyle name="SAPBEXHLevel1 58 2" xfId="53239" xr:uid="{00000000-0005-0000-0000-0000A4CC0000}"/>
    <cellStyle name="SAPBEXHLevel1 59" xfId="53240" xr:uid="{00000000-0005-0000-0000-0000A5CC0000}"/>
    <cellStyle name="SAPBEXHLevel1 59 2" xfId="53241" xr:uid="{00000000-0005-0000-0000-0000A6CC0000}"/>
    <cellStyle name="SAPBEXHLevel1 6" xfId="2806" xr:uid="{00000000-0005-0000-0000-0000A7CC0000}"/>
    <cellStyle name="SAPBEXHLevel1 6 2" xfId="53242" xr:uid="{00000000-0005-0000-0000-0000A8CC0000}"/>
    <cellStyle name="SAPBEXHLevel1 60" xfId="53243" xr:uid="{00000000-0005-0000-0000-0000A9CC0000}"/>
    <cellStyle name="SAPBEXHLevel1 60 2" xfId="53244" xr:uid="{00000000-0005-0000-0000-0000AACC0000}"/>
    <cellStyle name="SAPBEXHLevel1 61" xfId="53245" xr:uid="{00000000-0005-0000-0000-0000ABCC0000}"/>
    <cellStyle name="SAPBEXHLevel1 61 2" xfId="53246" xr:uid="{00000000-0005-0000-0000-0000ACCC0000}"/>
    <cellStyle name="SAPBEXHLevel1 62" xfId="53247" xr:uid="{00000000-0005-0000-0000-0000ADCC0000}"/>
    <cellStyle name="SAPBEXHLevel1 62 2" xfId="53248" xr:uid="{00000000-0005-0000-0000-0000AECC0000}"/>
    <cellStyle name="SAPBEXHLevel1 63" xfId="53249" xr:uid="{00000000-0005-0000-0000-0000AFCC0000}"/>
    <cellStyle name="SAPBEXHLevel1 63 2" xfId="53250" xr:uid="{00000000-0005-0000-0000-0000B0CC0000}"/>
    <cellStyle name="SAPBEXHLevel1 64" xfId="53251" xr:uid="{00000000-0005-0000-0000-0000B1CC0000}"/>
    <cellStyle name="SAPBEXHLevel1 64 2" xfId="53252" xr:uid="{00000000-0005-0000-0000-0000B2CC0000}"/>
    <cellStyle name="SAPBEXHLevel1 65" xfId="53253" xr:uid="{00000000-0005-0000-0000-0000B3CC0000}"/>
    <cellStyle name="SAPBEXHLevel1 65 2" xfId="53254" xr:uid="{00000000-0005-0000-0000-0000B4CC0000}"/>
    <cellStyle name="SAPBEXHLevel1 66" xfId="53255" xr:uid="{00000000-0005-0000-0000-0000B5CC0000}"/>
    <cellStyle name="SAPBEXHLevel1 66 2" xfId="53256" xr:uid="{00000000-0005-0000-0000-0000B6CC0000}"/>
    <cellStyle name="SAPBEXHLevel1 67" xfId="53257" xr:uid="{00000000-0005-0000-0000-0000B7CC0000}"/>
    <cellStyle name="SAPBEXHLevel1 67 2" xfId="53258" xr:uid="{00000000-0005-0000-0000-0000B8CC0000}"/>
    <cellStyle name="SAPBEXHLevel1 68" xfId="53259" xr:uid="{00000000-0005-0000-0000-0000B9CC0000}"/>
    <cellStyle name="SAPBEXHLevel1 68 2" xfId="53260" xr:uid="{00000000-0005-0000-0000-0000BACC0000}"/>
    <cellStyle name="SAPBEXHLevel1 69" xfId="53261" xr:uid="{00000000-0005-0000-0000-0000BBCC0000}"/>
    <cellStyle name="SAPBEXHLevel1 69 2" xfId="53262" xr:uid="{00000000-0005-0000-0000-0000BCCC0000}"/>
    <cellStyle name="SAPBEXHLevel1 7" xfId="2807" xr:uid="{00000000-0005-0000-0000-0000BDCC0000}"/>
    <cellStyle name="SAPBEXHLevel1 7 2" xfId="53263" xr:uid="{00000000-0005-0000-0000-0000BECC0000}"/>
    <cellStyle name="SAPBEXHLevel1 70" xfId="53264" xr:uid="{00000000-0005-0000-0000-0000BFCC0000}"/>
    <cellStyle name="SAPBEXHLevel1 70 2" xfId="53265" xr:uid="{00000000-0005-0000-0000-0000C0CC0000}"/>
    <cellStyle name="SAPBEXHLevel1 71" xfId="53266" xr:uid="{00000000-0005-0000-0000-0000C1CC0000}"/>
    <cellStyle name="SAPBEXHLevel1 71 2" xfId="53267" xr:uid="{00000000-0005-0000-0000-0000C2CC0000}"/>
    <cellStyle name="SAPBEXHLevel1 72" xfId="53268" xr:uid="{00000000-0005-0000-0000-0000C3CC0000}"/>
    <cellStyle name="SAPBEXHLevel1 72 2" xfId="53269" xr:uid="{00000000-0005-0000-0000-0000C4CC0000}"/>
    <cellStyle name="SAPBEXHLevel1 73" xfId="53270" xr:uid="{00000000-0005-0000-0000-0000C5CC0000}"/>
    <cellStyle name="SAPBEXHLevel1 73 2" xfId="53271" xr:uid="{00000000-0005-0000-0000-0000C6CC0000}"/>
    <cellStyle name="SAPBEXHLevel1 74" xfId="53272" xr:uid="{00000000-0005-0000-0000-0000C7CC0000}"/>
    <cellStyle name="SAPBEXHLevel1 74 2" xfId="53273" xr:uid="{00000000-0005-0000-0000-0000C8CC0000}"/>
    <cellStyle name="SAPBEXHLevel1 75" xfId="53274" xr:uid="{00000000-0005-0000-0000-0000C9CC0000}"/>
    <cellStyle name="SAPBEXHLevel1 75 2" xfId="53275" xr:uid="{00000000-0005-0000-0000-0000CACC0000}"/>
    <cellStyle name="SAPBEXHLevel1 76" xfId="53276" xr:uid="{00000000-0005-0000-0000-0000CBCC0000}"/>
    <cellStyle name="SAPBEXHLevel1 76 2" xfId="53277" xr:uid="{00000000-0005-0000-0000-0000CCCC0000}"/>
    <cellStyle name="SAPBEXHLevel1 77" xfId="53278" xr:uid="{00000000-0005-0000-0000-0000CDCC0000}"/>
    <cellStyle name="SAPBEXHLevel1 77 2" xfId="53279" xr:uid="{00000000-0005-0000-0000-0000CECC0000}"/>
    <cellStyle name="SAPBEXHLevel1 78" xfId="53280" xr:uid="{00000000-0005-0000-0000-0000CFCC0000}"/>
    <cellStyle name="SAPBEXHLevel1 78 2" xfId="53281" xr:uid="{00000000-0005-0000-0000-0000D0CC0000}"/>
    <cellStyle name="SAPBEXHLevel1 79" xfId="53282" xr:uid="{00000000-0005-0000-0000-0000D1CC0000}"/>
    <cellStyle name="SAPBEXHLevel1 79 2" xfId="53283" xr:uid="{00000000-0005-0000-0000-0000D2CC0000}"/>
    <cellStyle name="SAPBEXHLevel1 8" xfId="2808" xr:uid="{00000000-0005-0000-0000-0000D3CC0000}"/>
    <cellStyle name="SAPBEXHLevel1 8 2" xfId="53284" xr:uid="{00000000-0005-0000-0000-0000D4CC0000}"/>
    <cellStyle name="SAPBEXHLevel1 80" xfId="53285" xr:uid="{00000000-0005-0000-0000-0000D5CC0000}"/>
    <cellStyle name="SAPBEXHLevel1 80 2" xfId="53286" xr:uid="{00000000-0005-0000-0000-0000D6CC0000}"/>
    <cellStyle name="SAPBEXHLevel1 81" xfId="53287" xr:uid="{00000000-0005-0000-0000-0000D7CC0000}"/>
    <cellStyle name="SAPBEXHLevel1 81 2" xfId="53288" xr:uid="{00000000-0005-0000-0000-0000D8CC0000}"/>
    <cellStyle name="SAPBEXHLevel1 82" xfId="53289" xr:uid="{00000000-0005-0000-0000-0000D9CC0000}"/>
    <cellStyle name="SAPBEXHLevel1 82 2" xfId="53290" xr:uid="{00000000-0005-0000-0000-0000DACC0000}"/>
    <cellStyle name="SAPBEXHLevel1 83" xfId="53291" xr:uid="{00000000-0005-0000-0000-0000DBCC0000}"/>
    <cellStyle name="SAPBEXHLevel1 83 2" xfId="53292" xr:uid="{00000000-0005-0000-0000-0000DCCC0000}"/>
    <cellStyle name="SAPBEXHLevel1 84" xfId="53293" xr:uid="{00000000-0005-0000-0000-0000DDCC0000}"/>
    <cellStyle name="SAPBEXHLevel1 84 2" xfId="53294" xr:uid="{00000000-0005-0000-0000-0000DECC0000}"/>
    <cellStyle name="SAPBEXHLevel1 85" xfId="53295" xr:uid="{00000000-0005-0000-0000-0000DFCC0000}"/>
    <cellStyle name="SAPBEXHLevel1 85 2" xfId="53296" xr:uid="{00000000-0005-0000-0000-0000E0CC0000}"/>
    <cellStyle name="SAPBEXHLevel1 86" xfId="53297" xr:uid="{00000000-0005-0000-0000-0000E1CC0000}"/>
    <cellStyle name="SAPBEXHLevel1 86 2" xfId="53298" xr:uid="{00000000-0005-0000-0000-0000E2CC0000}"/>
    <cellStyle name="SAPBEXHLevel1 87" xfId="53299" xr:uid="{00000000-0005-0000-0000-0000E3CC0000}"/>
    <cellStyle name="SAPBEXHLevel1 87 2" xfId="53300" xr:uid="{00000000-0005-0000-0000-0000E4CC0000}"/>
    <cellStyle name="SAPBEXHLevel1 88" xfId="53301" xr:uid="{00000000-0005-0000-0000-0000E5CC0000}"/>
    <cellStyle name="SAPBEXHLevel1 88 2" xfId="53302" xr:uid="{00000000-0005-0000-0000-0000E6CC0000}"/>
    <cellStyle name="SAPBEXHLevel1 89" xfId="53303" xr:uid="{00000000-0005-0000-0000-0000E7CC0000}"/>
    <cellStyle name="SAPBEXHLevel1 89 2" xfId="53304" xr:uid="{00000000-0005-0000-0000-0000E8CC0000}"/>
    <cellStyle name="SAPBEXHLevel1 9" xfId="2809" xr:uid="{00000000-0005-0000-0000-0000E9CC0000}"/>
    <cellStyle name="SAPBEXHLevel1 9 2" xfId="53305" xr:uid="{00000000-0005-0000-0000-0000EACC0000}"/>
    <cellStyle name="SAPBEXHLevel1 90" xfId="53306" xr:uid="{00000000-0005-0000-0000-0000EBCC0000}"/>
    <cellStyle name="SAPBEXHLevel1 90 2" xfId="53307" xr:uid="{00000000-0005-0000-0000-0000ECCC0000}"/>
    <cellStyle name="SAPBEXHLevel1 91" xfId="53308" xr:uid="{00000000-0005-0000-0000-0000EDCC0000}"/>
    <cellStyle name="SAPBEXHLevel1 91 2" xfId="53309" xr:uid="{00000000-0005-0000-0000-0000EECC0000}"/>
    <cellStyle name="SAPBEXHLevel1 92" xfId="53310" xr:uid="{00000000-0005-0000-0000-0000EFCC0000}"/>
    <cellStyle name="SAPBEXHLevel1 92 2" xfId="53311" xr:uid="{00000000-0005-0000-0000-0000F0CC0000}"/>
    <cellStyle name="SAPBEXHLevel1 93" xfId="53312" xr:uid="{00000000-0005-0000-0000-0000F1CC0000}"/>
    <cellStyle name="SAPBEXHLevel1 93 2" xfId="53313" xr:uid="{00000000-0005-0000-0000-0000F2CC0000}"/>
    <cellStyle name="SAPBEXHLevel1 94" xfId="53314" xr:uid="{00000000-0005-0000-0000-0000F3CC0000}"/>
    <cellStyle name="SAPBEXHLevel1 94 2" xfId="53315" xr:uid="{00000000-0005-0000-0000-0000F4CC0000}"/>
    <cellStyle name="SAPBEXHLevel1 95" xfId="53316" xr:uid="{00000000-0005-0000-0000-0000F5CC0000}"/>
    <cellStyle name="SAPBEXHLevel1 95 2" xfId="53317" xr:uid="{00000000-0005-0000-0000-0000F6CC0000}"/>
    <cellStyle name="SAPBEXHLevel1 96" xfId="53318" xr:uid="{00000000-0005-0000-0000-0000F7CC0000}"/>
    <cellStyle name="SAPBEXHLevel1 96 2" xfId="53319" xr:uid="{00000000-0005-0000-0000-0000F8CC0000}"/>
    <cellStyle name="SAPBEXHLevel1 97" xfId="53320" xr:uid="{00000000-0005-0000-0000-0000F9CC0000}"/>
    <cellStyle name="SAPBEXHLevel1 97 2" xfId="53321" xr:uid="{00000000-0005-0000-0000-0000FACC0000}"/>
    <cellStyle name="SAPBEXHLevel1 98" xfId="53322" xr:uid="{00000000-0005-0000-0000-0000FBCC0000}"/>
    <cellStyle name="SAPBEXHLevel1 98 2" xfId="53323" xr:uid="{00000000-0005-0000-0000-0000FCCC0000}"/>
    <cellStyle name="SAPBEXHLevel1 99" xfId="53324" xr:uid="{00000000-0005-0000-0000-0000FDCC0000}"/>
    <cellStyle name="SAPBEXHLevel1 99 2" xfId="53325" xr:uid="{00000000-0005-0000-0000-0000FECC0000}"/>
    <cellStyle name="SAPBEXHLevel1_(A-7) IS-Inputs" xfId="53326" xr:uid="{00000000-0005-0000-0000-0000FFCC0000}"/>
    <cellStyle name="SAPBEXHLevel1X" xfId="74" xr:uid="{00000000-0005-0000-0000-000082000000}"/>
    <cellStyle name="SAPBEXHLevel1X 10" xfId="2810" xr:uid="{00000000-0005-0000-0000-000001CD0000}"/>
    <cellStyle name="SAPBEXHLevel1X 10 10" xfId="53327" xr:uid="{00000000-0005-0000-0000-000002CD0000}"/>
    <cellStyle name="SAPBEXHLevel1X 10 2" xfId="53328" xr:uid="{00000000-0005-0000-0000-000003CD0000}"/>
    <cellStyle name="SAPBEXHLevel1X 10 2 2" xfId="53329" xr:uid="{00000000-0005-0000-0000-000004CD0000}"/>
    <cellStyle name="SAPBEXHLevel1X 10 3" xfId="53330" xr:uid="{00000000-0005-0000-0000-000005CD0000}"/>
    <cellStyle name="SAPBEXHLevel1X 10 3 2" xfId="53331" xr:uid="{00000000-0005-0000-0000-000006CD0000}"/>
    <cellStyle name="SAPBEXHLevel1X 10 4" xfId="53332" xr:uid="{00000000-0005-0000-0000-000007CD0000}"/>
    <cellStyle name="SAPBEXHLevel1X 10 4 2" xfId="53333" xr:uid="{00000000-0005-0000-0000-000008CD0000}"/>
    <cellStyle name="SAPBEXHLevel1X 10 5" xfId="53334" xr:uid="{00000000-0005-0000-0000-000009CD0000}"/>
    <cellStyle name="SAPBEXHLevel1X 10 5 2" xfId="53335" xr:uid="{00000000-0005-0000-0000-00000ACD0000}"/>
    <cellStyle name="SAPBEXHLevel1X 10 6" xfId="53336" xr:uid="{00000000-0005-0000-0000-00000BCD0000}"/>
    <cellStyle name="SAPBEXHLevel1X 10 6 2" xfId="53337" xr:uid="{00000000-0005-0000-0000-00000CCD0000}"/>
    <cellStyle name="SAPBEXHLevel1X 10 7" xfId="53338" xr:uid="{00000000-0005-0000-0000-00000DCD0000}"/>
    <cellStyle name="SAPBEXHLevel1X 10 7 2" xfId="53339" xr:uid="{00000000-0005-0000-0000-00000ECD0000}"/>
    <cellStyle name="SAPBEXHLevel1X 10 8" xfId="53340" xr:uid="{00000000-0005-0000-0000-00000FCD0000}"/>
    <cellStyle name="SAPBEXHLevel1X 10 8 2" xfId="53341" xr:uid="{00000000-0005-0000-0000-000010CD0000}"/>
    <cellStyle name="SAPBEXHLevel1X 10 9" xfId="53342" xr:uid="{00000000-0005-0000-0000-000011CD0000}"/>
    <cellStyle name="SAPBEXHLevel1X 10 9 2" xfId="53343" xr:uid="{00000000-0005-0000-0000-000012CD0000}"/>
    <cellStyle name="SAPBEXHLevel1X 11" xfId="2811" xr:uid="{00000000-0005-0000-0000-000013CD0000}"/>
    <cellStyle name="SAPBEXHLevel1X 11 2" xfId="53344" xr:uid="{00000000-0005-0000-0000-000014CD0000}"/>
    <cellStyle name="SAPBEXHLevel1X 11 2 2" xfId="53345" xr:uid="{00000000-0005-0000-0000-000015CD0000}"/>
    <cellStyle name="SAPBEXHLevel1X 11 3" xfId="53346" xr:uid="{00000000-0005-0000-0000-000016CD0000}"/>
    <cellStyle name="SAPBEXHLevel1X 12" xfId="2812" xr:uid="{00000000-0005-0000-0000-000017CD0000}"/>
    <cellStyle name="SAPBEXHLevel1X 12 2" xfId="53347" xr:uid="{00000000-0005-0000-0000-000018CD0000}"/>
    <cellStyle name="SAPBEXHLevel1X 12 2 2" xfId="53348" xr:uid="{00000000-0005-0000-0000-000019CD0000}"/>
    <cellStyle name="SAPBEXHLevel1X 12 3" xfId="53349" xr:uid="{00000000-0005-0000-0000-00001ACD0000}"/>
    <cellStyle name="SAPBEXHLevel1X 12 3 2" xfId="53350" xr:uid="{00000000-0005-0000-0000-00001BCD0000}"/>
    <cellStyle name="SAPBEXHLevel1X 12 4" xfId="53351" xr:uid="{00000000-0005-0000-0000-00001CCD0000}"/>
    <cellStyle name="SAPBEXHLevel1X 12 4 2" xfId="53352" xr:uid="{00000000-0005-0000-0000-00001DCD0000}"/>
    <cellStyle name="SAPBEXHLevel1X 12 5" xfId="53353" xr:uid="{00000000-0005-0000-0000-00001ECD0000}"/>
    <cellStyle name="SAPBEXHLevel1X 12 5 2" xfId="53354" xr:uid="{00000000-0005-0000-0000-00001FCD0000}"/>
    <cellStyle name="SAPBEXHLevel1X 12 6" xfId="53355" xr:uid="{00000000-0005-0000-0000-000020CD0000}"/>
    <cellStyle name="SAPBEXHLevel1X 12 6 2" xfId="53356" xr:uid="{00000000-0005-0000-0000-000021CD0000}"/>
    <cellStyle name="SAPBEXHLevel1X 12 7" xfId="53357" xr:uid="{00000000-0005-0000-0000-000022CD0000}"/>
    <cellStyle name="SAPBEXHLevel1X 12 7 2" xfId="53358" xr:uid="{00000000-0005-0000-0000-000023CD0000}"/>
    <cellStyle name="SAPBEXHLevel1X 12 8" xfId="53359" xr:uid="{00000000-0005-0000-0000-000024CD0000}"/>
    <cellStyle name="SAPBEXHLevel1X 12 8 2" xfId="53360" xr:uid="{00000000-0005-0000-0000-000025CD0000}"/>
    <cellStyle name="SAPBEXHLevel1X 12 9" xfId="53361" xr:uid="{00000000-0005-0000-0000-000026CD0000}"/>
    <cellStyle name="SAPBEXHLevel1X 13" xfId="2813" xr:uid="{00000000-0005-0000-0000-000027CD0000}"/>
    <cellStyle name="SAPBEXHLevel1X 13 2" xfId="53362" xr:uid="{00000000-0005-0000-0000-000028CD0000}"/>
    <cellStyle name="SAPBEXHLevel1X 13 2 2" xfId="53363" xr:uid="{00000000-0005-0000-0000-000029CD0000}"/>
    <cellStyle name="SAPBEXHLevel1X 13 3" xfId="53364" xr:uid="{00000000-0005-0000-0000-00002ACD0000}"/>
    <cellStyle name="SAPBEXHLevel1X 13 3 2" xfId="53365" xr:uid="{00000000-0005-0000-0000-00002BCD0000}"/>
    <cellStyle name="SAPBEXHLevel1X 13 4" xfId="53366" xr:uid="{00000000-0005-0000-0000-00002CCD0000}"/>
    <cellStyle name="SAPBEXHLevel1X 13 4 2" xfId="53367" xr:uid="{00000000-0005-0000-0000-00002DCD0000}"/>
    <cellStyle name="SAPBEXHLevel1X 13 5" xfId="53368" xr:uid="{00000000-0005-0000-0000-00002ECD0000}"/>
    <cellStyle name="SAPBEXHLevel1X 13 5 2" xfId="53369" xr:uid="{00000000-0005-0000-0000-00002FCD0000}"/>
    <cellStyle name="SAPBEXHLevel1X 13 6" xfId="53370" xr:uid="{00000000-0005-0000-0000-000030CD0000}"/>
    <cellStyle name="SAPBEXHLevel1X 13 6 2" xfId="53371" xr:uid="{00000000-0005-0000-0000-000031CD0000}"/>
    <cellStyle name="SAPBEXHLevel1X 13 7" xfId="53372" xr:uid="{00000000-0005-0000-0000-000032CD0000}"/>
    <cellStyle name="SAPBEXHLevel1X 13 7 2" xfId="53373" xr:uid="{00000000-0005-0000-0000-000033CD0000}"/>
    <cellStyle name="SAPBEXHLevel1X 13 8" xfId="53374" xr:uid="{00000000-0005-0000-0000-000034CD0000}"/>
    <cellStyle name="SAPBEXHLevel1X 13 8 2" xfId="53375" xr:uid="{00000000-0005-0000-0000-000035CD0000}"/>
    <cellStyle name="SAPBEXHLevel1X 13 9" xfId="53376" xr:uid="{00000000-0005-0000-0000-000036CD0000}"/>
    <cellStyle name="SAPBEXHLevel1X 14" xfId="2814" xr:uid="{00000000-0005-0000-0000-000037CD0000}"/>
    <cellStyle name="SAPBEXHLevel1X 14 2" xfId="53377" xr:uid="{00000000-0005-0000-0000-000038CD0000}"/>
    <cellStyle name="SAPBEXHLevel1X 14 2 2" xfId="53378" xr:uid="{00000000-0005-0000-0000-000039CD0000}"/>
    <cellStyle name="SAPBEXHLevel1X 14 3" xfId="53379" xr:uid="{00000000-0005-0000-0000-00003ACD0000}"/>
    <cellStyle name="SAPBEXHLevel1X 15" xfId="2815" xr:uid="{00000000-0005-0000-0000-00003BCD0000}"/>
    <cellStyle name="SAPBEXHLevel1X 15 2" xfId="53380" xr:uid="{00000000-0005-0000-0000-00003CCD0000}"/>
    <cellStyle name="SAPBEXHLevel1X 15 2 2" xfId="53381" xr:uid="{00000000-0005-0000-0000-00003DCD0000}"/>
    <cellStyle name="SAPBEXHLevel1X 15 3" xfId="53382" xr:uid="{00000000-0005-0000-0000-00003ECD0000}"/>
    <cellStyle name="SAPBEXHLevel1X 16" xfId="2816" xr:uid="{00000000-0005-0000-0000-00003FCD0000}"/>
    <cellStyle name="SAPBEXHLevel1X 16 2" xfId="53383" xr:uid="{00000000-0005-0000-0000-000040CD0000}"/>
    <cellStyle name="SAPBEXHLevel1X 16 2 2" xfId="53384" xr:uid="{00000000-0005-0000-0000-000041CD0000}"/>
    <cellStyle name="SAPBEXHLevel1X 16 3" xfId="53385" xr:uid="{00000000-0005-0000-0000-000042CD0000}"/>
    <cellStyle name="SAPBEXHLevel1X 17" xfId="2817" xr:uid="{00000000-0005-0000-0000-000043CD0000}"/>
    <cellStyle name="SAPBEXHLevel1X 17 2" xfId="53386" xr:uid="{00000000-0005-0000-0000-000044CD0000}"/>
    <cellStyle name="SAPBEXHLevel1X 17 2 2" xfId="53387" xr:uid="{00000000-0005-0000-0000-000045CD0000}"/>
    <cellStyle name="SAPBEXHLevel1X 17 3" xfId="53388" xr:uid="{00000000-0005-0000-0000-000046CD0000}"/>
    <cellStyle name="SAPBEXHLevel1X 18" xfId="2818" xr:uid="{00000000-0005-0000-0000-000047CD0000}"/>
    <cellStyle name="SAPBEXHLevel1X 18 2" xfId="53389" xr:uid="{00000000-0005-0000-0000-000048CD0000}"/>
    <cellStyle name="SAPBEXHLevel1X 18 2 2" xfId="53390" xr:uid="{00000000-0005-0000-0000-000049CD0000}"/>
    <cellStyle name="SAPBEXHLevel1X 18 3" xfId="53391" xr:uid="{00000000-0005-0000-0000-00004ACD0000}"/>
    <cellStyle name="SAPBEXHLevel1X 19" xfId="2819" xr:uid="{00000000-0005-0000-0000-00004BCD0000}"/>
    <cellStyle name="SAPBEXHLevel1X 19 2" xfId="53392" xr:uid="{00000000-0005-0000-0000-00004CCD0000}"/>
    <cellStyle name="SAPBEXHLevel1X 19 2 2" xfId="53393" xr:uid="{00000000-0005-0000-0000-00004DCD0000}"/>
    <cellStyle name="SAPBEXHLevel1X 19 3" xfId="53394" xr:uid="{00000000-0005-0000-0000-00004ECD0000}"/>
    <cellStyle name="SAPBEXHLevel1X 2" xfId="2820" xr:uid="{00000000-0005-0000-0000-00004FCD0000}"/>
    <cellStyle name="SAPBEXHLevel1X 2 10" xfId="53395" xr:uid="{00000000-0005-0000-0000-000050CD0000}"/>
    <cellStyle name="SAPBEXHLevel1X 2 2" xfId="53396" xr:uid="{00000000-0005-0000-0000-000051CD0000}"/>
    <cellStyle name="SAPBEXHLevel1X 2 2 2" xfId="53397" xr:uid="{00000000-0005-0000-0000-000052CD0000}"/>
    <cellStyle name="SAPBEXHLevel1X 2 3" xfId="53398" xr:uid="{00000000-0005-0000-0000-000053CD0000}"/>
    <cellStyle name="SAPBEXHLevel1X 2 3 2" xfId="53399" xr:uid="{00000000-0005-0000-0000-000054CD0000}"/>
    <cellStyle name="SAPBEXHLevel1X 2 4" xfId="53400" xr:uid="{00000000-0005-0000-0000-000055CD0000}"/>
    <cellStyle name="SAPBEXHLevel1X 2 4 2" xfId="53401" xr:uid="{00000000-0005-0000-0000-000056CD0000}"/>
    <cellStyle name="SAPBEXHLevel1X 2 5" xfId="53402" xr:uid="{00000000-0005-0000-0000-000057CD0000}"/>
    <cellStyle name="SAPBEXHLevel1X 2 5 2" xfId="53403" xr:uid="{00000000-0005-0000-0000-000058CD0000}"/>
    <cellStyle name="SAPBEXHLevel1X 2 6" xfId="53404" xr:uid="{00000000-0005-0000-0000-000059CD0000}"/>
    <cellStyle name="SAPBEXHLevel1X 2 6 2" xfId="53405" xr:uid="{00000000-0005-0000-0000-00005ACD0000}"/>
    <cellStyle name="SAPBEXHLevel1X 2 7" xfId="53406" xr:uid="{00000000-0005-0000-0000-00005BCD0000}"/>
    <cellStyle name="SAPBEXHLevel1X 2 7 2" xfId="53407" xr:uid="{00000000-0005-0000-0000-00005CCD0000}"/>
    <cellStyle name="SAPBEXHLevel1X 2 8" xfId="53408" xr:uid="{00000000-0005-0000-0000-00005DCD0000}"/>
    <cellStyle name="SAPBEXHLevel1X 2 8 2" xfId="53409" xr:uid="{00000000-0005-0000-0000-00005ECD0000}"/>
    <cellStyle name="SAPBEXHLevel1X 2 9" xfId="53410" xr:uid="{00000000-0005-0000-0000-00005FCD0000}"/>
    <cellStyle name="SAPBEXHLevel1X 2 9 2" xfId="53411" xr:uid="{00000000-0005-0000-0000-000060CD0000}"/>
    <cellStyle name="SAPBEXHLevel1X 20" xfId="2821" xr:uid="{00000000-0005-0000-0000-000061CD0000}"/>
    <cellStyle name="SAPBEXHLevel1X 20 2" xfId="53412" xr:uid="{00000000-0005-0000-0000-000062CD0000}"/>
    <cellStyle name="SAPBEXHLevel1X 20 2 2" xfId="53413" xr:uid="{00000000-0005-0000-0000-000063CD0000}"/>
    <cellStyle name="SAPBEXHLevel1X 20 3" xfId="53414" xr:uid="{00000000-0005-0000-0000-000064CD0000}"/>
    <cellStyle name="SAPBEXHLevel1X 21" xfId="2822" xr:uid="{00000000-0005-0000-0000-000065CD0000}"/>
    <cellStyle name="SAPBEXHLevel1X 21 2" xfId="53415" xr:uid="{00000000-0005-0000-0000-000066CD0000}"/>
    <cellStyle name="SAPBEXHLevel1X 22" xfId="2823" xr:uid="{00000000-0005-0000-0000-000067CD0000}"/>
    <cellStyle name="SAPBEXHLevel1X 22 2" xfId="53416" xr:uid="{00000000-0005-0000-0000-000068CD0000}"/>
    <cellStyle name="SAPBEXHLevel1X 23" xfId="2824" xr:uid="{00000000-0005-0000-0000-000069CD0000}"/>
    <cellStyle name="SAPBEXHLevel1X 23 2" xfId="53417" xr:uid="{00000000-0005-0000-0000-00006ACD0000}"/>
    <cellStyle name="SAPBEXHLevel1X 24" xfId="2825" xr:uid="{00000000-0005-0000-0000-00006BCD0000}"/>
    <cellStyle name="SAPBEXHLevel1X 24 2" xfId="53418" xr:uid="{00000000-0005-0000-0000-00006CCD0000}"/>
    <cellStyle name="SAPBEXHLevel1X 25" xfId="2826" xr:uid="{00000000-0005-0000-0000-00006DCD0000}"/>
    <cellStyle name="SAPBEXHLevel1X 25 2" xfId="53419" xr:uid="{00000000-0005-0000-0000-00006ECD0000}"/>
    <cellStyle name="SAPBEXHLevel1X 26" xfId="2827" xr:uid="{00000000-0005-0000-0000-00006FCD0000}"/>
    <cellStyle name="SAPBEXHLevel1X 26 2" xfId="53420" xr:uid="{00000000-0005-0000-0000-000070CD0000}"/>
    <cellStyle name="SAPBEXHLevel1X 27" xfId="2828" xr:uid="{00000000-0005-0000-0000-000071CD0000}"/>
    <cellStyle name="SAPBEXHLevel1X 27 2" xfId="53421" xr:uid="{00000000-0005-0000-0000-000072CD0000}"/>
    <cellStyle name="SAPBEXHLevel1X 28" xfId="2829" xr:uid="{00000000-0005-0000-0000-000073CD0000}"/>
    <cellStyle name="SAPBEXHLevel1X 28 2" xfId="53422" xr:uid="{00000000-0005-0000-0000-000074CD0000}"/>
    <cellStyle name="SAPBEXHLevel1X 29" xfId="2830" xr:uid="{00000000-0005-0000-0000-000075CD0000}"/>
    <cellStyle name="SAPBEXHLevel1X 29 2" xfId="53423" xr:uid="{00000000-0005-0000-0000-000076CD0000}"/>
    <cellStyle name="SAPBEXHLevel1X 3" xfId="2831" xr:uid="{00000000-0005-0000-0000-000077CD0000}"/>
    <cellStyle name="SAPBEXHLevel1X 3 10" xfId="53424" xr:uid="{00000000-0005-0000-0000-000078CD0000}"/>
    <cellStyle name="SAPBEXHLevel1X 3 2" xfId="53425" xr:uid="{00000000-0005-0000-0000-000079CD0000}"/>
    <cellStyle name="SAPBEXHLevel1X 3 2 2" xfId="53426" xr:uid="{00000000-0005-0000-0000-00007ACD0000}"/>
    <cellStyle name="SAPBEXHLevel1X 3 3" xfId="53427" xr:uid="{00000000-0005-0000-0000-00007BCD0000}"/>
    <cellStyle name="SAPBEXHLevel1X 3 3 2" xfId="53428" xr:uid="{00000000-0005-0000-0000-00007CCD0000}"/>
    <cellStyle name="SAPBEXHLevel1X 3 4" xfId="53429" xr:uid="{00000000-0005-0000-0000-00007DCD0000}"/>
    <cellStyle name="SAPBEXHLevel1X 3 4 2" xfId="53430" xr:uid="{00000000-0005-0000-0000-00007ECD0000}"/>
    <cellStyle name="SAPBEXHLevel1X 3 5" xfId="53431" xr:uid="{00000000-0005-0000-0000-00007FCD0000}"/>
    <cellStyle name="SAPBEXHLevel1X 3 5 2" xfId="53432" xr:uid="{00000000-0005-0000-0000-000080CD0000}"/>
    <cellStyle name="SAPBEXHLevel1X 3 6" xfId="53433" xr:uid="{00000000-0005-0000-0000-000081CD0000}"/>
    <cellStyle name="SAPBEXHLevel1X 3 6 2" xfId="53434" xr:uid="{00000000-0005-0000-0000-000082CD0000}"/>
    <cellStyle name="SAPBEXHLevel1X 3 7" xfId="53435" xr:uid="{00000000-0005-0000-0000-000083CD0000}"/>
    <cellStyle name="SAPBEXHLevel1X 3 7 2" xfId="53436" xr:uid="{00000000-0005-0000-0000-000084CD0000}"/>
    <cellStyle name="SAPBEXHLevel1X 3 8" xfId="53437" xr:uid="{00000000-0005-0000-0000-000085CD0000}"/>
    <cellStyle name="SAPBEXHLevel1X 3 8 2" xfId="53438" xr:uid="{00000000-0005-0000-0000-000086CD0000}"/>
    <cellStyle name="SAPBEXHLevel1X 3 9" xfId="53439" xr:uid="{00000000-0005-0000-0000-000087CD0000}"/>
    <cellStyle name="SAPBEXHLevel1X 3 9 2" xfId="53440" xr:uid="{00000000-0005-0000-0000-000088CD0000}"/>
    <cellStyle name="SAPBEXHLevel1X 30" xfId="2832" xr:uid="{00000000-0005-0000-0000-000089CD0000}"/>
    <cellStyle name="SAPBEXHLevel1X 30 2" xfId="53441" xr:uid="{00000000-0005-0000-0000-00008ACD0000}"/>
    <cellStyle name="SAPBEXHLevel1X 31" xfId="2833" xr:uid="{00000000-0005-0000-0000-00008BCD0000}"/>
    <cellStyle name="SAPBEXHLevel1X 31 2" xfId="53442" xr:uid="{00000000-0005-0000-0000-00008CCD0000}"/>
    <cellStyle name="SAPBEXHLevel1X 32" xfId="2834" xr:uid="{00000000-0005-0000-0000-00008DCD0000}"/>
    <cellStyle name="SAPBEXHLevel1X 32 2" xfId="53443" xr:uid="{00000000-0005-0000-0000-00008ECD0000}"/>
    <cellStyle name="SAPBEXHLevel1X 33" xfId="2835" xr:uid="{00000000-0005-0000-0000-00008FCD0000}"/>
    <cellStyle name="SAPBEXHLevel1X 33 2" xfId="53444" xr:uid="{00000000-0005-0000-0000-000090CD0000}"/>
    <cellStyle name="SAPBEXHLevel1X 34" xfId="2836" xr:uid="{00000000-0005-0000-0000-000091CD0000}"/>
    <cellStyle name="SAPBEXHLevel1X 34 2" xfId="53445" xr:uid="{00000000-0005-0000-0000-000092CD0000}"/>
    <cellStyle name="SAPBEXHLevel1X 35" xfId="2837" xr:uid="{00000000-0005-0000-0000-000093CD0000}"/>
    <cellStyle name="SAPBEXHLevel1X 35 2" xfId="53446" xr:uid="{00000000-0005-0000-0000-000094CD0000}"/>
    <cellStyle name="SAPBEXHLevel1X 36" xfId="2838" xr:uid="{00000000-0005-0000-0000-000095CD0000}"/>
    <cellStyle name="SAPBEXHLevel1X 36 2" xfId="53447" xr:uid="{00000000-0005-0000-0000-000096CD0000}"/>
    <cellStyle name="SAPBEXHLevel1X 37" xfId="2839" xr:uid="{00000000-0005-0000-0000-000097CD0000}"/>
    <cellStyle name="SAPBEXHLevel1X 37 2" xfId="53448" xr:uid="{00000000-0005-0000-0000-000098CD0000}"/>
    <cellStyle name="SAPBEXHLevel1X 38" xfId="2840" xr:uid="{00000000-0005-0000-0000-000099CD0000}"/>
    <cellStyle name="SAPBEXHLevel1X 38 2" xfId="53449" xr:uid="{00000000-0005-0000-0000-00009ACD0000}"/>
    <cellStyle name="SAPBEXHLevel1X 39" xfId="2841" xr:uid="{00000000-0005-0000-0000-00009BCD0000}"/>
    <cellStyle name="SAPBEXHLevel1X 39 2" xfId="53450" xr:uid="{00000000-0005-0000-0000-00009CCD0000}"/>
    <cellStyle name="SAPBEXHLevel1X 4" xfId="2842" xr:uid="{00000000-0005-0000-0000-00009DCD0000}"/>
    <cellStyle name="SAPBEXHLevel1X 4 10" xfId="53451" xr:uid="{00000000-0005-0000-0000-00009ECD0000}"/>
    <cellStyle name="SAPBEXHLevel1X 4 2" xfId="53452" xr:uid="{00000000-0005-0000-0000-00009FCD0000}"/>
    <cellStyle name="SAPBEXHLevel1X 4 2 2" xfId="53453" xr:uid="{00000000-0005-0000-0000-0000A0CD0000}"/>
    <cellStyle name="SAPBEXHLevel1X 4 3" xfId="53454" xr:uid="{00000000-0005-0000-0000-0000A1CD0000}"/>
    <cellStyle name="SAPBEXHLevel1X 4 3 2" xfId="53455" xr:uid="{00000000-0005-0000-0000-0000A2CD0000}"/>
    <cellStyle name="SAPBEXHLevel1X 4 4" xfId="53456" xr:uid="{00000000-0005-0000-0000-0000A3CD0000}"/>
    <cellStyle name="SAPBEXHLevel1X 4 4 2" xfId="53457" xr:uid="{00000000-0005-0000-0000-0000A4CD0000}"/>
    <cellStyle name="SAPBEXHLevel1X 4 5" xfId="53458" xr:uid="{00000000-0005-0000-0000-0000A5CD0000}"/>
    <cellStyle name="SAPBEXHLevel1X 4 5 2" xfId="53459" xr:uid="{00000000-0005-0000-0000-0000A6CD0000}"/>
    <cellStyle name="SAPBEXHLevel1X 4 6" xfId="53460" xr:uid="{00000000-0005-0000-0000-0000A7CD0000}"/>
    <cellStyle name="SAPBEXHLevel1X 4 6 2" xfId="53461" xr:uid="{00000000-0005-0000-0000-0000A8CD0000}"/>
    <cellStyle name="SAPBEXHLevel1X 4 7" xfId="53462" xr:uid="{00000000-0005-0000-0000-0000A9CD0000}"/>
    <cellStyle name="SAPBEXHLevel1X 4 7 2" xfId="53463" xr:uid="{00000000-0005-0000-0000-0000AACD0000}"/>
    <cellStyle name="SAPBEXHLevel1X 4 8" xfId="53464" xr:uid="{00000000-0005-0000-0000-0000ABCD0000}"/>
    <cellStyle name="SAPBEXHLevel1X 4 8 2" xfId="53465" xr:uid="{00000000-0005-0000-0000-0000ACCD0000}"/>
    <cellStyle name="SAPBEXHLevel1X 4 9" xfId="53466" xr:uid="{00000000-0005-0000-0000-0000ADCD0000}"/>
    <cellStyle name="SAPBEXHLevel1X 4 9 2" xfId="53467" xr:uid="{00000000-0005-0000-0000-0000AECD0000}"/>
    <cellStyle name="SAPBEXHLevel1X 40" xfId="2843" xr:uid="{00000000-0005-0000-0000-0000AFCD0000}"/>
    <cellStyle name="SAPBEXHLevel1X 40 2" xfId="53468" xr:uid="{00000000-0005-0000-0000-0000B0CD0000}"/>
    <cellStyle name="SAPBEXHLevel1X 41" xfId="2844" xr:uid="{00000000-0005-0000-0000-0000B1CD0000}"/>
    <cellStyle name="SAPBEXHLevel1X 41 2" xfId="53469" xr:uid="{00000000-0005-0000-0000-0000B2CD0000}"/>
    <cellStyle name="SAPBEXHLevel1X 42" xfId="2845" xr:uid="{00000000-0005-0000-0000-0000B3CD0000}"/>
    <cellStyle name="SAPBEXHLevel1X 42 2" xfId="53470" xr:uid="{00000000-0005-0000-0000-0000B4CD0000}"/>
    <cellStyle name="SAPBEXHLevel1X 43" xfId="2846" xr:uid="{00000000-0005-0000-0000-0000B5CD0000}"/>
    <cellStyle name="SAPBEXHLevel1X 43 2" xfId="53471" xr:uid="{00000000-0005-0000-0000-0000B6CD0000}"/>
    <cellStyle name="SAPBEXHLevel1X 44" xfId="2847" xr:uid="{00000000-0005-0000-0000-0000B7CD0000}"/>
    <cellStyle name="SAPBEXHLevel1X 44 2" xfId="53472" xr:uid="{00000000-0005-0000-0000-0000B8CD0000}"/>
    <cellStyle name="SAPBEXHLevel1X 45" xfId="2848" xr:uid="{00000000-0005-0000-0000-0000B9CD0000}"/>
    <cellStyle name="SAPBEXHLevel1X 45 2" xfId="53473" xr:uid="{00000000-0005-0000-0000-0000BACD0000}"/>
    <cellStyle name="SAPBEXHLevel1X 46" xfId="53474" xr:uid="{00000000-0005-0000-0000-0000BBCD0000}"/>
    <cellStyle name="SAPBEXHLevel1X 46 2" xfId="53475" xr:uid="{00000000-0005-0000-0000-0000BCCD0000}"/>
    <cellStyle name="SAPBEXHLevel1X 46 2 2" xfId="53476" xr:uid="{00000000-0005-0000-0000-0000BDCD0000}"/>
    <cellStyle name="SAPBEXHLevel1X 46 3" xfId="53477" xr:uid="{00000000-0005-0000-0000-0000BECD0000}"/>
    <cellStyle name="SAPBEXHLevel1X 47" xfId="53478" xr:uid="{00000000-0005-0000-0000-0000BFCD0000}"/>
    <cellStyle name="SAPBEXHLevel1X 48" xfId="53479" xr:uid="{00000000-0005-0000-0000-0000C0CD0000}"/>
    <cellStyle name="SAPBEXHLevel1X 49" xfId="53480" xr:uid="{00000000-0005-0000-0000-0000C1CD0000}"/>
    <cellStyle name="SAPBEXHLevel1X 5" xfId="2849" xr:uid="{00000000-0005-0000-0000-0000C2CD0000}"/>
    <cellStyle name="SAPBEXHLevel1X 5 10" xfId="53481" xr:uid="{00000000-0005-0000-0000-0000C3CD0000}"/>
    <cellStyle name="SAPBEXHLevel1X 5 2" xfId="53482" xr:uid="{00000000-0005-0000-0000-0000C4CD0000}"/>
    <cellStyle name="SAPBEXHLevel1X 5 2 2" xfId="53483" xr:uid="{00000000-0005-0000-0000-0000C5CD0000}"/>
    <cellStyle name="SAPBEXHLevel1X 5 3" xfId="53484" xr:uid="{00000000-0005-0000-0000-0000C6CD0000}"/>
    <cellStyle name="SAPBEXHLevel1X 5 3 2" xfId="53485" xr:uid="{00000000-0005-0000-0000-0000C7CD0000}"/>
    <cellStyle name="SAPBEXHLevel1X 5 4" xfId="53486" xr:uid="{00000000-0005-0000-0000-0000C8CD0000}"/>
    <cellStyle name="SAPBEXHLevel1X 5 4 2" xfId="53487" xr:uid="{00000000-0005-0000-0000-0000C9CD0000}"/>
    <cellStyle name="SAPBEXHLevel1X 5 5" xfId="53488" xr:uid="{00000000-0005-0000-0000-0000CACD0000}"/>
    <cellStyle name="SAPBEXHLevel1X 5 5 2" xfId="53489" xr:uid="{00000000-0005-0000-0000-0000CBCD0000}"/>
    <cellStyle name="SAPBEXHLevel1X 5 6" xfId="53490" xr:uid="{00000000-0005-0000-0000-0000CCCD0000}"/>
    <cellStyle name="SAPBEXHLevel1X 5 6 2" xfId="53491" xr:uid="{00000000-0005-0000-0000-0000CDCD0000}"/>
    <cellStyle name="SAPBEXHLevel1X 5 7" xfId="53492" xr:uid="{00000000-0005-0000-0000-0000CECD0000}"/>
    <cellStyle name="SAPBEXHLevel1X 5 7 2" xfId="53493" xr:uid="{00000000-0005-0000-0000-0000CFCD0000}"/>
    <cellStyle name="SAPBEXHLevel1X 5 8" xfId="53494" xr:uid="{00000000-0005-0000-0000-0000D0CD0000}"/>
    <cellStyle name="SAPBEXHLevel1X 5 8 2" xfId="53495" xr:uid="{00000000-0005-0000-0000-0000D1CD0000}"/>
    <cellStyle name="SAPBEXHLevel1X 5 9" xfId="53496" xr:uid="{00000000-0005-0000-0000-0000D2CD0000}"/>
    <cellStyle name="SAPBEXHLevel1X 5 9 2" xfId="53497" xr:uid="{00000000-0005-0000-0000-0000D3CD0000}"/>
    <cellStyle name="SAPBEXHLevel1X 50" xfId="53498" xr:uid="{00000000-0005-0000-0000-0000D4CD0000}"/>
    <cellStyle name="SAPBEXHLevel1X 6" xfId="2850" xr:uid="{00000000-0005-0000-0000-0000D5CD0000}"/>
    <cellStyle name="SAPBEXHLevel1X 6 10" xfId="53499" xr:uid="{00000000-0005-0000-0000-0000D6CD0000}"/>
    <cellStyle name="SAPBEXHLevel1X 6 2" xfId="53500" xr:uid="{00000000-0005-0000-0000-0000D7CD0000}"/>
    <cellStyle name="SAPBEXHLevel1X 6 2 2" xfId="53501" xr:uid="{00000000-0005-0000-0000-0000D8CD0000}"/>
    <cellStyle name="SAPBEXHLevel1X 6 3" xfId="53502" xr:uid="{00000000-0005-0000-0000-0000D9CD0000}"/>
    <cellStyle name="SAPBEXHLevel1X 6 3 2" xfId="53503" xr:uid="{00000000-0005-0000-0000-0000DACD0000}"/>
    <cellStyle name="SAPBEXHLevel1X 6 4" xfId="53504" xr:uid="{00000000-0005-0000-0000-0000DBCD0000}"/>
    <cellStyle name="SAPBEXHLevel1X 6 4 2" xfId="53505" xr:uid="{00000000-0005-0000-0000-0000DCCD0000}"/>
    <cellStyle name="SAPBEXHLevel1X 6 5" xfId="53506" xr:uid="{00000000-0005-0000-0000-0000DDCD0000}"/>
    <cellStyle name="SAPBEXHLevel1X 6 5 2" xfId="53507" xr:uid="{00000000-0005-0000-0000-0000DECD0000}"/>
    <cellStyle name="SAPBEXHLevel1X 6 6" xfId="53508" xr:uid="{00000000-0005-0000-0000-0000DFCD0000}"/>
    <cellStyle name="SAPBEXHLevel1X 6 6 2" xfId="53509" xr:uid="{00000000-0005-0000-0000-0000E0CD0000}"/>
    <cellStyle name="SAPBEXHLevel1X 6 7" xfId="53510" xr:uid="{00000000-0005-0000-0000-0000E1CD0000}"/>
    <cellStyle name="SAPBEXHLevel1X 6 7 2" xfId="53511" xr:uid="{00000000-0005-0000-0000-0000E2CD0000}"/>
    <cellStyle name="SAPBEXHLevel1X 6 8" xfId="53512" xr:uid="{00000000-0005-0000-0000-0000E3CD0000}"/>
    <cellStyle name="SAPBEXHLevel1X 6 8 2" xfId="53513" xr:uid="{00000000-0005-0000-0000-0000E4CD0000}"/>
    <cellStyle name="SAPBEXHLevel1X 6 9" xfId="53514" xr:uid="{00000000-0005-0000-0000-0000E5CD0000}"/>
    <cellStyle name="SAPBEXHLevel1X 6 9 2" xfId="53515" xr:uid="{00000000-0005-0000-0000-0000E6CD0000}"/>
    <cellStyle name="SAPBEXHLevel1X 7" xfId="2851" xr:uid="{00000000-0005-0000-0000-0000E7CD0000}"/>
    <cellStyle name="SAPBEXHLevel1X 7 10" xfId="53516" xr:uid="{00000000-0005-0000-0000-0000E8CD0000}"/>
    <cellStyle name="SAPBEXHLevel1X 7 2" xfId="53517" xr:uid="{00000000-0005-0000-0000-0000E9CD0000}"/>
    <cellStyle name="SAPBEXHLevel1X 7 2 2" xfId="53518" xr:uid="{00000000-0005-0000-0000-0000EACD0000}"/>
    <cellStyle name="SAPBEXHLevel1X 7 3" xfId="53519" xr:uid="{00000000-0005-0000-0000-0000EBCD0000}"/>
    <cellStyle name="SAPBEXHLevel1X 7 3 2" xfId="53520" xr:uid="{00000000-0005-0000-0000-0000ECCD0000}"/>
    <cellStyle name="SAPBEXHLevel1X 7 4" xfId="53521" xr:uid="{00000000-0005-0000-0000-0000EDCD0000}"/>
    <cellStyle name="SAPBEXHLevel1X 7 4 2" xfId="53522" xr:uid="{00000000-0005-0000-0000-0000EECD0000}"/>
    <cellStyle name="SAPBEXHLevel1X 7 5" xfId="53523" xr:uid="{00000000-0005-0000-0000-0000EFCD0000}"/>
    <cellStyle name="SAPBEXHLevel1X 7 5 2" xfId="53524" xr:uid="{00000000-0005-0000-0000-0000F0CD0000}"/>
    <cellStyle name="SAPBEXHLevel1X 7 6" xfId="53525" xr:uid="{00000000-0005-0000-0000-0000F1CD0000}"/>
    <cellStyle name="SAPBEXHLevel1X 7 6 2" xfId="53526" xr:uid="{00000000-0005-0000-0000-0000F2CD0000}"/>
    <cellStyle name="SAPBEXHLevel1X 7 7" xfId="53527" xr:uid="{00000000-0005-0000-0000-0000F3CD0000}"/>
    <cellStyle name="SAPBEXHLevel1X 7 7 2" xfId="53528" xr:uid="{00000000-0005-0000-0000-0000F4CD0000}"/>
    <cellStyle name="SAPBEXHLevel1X 7 8" xfId="53529" xr:uid="{00000000-0005-0000-0000-0000F5CD0000}"/>
    <cellStyle name="SAPBEXHLevel1X 7 8 2" xfId="53530" xr:uid="{00000000-0005-0000-0000-0000F6CD0000}"/>
    <cellStyle name="SAPBEXHLevel1X 7 9" xfId="53531" xr:uid="{00000000-0005-0000-0000-0000F7CD0000}"/>
    <cellStyle name="SAPBEXHLevel1X 7 9 2" xfId="53532" xr:uid="{00000000-0005-0000-0000-0000F8CD0000}"/>
    <cellStyle name="SAPBEXHLevel1X 8" xfId="2852" xr:uid="{00000000-0005-0000-0000-0000F9CD0000}"/>
    <cellStyle name="SAPBEXHLevel1X 8 10" xfId="53533" xr:uid="{00000000-0005-0000-0000-0000FACD0000}"/>
    <cellStyle name="SAPBEXHLevel1X 8 2" xfId="53534" xr:uid="{00000000-0005-0000-0000-0000FBCD0000}"/>
    <cellStyle name="SAPBEXHLevel1X 8 2 2" xfId="53535" xr:uid="{00000000-0005-0000-0000-0000FCCD0000}"/>
    <cellStyle name="SAPBEXHLevel1X 8 3" xfId="53536" xr:uid="{00000000-0005-0000-0000-0000FDCD0000}"/>
    <cellStyle name="SAPBEXHLevel1X 8 3 2" xfId="53537" xr:uid="{00000000-0005-0000-0000-0000FECD0000}"/>
    <cellStyle name="SAPBEXHLevel1X 8 4" xfId="53538" xr:uid="{00000000-0005-0000-0000-0000FFCD0000}"/>
    <cellStyle name="SAPBEXHLevel1X 8 4 2" xfId="53539" xr:uid="{00000000-0005-0000-0000-000000CE0000}"/>
    <cellStyle name="SAPBEXHLevel1X 8 5" xfId="53540" xr:uid="{00000000-0005-0000-0000-000001CE0000}"/>
    <cellStyle name="SAPBEXHLevel1X 8 5 2" xfId="53541" xr:uid="{00000000-0005-0000-0000-000002CE0000}"/>
    <cellStyle name="SAPBEXHLevel1X 8 6" xfId="53542" xr:uid="{00000000-0005-0000-0000-000003CE0000}"/>
    <cellStyle name="SAPBEXHLevel1X 8 6 2" xfId="53543" xr:uid="{00000000-0005-0000-0000-000004CE0000}"/>
    <cellStyle name="SAPBEXHLevel1X 8 7" xfId="53544" xr:uid="{00000000-0005-0000-0000-000005CE0000}"/>
    <cellStyle name="SAPBEXHLevel1X 8 7 2" xfId="53545" xr:uid="{00000000-0005-0000-0000-000006CE0000}"/>
    <cellStyle name="SAPBEXHLevel1X 8 8" xfId="53546" xr:uid="{00000000-0005-0000-0000-000007CE0000}"/>
    <cellStyle name="SAPBEXHLevel1X 8 8 2" xfId="53547" xr:uid="{00000000-0005-0000-0000-000008CE0000}"/>
    <cellStyle name="SAPBEXHLevel1X 8 9" xfId="53548" xr:uid="{00000000-0005-0000-0000-000009CE0000}"/>
    <cellStyle name="SAPBEXHLevel1X 8 9 2" xfId="53549" xr:uid="{00000000-0005-0000-0000-00000ACE0000}"/>
    <cellStyle name="SAPBEXHLevel1X 9" xfId="2853" xr:uid="{00000000-0005-0000-0000-00000BCE0000}"/>
    <cellStyle name="SAPBEXHLevel1X 9 10" xfId="53550" xr:uid="{00000000-0005-0000-0000-00000CCE0000}"/>
    <cellStyle name="SAPBEXHLevel1X 9 2" xfId="53551" xr:uid="{00000000-0005-0000-0000-00000DCE0000}"/>
    <cellStyle name="SAPBEXHLevel1X 9 2 2" xfId="53552" xr:uid="{00000000-0005-0000-0000-00000ECE0000}"/>
    <cellStyle name="SAPBEXHLevel1X 9 3" xfId="53553" xr:uid="{00000000-0005-0000-0000-00000FCE0000}"/>
    <cellStyle name="SAPBEXHLevel1X 9 3 2" xfId="53554" xr:uid="{00000000-0005-0000-0000-000010CE0000}"/>
    <cellStyle name="SAPBEXHLevel1X 9 4" xfId="53555" xr:uid="{00000000-0005-0000-0000-000011CE0000}"/>
    <cellStyle name="SAPBEXHLevel1X 9 4 2" xfId="53556" xr:uid="{00000000-0005-0000-0000-000012CE0000}"/>
    <cellStyle name="SAPBEXHLevel1X 9 5" xfId="53557" xr:uid="{00000000-0005-0000-0000-000013CE0000}"/>
    <cellStyle name="SAPBEXHLevel1X 9 5 2" xfId="53558" xr:uid="{00000000-0005-0000-0000-000014CE0000}"/>
    <cellStyle name="SAPBEXHLevel1X 9 6" xfId="53559" xr:uid="{00000000-0005-0000-0000-000015CE0000}"/>
    <cellStyle name="SAPBEXHLevel1X 9 6 2" xfId="53560" xr:uid="{00000000-0005-0000-0000-000016CE0000}"/>
    <cellStyle name="SAPBEXHLevel1X 9 7" xfId="53561" xr:uid="{00000000-0005-0000-0000-000017CE0000}"/>
    <cellStyle name="SAPBEXHLevel1X 9 7 2" xfId="53562" xr:uid="{00000000-0005-0000-0000-000018CE0000}"/>
    <cellStyle name="SAPBEXHLevel1X 9 8" xfId="53563" xr:uid="{00000000-0005-0000-0000-000019CE0000}"/>
    <cellStyle name="SAPBEXHLevel1X 9 8 2" xfId="53564" xr:uid="{00000000-0005-0000-0000-00001ACE0000}"/>
    <cellStyle name="SAPBEXHLevel1X 9 9" xfId="53565" xr:uid="{00000000-0005-0000-0000-00001BCE0000}"/>
    <cellStyle name="SAPBEXHLevel1X 9 9 2" xfId="53566" xr:uid="{00000000-0005-0000-0000-00001CCE0000}"/>
    <cellStyle name="SAPBEXHLevel1X_(A-7) IS-Inputs" xfId="53567" xr:uid="{00000000-0005-0000-0000-00001DCE0000}"/>
    <cellStyle name="SAPBEXHLevel2" xfId="75" xr:uid="{00000000-0005-0000-0000-000083000000}"/>
    <cellStyle name="SAPBEXHLevel2 10" xfId="2854" xr:uid="{00000000-0005-0000-0000-00001FCE0000}"/>
    <cellStyle name="SAPBEXHLevel2 10 2" xfId="53568" xr:uid="{00000000-0005-0000-0000-000020CE0000}"/>
    <cellStyle name="SAPBEXHLevel2 100" xfId="53569" xr:uid="{00000000-0005-0000-0000-000021CE0000}"/>
    <cellStyle name="SAPBEXHLevel2 100 2" xfId="53570" xr:uid="{00000000-0005-0000-0000-000022CE0000}"/>
    <cellStyle name="SAPBEXHLevel2 101" xfId="53571" xr:uid="{00000000-0005-0000-0000-000023CE0000}"/>
    <cellStyle name="SAPBEXHLevel2 101 2" xfId="53572" xr:uid="{00000000-0005-0000-0000-000024CE0000}"/>
    <cellStyle name="SAPBEXHLevel2 102" xfId="53573" xr:uid="{00000000-0005-0000-0000-000025CE0000}"/>
    <cellStyle name="SAPBEXHLevel2 102 2" xfId="53574" xr:uid="{00000000-0005-0000-0000-000026CE0000}"/>
    <cellStyle name="SAPBEXHLevel2 103" xfId="53575" xr:uid="{00000000-0005-0000-0000-000027CE0000}"/>
    <cellStyle name="SAPBEXHLevel2 103 2" xfId="53576" xr:uid="{00000000-0005-0000-0000-000028CE0000}"/>
    <cellStyle name="SAPBEXHLevel2 104" xfId="53577" xr:uid="{00000000-0005-0000-0000-000029CE0000}"/>
    <cellStyle name="SAPBEXHLevel2 104 2" xfId="53578" xr:uid="{00000000-0005-0000-0000-00002ACE0000}"/>
    <cellStyle name="SAPBEXHLevel2 105" xfId="53579" xr:uid="{00000000-0005-0000-0000-00002BCE0000}"/>
    <cellStyle name="SAPBEXHLevel2 105 2" xfId="53580" xr:uid="{00000000-0005-0000-0000-00002CCE0000}"/>
    <cellStyle name="SAPBEXHLevel2 106" xfId="53581" xr:uid="{00000000-0005-0000-0000-00002DCE0000}"/>
    <cellStyle name="SAPBEXHLevel2 106 2" xfId="53582" xr:uid="{00000000-0005-0000-0000-00002ECE0000}"/>
    <cellStyle name="SAPBEXHLevel2 107" xfId="53583" xr:uid="{00000000-0005-0000-0000-00002FCE0000}"/>
    <cellStyle name="SAPBEXHLevel2 107 2" xfId="53584" xr:uid="{00000000-0005-0000-0000-000030CE0000}"/>
    <cellStyle name="SAPBEXHLevel2 108" xfId="53585" xr:uid="{00000000-0005-0000-0000-000031CE0000}"/>
    <cellStyle name="SAPBEXHLevel2 108 2" xfId="53586" xr:uid="{00000000-0005-0000-0000-000032CE0000}"/>
    <cellStyle name="SAPBEXHLevel2 109" xfId="53587" xr:uid="{00000000-0005-0000-0000-000033CE0000}"/>
    <cellStyle name="SAPBEXHLevel2 109 2" xfId="53588" xr:uid="{00000000-0005-0000-0000-000034CE0000}"/>
    <cellStyle name="SAPBEXHLevel2 11" xfId="2855" xr:uid="{00000000-0005-0000-0000-000035CE0000}"/>
    <cellStyle name="SAPBEXHLevel2 11 2" xfId="53589" xr:uid="{00000000-0005-0000-0000-000036CE0000}"/>
    <cellStyle name="SAPBEXHLevel2 110" xfId="53590" xr:uid="{00000000-0005-0000-0000-000037CE0000}"/>
    <cellStyle name="SAPBEXHLevel2 110 2" xfId="53591" xr:uid="{00000000-0005-0000-0000-000038CE0000}"/>
    <cellStyle name="SAPBEXHLevel2 110 3" xfId="53592" xr:uid="{00000000-0005-0000-0000-000039CE0000}"/>
    <cellStyle name="SAPBEXHLevel2 111" xfId="53593" xr:uid="{00000000-0005-0000-0000-00003ACE0000}"/>
    <cellStyle name="SAPBEXHLevel2 112" xfId="53594" xr:uid="{00000000-0005-0000-0000-00003BCE0000}"/>
    <cellStyle name="SAPBEXHLevel2 113" xfId="53595" xr:uid="{00000000-0005-0000-0000-00003CCE0000}"/>
    <cellStyle name="SAPBEXHLevel2 12" xfId="2856" xr:uid="{00000000-0005-0000-0000-00003DCE0000}"/>
    <cellStyle name="SAPBEXHLevel2 12 2" xfId="53596" xr:uid="{00000000-0005-0000-0000-00003ECE0000}"/>
    <cellStyle name="SAPBEXHLevel2 13" xfId="2857" xr:uid="{00000000-0005-0000-0000-00003FCE0000}"/>
    <cellStyle name="SAPBEXHLevel2 13 2" xfId="53597" xr:uid="{00000000-0005-0000-0000-000040CE0000}"/>
    <cellStyle name="SAPBEXHLevel2 14" xfId="2858" xr:uid="{00000000-0005-0000-0000-000041CE0000}"/>
    <cellStyle name="SAPBEXHLevel2 14 2" xfId="53598" xr:uid="{00000000-0005-0000-0000-000042CE0000}"/>
    <cellStyle name="SAPBEXHLevel2 15" xfId="2859" xr:uid="{00000000-0005-0000-0000-000043CE0000}"/>
    <cellStyle name="SAPBEXHLevel2 15 2" xfId="53599" xr:uid="{00000000-0005-0000-0000-000044CE0000}"/>
    <cellStyle name="SAPBEXHLevel2 16" xfId="2860" xr:uid="{00000000-0005-0000-0000-000045CE0000}"/>
    <cellStyle name="SAPBEXHLevel2 16 2" xfId="53600" xr:uid="{00000000-0005-0000-0000-000046CE0000}"/>
    <cellStyle name="SAPBEXHLevel2 17" xfId="2861" xr:uid="{00000000-0005-0000-0000-000047CE0000}"/>
    <cellStyle name="SAPBEXHLevel2 17 2" xfId="53601" xr:uid="{00000000-0005-0000-0000-000048CE0000}"/>
    <cellStyle name="SAPBEXHLevel2 18" xfId="2862" xr:uid="{00000000-0005-0000-0000-000049CE0000}"/>
    <cellStyle name="SAPBEXHLevel2 18 2" xfId="53602" xr:uid="{00000000-0005-0000-0000-00004ACE0000}"/>
    <cellStyle name="SAPBEXHLevel2 19" xfId="2863" xr:uid="{00000000-0005-0000-0000-00004BCE0000}"/>
    <cellStyle name="SAPBEXHLevel2 19 2" xfId="53603" xr:uid="{00000000-0005-0000-0000-00004CCE0000}"/>
    <cellStyle name="SAPBEXHLevel2 2" xfId="2864" xr:uid="{00000000-0005-0000-0000-00004DCE0000}"/>
    <cellStyle name="SAPBEXHLevel2 2 2" xfId="53604" xr:uid="{00000000-0005-0000-0000-00004ECE0000}"/>
    <cellStyle name="SAPBEXHLevel2 20" xfId="2865" xr:uid="{00000000-0005-0000-0000-00004FCE0000}"/>
    <cellStyle name="SAPBEXHLevel2 20 2" xfId="53605" xr:uid="{00000000-0005-0000-0000-000050CE0000}"/>
    <cellStyle name="SAPBEXHLevel2 21" xfId="2866" xr:uid="{00000000-0005-0000-0000-000051CE0000}"/>
    <cellStyle name="SAPBEXHLevel2 21 2" xfId="53606" xr:uid="{00000000-0005-0000-0000-000052CE0000}"/>
    <cellStyle name="SAPBEXHLevel2 22" xfId="2867" xr:uid="{00000000-0005-0000-0000-000053CE0000}"/>
    <cellStyle name="SAPBEXHLevel2 22 2" xfId="53607" xr:uid="{00000000-0005-0000-0000-000054CE0000}"/>
    <cellStyle name="SAPBEXHLevel2 23" xfId="2868" xr:uid="{00000000-0005-0000-0000-000055CE0000}"/>
    <cellStyle name="SAPBEXHLevel2 23 2" xfId="53608" xr:uid="{00000000-0005-0000-0000-000056CE0000}"/>
    <cellStyle name="SAPBEXHLevel2 24" xfId="2869" xr:uid="{00000000-0005-0000-0000-000057CE0000}"/>
    <cellStyle name="SAPBEXHLevel2 24 2" xfId="53609" xr:uid="{00000000-0005-0000-0000-000058CE0000}"/>
    <cellStyle name="SAPBEXHLevel2 25" xfId="2870" xr:uid="{00000000-0005-0000-0000-000059CE0000}"/>
    <cellStyle name="SAPBEXHLevel2 25 2" xfId="53610" xr:uid="{00000000-0005-0000-0000-00005ACE0000}"/>
    <cellStyle name="SAPBEXHLevel2 26" xfId="2871" xr:uid="{00000000-0005-0000-0000-00005BCE0000}"/>
    <cellStyle name="SAPBEXHLevel2 26 2" xfId="53611" xr:uid="{00000000-0005-0000-0000-00005CCE0000}"/>
    <cellStyle name="SAPBEXHLevel2 27" xfId="2872" xr:uid="{00000000-0005-0000-0000-00005DCE0000}"/>
    <cellStyle name="SAPBEXHLevel2 27 2" xfId="53612" xr:uid="{00000000-0005-0000-0000-00005ECE0000}"/>
    <cellStyle name="SAPBEXHLevel2 28" xfId="2873" xr:uid="{00000000-0005-0000-0000-00005FCE0000}"/>
    <cellStyle name="SAPBEXHLevel2 28 2" xfId="53613" xr:uid="{00000000-0005-0000-0000-000060CE0000}"/>
    <cellStyle name="SAPBEXHLevel2 29" xfId="2874" xr:uid="{00000000-0005-0000-0000-000061CE0000}"/>
    <cellStyle name="SAPBEXHLevel2 29 2" xfId="53614" xr:uid="{00000000-0005-0000-0000-000062CE0000}"/>
    <cellStyle name="SAPBEXHLevel2 3" xfId="2875" xr:uid="{00000000-0005-0000-0000-000063CE0000}"/>
    <cellStyle name="SAPBEXHLevel2 3 2" xfId="53615" xr:uid="{00000000-0005-0000-0000-000064CE0000}"/>
    <cellStyle name="SAPBEXHLevel2 30" xfId="2876" xr:uid="{00000000-0005-0000-0000-000065CE0000}"/>
    <cellStyle name="SAPBEXHLevel2 30 2" xfId="53616" xr:uid="{00000000-0005-0000-0000-000066CE0000}"/>
    <cellStyle name="SAPBEXHLevel2 31" xfId="2877" xr:uid="{00000000-0005-0000-0000-000067CE0000}"/>
    <cellStyle name="SAPBEXHLevel2 31 2" xfId="53617" xr:uid="{00000000-0005-0000-0000-000068CE0000}"/>
    <cellStyle name="SAPBEXHLevel2 32" xfId="2878" xr:uid="{00000000-0005-0000-0000-000069CE0000}"/>
    <cellStyle name="SAPBEXHLevel2 32 2" xfId="53618" xr:uid="{00000000-0005-0000-0000-00006ACE0000}"/>
    <cellStyle name="SAPBEXHLevel2 33" xfId="2879" xr:uid="{00000000-0005-0000-0000-00006BCE0000}"/>
    <cellStyle name="SAPBEXHLevel2 33 2" xfId="53619" xr:uid="{00000000-0005-0000-0000-00006CCE0000}"/>
    <cellStyle name="SAPBEXHLevel2 34" xfId="2880" xr:uid="{00000000-0005-0000-0000-00006DCE0000}"/>
    <cellStyle name="SAPBEXHLevel2 34 2" xfId="53620" xr:uid="{00000000-0005-0000-0000-00006ECE0000}"/>
    <cellStyle name="SAPBEXHLevel2 35" xfId="2881" xr:uid="{00000000-0005-0000-0000-00006FCE0000}"/>
    <cellStyle name="SAPBEXHLevel2 35 2" xfId="53621" xr:uid="{00000000-0005-0000-0000-000070CE0000}"/>
    <cellStyle name="SAPBEXHLevel2 36" xfId="2882" xr:uid="{00000000-0005-0000-0000-000071CE0000}"/>
    <cellStyle name="SAPBEXHLevel2 36 2" xfId="53622" xr:uid="{00000000-0005-0000-0000-000072CE0000}"/>
    <cellStyle name="SAPBEXHLevel2 37" xfId="2883" xr:uid="{00000000-0005-0000-0000-000073CE0000}"/>
    <cellStyle name="SAPBEXHLevel2 37 2" xfId="53623" xr:uid="{00000000-0005-0000-0000-000074CE0000}"/>
    <cellStyle name="SAPBEXHLevel2 38" xfId="2884" xr:uid="{00000000-0005-0000-0000-000075CE0000}"/>
    <cellStyle name="SAPBEXHLevel2 38 2" xfId="53624" xr:uid="{00000000-0005-0000-0000-000076CE0000}"/>
    <cellStyle name="SAPBEXHLevel2 39" xfId="2885" xr:uid="{00000000-0005-0000-0000-000077CE0000}"/>
    <cellStyle name="SAPBEXHLevel2 39 2" xfId="53625" xr:uid="{00000000-0005-0000-0000-000078CE0000}"/>
    <cellStyle name="SAPBEXHLevel2 4" xfId="2886" xr:uid="{00000000-0005-0000-0000-000079CE0000}"/>
    <cellStyle name="SAPBEXHLevel2 4 2" xfId="53626" xr:uid="{00000000-0005-0000-0000-00007ACE0000}"/>
    <cellStyle name="SAPBEXHLevel2 40" xfId="2887" xr:uid="{00000000-0005-0000-0000-00007BCE0000}"/>
    <cellStyle name="SAPBEXHLevel2 40 2" xfId="53627" xr:uid="{00000000-0005-0000-0000-00007CCE0000}"/>
    <cellStyle name="SAPBEXHLevel2 41" xfId="2888" xr:uid="{00000000-0005-0000-0000-00007DCE0000}"/>
    <cellStyle name="SAPBEXHLevel2 41 2" xfId="53628" xr:uid="{00000000-0005-0000-0000-00007ECE0000}"/>
    <cellStyle name="SAPBEXHLevel2 42" xfId="2889" xr:uid="{00000000-0005-0000-0000-00007FCE0000}"/>
    <cellStyle name="SAPBEXHLevel2 42 2" xfId="53629" xr:uid="{00000000-0005-0000-0000-000080CE0000}"/>
    <cellStyle name="SAPBEXHLevel2 43" xfId="2890" xr:uid="{00000000-0005-0000-0000-000081CE0000}"/>
    <cellStyle name="SAPBEXHLevel2 43 2" xfId="53630" xr:uid="{00000000-0005-0000-0000-000082CE0000}"/>
    <cellStyle name="SAPBEXHLevel2 44" xfId="2891" xr:uid="{00000000-0005-0000-0000-000083CE0000}"/>
    <cellStyle name="SAPBEXHLevel2 44 2" xfId="53631" xr:uid="{00000000-0005-0000-0000-000084CE0000}"/>
    <cellStyle name="SAPBEXHLevel2 45" xfId="2892" xr:uid="{00000000-0005-0000-0000-000085CE0000}"/>
    <cellStyle name="SAPBEXHLevel2 45 2" xfId="53632" xr:uid="{00000000-0005-0000-0000-000086CE0000}"/>
    <cellStyle name="SAPBEXHLevel2 46" xfId="53633" xr:uid="{00000000-0005-0000-0000-000087CE0000}"/>
    <cellStyle name="SAPBEXHLevel2 46 2" xfId="53634" xr:uid="{00000000-0005-0000-0000-000088CE0000}"/>
    <cellStyle name="SAPBEXHLevel2 46 3" xfId="53635" xr:uid="{00000000-0005-0000-0000-000089CE0000}"/>
    <cellStyle name="SAPBEXHLevel2 46 4" xfId="53636" xr:uid="{00000000-0005-0000-0000-00008ACE0000}"/>
    <cellStyle name="SAPBEXHLevel2 47" xfId="53637" xr:uid="{00000000-0005-0000-0000-00008BCE0000}"/>
    <cellStyle name="SAPBEXHLevel2 47 2" xfId="53638" xr:uid="{00000000-0005-0000-0000-00008CCE0000}"/>
    <cellStyle name="SAPBEXHLevel2 47 3" xfId="53639" xr:uid="{00000000-0005-0000-0000-00008DCE0000}"/>
    <cellStyle name="SAPBEXHLevel2 47 4" xfId="53640" xr:uid="{00000000-0005-0000-0000-00008ECE0000}"/>
    <cellStyle name="SAPBEXHLevel2 48" xfId="53641" xr:uid="{00000000-0005-0000-0000-00008FCE0000}"/>
    <cellStyle name="SAPBEXHLevel2 48 2" xfId="53642" xr:uid="{00000000-0005-0000-0000-000090CE0000}"/>
    <cellStyle name="SAPBEXHLevel2 49" xfId="53643" xr:uid="{00000000-0005-0000-0000-000091CE0000}"/>
    <cellStyle name="SAPBEXHLevel2 49 2" xfId="53644" xr:uid="{00000000-0005-0000-0000-000092CE0000}"/>
    <cellStyle name="SAPBEXHLevel2 5" xfId="2893" xr:uid="{00000000-0005-0000-0000-000093CE0000}"/>
    <cellStyle name="SAPBEXHLevel2 5 2" xfId="53645" xr:uid="{00000000-0005-0000-0000-000094CE0000}"/>
    <cellStyle name="SAPBEXHLevel2 50" xfId="53646" xr:uid="{00000000-0005-0000-0000-000095CE0000}"/>
    <cellStyle name="SAPBEXHLevel2 50 2" xfId="53647" xr:uid="{00000000-0005-0000-0000-000096CE0000}"/>
    <cellStyle name="SAPBEXHLevel2 51" xfId="53648" xr:uid="{00000000-0005-0000-0000-000097CE0000}"/>
    <cellStyle name="SAPBEXHLevel2 51 2" xfId="53649" xr:uid="{00000000-0005-0000-0000-000098CE0000}"/>
    <cellStyle name="SAPBEXHLevel2 52" xfId="53650" xr:uid="{00000000-0005-0000-0000-000099CE0000}"/>
    <cellStyle name="SAPBEXHLevel2 52 2" xfId="53651" xr:uid="{00000000-0005-0000-0000-00009ACE0000}"/>
    <cellStyle name="SAPBEXHLevel2 53" xfId="53652" xr:uid="{00000000-0005-0000-0000-00009BCE0000}"/>
    <cellStyle name="SAPBEXHLevel2 53 2" xfId="53653" xr:uid="{00000000-0005-0000-0000-00009CCE0000}"/>
    <cellStyle name="SAPBEXHLevel2 54" xfId="53654" xr:uid="{00000000-0005-0000-0000-00009DCE0000}"/>
    <cellStyle name="SAPBEXHLevel2 54 2" xfId="53655" xr:uid="{00000000-0005-0000-0000-00009ECE0000}"/>
    <cellStyle name="SAPBEXHLevel2 55" xfId="53656" xr:uid="{00000000-0005-0000-0000-00009FCE0000}"/>
    <cellStyle name="SAPBEXHLevel2 55 2" xfId="53657" xr:uid="{00000000-0005-0000-0000-0000A0CE0000}"/>
    <cellStyle name="SAPBEXHLevel2 56" xfId="53658" xr:uid="{00000000-0005-0000-0000-0000A1CE0000}"/>
    <cellStyle name="SAPBEXHLevel2 56 2" xfId="53659" xr:uid="{00000000-0005-0000-0000-0000A2CE0000}"/>
    <cellStyle name="SAPBEXHLevel2 57" xfId="53660" xr:uid="{00000000-0005-0000-0000-0000A3CE0000}"/>
    <cellStyle name="SAPBEXHLevel2 57 2" xfId="53661" xr:uid="{00000000-0005-0000-0000-0000A4CE0000}"/>
    <cellStyle name="SAPBEXHLevel2 58" xfId="53662" xr:uid="{00000000-0005-0000-0000-0000A5CE0000}"/>
    <cellStyle name="SAPBEXHLevel2 58 2" xfId="53663" xr:uid="{00000000-0005-0000-0000-0000A6CE0000}"/>
    <cellStyle name="SAPBEXHLevel2 59" xfId="53664" xr:uid="{00000000-0005-0000-0000-0000A7CE0000}"/>
    <cellStyle name="SAPBEXHLevel2 59 2" xfId="53665" xr:uid="{00000000-0005-0000-0000-0000A8CE0000}"/>
    <cellStyle name="SAPBEXHLevel2 6" xfId="2894" xr:uid="{00000000-0005-0000-0000-0000A9CE0000}"/>
    <cellStyle name="SAPBEXHLevel2 6 2" xfId="53666" xr:uid="{00000000-0005-0000-0000-0000AACE0000}"/>
    <cellStyle name="SAPBEXHLevel2 60" xfId="53667" xr:uid="{00000000-0005-0000-0000-0000ABCE0000}"/>
    <cellStyle name="SAPBEXHLevel2 60 2" xfId="53668" xr:uid="{00000000-0005-0000-0000-0000ACCE0000}"/>
    <cellStyle name="SAPBEXHLevel2 61" xfId="53669" xr:uid="{00000000-0005-0000-0000-0000ADCE0000}"/>
    <cellStyle name="SAPBEXHLevel2 61 2" xfId="53670" xr:uid="{00000000-0005-0000-0000-0000AECE0000}"/>
    <cellStyle name="SAPBEXHLevel2 62" xfId="53671" xr:uid="{00000000-0005-0000-0000-0000AFCE0000}"/>
    <cellStyle name="SAPBEXHLevel2 62 2" xfId="53672" xr:uid="{00000000-0005-0000-0000-0000B0CE0000}"/>
    <cellStyle name="SAPBEXHLevel2 63" xfId="53673" xr:uid="{00000000-0005-0000-0000-0000B1CE0000}"/>
    <cellStyle name="SAPBEXHLevel2 63 2" xfId="53674" xr:uid="{00000000-0005-0000-0000-0000B2CE0000}"/>
    <cellStyle name="SAPBEXHLevel2 64" xfId="53675" xr:uid="{00000000-0005-0000-0000-0000B3CE0000}"/>
    <cellStyle name="SAPBEXHLevel2 64 2" xfId="53676" xr:uid="{00000000-0005-0000-0000-0000B4CE0000}"/>
    <cellStyle name="SAPBEXHLevel2 65" xfId="53677" xr:uid="{00000000-0005-0000-0000-0000B5CE0000}"/>
    <cellStyle name="SAPBEXHLevel2 65 2" xfId="53678" xr:uid="{00000000-0005-0000-0000-0000B6CE0000}"/>
    <cellStyle name="SAPBEXHLevel2 66" xfId="53679" xr:uid="{00000000-0005-0000-0000-0000B7CE0000}"/>
    <cellStyle name="SAPBEXHLevel2 66 2" xfId="53680" xr:uid="{00000000-0005-0000-0000-0000B8CE0000}"/>
    <cellStyle name="SAPBEXHLevel2 67" xfId="53681" xr:uid="{00000000-0005-0000-0000-0000B9CE0000}"/>
    <cellStyle name="SAPBEXHLevel2 67 2" xfId="53682" xr:uid="{00000000-0005-0000-0000-0000BACE0000}"/>
    <cellStyle name="SAPBEXHLevel2 68" xfId="53683" xr:uid="{00000000-0005-0000-0000-0000BBCE0000}"/>
    <cellStyle name="SAPBEXHLevel2 68 2" xfId="53684" xr:uid="{00000000-0005-0000-0000-0000BCCE0000}"/>
    <cellStyle name="SAPBEXHLevel2 69" xfId="53685" xr:uid="{00000000-0005-0000-0000-0000BDCE0000}"/>
    <cellStyle name="SAPBEXHLevel2 69 2" xfId="53686" xr:uid="{00000000-0005-0000-0000-0000BECE0000}"/>
    <cellStyle name="SAPBEXHLevel2 7" xfId="2895" xr:uid="{00000000-0005-0000-0000-0000BFCE0000}"/>
    <cellStyle name="SAPBEXHLevel2 7 2" xfId="53687" xr:uid="{00000000-0005-0000-0000-0000C0CE0000}"/>
    <cellStyle name="SAPBEXHLevel2 70" xfId="53688" xr:uid="{00000000-0005-0000-0000-0000C1CE0000}"/>
    <cellStyle name="SAPBEXHLevel2 70 2" xfId="53689" xr:uid="{00000000-0005-0000-0000-0000C2CE0000}"/>
    <cellStyle name="SAPBEXHLevel2 71" xfId="53690" xr:uid="{00000000-0005-0000-0000-0000C3CE0000}"/>
    <cellStyle name="SAPBEXHLevel2 71 2" xfId="53691" xr:uid="{00000000-0005-0000-0000-0000C4CE0000}"/>
    <cellStyle name="SAPBEXHLevel2 72" xfId="53692" xr:uid="{00000000-0005-0000-0000-0000C5CE0000}"/>
    <cellStyle name="SAPBEXHLevel2 72 2" xfId="53693" xr:uid="{00000000-0005-0000-0000-0000C6CE0000}"/>
    <cellStyle name="SAPBEXHLevel2 73" xfId="53694" xr:uid="{00000000-0005-0000-0000-0000C7CE0000}"/>
    <cellStyle name="SAPBEXHLevel2 73 2" xfId="53695" xr:uid="{00000000-0005-0000-0000-0000C8CE0000}"/>
    <cellStyle name="SAPBEXHLevel2 74" xfId="53696" xr:uid="{00000000-0005-0000-0000-0000C9CE0000}"/>
    <cellStyle name="SAPBEXHLevel2 74 2" xfId="53697" xr:uid="{00000000-0005-0000-0000-0000CACE0000}"/>
    <cellStyle name="SAPBEXHLevel2 75" xfId="53698" xr:uid="{00000000-0005-0000-0000-0000CBCE0000}"/>
    <cellStyle name="SAPBEXHLevel2 75 2" xfId="53699" xr:uid="{00000000-0005-0000-0000-0000CCCE0000}"/>
    <cellStyle name="SAPBEXHLevel2 76" xfId="53700" xr:uid="{00000000-0005-0000-0000-0000CDCE0000}"/>
    <cellStyle name="SAPBEXHLevel2 76 2" xfId="53701" xr:uid="{00000000-0005-0000-0000-0000CECE0000}"/>
    <cellStyle name="SAPBEXHLevel2 77" xfId="53702" xr:uid="{00000000-0005-0000-0000-0000CFCE0000}"/>
    <cellStyle name="SAPBEXHLevel2 77 2" xfId="53703" xr:uid="{00000000-0005-0000-0000-0000D0CE0000}"/>
    <cellStyle name="SAPBEXHLevel2 78" xfId="53704" xr:uid="{00000000-0005-0000-0000-0000D1CE0000}"/>
    <cellStyle name="SAPBEXHLevel2 78 2" xfId="53705" xr:uid="{00000000-0005-0000-0000-0000D2CE0000}"/>
    <cellStyle name="SAPBEXHLevel2 79" xfId="53706" xr:uid="{00000000-0005-0000-0000-0000D3CE0000}"/>
    <cellStyle name="SAPBEXHLevel2 79 2" xfId="53707" xr:uid="{00000000-0005-0000-0000-0000D4CE0000}"/>
    <cellStyle name="SAPBEXHLevel2 8" xfId="2896" xr:uid="{00000000-0005-0000-0000-0000D5CE0000}"/>
    <cellStyle name="SAPBEXHLevel2 8 2" xfId="53708" xr:uid="{00000000-0005-0000-0000-0000D6CE0000}"/>
    <cellStyle name="SAPBEXHLevel2 80" xfId="53709" xr:uid="{00000000-0005-0000-0000-0000D7CE0000}"/>
    <cellStyle name="SAPBEXHLevel2 80 2" xfId="53710" xr:uid="{00000000-0005-0000-0000-0000D8CE0000}"/>
    <cellStyle name="SAPBEXHLevel2 81" xfId="53711" xr:uid="{00000000-0005-0000-0000-0000D9CE0000}"/>
    <cellStyle name="SAPBEXHLevel2 81 2" xfId="53712" xr:uid="{00000000-0005-0000-0000-0000DACE0000}"/>
    <cellStyle name="SAPBEXHLevel2 82" xfId="53713" xr:uid="{00000000-0005-0000-0000-0000DBCE0000}"/>
    <cellStyle name="SAPBEXHLevel2 82 2" xfId="53714" xr:uid="{00000000-0005-0000-0000-0000DCCE0000}"/>
    <cellStyle name="SAPBEXHLevel2 83" xfId="53715" xr:uid="{00000000-0005-0000-0000-0000DDCE0000}"/>
    <cellStyle name="SAPBEXHLevel2 83 2" xfId="53716" xr:uid="{00000000-0005-0000-0000-0000DECE0000}"/>
    <cellStyle name="SAPBEXHLevel2 84" xfId="53717" xr:uid="{00000000-0005-0000-0000-0000DFCE0000}"/>
    <cellStyle name="SAPBEXHLevel2 84 2" xfId="53718" xr:uid="{00000000-0005-0000-0000-0000E0CE0000}"/>
    <cellStyle name="SAPBEXHLevel2 85" xfId="53719" xr:uid="{00000000-0005-0000-0000-0000E1CE0000}"/>
    <cellStyle name="SAPBEXHLevel2 85 2" xfId="53720" xr:uid="{00000000-0005-0000-0000-0000E2CE0000}"/>
    <cellStyle name="SAPBEXHLevel2 86" xfId="53721" xr:uid="{00000000-0005-0000-0000-0000E3CE0000}"/>
    <cellStyle name="SAPBEXHLevel2 86 2" xfId="53722" xr:uid="{00000000-0005-0000-0000-0000E4CE0000}"/>
    <cellStyle name="SAPBEXHLevel2 87" xfId="53723" xr:uid="{00000000-0005-0000-0000-0000E5CE0000}"/>
    <cellStyle name="SAPBEXHLevel2 87 2" xfId="53724" xr:uid="{00000000-0005-0000-0000-0000E6CE0000}"/>
    <cellStyle name="SAPBEXHLevel2 88" xfId="53725" xr:uid="{00000000-0005-0000-0000-0000E7CE0000}"/>
    <cellStyle name="SAPBEXHLevel2 88 2" xfId="53726" xr:uid="{00000000-0005-0000-0000-0000E8CE0000}"/>
    <cellStyle name="SAPBEXHLevel2 89" xfId="53727" xr:uid="{00000000-0005-0000-0000-0000E9CE0000}"/>
    <cellStyle name="SAPBEXHLevel2 89 2" xfId="53728" xr:uid="{00000000-0005-0000-0000-0000EACE0000}"/>
    <cellStyle name="SAPBEXHLevel2 9" xfId="2897" xr:uid="{00000000-0005-0000-0000-0000EBCE0000}"/>
    <cellStyle name="SAPBEXHLevel2 9 2" xfId="53729" xr:uid="{00000000-0005-0000-0000-0000ECCE0000}"/>
    <cellStyle name="SAPBEXHLevel2 90" xfId="53730" xr:uid="{00000000-0005-0000-0000-0000EDCE0000}"/>
    <cellStyle name="SAPBEXHLevel2 90 2" xfId="53731" xr:uid="{00000000-0005-0000-0000-0000EECE0000}"/>
    <cellStyle name="SAPBEXHLevel2 91" xfId="53732" xr:uid="{00000000-0005-0000-0000-0000EFCE0000}"/>
    <cellStyle name="SAPBEXHLevel2 91 2" xfId="53733" xr:uid="{00000000-0005-0000-0000-0000F0CE0000}"/>
    <cellStyle name="SAPBEXHLevel2 92" xfId="53734" xr:uid="{00000000-0005-0000-0000-0000F1CE0000}"/>
    <cellStyle name="SAPBEXHLevel2 92 2" xfId="53735" xr:uid="{00000000-0005-0000-0000-0000F2CE0000}"/>
    <cellStyle name="SAPBEXHLevel2 93" xfId="53736" xr:uid="{00000000-0005-0000-0000-0000F3CE0000}"/>
    <cellStyle name="SAPBEXHLevel2 93 2" xfId="53737" xr:uid="{00000000-0005-0000-0000-0000F4CE0000}"/>
    <cellStyle name="SAPBEXHLevel2 94" xfId="53738" xr:uid="{00000000-0005-0000-0000-0000F5CE0000}"/>
    <cellStyle name="SAPBEXHLevel2 94 2" xfId="53739" xr:uid="{00000000-0005-0000-0000-0000F6CE0000}"/>
    <cellStyle name="SAPBEXHLevel2 95" xfId="53740" xr:uid="{00000000-0005-0000-0000-0000F7CE0000}"/>
    <cellStyle name="SAPBEXHLevel2 95 2" xfId="53741" xr:uid="{00000000-0005-0000-0000-0000F8CE0000}"/>
    <cellStyle name="SAPBEXHLevel2 96" xfId="53742" xr:uid="{00000000-0005-0000-0000-0000F9CE0000}"/>
    <cellStyle name="SAPBEXHLevel2 96 2" xfId="53743" xr:uid="{00000000-0005-0000-0000-0000FACE0000}"/>
    <cellStyle name="SAPBEXHLevel2 97" xfId="53744" xr:uid="{00000000-0005-0000-0000-0000FBCE0000}"/>
    <cellStyle name="SAPBEXHLevel2 97 2" xfId="53745" xr:uid="{00000000-0005-0000-0000-0000FCCE0000}"/>
    <cellStyle name="SAPBEXHLevel2 98" xfId="53746" xr:uid="{00000000-0005-0000-0000-0000FDCE0000}"/>
    <cellStyle name="SAPBEXHLevel2 98 2" xfId="53747" xr:uid="{00000000-0005-0000-0000-0000FECE0000}"/>
    <cellStyle name="SAPBEXHLevel2 99" xfId="53748" xr:uid="{00000000-0005-0000-0000-0000FFCE0000}"/>
    <cellStyle name="SAPBEXHLevel2 99 2" xfId="53749" xr:uid="{00000000-0005-0000-0000-000000CF0000}"/>
    <cellStyle name="SAPBEXHLevel2_(A-7) IS-Inputs" xfId="53750" xr:uid="{00000000-0005-0000-0000-000001CF0000}"/>
    <cellStyle name="SAPBEXHLevel2X" xfId="76" xr:uid="{00000000-0005-0000-0000-000084000000}"/>
    <cellStyle name="SAPBEXHLevel2X 10" xfId="2898" xr:uid="{00000000-0005-0000-0000-000003CF0000}"/>
    <cellStyle name="SAPBEXHLevel2X 10 10" xfId="53751" xr:uid="{00000000-0005-0000-0000-000004CF0000}"/>
    <cellStyle name="SAPBEXHLevel2X 10 2" xfId="53752" xr:uid="{00000000-0005-0000-0000-000005CF0000}"/>
    <cellStyle name="SAPBEXHLevel2X 10 2 2" xfId="53753" xr:uid="{00000000-0005-0000-0000-000006CF0000}"/>
    <cellStyle name="SAPBEXHLevel2X 10 3" xfId="53754" xr:uid="{00000000-0005-0000-0000-000007CF0000}"/>
    <cellStyle name="SAPBEXHLevel2X 10 3 2" xfId="53755" xr:uid="{00000000-0005-0000-0000-000008CF0000}"/>
    <cellStyle name="SAPBEXHLevel2X 10 4" xfId="53756" xr:uid="{00000000-0005-0000-0000-000009CF0000}"/>
    <cellStyle name="SAPBEXHLevel2X 10 4 2" xfId="53757" xr:uid="{00000000-0005-0000-0000-00000ACF0000}"/>
    <cellStyle name="SAPBEXHLevel2X 10 5" xfId="53758" xr:uid="{00000000-0005-0000-0000-00000BCF0000}"/>
    <cellStyle name="SAPBEXHLevel2X 10 5 2" xfId="53759" xr:uid="{00000000-0005-0000-0000-00000CCF0000}"/>
    <cellStyle name="SAPBEXHLevel2X 10 6" xfId="53760" xr:uid="{00000000-0005-0000-0000-00000DCF0000}"/>
    <cellStyle name="SAPBEXHLevel2X 10 6 2" xfId="53761" xr:uid="{00000000-0005-0000-0000-00000ECF0000}"/>
    <cellStyle name="SAPBEXHLevel2X 10 7" xfId="53762" xr:uid="{00000000-0005-0000-0000-00000FCF0000}"/>
    <cellStyle name="SAPBEXHLevel2X 10 7 2" xfId="53763" xr:uid="{00000000-0005-0000-0000-000010CF0000}"/>
    <cellStyle name="SAPBEXHLevel2X 10 8" xfId="53764" xr:uid="{00000000-0005-0000-0000-000011CF0000}"/>
    <cellStyle name="SAPBEXHLevel2X 10 8 2" xfId="53765" xr:uid="{00000000-0005-0000-0000-000012CF0000}"/>
    <cellStyle name="SAPBEXHLevel2X 10 9" xfId="53766" xr:uid="{00000000-0005-0000-0000-000013CF0000}"/>
    <cellStyle name="SAPBEXHLevel2X 10 9 2" xfId="53767" xr:uid="{00000000-0005-0000-0000-000014CF0000}"/>
    <cellStyle name="SAPBEXHLevel2X 11" xfId="2899" xr:uid="{00000000-0005-0000-0000-000015CF0000}"/>
    <cellStyle name="SAPBEXHLevel2X 11 2" xfId="53768" xr:uid="{00000000-0005-0000-0000-000016CF0000}"/>
    <cellStyle name="SAPBEXHLevel2X 11 2 2" xfId="53769" xr:uid="{00000000-0005-0000-0000-000017CF0000}"/>
    <cellStyle name="SAPBEXHLevel2X 11 3" xfId="53770" xr:uid="{00000000-0005-0000-0000-000018CF0000}"/>
    <cellStyle name="SAPBEXHLevel2X 12" xfId="2900" xr:uid="{00000000-0005-0000-0000-000019CF0000}"/>
    <cellStyle name="SAPBEXHLevel2X 12 2" xfId="53771" xr:uid="{00000000-0005-0000-0000-00001ACF0000}"/>
    <cellStyle name="SAPBEXHLevel2X 12 2 2" xfId="53772" xr:uid="{00000000-0005-0000-0000-00001BCF0000}"/>
    <cellStyle name="SAPBEXHLevel2X 12 3" xfId="53773" xr:uid="{00000000-0005-0000-0000-00001CCF0000}"/>
    <cellStyle name="SAPBEXHLevel2X 12 3 2" xfId="53774" xr:uid="{00000000-0005-0000-0000-00001DCF0000}"/>
    <cellStyle name="SAPBEXHLevel2X 12 4" xfId="53775" xr:uid="{00000000-0005-0000-0000-00001ECF0000}"/>
    <cellStyle name="SAPBEXHLevel2X 12 4 2" xfId="53776" xr:uid="{00000000-0005-0000-0000-00001FCF0000}"/>
    <cellStyle name="SAPBEXHLevel2X 12 5" xfId="53777" xr:uid="{00000000-0005-0000-0000-000020CF0000}"/>
    <cellStyle name="SAPBEXHLevel2X 12 5 2" xfId="53778" xr:uid="{00000000-0005-0000-0000-000021CF0000}"/>
    <cellStyle name="SAPBEXHLevel2X 12 6" xfId="53779" xr:uid="{00000000-0005-0000-0000-000022CF0000}"/>
    <cellStyle name="SAPBEXHLevel2X 12 6 2" xfId="53780" xr:uid="{00000000-0005-0000-0000-000023CF0000}"/>
    <cellStyle name="SAPBEXHLevel2X 12 7" xfId="53781" xr:uid="{00000000-0005-0000-0000-000024CF0000}"/>
    <cellStyle name="SAPBEXHLevel2X 12 7 2" xfId="53782" xr:uid="{00000000-0005-0000-0000-000025CF0000}"/>
    <cellStyle name="SAPBEXHLevel2X 12 8" xfId="53783" xr:uid="{00000000-0005-0000-0000-000026CF0000}"/>
    <cellStyle name="SAPBEXHLevel2X 12 8 2" xfId="53784" xr:uid="{00000000-0005-0000-0000-000027CF0000}"/>
    <cellStyle name="SAPBEXHLevel2X 12 9" xfId="53785" xr:uid="{00000000-0005-0000-0000-000028CF0000}"/>
    <cellStyle name="SAPBEXHLevel2X 13" xfId="2901" xr:uid="{00000000-0005-0000-0000-000029CF0000}"/>
    <cellStyle name="SAPBEXHLevel2X 13 2" xfId="53786" xr:uid="{00000000-0005-0000-0000-00002ACF0000}"/>
    <cellStyle name="SAPBEXHLevel2X 13 2 2" xfId="53787" xr:uid="{00000000-0005-0000-0000-00002BCF0000}"/>
    <cellStyle name="SAPBEXHLevel2X 13 3" xfId="53788" xr:uid="{00000000-0005-0000-0000-00002CCF0000}"/>
    <cellStyle name="SAPBEXHLevel2X 13 3 2" xfId="53789" xr:uid="{00000000-0005-0000-0000-00002DCF0000}"/>
    <cellStyle name="SAPBEXHLevel2X 13 4" xfId="53790" xr:uid="{00000000-0005-0000-0000-00002ECF0000}"/>
    <cellStyle name="SAPBEXHLevel2X 13 4 2" xfId="53791" xr:uid="{00000000-0005-0000-0000-00002FCF0000}"/>
    <cellStyle name="SAPBEXHLevel2X 13 5" xfId="53792" xr:uid="{00000000-0005-0000-0000-000030CF0000}"/>
    <cellStyle name="SAPBEXHLevel2X 13 5 2" xfId="53793" xr:uid="{00000000-0005-0000-0000-000031CF0000}"/>
    <cellStyle name="SAPBEXHLevel2X 13 6" xfId="53794" xr:uid="{00000000-0005-0000-0000-000032CF0000}"/>
    <cellStyle name="SAPBEXHLevel2X 13 6 2" xfId="53795" xr:uid="{00000000-0005-0000-0000-000033CF0000}"/>
    <cellStyle name="SAPBEXHLevel2X 13 7" xfId="53796" xr:uid="{00000000-0005-0000-0000-000034CF0000}"/>
    <cellStyle name="SAPBEXHLevel2X 13 7 2" xfId="53797" xr:uid="{00000000-0005-0000-0000-000035CF0000}"/>
    <cellStyle name="SAPBEXHLevel2X 13 8" xfId="53798" xr:uid="{00000000-0005-0000-0000-000036CF0000}"/>
    <cellStyle name="SAPBEXHLevel2X 13 8 2" xfId="53799" xr:uid="{00000000-0005-0000-0000-000037CF0000}"/>
    <cellStyle name="SAPBEXHLevel2X 13 9" xfId="53800" xr:uid="{00000000-0005-0000-0000-000038CF0000}"/>
    <cellStyle name="SAPBEXHLevel2X 14" xfId="2902" xr:uid="{00000000-0005-0000-0000-000039CF0000}"/>
    <cellStyle name="SAPBEXHLevel2X 14 2" xfId="53801" xr:uid="{00000000-0005-0000-0000-00003ACF0000}"/>
    <cellStyle name="SAPBEXHLevel2X 14 2 2" xfId="53802" xr:uid="{00000000-0005-0000-0000-00003BCF0000}"/>
    <cellStyle name="SAPBEXHLevel2X 14 3" xfId="53803" xr:uid="{00000000-0005-0000-0000-00003CCF0000}"/>
    <cellStyle name="SAPBEXHLevel2X 15" xfId="2903" xr:uid="{00000000-0005-0000-0000-00003DCF0000}"/>
    <cellStyle name="SAPBEXHLevel2X 15 2" xfId="53804" xr:uid="{00000000-0005-0000-0000-00003ECF0000}"/>
    <cellStyle name="SAPBEXHLevel2X 15 2 2" xfId="53805" xr:uid="{00000000-0005-0000-0000-00003FCF0000}"/>
    <cellStyle name="SAPBEXHLevel2X 15 3" xfId="53806" xr:uid="{00000000-0005-0000-0000-000040CF0000}"/>
    <cellStyle name="SAPBEXHLevel2X 16" xfId="2904" xr:uid="{00000000-0005-0000-0000-000041CF0000}"/>
    <cellStyle name="SAPBEXHLevel2X 16 2" xfId="53807" xr:uid="{00000000-0005-0000-0000-000042CF0000}"/>
    <cellStyle name="SAPBEXHLevel2X 16 2 2" xfId="53808" xr:uid="{00000000-0005-0000-0000-000043CF0000}"/>
    <cellStyle name="SAPBEXHLevel2X 16 3" xfId="53809" xr:uid="{00000000-0005-0000-0000-000044CF0000}"/>
    <cellStyle name="SAPBEXHLevel2X 17" xfId="2905" xr:uid="{00000000-0005-0000-0000-000045CF0000}"/>
    <cellStyle name="SAPBEXHLevel2X 17 2" xfId="53810" xr:uid="{00000000-0005-0000-0000-000046CF0000}"/>
    <cellStyle name="SAPBEXHLevel2X 17 2 2" xfId="53811" xr:uid="{00000000-0005-0000-0000-000047CF0000}"/>
    <cellStyle name="SAPBEXHLevel2X 17 3" xfId="53812" xr:uid="{00000000-0005-0000-0000-000048CF0000}"/>
    <cellStyle name="SAPBEXHLevel2X 18" xfId="2906" xr:uid="{00000000-0005-0000-0000-000049CF0000}"/>
    <cellStyle name="SAPBEXHLevel2X 18 2" xfId="53813" xr:uid="{00000000-0005-0000-0000-00004ACF0000}"/>
    <cellStyle name="SAPBEXHLevel2X 18 2 2" xfId="53814" xr:uid="{00000000-0005-0000-0000-00004BCF0000}"/>
    <cellStyle name="SAPBEXHLevel2X 18 3" xfId="53815" xr:uid="{00000000-0005-0000-0000-00004CCF0000}"/>
    <cellStyle name="SAPBEXHLevel2X 19" xfId="2907" xr:uid="{00000000-0005-0000-0000-00004DCF0000}"/>
    <cellStyle name="SAPBEXHLevel2X 19 2" xfId="53816" xr:uid="{00000000-0005-0000-0000-00004ECF0000}"/>
    <cellStyle name="SAPBEXHLevel2X 19 2 2" xfId="53817" xr:uid="{00000000-0005-0000-0000-00004FCF0000}"/>
    <cellStyle name="SAPBEXHLevel2X 19 3" xfId="53818" xr:uid="{00000000-0005-0000-0000-000050CF0000}"/>
    <cellStyle name="SAPBEXHLevel2X 2" xfId="2908" xr:uid="{00000000-0005-0000-0000-000051CF0000}"/>
    <cellStyle name="SAPBEXHLevel2X 2 10" xfId="53819" xr:uid="{00000000-0005-0000-0000-000052CF0000}"/>
    <cellStyle name="SAPBEXHLevel2X 2 2" xfId="53820" xr:uid="{00000000-0005-0000-0000-000053CF0000}"/>
    <cellStyle name="SAPBEXHLevel2X 2 2 2" xfId="53821" xr:uid="{00000000-0005-0000-0000-000054CF0000}"/>
    <cellStyle name="SAPBEXHLevel2X 2 3" xfId="53822" xr:uid="{00000000-0005-0000-0000-000055CF0000}"/>
    <cellStyle name="SAPBEXHLevel2X 2 3 2" xfId="53823" xr:uid="{00000000-0005-0000-0000-000056CF0000}"/>
    <cellStyle name="SAPBEXHLevel2X 2 4" xfId="53824" xr:uid="{00000000-0005-0000-0000-000057CF0000}"/>
    <cellStyle name="SAPBEXHLevel2X 2 4 2" xfId="53825" xr:uid="{00000000-0005-0000-0000-000058CF0000}"/>
    <cellStyle name="SAPBEXHLevel2X 2 5" xfId="53826" xr:uid="{00000000-0005-0000-0000-000059CF0000}"/>
    <cellStyle name="SAPBEXHLevel2X 2 5 2" xfId="53827" xr:uid="{00000000-0005-0000-0000-00005ACF0000}"/>
    <cellStyle name="SAPBEXHLevel2X 2 6" xfId="53828" xr:uid="{00000000-0005-0000-0000-00005BCF0000}"/>
    <cellStyle name="SAPBEXHLevel2X 2 6 2" xfId="53829" xr:uid="{00000000-0005-0000-0000-00005CCF0000}"/>
    <cellStyle name="SAPBEXHLevel2X 2 7" xfId="53830" xr:uid="{00000000-0005-0000-0000-00005DCF0000}"/>
    <cellStyle name="SAPBEXHLevel2X 2 7 2" xfId="53831" xr:uid="{00000000-0005-0000-0000-00005ECF0000}"/>
    <cellStyle name="SAPBEXHLevel2X 2 8" xfId="53832" xr:uid="{00000000-0005-0000-0000-00005FCF0000}"/>
    <cellStyle name="SAPBEXHLevel2X 2 8 2" xfId="53833" xr:uid="{00000000-0005-0000-0000-000060CF0000}"/>
    <cellStyle name="SAPBEXHLevel2X 2 9" xfId="53834" xr:uid="{00000000-0005-0000-0000-000061CF0000}"/>
    <cellStyle name="SAPBEXHLevel2X 2 9 2" xfId="53835" xr:uid="{00000000-0005-0000-0000-000062CF0000}"/>
    <cellStyle name="SAPBEXHLevel2X 20" xfId="2909" xr:uid="{00000000-0005-0000-0000-000063CF0000}"/>
    <cellStyle name="SAPBEXHLevel2X 20 2" xfId="53836" xr:uid="{00000000-0005-0000-0000-000064CF0000}"/>
    <cellStyle name="SAPBEXHLevel2X 20 2 2" xfId="53837" xr:uid="{00000000-0005-0000-0000-000065CF0000}"/>
    <cellStyle name="SAPBEXHLevel2X 20 3" xfId="53838" xr:uid="{00000000-0005-0000-0000-000066CF0000}"/>
    <cellStyle name="SAPBEXHLevel2X 21" xfId="2910" xr:uid="{00000000-0005-0000-0000-000067CF0000}"/>
    <cellStyle name="SAPBEXHLevel2X 21 2" xfId="53839" xr:uid="{00000000-0005-0000-0000-000068CF0000}"/>
    <cellStyle name="SAPBEXHLevel2X 22" xfId="2911" xr:uid="{00000000-0005-0000-0000-000069CF0000}"/>
    <cellStyle name="SAPBEXHLevel2X 22 2" xfId="53840" xr:uid="{00000000-0005-0000-0000-00006ACF0000}"/>
    <cellStyle name="SAPBEXHLevel2X 23" xfId="2912" xr:uid="{00000000-0005-0000-0000-00006BCF0000}"/>
    <cellStyle name="SAPBEXHLevel2X 23 2" xfId="53841" xr:uid="{00000000-0005-0000-0000-00006CCF0000}"/>
    <cellStyle name="SAPBEXHLevel2X 24" xfId="2913" xr:uid="{00000000-0005-0000-0000-00006DCF0000}"/>
    <cellStyle name="SAPBEXHLevel2X 24 2" xfId="53842" xr:uid="{00000000-0005-0000-0000-00006ECF0000}"/>
    <cellStyle name="SAPBEXHLevel2X 25" xfId="2914" xr:uid="{00000000-0005-0000-0000-00006FCF0000}"/>
    <cellStyle name="SAPBEXHLevel2X 25 2" xfId="53843" xr:uid="{00000000-0005-0000-0000-000070CF0000}"/>
    <cellStyle name="SAPBEXHLevel2X 26" xfId="2915" xr:uid="{00000000-0005-0000-0000-000071CF0000}"/>
    <cellStyle name="SAPBEXHLevel2X 26 2" xfId="53844" xr:uid="{00000000-0005-0000-0000-000072CF0000}"/>
    <cellStyle name="SAPBEXHLevel2X 27" xfId="2916" xr:uid="{00000000-0005-0000-0000-000073CF0000}"/>
    <cellStyle name="SAPBEXHLevel2X 27 2" xfId="53845" xr:uid="{00000000-0005-0000-0000-000074CF0000}"/>
    <cellStyle name="SAPBEXHLevel2X 28" xfId="2917" xr:uid="{00000000-0005-0000-0000-000075CF0000}"/>
    <cellStyle name="SAPBEXHLevel2X 28 2" xfId="53846" xr:uid="{00000000-0005-0000-0000-000076CF0000}"/>
    <cellStyle name="SAPBEXHLevel2X 29" xfId="2918" xr:uid="{00000000-0005-0000-0000-000077CF0000}"/>
    <cellStyle name="SAPBEXHLevel2X 29 2" xfId="53847" xr:uid="{00000000-0005-0000-0000-000078CF0000}"/>
    <cellStyle name="SAPBEXHLevel2X 3" xfId="2919" xr:uid="{00000000-0005-0000-0000-000079CF0000}"/>
    <cellStyle name="SAPBEXHLevel2X 3 10" xfId="53848" xr:uid="{00000000-0005-0000-0000-00007ACF0000}"/>
    <cellStyle name="SAPBEXHLevel2X 3 2" xfId="53849" xr:uid="{00000000-0005-0000-0000-00007BCF0000}"/>
    <cellStyle name="SAPBEXHLevel2X 3 2 2" xfId="53850" xr:uid="{00000000-0005-0000-0000-00007CCF0000}"/>
    <cellStyle name="SAPBEXHLevel2X 3 3" xfId="53851" xr:uid="{00000000-0005-0000-0000-00007DCF0000}"/>
    <cellStyle name="SAPBEXHLevel2X 3 3 2" xfId="53852" xr:uid="{00000000-0005-0000-0000-00007ECF0000}"/>
    <cellStyle name="SAPBEXHLevel2X 3 4" xfId="53853" xr:uid="{00000000-0005-0000-0000-00007FCF0000}"/>
    <cellStyle name="SAPBEXHLevel2X 3 4 2" xfId="53854" xr:uid="{00000000-0005-0000-0000-000080CF0000}"/>
    <cellStyle name="SAPBEXHLevel2X 3 5" xfId="53855" xr:uid="{00000000-0005-0000-0000-000081CF0000}"/>
    <cellStyle name="SAPBEXHLevel2X 3 5 2" xfId="53856" xr:uid="{00000000-0005-0000-0000-000082CF0000}"/>
    <cellStyle name="SAPBEXHLevel2X 3 6" xfId="53857" xr:uid="{00000000-0005-0000-0000-000083CF0000}"/>
    <cellStyle name="SAPBEXHLevel2X 3 6 2" xfId="53858" xr:uid="{00000000-0005-0000-0000-000084CF0000}"/>
    <cellStyle name="SAPBEXHLevel2X 3 7" xfId="53859" xr:uid="{00000000-0005-0000-0000-000085CF0000}"/>
    <cellStyle name="SAPBEXHLevel2X 3 7 2" xfId="53860" xr:uid="{00000000-0005-0000-0000-000086CF0000}"/>
    <cellStyle name="SAPBEXHLevel2X 3 8" xfId="53861" xr:uid="{00000000-0005-0000-0000-000087CF0000}"/>
    <cellStyle name="SAPBEXHLevel2X 3 8 2" xfId="53862" xr:uid="{00000000-0005-0000-0000-000088CF0000}"/>
    <cellStyle name="SAPBEXHLevel2X 3 9" xfId="53863" xr:uid="{00000000-0005-0000-0000-000089CF0000}"/>
    <cellStyle name="SAPBEXHLevel2X 3 9 2" xfId="53864" xr:uid="{00000000-0005-0000-0000-00008ACF0000}"/>
    <cellStyle name="SAPBEXHLevel2X 30" xfId="2920" xr:uid="{00000000-0005-0000-0000-00008BCF0000}"/>
    <cellStyle name="SAPBEXHLevel2X 30 2" xfId="53865" xr:uid="{00000000-0005-0000-0000-00008CCF0000}"/>
    <cellStyle name="SAPBEXHLevel2X 31" xfId="2921" xr:uid="{00000000-0005-0000-0000-00008DCF0000}"/>
    <cellStyle name="SAPBEXHLevel2X 31 2" xfId="53866" xr:uid="{00000000-0005-0000-0000-00008ECF0000}"/>
    <cellStyle name="SAPBEXHLevel2X 32" xfId="2922" xr:uid="{00000000-0005-0000-0000-00008FCF0000}"/>
    <cellStyle name="SAPBEXHLevel2X 32 2" xfId="53867" xr:uid="{00000000-0005-0000-0000-000090CF0000}"/>
    <cellStyle name="SAPBEXHLevel2X 33" xfId="2923" xr:uid="{00000000-0005-0000-0000-000091CF0000}"/>
    <cellStyle name="SAPBEXHLevel2X 33 2" xfId="53868" xr:uid="{00000000-0005-0000-0000-000092CF0000}"/>
    <cellStyle name="SAPBEXHLevel2X 34" xfId="2924" xr:uid="{00000000-0005-0000-0000-000093CF0000}"/>
    <cellStyle name="SAPBEXHLevel2X 34 2" xfId="53869" xr:uid="{00000000-0005-0000-0000-000094CF0000}"/>
    <cellStyle name="SAPBEXHLevel2X 35" xfId="2925" xr:uid="{00000000-0005-0000-0000-000095CF0000}"/>
    <cellStyle name="SAPBEXHLevel2X 35 2" xfId="53870" xr:uid="{00000000-0005-0000-0000-000096CF0000}"/>
    <cellStyle name="SAPBEXHLevel2X 36" xfId="2926" xr:uid="{00000000-0005-0000-0000-000097CF0000}"/>
    <cellStyle name="SAPBEXHLevel2X 36 2" xfId="53871" xr:uid="{00000000-0005-0000-0000-000098CF0000}"/>
    <cellStyle name="SAPBEXHLevel2X 37" xfId="2927" xr:uid="{00000000-0005-0000-0000-000099CF0000}"/>
    <cellStyle name="SAPBEXHLevel2X 37 2" xfId="53872" xr:uid="{00000000-0005-0000-0000-00009ACF0000}"/>
    <cellStyle name="SAPBEXHLevel2X 38" xfId="2928" xr:uid="{00000000-0005-0000-0000-00009BCF0000}"/>
    <cellStyle name="SAPBEXHLevel2X 38 2" xfId="53873" xr:uid="{00000000-0005-0000-0000-00009CCF0000}"/>
    <cellStyle name="SAPBEXHLevel2X 39" xfId="2929" xr:uid="{00000000-0005-0000-0000-00009DCF0000}"/>
    <cellStyle name="SAPBEXHLevel2X 39 2" xfId="53874" xr:uid="{00000000-0005-0000-0000-00009ECF0000}"/>
    <cellStyle name="SAPBEXHLevel2X 4" xfId="2930" xr:uid="{00000000-0005-0000-0000-00009FCF0000}"/>
    <cellStyle name="SAPBEXHLevel2X 4 10" xfId="53875" xr:uid="{00000000-0005-0000-0000-0000A0CF0000}"/>
    <cellStyle name="SAPBEXHLevel2X 4 2" xfId="53876" xr:uid="{00000000-0005-0000-0000-0000A1CF0000}"/>
    <cellStyle name="SAPBEXHLevel2X 4 2 2" xfId="53877" xr:uid="{00000000-0005-0000-0000-0000A2CF0000}"/>
    <cellStyle name="SAPBEXHLevel2X 4 3" xfId="53878" xr:uid="{00000000-0005-0000-0000-0000A3CF0000}"/>
    <cellStyle name="SAPBEXHLevel2X 4 3 2" xfId="53879" xr:uid="{00000000-0005-0000-0000-0000A4CF0000}"/>
    <cellStyle name="SAPBEXHLevel2X 4 4" xfId="53880" xr:uid="{00000000-0005-0000-0000-0000A5CF0000}"/>
    <cellStyle name="SAPBEXHLevel2X 4 4 2" xfId="53881" xr:uid="{00000000-0005-0000-0000-0000A6CF0000}"/>
    <cellStyle name="SAPBEXHLevel2X 4 5" xfId="53882" xr:uid="{00000000-0005-0000-0000-0000A7CF0000}"/>
    <cellStyle name="SAPBEXHLevel2X 4 5 2" xfId="53883" xr:uid="{00000000-0005-0000-0000-0000A8CF0000}"/>
    <cellStyle name="SAPBEXHLevel2X 4 6" xfId="53884" xr:uid="{00000000-0005-0000-0000-0000A9CF0000}"/>
    <cellStyle name="SAPBEXHLevel2X 4 6 2" xfId="53885" xr:uid="{00000000-0005-0000-0000-0000AACF0000}"/>
    <cellStyle name="SAPBEXHLevel2X 4 7" xfId="53886" xr:uid="{00000000-0005-0000-0000-0000ABCF0000}"/>
    <cellStyle name="SAPBEXHLevel2X 4 7 2" xfId="53887" xr:uid="{00000000-0005-0000-0000-0000ACCF0000}"/>
    <cellStyle name="SAPBEXHLevel2X 4 8" xfId="53888" xr:uid="{00000000-0005-0000-0000-0000ADCF0000}"/>
    <cellStyle name="SAPBEXHLevel2X 4 8 2" xfId="53889" xr:uid="{00000000-0005-0000-0000-0000AECF0000}"/>
    <cellStyle name="SAPBEXHLevel2X 4 9" xfId="53890" xr:uid="{00000000-0005-0000-0000-0000AFCF0000}"/>
    <cellStyle name="SAPBEXHLevel2X 4 9 2" xfId="53891" xr:uid="{00000000-0005-0000-0000-0000B0CF0000}"/>
    <cellStyle name="SAPBEXHLevel2X 40" xfId="2931" xr:uid="{00000000-0005-0000-0000-0000B1CF0000}"/>
    <cellStyle name="SAPBEXHLevel2X 40 2" xfId="53892" xr:uid="{00000000-0005-0000-0000-0000B2CF0000}"/>
    <cellStyle name="SAPBEXHLevel2X 41" xfId="2932" xr:uid="{00000000-0005-0000-0000-0000B3CF0000}"/>
    <cellStyle name="SAPBEXHLevel2X 41 2" xfId="53893" xr:uid="{00000000-0005-0000-0000-0000B4CF0000}"/>
    <cellStyle name="SAPBEXHLevel2X 42" xfId="2933" xr:uid="{00000000-0005-0000-0000-0000B5CF0000}"/>
    <cellStyle name="SAPBEXHLevel2X 42 2" xfId="53894" xr:uid="{00000000-0005-0000-0000-0000B6CF0000}"/>
    <cellStyle name="SAPBEXHLevel2X 43" xfId="2934" xr:uid="{00000000-0005-0000-0000-0000B7CF0000}"/>
    <cellStyle name="SAPBEXHLevel2X 43 2" xfId="53895" xr:uid="{00000000-0005-0000-0000-0000B8CF0000}"/>
    <cellStyle name="SAPBEXHLevel2X 44" xfId="2935" xr:uid="{00000000-0005-0000-0000-0000B9CF0000}"/>
    <cellStyle name="SAPBEXHLevel2X 44 2" xfId="53896" xr:uid="{00000000-0005-0000-0000-0000BACF0000}"/>
    <cellStyle name="SAPBEXHLevel2X 45" xfId="2936" xr:uid="{00000000-0005-0000-0000-0000BBCF0000}"/>
    <cellStyle name="SAPBEXHLevel2X 45 2" xfId="53897" xr:uid="{00000000-0005-0000-0000-0000BCCF0000}"/>
    <cellStyle name="SAPBEXHLevel2X 46" xfId="53898" xr:uid="{00000000-0005-0000-0000-0000BDCF0000}"/>
    <cellStyle name="SAPBEXHLevel2X 46 2" xfId="53899" xr:uid="{00000000-0005-0000-0000-0000BECF0000}"/>
    <cellStyle name="SAPBEXHLevel2X 46 2 2" xfId="53900" xr:uid="{00000000-0005-0000-0000-0000BFCF0000}"/>
    <cellStyle name="SAPBEXHLevel2X 46 3" xfId="53901" xr:uid="{00000000-0005-0000-0000-0000C0CF0000}"/>
    <cellStyle name="SAPBEXHLevel2X 47" xfId="53902" xr:uid="{00000000-0005-0000-0000-0000C1CF0000}"/>
    <cellStyle name="SAPBEXHLevel2X 48" xfId="53903" xr:uid="{00000000-0005-0000-0000-0000C2CF0000}"/>
    <cellStyle name="SAPBEXHLevel2X 49" xfId="53904" xr:uid="{00000000-0005-0000-0000-0000C3CF0000}"/>
    <cellStyle name="SAPBEXHLevel2X 5" xfId="2937" xr:uid="{00000000-0005-0000-0000-0000C4CF0000}"/>
    <cellStyle name="SAPBEXHLevel2X 5 10" xfId="53905" xr:uid="{00000000-0005-0000-0000-0000C5CF0000}"/>
    <cellStyle name="SAPBEXHLevel2X 5 2" xfId="53906" xr:uid="{00000000-0005-0000-0000-0000C6CF0000}"/>
    <cellStyle name="SAPBEXHLevel2X 5 2 2" xfId="53907" xr:uid="{00000000-0005-0000-0000-0000C7CF0000}"/>
    <cellStyle name="SAPBEXHLevel2X 5 3" xfId="53908" xr:uid="{00000000-0005-0000-0000-0000C8CF0000}"/>
    <cellStyle name="SAPBEXHLevel2X 5 3 2" xfId="53909" xr:uid="{00000000-0005-0000-0000-0000C9CF0000}"/>
    <cellStyle name="SAPBEXHLevel2X 5 4" xfId="53910" xr:uid="{00000000-0005-0000-0000-0000CACF0000}"/>
    <cellStyle name="SAPBEXHLevel2X 5 4 2" xfId="53911" xr:uid="{00000000-0005-0000-0000-0000CBCF0000}"/>
    <cellStyle name="SAPBEXHLevel2X 5 5" xfId="53912" xr:uid="{00000000-0005-0000-0000-0000CCCF0000}"/>
    <cellStyle name="SAPBEXHLevel2X 5 5 2" xfId="53913" xr:uid="{00000000-0005-0000-0000-0000CDCF0000}"/>
    <cellStyle name="SAPBEXHLevel2X 5 6" xfId="53914" xr:uid="{00000000-0005-0000-0000-0000CECF0000}"/>
    <cellStyle name="SAPBEXHLevel2X 5 6 2" xfId="53915" xr:uid="{00000000-0005-0000-0000-0000CFCF0000}"/>
    <cellStyle name="SAPBEXHLevel2X 5 7" xfId="53916" xr:uid="{00000000-0005-0000-0000-0000D0CF0000}"/>
    <cellStyle name="SAPBEXHLevel2X 5 7 2" xfId="53917" xr:uid="{00000000-0005-0000-0000-0000D1CF0000}"/>
    <cellStyle name="SAPBEXHLevel2X 5 8" xfId="53918" xr:uid="{00000000-0005-0000-0000-0000D2CF0000}"/>
    <cellStyle name="SAPBEXHLevel2X 5 8 2" xfId="53919" xr:uid="{00000000-0005-0000-0000-0000D3CF0000}"/>
    <cellStyle name="SAPBEXHLevel2X 5 9" xfId="53920" xr:uid="{00000000-0005-0000-0000-0000D4CF0000}"/>
    <cellStyle name="SAPBEXHLevel2X 5 9 2" xfId="53921" xr:uid="{00000000-0005-0000-0000-0000D5CF0000}"/>
    <cellStyle name="SAPBEXHLevel2X 50" xfId="53922" xr:uid="{00000000-0005-0000-0000-0000D6CF0000}"/>
    <cellStyle name="SAPBEXHLevel2X 6" xfId="2938" xr:uid="{00000000-0005-0000-0000-0000D7CF0000}"/>
    <cellStyle name="SAPBEXHLevel2X 6 10" xfId="53923" xr:uid="{00000000-0005-0000-0000-0000D8CF0000}"/>
    <cellStyle name="SAPBEXHLevel2X 6 2" xfId="53924" xr:uid="{00000000-0005-0000-0000-0000D9CF0000}"/>
    <cellStyle name="SAPBEXHLevel2X 6 2 2" xfId="53925" xr:uid="{00000000-0005-0000-0000-0000DACF0000}"/>
    <cellStyle name="SAPBEXHLevel2X 6 3" xfId="53926" xr:uid="{00000000-0005-0000-0000-0000DBCF0000}"/>
    <cellStyle name="SAPBEXHLevel2X 6 3 2" xfId="53927" xr:uid="{00000000-0005-0000-0000-0000DCCF0000}"/>
    <cellStyle name="SAPBEXHLevel2X 6 4" xfId="53928" xr:uid="{00000000-0005-0000-0000-0000DDCF0000}"/>
    <cellStyle name="SAPBEXHLevel2X 6 4 2" xfId="53929" xr:uid="{00000000-0005-0000-0000-0000DECF0000}"/>
    <cellStyle name="SAPBEXHLevel2X 6 5" xfId="53930" xr:uid="{00000000-0005-0000-0000-0000DFCF0000}"/>
    <cellStyle name="SAPBEXHLevel2X 6 5 2" xfId="53931" xr:uid="{00000000-0005-0000-0000-0000E0CF0000}"/>
    <cellStyle name="SAPBEXHLevel2X 6 6" xfId="53932" xr:uid="{00000000-0005-0000-0000-0000E1CF0000}"/>
    <cellStyle name="SAPBEXHLevel2X 6 6 2" xfId="53933" xr:uid="{00000000-0005-0000-0000-0000E2CF0000}"/>
    <cellStyle name="SAPBEXHLevel2X 6 7" xfId="53934" xr:uid="{00000000-0005-0000-0000-0000E3CF0000}"/>
    <cellStyle name="SAPBEXHLevel2X 6 7 2" xfId="53935" xr:uid="{00000000-0005-0000-0000-0000E4CF0000}"/>
    <cellStyle name="SAPBEXHLevel2X 6 8" xfId="53936" xr:uid="{00000000-0005-0000-0000-0000E5CF0000}"/>
    <cellStyle name="SAPBEXHLevel2X 6 8 2" xfId="53937" xr:uid="{00000000-0005-0000-0000-0000E6CF0000}"/>
    <cellStyle name="SAPBEXHLevel2X 6 9" xfId="53938" xr:uid="{00000000-0005-0000-0000-0000E7CF0000}"/>
    <cellStyle name="SAPBEXHLevel2X 6 9 2" xfId="53939" xr:uid="{00000000-0005-0000-0000-0000E8CF0000}"/>
    <cellStyle name="SAPBEXHLevel2X 7" xfId="2939" xr:uid="{00000000-0005-0000-0000-0000E9CF0000}"/>
    <cellStyle name="SAPBEXHLevel2X 7 10" xfId="53940" xr:uid="{00000000-0005-0000-0000-0000EACF0000}"/>
    <cellStyle name="SAPBEXHLevel2X 7 2" xfId="53941" xr:uid="{00000000-0005-0000-0000-0000EBCF0000}"/>
    <cellStyle name="SAPBEXHLevel2X 7 2 2" xfId="53942" xr:uid="{00000000-0005-0000-0000-0000ECCF0000}"/>
    <cellStyle name="SAPBEXHLevel2X 7 3" xfId="53943" xr:uid="{00000000-0005-0000-0000-0000EDCF0000}"/>
    <cellStyle name="SAPBEXHLevel2X 7 3 2" xfId="53944" xr:uid="{00000000-0005-0000-0000-0000EECF0000}"/>
    <cellStyle name="SAPBEXHLevel2X 7 4" xfId="53945" xr:uid="{00000000-0005-0000-0000-0000EFCF0000}"/>
    <cellStyle name="SAPBEXHLevel2X 7 4 2" xfId="53946" xr:uid="{00000000-0005-0000-0000-0000F0CF0000}"/>
    <cellStyle name="SAPBEXHLevel2X 7 5" xfId="53947" xr:uid="{00000000-0005-0000-0000-0000F1CF0000}"/>
    <cellStyle name="SAPBEXHLevel2X 7 5 2" xfId="53948" xr:uid="{00000000-0005-0000-0000-0000F2CF0000}"/>
    <cellStyle name="SAPBEXHLevel2X 7 6" xfId="53949" xr:uid="{00000000-0005-0000-0000-0000F3CF0000}"/>
    <cellStyle name="SAPBEXHLevel2X 7 6 2" xfId="53950" xr:uid="{00000000-0005-0000-0000-0000F4CF0000}"/>
    <cellStyle name="SAPBEXHLevel2X 7 7" xfId="53951" xr:uid="{00000000-0005-0000-0000-0000F5CF0000}"/>
    <cellStyle name="SAPBEXHLevel2X 7 7 2" xfId="53952" xr:uid="{00000000-0005-0000-0000-0000F6CF0000}"/>
    <cellStyle name="SAPBEXHLevel2X 7 8" xfId="53953" xr:uid="{00000000-0005-0000-0000-0000F7CF0000}"/>
    <cellStyle name="SAPBEXHLevel2X 7 8 2" xfId="53954" xr:uid="{00000000-0005-0000-0000-0000F8CF0000}"/>
    <cellStyle name="SAPBEXHLevel2X 7 9" xfId="53955" xr:uid="{00000000-0005-0000-0000-0000F9CF0000}"/>
    <cellStyle name="SAPBEXHLevel2X 7 9 2" xfId="53956" xr:uid="{00000000-0005-0000-0000-0000FACF0000}"/>
    <cellStyle name="SAPBEXHLevel2X 8" xfId="2940" xr:uid="{00000000-0005-0000-0000-0000FBCF0000}"/>
    <cellStyle name="SAPBEXHLevel2X 8 10" xfId="53957" xr:uid="{00000000-0005-0000-0000-0000FCCF0000}"/>
    <cellStyle name="SAPBEXHLevel2X 8 2" xfId="53958" xr:uid="{00000000-0005-0000-0000-0000FDCF0000}"/>
    <cellStyle name="SAPBEXHLevel2X 8 2 2" xfId="53959" xr:uid="{00000000-0005-0000-0000-0000FECF0000}"/>
    <cellStyle name="SAPBEXHLevel2X 8 3" xfId="53960" xr:uid="{00000000-0005-0000-0000-0000FFCF0000}"/>
    <cellStyle name="SAPBEXHLevel2X 8 3 2" xfId="53961" xr:uid="{00000000-0005-0000-0000-000000D00000}"/>
    <cellStyle name="SAPBEXHLevel2X 8 4" xfId="53962" xr:uid="{00000000-0005-0000-0000-000001D00000}"/>
    <cellStyle name="SAPBEXHLevel2X 8 4 2" xfId="53963" xr:uid="{00000000-0005-0000-0000-000002D00000}"/>
    <cellStyle name="SAPBEXHLevel2X 8 5" xfId="53964" xr:uid="{00000000-0005-0000-0000-000003D00000}"/>
    <cellStyle name="SAPBEXHLevel2X 8 5 2" xfId="53965" xr:uid="{00000000-0005-0000-0000-000004D00000}"/>
    <cellStyle name="SAPBEXHLevel2X 8 6" xfId="53966" xr:uid="{00000000-0005-0000-0000-000005D00000}"/>
    <cellStyle name="SAPBEXHLevel2X 8 6 2" xfId="53967" xr:uid="{00000000-0005-0000-0000-000006D00000}"/>
    <cellStyle name="SAPBEXHLevel2X 8 7" xfId="53968" xr:uid="{00000000-0005-0000-0000-000007D00000}"/>
    <cellStyle name="SAPBEXHLevel2X 8 7 2" xfId="53969" xr:uid="{00000000-0005-0000-0000-000008D00000}"/>
    <cellStyle name="SAPBEXHLevel2X 8 8" xfId="53970" xr:uid="{00000000-0005-0000-0000-000009D00000}"/>
    <cellStyle name="SAPBEXHLevel2X 8 8 2" xfId="53971" xr:uid="{00000000-0005-0000-0000-00000AD00000}"/>
    <cellStyle name="SAPBEXHLevel2X 8 9" xfId="53972" xr:uid="{00000000-0005-0000-0000-00000BD00000}"/>
    <cellStyle name="SAPBEXHLevel2X 8 9 2" xfId="53973" xr:uid="{00000000-0005-0000-0000-00000CD00000}"/>
    <cellStyle name="SAPBEXHLevel2X 9" xfId="2941" xr:uid="{00000000-0005-0000-0000-00000DD00000}"/>
    <cellStyle name="SAPBEXHLevel2X 9 10" xfId="53974" xr:uid="{00000000-0005-0000-0000-00000ED00000}"/>
    <cellStyle name="SAPBEXHLevel2X 9 2" xfId="53975" xr:uid="{00000000-0005-0000-0000-00000FD00000}"/>
    <cellStyle name="SAPBEXHLevel2X 9 2 2" xfId="53976" xr:uid="{00000000-0005-0000-0000-000010D00000}"/>
    <cellStyle name="SAPBEXHLevel2X 9 3" xfId="53977" xr:uid="{00000000-0005-0000-0000-000011D00000}"/>
    <cellStyle name="SAPBEXHLevel2X 9 3 2" xfId="53978" xr:uid="{00000000-0005-0000-0000-000012D00000}"/>
    <cellStyle name="SAPBEXHLevel2X 9 4" xfId="53979" xr:uid="{00000000-0005-0000-0000-000013D00000}"/>
    <cellStyle name="SAPBEXHLevel2X 9 4 2" xfId="53980" xr:uid="{00000000-0005-0000-0000-000014D00000}"/>
    <cellStyle name="SAPBEXHLevel2X 9 5" xfId="53981" xr:uid="{00000000-0005-0000-0000-000015D00000}"/>
    <cellStyle name="SAPBEXHLevel2X 9 5 2" xfId="53982" xr:uid="{00000000-0005-0000-0000-000016D00000}"/>
    <cellStyle name="SAPBEXHLevel2X 9 6" xfId="53983" xr:uid="{00000000-0005-0000-0000-000017D00000}"/>
    <cellStyle name="SAPBEXHLevel2X 9 6 2" xfId="53984" xr:uid="{00000000-0005-0000-0000-000018D00000}"/>
    <cellStyle name="SAPBEXHLevel2X 9 7" xfId="53985" xr:uid="{00000000-0005-0000-0000-000019D00000}"/>
    <cellStyle name="SAPBEXHLevel2X 9 7 2" xfId="53986" xr:uid="{00000000-0005-0000-0000-00001AD00000}"/>
    <cellStyle name="SAPBEXHLevel2X 9 8" xfId="53987" xr:uid="{00000000-0005-0000-0000-00001BD00000}"/>
    <cellStyle name="SAPBEXHLevel2X 9 8 2" xfId="53988" xr:uid="{00000000-0005-0000-0000-00001CD00000}"/>
    <cellStyle name="SAPBEXHLevel2X 9 9" xfId="53989" xr:uid="{00000000-0005-0000-0000-00001DD00000}"/>
    <cellStyle name="SAPBEXHLevel2X 9 9 2" xfId="53990" xr:uid="{00000000-0005-0000-0000-00001ED00000}"/>
    <cellStyle name="SAPBEXHLevel2X_(A-7) IS-Inputs" xfId="53991" xr:uid="{00000000-0005-0000-0000-00001FD00000}"/>
    <cellStyle name="SAPBEXHLevel3" xfId="77" xr:uid="{00000000-0005-0000-0000-000085000000}"/>
    <cellStyle name="SAPBEXHLevel3 10" xfId="2942" xr:uid="{00000000-0005-0000-0000-000021D00000}"/>
    <cellStyle name="SAPBEXHLevel3 10 2" xfId="53992" xr:uid="{00000000-0005-0000-0000-000022D00000}"/>
    <cellStyle name="SAPBEXHLevel3 100" xfId="53993" xr:uid="{00000000-0005-0000-0000-000023D00000}"/>
    <cellStyle name="SAPBEXHLevel3 100 2" xfId="53994" xr:uid="{00000000-0005-0000-0000-000024D00000}"/>
    <cellStyle name="SAPBEXHLevel3 101" xfId="53995" xr:uid="{00000000-0005-0000-0000-000025D00000}"/>
    <cellStyle name="SAPBEXHLevel3 101 2" xfId="53996" xr:uid="{00000000-0005-0000-0000-000026D00000}"/>
    <cellStyle name="SAPBEXHLevel3 102" xfId="53997" xr:uid="{00000000-0005-0000-0000-000027D00000}"/>
    <cellStyle name="SAPBEXHLevel3 102 2" xfId="53998" xr:uid="{00000000-0005-0000-0000-000028D00000}"/>
    <cellStyle name="SAPBEXHLevel3 103" xfId="53999" xr:uid="{00000000-0005-0000-0000-000029D00000}"/>
    <cellStyle name="SAPBEXHLevel3 103 2" xfId="54000" xr:uid="{00000000-0005-0000-0000-00002AD00000}"/>
    <cellStyle name="SAPBEXHLevel3 104" xfId="54001" xr:uid="{00000000-0005-0000-0000-00002BD00000}"/>
    <cellStyle name="SAPBEXHLevel3 104 2" xfId="54002" xr:uid="{00000000-0005-0000-0000-00002CD00000}"/>
    <cellStyle name="SAPBEXHLevel3 105" xfId="54003" xr:uid="{00000000-0005-0000-0000-00002DD00000}"/>
    <cellStyle name="SAPBEXHLevel3 105 2" xfId="54004" xr:uid="{00000000-0005-0000-0000-00002ED00000}"/>
    <cellStyle name="SAPBEXHLevel3 106" xfId="54005" xr:uid="{00000000-0005-0000-0000-00002FD00000}"/>
    <cellStyle name="SAPBEXHLevel3 106 2" xfId="54006" xr:uid="{00000000-0005-0000-0000-000030D00000}"/>
    <cellStyle name="SAPBEXHLevel3 107" xfId="54007" xr:uid="{00000000-0005-0000-0000-000031D00000}"/>
    <cellStyle name="SAPBEXHLevel3 107 2" xfId="54008" xr:uid="{00000000-0005-0000-0000-000032D00000}"/>
    <cellStyle name="SAPBEXHLevel3 108" xfId="54009" xr:uid="{00000000-0005-0000-0000-000033D00000}"/>
    <cellStyle name="SAPBEXHLevel3 108 2" xfId="54010" xr:uid="{00000000-0005-0000-0000-000034D00000}"/>
    <cellStyle name="SAPBEXHLevel3 109" xfId="54011" xr:uid="{00000000-0005-0000-0000-000035D00000}"/>
    <cellStyle name="SAPBEXHLevel3 109 2" xfId="54012" xr:uid="{00000000-0005-0000-0000-000036D00000}"/>
    <cellStyle name="SAPBEXHLevel3 11" xfId="2943" xr:uid="{00000000-0005-0000-0000-000037D00000}"/>
    <cellStyle name="SAPBEXHLevel3 11 2" xfId="54013" xr:uid="{00000000-0005-0000-0000-000038D00000}"/>
    <cellStyle name="SAPBEXHLevel3 110" xfId="54014" xr:uid="{00000000-0005-0000-0000-000039D00000}"/>
    <cellStyle name="SAPBEXHLevel3 110 2" xfId="54015" xr:uid="{00000000-0005-0000-0000-00003AD00000}"/>
    <cellStyle name="SAPBEXHLevel3 110 3" xfId="54016" xr:uid="{00000000-0005-0000-0000-00003BD00000}"/>
    <cellStyle name="SAPBEXHLevel3 111" xfId="54017" xr:uid="{00000000-0005-0000-0000-00003CD00000}"/>
    <cellStyle name="SAPBEXHLevel3 112" xfId="54018" xr:uid="{00000000-0005-0000-0000-00003DD00000}"/>
    <cellStyle name="SAPBEXHLevel3 113" xfId="54019" xr:uid="{00000000-0005-0000-0000-00003ED00000}"/>
    <cellStyle name="SAPBEXHLevel3 12" xfId="2944" xr:uid="{00000000-0005-0000-0000-00003FD00000}"/>
    <cellStyle name="SAPBEXHLevel3 12 2" xfId="54020" xr:uid="{00000000-0005-0000-0000-000040D00000}"/>
    <cellStyle name="SAPBEXHLevel3 13" xfId="2945" xr:uid="{00000000-0005-0000-0000-000041D00000}"/>
    <cellStyle name="SAPBEXHLevel3 13 2" xfId="54021" xr:uid="{00000000-0005-0000-0000-000042D00000}"/>
    <cellStyle name="SAPBEXHLevel3 14" xfId="2946" xr:uid="{00000000-0005-0000-0000-000043D00000}"/>
    <cellStyle name="SAPBEXHLevel3 14 2" xfId="54022" xr:uid="{00000000-0005-0000-0000-000044D00000}"/>
    <cellStyle name="SAPBEXHLevel3 15" xfId="2947" xr:uid="{00000000-0005-0000-0000-000045D00000}"/>
    <cellStyle name="SAPBEXHLevel3 15 2" xfId="54023" xr:uid="{00000000-0005-0000-0000-000046D00000}"/>
    <cellStyle name="SAPBEXHLevel3 16" xfId="2948" xr:uid="{00000000-0005-0000-0000-000047D00000}"/>
    <cellStyle name="SAPBEXHLevel3 16 2" xfId="54024" xr:uid="{00000000-0005-0000-0000-000048D00000}"/>
    <cellStyle name="SAPBEXHLevel3 17" xfId="2949" xr:uid="{00000000-0005-0000-0000-000049D00000}"/>
    <cellStyle name="SAPBEXHLevel3 17 2" xfId="54025" xr:uid="{00000000-0005-0000-0000-00004AD00000}"/>
    <cellStyle name="SAPBEXHLevel3 18" xfId="2950" xr:uid="{00000000-0005-0000-0000-00004BD00000}"/>
    <cellStyle name="SAPBEXHLevel3 18 2" xfId="54026" xr:uid="{00000000-0005-0000-0000-00004CD00000}"/>
    <cellStyle name="SAPBEXHLevel3 19" xfId="2951" xr:uid="{00000000-0005-0000-0000-00004DD00000}"/>
    <cellStyle name="SAPBEXHLevel3 19 2" xfId="54027" xr:uid="{00000000-0005-0000-0000-00004ED00000}"/>
    <cellStyle name="SAPBEXHLevel3 2" xfId="2952" xr:uid="{00000000-0005-0000-0000-00004FD00000}"/>
    <cellStyle name="SAPBEXHLevel3 2 2" xfId="54028" xr:uid="{00000000-0005-0000-0000-000050D00000}"/>
    <cellStyle name="SAPBEXHLevel3 20" xfId="2953" xr:uid="{00000000-0005-0000-0000-000051D00000}"/>
    <cellStyle name="SAPBEXHLevel3 20 2" xfId="54029" xr:uid="{00000000-0005-0000-0000-000052D00000}"/>
    <cellStyle name="SAPBEXHLevel3 21" xfId="2954" xr:uid="{00000000-0005-0000-0000-000053D00000}"/>
    <cellStyle name="SAPBEXHLevel3 21 2" xfId="54030" xr:uid="{00000000-0005-0000-0000-000054D00000}"/>
    <cellStyle name="SAPBEXHLevel3 22" xfId="2955" xr:uid="{00000000-0005-0000-0000-000055D00000}"/>
    <cellStyle name="SAPBEXHLevel3 22 2" xfId="54031" xr:uid="{00000000-0005-0000-0000-000056D00000}"/>
    <cellStyle name="SAPBEXHLevel3 23" xfId="2956" xr:uid="{00000000-0005-0000-0000-000057D00000}"/>
    <cellStyle name="SAPBEXHLevel3 23 2" xfId="54032" xr:uid="{00000000-0005-0000-0000-000058D00000}"/>
    <cellStyle name="SAPBEXHLevel3 24" xfId="2957" xr:uid="{00000000-0005-0000-0000-000059D00000}"/>
    <cellStyle name="SAPBEXHLevel3 24 2" xfId="54033" xr:uid="{00000000-0005-0000-0000-00005AD00000}"/>
    <cellStyle name="SAPBEXHLevel3 25" xfId="2958" xr:uid="{00000000-0005-0000-0000-00005BD00000}"/>
    <cellStyle name="SAPBEXHLevel3 25 2" xfId="54034" xr:uid="{00000000-0005-0000-0000-00005CD00000}"/>
    <cellStyle name="SAPBEXHLevel3 26" xfId="2959" xr:uid="{00000000-0005-0000-0000-00005DD00000}"/>
    <cellStyle name="SAPBEXHLevel3 26 2" xfId="54035" xr:uid="{00000000-0005-0000-0000-00005ED00000}"/>
    <cellStyle name="SAPBEXHLevel3 27" xfId="2960" xr:uid="{00000000-0005-0000-0000-00005FD00000}"/>
    <cellStyle name="SAPBEXHLevel3 27 2" xfId="54036" xr:uid="{00000000-0005-0000-0000-000060D00000}"/>
    <cellStyle name="SAPBEXHLevel3 28" xfId="2961" xr:uid="{00000000-0005-0000-0000-000061D00000}"/>
    <cellStyle name="SAPBEXHLevel3 28 2" xfId="54037" xr:uid="{00000000-0005-0000-0000-000062D00000}"/>
    <cellStyle name="SAPBEXHLevel3 29" xfId="2962" xr:uid="{00000000-0005-0000-0000-000063D00000}"/>
    <cellStyle name="SAPBEXHLevel3 29 2" xfId="54038" xr:uid="{00000000-0005-0000-0000-000064D00000}"/>
    <cellStyle name="SAPBEXHLevel3 3" xfId="2963" xr:uid="{00000000-0005-0000-0000-000065D00000}"/>
    <cellStyle name="SAPBEXHLevel3 3 2" xfId="54039" xr:uid="{00000000-0005-0000-0000-000066D00000}"/>
    <cellStyle name="SAPBEXHLevel3 30" xfId="2964" xr:uid="{00000000-0005-0000-0000-000067D00000}"/>
    <cellStyle name="SAPBEXHLevel3 30 2" xfId="54040" xr:uid="{00000000-0005-0000-0000-000068D00000}"/>
    <cellStyle name="SAPBEXHLevel3 31" xfId="2965" xr:uid="{00000000-0005-0000-0000-000069D00000}"/>
    <cellStyle name="SAPBEXHLevel3 31 2" xfId="54041" xr:uid="{00000000-0005-0000-0000-00006AD00000}"/>
    <cellStyle name="SAPBEXHLevel3 32" xfId="2966" xr:uid="{00000000-0005-0000-0000-00006BD00000}"/>
    <cellStyle name="SAPBEXHLevel3 32 2" xfId="54042" xr:uid="{00000000-0005-0000-0000-00006CD00000}"/>
    <cellStyle name="SAPBEXHLevel3 33" xfId="2967" xr:uid="{00000000-0005-0000-0000-00006DD00000}"/>
    <cellStyle name="SAPBEXHLevel3 33 2" xfId="54043" xr:uid="{00000000-0005-0000-0000-00006ED00000}"/>
    <cellStyle name="SAPBEXHLevel3 34" xfId="2968" xr:uid="{00000000-0005-0000-0000-00006FD00000}"/>
    <cellStyle name="SAPBEXHLevel3 34 2" xfId="54044" xr:uid="{00000000-0005-0000-0000-000070D00000}"/>
    <cellStyle name="SAPBEXHLevel3 35" xfId="2969" xr:uid="{00000000-0005-0000-0000-000071D00000}"/>
    <cellStyle name="SAPBEXHLevel3 35 2" xfId="54045" xr:uid="{00000000-0005-0000-0000-000072D00000}"/>
    <cellStyle name="SAPBEXHLevel3 36" xfId="2970" xr:uid="{00000000-0005-0000-0000-000073D00000}"/>
    <cellStyle name="SAPBEXHLevel3 36 2" xfId="54046" xr:uid="{00000000-0005-0000-0000-000074D00000}"/>
    <cellStyle name="SAPBEXHLevel3 37" xfId="2971" xr:uid="{00000000-0005-0000-0000-000075D00000}"/>
    <cellStyle name="SAPBEXHLevel3 37 2" xfId="54047" xr:uid="{00000000-0005-0000-0000-000076D00000}"/>
    <cellStyle name="SAPBEXHLevel3 38" xfId="2972" xr:uid="{00000000-0005-0000-0000-000077D00000}"/>
    <cellStyle name="SAPBEXHLevel3 38 2" xfId="54048" xr:uid="{00000000-0005-0000-0000-000078D00000}"/>
    <cellStyle name="SAPBEXHLevel3 39" xfId="2973" xr:uid="{00000000-0005-0000-0000-000079D00000}"/>
    <cellStyle name="SAPBEXHLevel3 39 2" xfId="54049" xr:uid="{00000000-0005-0000-0000-00007AD00000}"/>
    <cellStyle name="SAPBEXHLevel3 4" xfId="2974" xr:uid="{00000000-0005-0000-0000-00007BD00000}"/>
    <cellStyle name="SAPBEXHLevel3 4 2" xfId="54050" xr:uid="{00000000-0005-0000-0000-00007CD00000}"/>
    <cellStyle name="SAPBEXHLevel3 40" xfId="2975" xr:uid="{00000000-0005-0000-0000-00007DD00000}"/>
    <cellStyle name="SAPBEXHLevel3 40 2" xfId="54051" xr:uid="{00000000-0005-0000-0000-00007ED00000}"/>
    <cellStyle name="SAPBEXHLevel3 41" xfId="2976" xr:uid="{00000000-0005-0000-0000-00007FD00000}"/>
    <cellStyle name="SAPBEXHLevel3 41 2" xfId="54052" xr:uid="{00000000-0005-0000-0000-000080D00000}"/>
    <cellStyle name="SAPBEXHLevel3 42" xfId="2977" xr:uid="{00000000-0005-0000-0000-000081D00000}"/>
    <cellStyle name="SAPBEXHLevel3 42 2" xfId="54053" xr:uid="{00000000-0005-0000-0000-000082D00000}"/>
    <cellStyle name="SAPBEXHLevel3 43" xfId="2978" xr:uid="{00000000-0005-0000-0000-000083D00000}"/>
    <cellStyle name="SAPBEXHLevel3 43 2" xfId="54054" xr:uid="{00000000-0005-0000-0000-000084D00000}"/>
    <cellStyle name="SAPBEXHLevel3 44" xfId="2979" xr:uid="{00000000-0005-0000-0000-000085D00000}"/>
    <cellStyle name="SAPBEXHLevel3 44 2" xfId="54055" xr:uid="{00000000-0005-0000-0000-000086D00000}"/>
    <cellStyle name="SAPBEXHLevel3 45" xfId="2980" xr:uid="{00000000-0005-0000-0000-000087D00000}"/>
    <cellStyle name="SAPBEXHLevel3 45 2" xfId="54056" xr:uid="{00000000-0005-0000-0000-000088D00000}"/>
    <cellStyle name="SAPBEXHLevel3 46" xfId="54057" xr:uid="{00000000-0005-0000-0000-000089D00000}"/>
    <cellStyle name="SAPBEXHLevel3 46 2" xfId="54058" xr:uid="{00000000-0005-0000-0000-00008AD00000}"/>
    <cellStyle name="SAPBEXHLevel3 46 3" xfId="54059" xr:uid="{00000000-0005-0000-0000-00008BD00000}"/>
    <cellStyle name="SAPBEXHLevel3 46 4" xfId="54060" xr:uid="{00000000-0005-0000-0000-00008CD00000}"/>
    <cellStyle name="SAPBEXHLevel3 47" xfId="54061" xr:uid="{00000000-0005-0000-0000-00008DD00000}"/>
    <cellStyle name="SAPBEXHLevel3 47 2" xfId="54062" xr:uid="{00000000-0005-0000-0000-00008ED00000}"/>
    <cellStyle name="SAPBEXHLevel3 47 3" xfId="54063" xr:uid="{00000000-0005-0000-0000-00008FD00000}"/>
    <cellStyle name="SAPBEXHLevel3 47 4" xfId="54064" xr:uid="{00000000-0005-0000-0000-000090D00000}"/>
    <cellStyle name="SAPBEXHLevel3 48" xfId="54065" xr:uid="{00000000-0005-0000-0000-000091D00000}"/>
    <cellStyle name="SAPBEXHLevel3 48 2" xfId="54066" xr:uid="{00000000-0005-0000-0000-000092D00000}"/>
    <cellStyle name="SAPBEXHLevel3 49" xfId="54067" xr:uid="{00000000-0005-0000-0000-000093D00000}"/>
    <cellStyle name="SAPBEXHLevel3 49 2" xfId="54068" xr:uid="{00000000-0005-0000-0000-000094D00000}"/>
    <cellStyle name="SAPBEXHLevel3 5" xfId="2981" xr:uid="{00000000-0005-0000-0000-000095D00000}"/>
    <cellStyle name="SAPBEXHLevel3 5 2" xfId="54069" xr:uid="{00000000-0005-0000-0000-000096D00000}"/>
    <cellStyle name="SAPBEXHLevel3 50" xfId="54070" xr:uid="{00000000-0005-0000-0000-000097D00000}"/>
    <cellStyle name="SAPBEXHLevel3 50 2" xfId="54071" xr:uid="{00000000-0005-0000-0000-000098D00000}"/>
    <cellStyle name="SAPBEXHLevel3 51" xfId="54072" xr:uid="{00000000-0005-0000-0000-000099D00000}"/>
    <cellStyle name="SAPBEXHLevel3 51 2" xfId="54073" xr:uid="{00000000-0005-0000-0000-00009AD00000}"/>
    <cellStyle name="SAPBEXHLevel3 52" xfId="54074" xr:uid="{00000000-0005-0000-0000-00009BD00000}"/>
    <cellStyle name="SAPBEXHLevel3 52 2" xfId="54075" xr:uid="{00000000-0005-0000-0000-00009CD00000}"/>
    <cellStyle name="SAPBEXHLevel3 53" xfId="54076" xr:uid="{00000000-0005-0000-0000-00009DD00000}"/>
    <cellStyle name="SAPBEXHLevel3 53 2" xfId="54077" xr:uid="{00000000-0005-0000-0000-00009ED00000}"/>
    <cellStyle name="SAPBEXHLevel3 54" xfId="54078" xr:uid="{00000000-0005-0000-0000-00009FD00000}"/>
    <cellStyle name="SAPBEXHLevel3 54 2" xfId="54079" xr:uid="{00000000-0005-0000-0000-0000A0D00000}"/>
    <cellStyle name="SAPBEXHLevel3 55" xfId="54080" xr:uid="{00000000-0005-0000-0000-0000A1D00000}"/>
    <cellStyle name="SAPBEXHLevel3 55 2" xfId="54081" xr:uid="{00000000-0005-0000-0000-0000A2D00000}"/>
    <cellStyle name="SAPBEXHLevel3 56" xfId="54082" xr:uid="{00000000-0005-0000-0000-0000A3D00000}"/>
    <cellStyle name="SAPBEXHLevel3 56 2" xfId="54083" xr:uid="{00000000-0005-0000-0000-0000A4D00000}"/>
    <cellStyle name="SAPBEXHLevel3 57" xfId="54084" xr:uid="{00000000-0005-0000-0000-0000A5D00000}"/>
    <cellStyle name="SAPBEXHLevel3 57 2" xfId="54085" xr:uid="{00000000-0005-0000-0000-0000A6D00000}"/>
    <cellStyle name="SAPBEXHLevel3 58" xfId="54086" xr:uid="{00000000-0005-0000-0000-0000A7D00000}"/>
    <cellStyle name="SAPBEXHLevel3 58 2" xfId="54087" xr:uid="{00000000-0005-0000-0000-0000A8D00000}"/>
    <cellStyle name="SAPBEXHLevel3 59" xfId="54088" xr:uid="{00000000-0005-0000-0000-0000A9D00000}"/>
    <cellStyle name="SAPBEXHLevel3 59 2" xfId="54089" xr:uid="{00000000-0005-0000-0000-0000AAD00000}"/>
    <cellStyle name="SAPBEXHLevel3 6" xfId="2982" xr:uid="{00000000-0005-0000-0000-0000ABD00000}"/>
    <cellStyle name="SAPBEXHLevel3 6 2" xfId="54090" xr:uid="{00000000-0005-0000-0000-0000ACD00000}"/>
    <cellStyle name="SAPBEXHLevel3 60" xfId="54091" xr:uid="{00000000-0005-0000-0000-0000ADD00000}"/>
    <cellStyle name="SAPBEXHLevel3 60 2" xfId="54092" xr:uid="{00000000-0005-0000-0000-0000AED00000}"/>
    <cellStyle name="SAPBEXHLevel3 61" xfId="54093" xr:uid="{00000000-0005-0000-0000-0000AFD00000}"/>
    <cellStyle name="SAPBEXHLevel3 61 2" xfId="54094" xr:uid="{00000000-0005-0000-0000-0000B0D00000}"/>
    <cellStyle name="SAPBEXHLevel3 62" xfId="54095" xr:uid="{00000000-0005-0000-0000-0000B1D00000}"/>
    <cellStyle name="SAPBEXHLevel3 62 2" xfId="54096" xr:uid="{00000000-0005-0000-0000-0000B2D00000}"/>
    <cellStyle name="SAPBEXHLevel3 63" xfId="54097" xr:uid="{00000000-0005-0000-0000-0000B3D00000}"/>
    <cellStyle name="SAPBEXHLevel3 63 2" xfId="54098" xr:uid="{00000000-0005-0000-0000-0000B4D00000}"/>
    <cellStyle name="SAPBEXHLevel3 64" xfId="54099" xr:uid="{00000000-0005-0000-0000-0000B5D00000}"/>
    <cellStyle name="SAPBEXHLevel3 64 2" xfId="54100" xr:uid="{00000000-0005-0000-0000-0000B6D00000}"/>
    <cellStyle name="SAPBEXHLevel3 65" xfId="54101" xr:uid="{00000000-0005-0000-0000-0000B7D00000}"/>
    <cellStyle name="SAPBEXHLevel3 65 2" xfId="54102" xr:uid="{00000000-0005-0000-0000-0000B8D00000}"/>
    <cellStyle name="SAPBEXHLevel3 66" xfId="54103" xr:uid="{00000000-0005-0000-0000-0000B9D00000}"/>
    <cellStyle name="SAPBEXHLevel3 66 2" xfId="54104" xr:uid="{00000000-0005-0000-0000-0000BAD00000}"/>
    <cellStyle name="SAPBEXHLevel3 67" xfId="54105" xr:uid="{00000000-0005-0000-0000-0000BBD00000}"/>
    <cellStyle name="SAPBEXHLevel3 67 2" xfId="54106" xr:uid="{00000000-0005-0000-0000-0000BCD00000}"/>
    <cellStyle name="SAPBEXHLevel3 68" xfId="54107" xr:uid="{00000000-0005-0000-0000-0000BDD00000}"/>
    <cellStyle name="SAPBEXHLevel3 68 2" xfId="54108" xr:uid="{00000000-0005-0000-0000-0000BED00000}"/>
    <cellStyle name="SAPBEXHLevel3 69" xfId="54109" xr:uid="{00000000-0005-0000-0000-0000BFD00000}"/>
    <cellStyle name="SAPBEXHLevel3 69 2" xfId="54110" xr:uid="{00000000-0005-0000-0000-0000C0D00000}"/>
    <cellStyle name="SAPBEXHLevel3 7" xfId="2983" xr:uid="{00000000-0005-0000-0000-0000C1D00000}"/>
    <cellStyle name="SAPBEXHLevel3 7 2" xfId="54111" xr:uid="{00000000-0005-0000-0000-0000C2D00000}"/>
    <cellStyle name="SAPBEXHLevel3 70" xfId="54112" xr:uid="{00000000-0005-0000-0000-0000C3D00000}"/>
    <cellStyle name="SAPBEXHLevel3 70 2" xfId="54113" xr:uid="{00000000-0005-0000-0000-0000C4D00000}"/>
    <cellStyle name="SAPBEXHLevel3 71" xfId="54114" xr:uid="{00000000-0005-0000-0000-0000C5D00000}"/>
    <cellStyle name="SAPBEXHLevel3 71 2" xfId="54115" xr:uid="{00000000-0005-0000-0000-0000C6D00000}"/>
    <cellStyle name="SAPBEXHLevel3 72" xfId="54116" xr:uid="{00000000-0005-0000-0000-0000C7D00000}"/>
    <cellStyle name="SAPBEXHLevel3 72 2" xfId="54117" xr:uid="{00000000-0005-0000-0000-0000C8D00000}"/>
    <cellStyle name="SAPBEXHLevel3 73" xfId="54118" xr:uid="{00000000-0005-0000-0000-0000C9D00000}"/>
    <cellStyle name="SAPBEXHLevel3 73 2" xfId="54119" xr:uid="{00000000-0005-0000-0000-0000CAD00000}"/>
    <cellStyle name="SAPBEXHLevel3 74" xfId="54120" xr:uid="{00000000-0005-0000-0000-0000CBD00000}"/>
    <cellStyle name="SAPBEXHLevel3 74 2" xfId="54121" xr:uid="{00000000-0005-0000-0000-0000CCD00000}"/>
    <cellStyle name="SAPBEXHLevel3 75" xfId="54122" xr:uid="{00000000-0005-0000-0000-0000CDD00000}"/>
    <cellStyle name="SAPBEXHLevel3 75 2" xfId="54123" xr:uid="{00000000-0005-0000-0000-0000CED00000}"/>
    <cellStyle name="SAPBEXHLevel3 76" xfId="54124" xr:uid="{00000000-0005-0000-0000-0000CFD00000}"/>
    <cellStyle name="SAPBEXHLevel3 76 2" xfId="54125" xr:uid="{00000000-0005-0000-0000-0000D0D00000}"/>
    <cellStyle name="SAPBEXHLevel3 77" xfId="54126" xr:uid="{00000000-0005-0000-0000-0000D1D00000}"/>
    <cellStyle name="SAPBEXHLevel3 77 2" xfId="54127" xr:uid="{00000000-0005-0000-0000-0000D2D00000}"/>
    <cellStyle name="SAPBEXHLevel3 78" xfId="54128" xr:uid="{00000000-0005-0000-0000-0000D3D00000}"/>
    <cellStyle name="SAPBEXHLevel3 78 2" xfId="54129" xr:uid="{00000000-0005-0000-0000-0000D4D00000}"/>
    <cellStyle name="SAPBEXHLevel3 79" xfId="54130" xr:uid="{00000000-0005-0000-0000-0000D5D00000}"/>
    <cellStyle name="SAPBEXHLevel3 79 2" xfId="54131" xr:uid="{00000000-0005-0000-0000-0000D6D00000}"/>
    <cellStyle name="SAPBEXHLevel3 8" xfId="2984" xr:uid="{00000000-0005-0000-0000-0000D7D00000}"/>
    <cellStyle name="SAPBEXHLevel3 8 2" xfId="54132" xr:uid="{00000000-0005-0000-0000-0000D8D00000}"/>
    <cellStyle name="SAPBEXHLevel3 80" xfId="54133" xr:uid="{00000000-0005-0000-0000-0000D9D00000}"/>
    <cellStyle name="SAPBEXHLevel3 80 2" xfId="54134" xr:uid="{00000000-0005-0000-0000-0000DAD00000}"/>
    <cellStyle name="SAPBEXHLevel3 81" xfId="54135" xr:uid="{00000000-0005-0000-0000-0000DBD00000}"/>
    <cellStyle name="SAPBEXHLevel3 81 2" xfId="54136" xr:uid="{00000000-0005-0000-0000-0000DCD00000}"/>
    <cellStyle name="SAPBEXHLevel3 82" xfId="54137" xr:uid="{00000000-0005-0000-0000-0000DDD00000}"/>
    <cellStyle name="SAPBEXHLevel3 82 2" xfId="54138" xr:uid="{00000000-0005-0000-0000-0000DED00000}"/>
    <cellStyle name="SAPBEXHLevel3 83" xfId="54139" xr:uid="{00000000-0005-0000-0000-0000DFD00000}"/>
    <cellStyle name="SAPBEXHLevel3 83 2" xfId="54140" xr:uid="{00000000-0005-0000-0000-0000E0D00000}"/>
    <cellStyle name="SAPBEXHLevel3 84" xfId="54141" xr:uid="{00000000-0005-0000-0000-0000E1D00000}"/>
    <cellStyle name="SAPBEXHLevel3 84 2" xfId="54142" xr:uid="{00000000-0005-0000-0000-0000E2D00000}"/>
    <cellStyle name="SAPBEXHLevel3 85" xfId="54143" xr:uid="{00000000-0005-0000-0000-0000E3D00000}"/>
    <cellStyle name="SAPBEXHLevel3 85 2" xfId="54144" xr:uid="{00000000-0005-0000-0000-0000E4D00000}"/>
    <cellStyle name="SAPBEXHLevel3 86" xfId="54145" xr:uid="{00000000-0005-0000-0000-0000E5D00000}"/>
    <cellStyle name="SAPBEXHLevel3 86 2" xfId="54146" xr:uid="{00000000-0005-0000-0000-0000E6D00000}"/>
    <cellStyle name="SAPBEXHLevel3 87" xfId="54147" xr:uid="{00000000-0005-0000-0000-0000E7D00000}"/>
    <cellStyle name="SAPBEXHLevel3 87 2" xfId="54148" xr:uid="{00000000-0005-0000-0000-0000E8D00000}"/>
    <cellStyle name="SAPBEXHLevel3 88" xfId="54149" xr:uid="{00000000-0005-0000-0000-0000E9D00000}"/>
    <cellStyle name="SAPBEXHLevel3 88 2" xfId="54150" xr:uid="{00000000-0005-0000-0000-0000EAD00000}"/>
    <cellStyle name="SAPBEXHLevel3 89" xfId="54151" xr:uid="{00000000-0005-0000-0000-0000EBD00000}"/>
    <cellStyle name="SAPBEXHLevel3 89 2" xfId="54152" xr:uid="{00000000-0005-0000-0000-0000ECD00000}"/>
    <cellStyle name="SAPBEXHLevel3 9" xfId="2985" xr:uid="{00000000-0005-0000-0000-0000EDD00000}"/>
    <cellStyle name="SAPBEXHLevel3 9 2" xfId="54153" xr:uid="{00000000-0005-0000-0000-0000EED00000}"/>
    <cellStyle name="SAPBEXHLevel3 90" xfId="54154" xr:uid="{00000000-0005-0000-0000-0000EFD00000}"/>
    <cellStyle name="SAPBEXHLevel3 90 2" xfId="54155" xr:uid="{00000000-0005-0000-0000-0000F0D00000}"/>
    <cellStyle name="SAPBEXHLevel3 91" xfId="54156" xr:uid="{00000000-0005-0000-0000-0000F1D00000}"/>
    <cellStyle name="SAPBEXHLevel3 91 2" xfId="54157" xr:uid="{00000000-0005-0000-0000-0000F2D00000}"/>
    <cellStyle name="SAPBEXHLevel3 92" xfId="54158" xr:uid="{00000000-0005-0000-0000-0000F3D00000}"/>
    <cellStyle name="SAPBEXHLevel3 92 2" xfId="54159" xr:uid="{00000000-0005-0000-0000-0000F4D00000}"/>
    <cellStyle name="SAPBEXHLevel3 93" xfId="54160" xr:uid="{00000000-0005-0000-0000-0000F5D00000}"/>
    <cellStyle name="SAPBEXHLevel3 93 2" xfId="54161" xr:uid="{00000000-0005-0000-0000-0000F6D00000}"/>
    <cellStyle name="SAPBEXHLevel3 94" xfId="54162" xr:uid="{00000000-0005-0000-0000-0000F7D00000}"/>
    <cellStyle name="SAPBEXHLevel3 94 2" xfId="54163" xr:uid="{00000000-0005-0000-0000-0000F8D00000}"/>
    <cellStyle name="SAPBEXHLevel3 95" xfId="54164" xr:uid="{00000000-0005-0000-0000-0000F9D00000}"/>
    <cellStyle name="SAPBEXHLevel3 95 2" xfId="54165" xr:uid="{00000000-0005-0000-0000-0000FAD00000}"/>
    <cellStyle name="SAPBEXHLevel3 96" xfId="54166" xr:uid="{00000000-0005-0000-0000-0000FBD00000}"/>
    <cellStyle name="SAPBEXHLevel3 96 2" xfId="54167" xr:uid="{00000000-0005-0000-0000-0000FCD00000}"/>
    <cellStyle name="SAPBEXHLevel3 97" xfId="54168" xr:uid="{00000000-0005-0000-0000-0000FDD00000}"/>
    <cellStyle name="SAPBEXHLevel3 97 2" xfId="54169" xr:uid="{00000000-0005-0000-0000-0000FED00000}"/>
    <cellStyle name="SAPBEXHLevel3 98" xfId="54170" xr:uid="{00000000-0005-0000-0000-0000FFD00000}"/>
    <cellStyle name="SAPBEXHLevel3 98 2" xfId="54171" xr:uid="{00000000-0005-0000-0000-000000D10000}"/>
    <cellStyle name="SAPBEXHLevel3 99" xfId="54172" xr:uid="{00000000-0005-0000-0000-000001D10000}"/>
    <cellStyle name="SAPBEXHLevel3 99 2" xfId="54173" xr:uid="{00000000-0005-0000-0000-000002D10000}"/>
    <cellStyle name="SAPBEXHLevel3_(A-7) IS-Inputs" xfId="54174" xr:uid="{00000000-0005-0000-0000-000003D10000}"/>
    <cellStyle name="SAPBEXHLevel3X" xfId="78" xr:uid="{00000000-0005-0000-0000-000086000000}"/>
    <cellStyle name="SAPBEXHLevel3X 10" xfId="2986" xr:uid="{00000000-0005-0000-0000-000005D10000}"/>
    <cellStyle name="SAPBEXHLevel3X 10 10" xfId="54175" xr:uid="{00000000-0005-0000-0000-000006D10000}"/>
    <cellStyle name="SAPBEXHLevel3X 10 2" xfId="54176" xr:uid="{00000000-0005-0000-0000-000007D10000}"/>
    <cellStyle name="SAPBEXHLevel3X 10 2 2" xfId="54177" xr:uid="{00000000-0005-0000-0000-000008D10000}"/>
    <cellStyle name="SAPBEXHLevel3X 10 3" xfId="54178" xr:uid="{00000000-0005-0000-0000-000009D10000}"/>
    <cellStyle name="SAPBEXHLevel3X 10 3 2" xfId="54179" xr:uid="{00000000-0005-0000-0000-00000AD10000}"/>
    <cellStyle name="SAPBEXHLevel3X 10 4" xfId="54180" xr:uid="{00000000-0005-0000-0000-00000BD10000}"/>
    <cellStyle name="SAPBEXHLevel3X 10 4 2" xfId="54181" xr:uid="{00000000-0005-0000-0000-00000CD10000}"/>
    <cellStyle name="SAPBEXHLevel3X 10 5" xfId="54182" xr:uid="{00000000-0005-0000-0000-00000DD10000}"/>
    <cellStyle name="SAPBEXHLevel3X 10 5 2" xfId="54183" xr:uid="{00000000-0005-0000-0000-00000ED10000}"/>
    <cellStyle name="SAPBEXHLevel3X 10 6" xfId="54184" xr:uid="{00000000-0005-0000-0000-00000FD10000}"/>
    <cellStyle name="SAPBEXHLevel3X 10 6 2" xfId="54185" xr:uid="{00000000-0005-0000-0000-000010D10000}"/>
    <cellStyle name="SAPBEXHLevel3X 10 7" xfId="54186" xr:uid="{00000000-0005-0000-0000-000011D10000}"/>
    <cellStyle name="SAPBEXHLevel3X 10 7 2" xfId="54187" xr:uid="{00000000-0005-0000-0000-000012D10000}"/>
    <cellStyle name="SAPBEXHLevel3X 10 8" xfId="54188" xr:uid="{00000000-0005-0000-0000-000013D10000}"/>
    <cellStyle name="SAPBEXHLevel3X 10 8 2" xfId="54189" xr:uid="{00000000-0005-0000-0000-000014D10000}"/>
    <cellStyle name="SAPBEXHLevel3X 10 9" xfId="54190" xr:uid="{00000000-0005-0000-0000-000015D10000}"/>
    <cellStyle name="SAPBEXHLevel3X 10 9 2" xfId="54191" xr:uid="{00000000-0005-0000-0000-000016D10000}"/>
    <cellStyle name="SAPBEXHLevel3X 11" xfId="2987" xr:uid="{00000000-0005-0000-0000-000017D10000}"/>
    <cellStyle name="SAPBEXHLevel3X 11 2" xfId="54192" xr:uid="{00000000-0005-0000-0000-000018D10000}"/>
    <cellStyle name="SAPBEXHLevel3X 11 2 2" xfId="54193" xr:uid="{00000000-0005-0000-0000-000019D10000}"/>
    <cellStyle name="SAPBEXHLevel3X 11 3" xfId="54194" xr:uid="{00000000-0005-0000-0000-00001AD10000}"/>
    <cellStyle name="SAPBEXHLevel3X 12" xfId="2988" xr:uid="{00000000-0005-0000-0000-00001BD10000}"/>
    <cellStyle name="SAPBEXHLevel3X 12 2" xfId="54195" xr:uid="{00000000-0005-0000-0000-00001CD10000}"/>
    <cellStyle name="SAPBEXHLevel3X 12 2 2" xfId="54196" xr:uid="{00000000-0005-0000-0000-00001DD10000}"/>
    <cellStyle name="SAPBEXHLevel3X 12 3" xfId="54197" xr:uid="{00000000-0005-0000-0000-00001ED10000}"/>
    <cellStyle name="SAPBEXHLevel3X 12 3 2" xfId="54198" xr:uid="{00000000-0005-0000-0000-00001FD10000}"/>
    <cellStyle name="SAPBEXHLevel3X 12 4" xfId="54199" xr:uid="{00000000-0005-0000-0000-000020D10000}"/>
    <cellStyle name="SAPBEXHLevel3X 12 4 2" xfId="54200" xr:uid="{00000000-0005-0000-0000-000021D10000}"/>
    <cellStyle name="SAPBEXHLevel3X 12 5" xfId="54201" xr:uid="{00000000-0005-0000-0000-000022D10000}"/>
    <cellStyle name="SAPBEXHLevel3X 12 5 2" xfId="54202" xr:uid="{00000000-0005-0000-0000-000023D10000}"/>
    <cellStyle name="SAPBEXHLevel3X 12 6" xfId="54203" xr:uid="{00000000-0005-0000-0000-000024D10000}"/>
    <cellStyle name="SAPBEXHLevel3X 12 6 2" xfId="54204" xr:uid="{00000000-0005-0000-0000-000025D10000}"/>
    <cellStyle name="SAPBEXHLevel3X 12 7" xfId="54205" xr:uid="{00000000-0005-0000-0000-000026D10000}"/>
    <cellStyle name="SAPBEXHLevel3X 12 7 2" xfId="54206" xr:uid="{00000000-0005-0000-0000-000027D10000}"/>
    <cellStyle name="SAPBEXHLevel3X 12 8" xfId="54207" xr:uid="{00000000-0005-0000-0000-000028D10000}"/>
    <cellStyle name="SAPBEXHLevel3X 12 8 2" xfId="54208" xr:uid="{00000000-0005-0000-0000-000029D10000}"/>
    <cellStyle name="SAPBEXHLevel3X 12 9" xfId="54209" xr:uid="{00000000-0005-0000-0000-00002AD10000}"/>
    <cellStyle name="SAPBEXHLevel3X 13" xfId="2989" xr:uid="{00000000-0005-0000-0000-00002BD10000}"/>
    <cellStyle name="SAPBEXHLevel3X 13 2" xfId="54210" xr:uid="{00000000-0005-0000-0000-00002CD10000}"/>
    <cellStyle name="SAPBEXHLevel3X 13 2 2" xfId="54211" xr:uid="{00000000-0005-0000-0000-00002DD10000}"/>
    <cellStyle name="SAPBEXHLevel3X 13 3" xfId="54212" xr:uid="{00000000-0005-0000-0000-00002ED10000}"/>
    <cellStyle name="SAPBEXHLevel3X 13 3 2" xfId="54213" xr:uid="{00000000-0005-0000-0000-00002FD10000}"/>
    <cellStyle name="SAPBEXHLevel3X 13 4" xfId="54214" xr:uid="{00000000-0005-0000-0000-000030D10000}"/>
    <cellStyle name="SAPBEXHLevel3X 13 4 2" xfId="54215" xr:uid="{00000000-0005-0000-0000-000031D10000}"/>
    <cellStyle name="SAPBEXHLevel3X 13 5" xfId="54216" xr:uid="{00000000-0005-0000-0000-000032D10000}"/>
    <cellStyle name="SAPBEXHLevel3X 13 5 2" xfId="54217" xr:uid="{00000000-0005-0000-0000-000033D10000}"/>
    <cellStyle name="SAPBEXHLevel3X 13 6" xfId="54218" xr:uid="{00000000-0005-0000-0000-000034D10000}"/>
    <cellStyle name="SAPBEXHLevel3X 13 6 2" xfId="54219" xr:uid="{00000000-0005-0000-0000-000035D10000}"/>
    <cellStyle name="SAPBEXHLevel3X 13 7" xfId="54220" xr:uid="{00000000-0005-0000-0000-000036D10000}"/>
    <cellStyle name="SAPBEXHLevel3X 13 7 2" xfId="54221" xr:uid="{00000000-0005-0000-0000-000037D10000}"/>
    <cellStyle name="SAPBEXHLevel3X 13 8" xfId="54222" xr:uid="{00000000-0005-0000-0000-000038D10000}"/>
    <cellStyle name="SAPBEXHLevel3X 13 8 2" xfId="54223" xr:uid="{00000000-0005-0000-0000-000039D10000}"/>
    <cellStyle name="SAPBEXHLevel3X 13 9" xfId="54224" xr:uid="{00000000-0005-0000-0000-00003AD10000}"/>
    <cellStyle name="SAPBEXHLevel3X 14" xfId="2990" xr:uid="{00000000-0005-0000-0000-00003BD10000}"/>
    <cellStyle name="SAPBEXHLevel3X 14 2" xfId="54225" xr:uid="{00000000-0005-0000-0000-00003CD10000}"/>
    <cellStyle name="SAPBEXHLevel3X 14 2 2" xfId="54226" xr:uid="{00000000-0005-0000-0000-00003DD10000}"/>
    <cellStyle name="SAPBEXHLevel3X 14 3" xfId="54227" xr:uid="{00000000-0005-0000-0000-00003ED10000}"/>
    <cellStyle name="SAPBEXHLevel3X 15" xfId="2991" xr:uid="{00000000-0005-0000-0000-00003FD10000}"/>
    <cellStyle name="SAPBEXHLevel3X 15 2" xfId="54228" xr:uid="{00000000-0005-0000-0000-000040D10000}"/>
    <cellStyle name="SAPBEXHLevel3X 15 2 2" xfId="54229" xr:uid="{00000000-0005-0000-0000-000041D10000}"/>
    <cellStyle name="SAPBEXHLevel3X 15 3" xfId="54230" xr:uid="{00000000-0005-0000-0000-000042D10000}"/>
    <cellStyle name="SAPBEXHLevel3X 16" xfId="2992" xr:uid="{00000000-0005-0000-0000-000043D10000}"/>
    <cellStyle name="SAPBEXHLevel3X 16 2" xfId="54231" xr:uid="{00000000-0005-0000-0000-000044D10000}"/>
    <cellStyle name="SAPBEXHLevel3X 16 2 2" xfId="54232" xr:uid="{00000000-0005-0000-0000-000045D10000}"/>
    <cellStyle name="SAPBEXHLevel3X 16 3" xfId="54233" xr:uid="{00000000-0005-0000-0000-000046D10000}"/>
    <cellStyle name="SAPBEXHLevel3X 17" xfId="2993" xr:uid="{00000000-0005-0000-0000-000047D10000}"/>
    <cellStyle name="SAPBEXHLevel3X 17 2" xfId="54234" xr:uid="{00000000-0005-0000-0000-000048D10000}"/>
    <cellStyle name="SAPBEXHLevel3X 17 2 2" xfId="54235" xr:uid="{00000000-0005-0000-0000-000049D10000}"/>
    <cellStyle name="SAPBEXHLevel3X 17 3" xfId="54236" xr:uid="{00000000-0005-0000-0000-00004AD10000}"/>
    <cellStyle name="SAPBEXHLevel3X 18" xfId="2994" xr:uid="{00000000-0005-0000-0000-00004BD10000}"/>
    <cellStyle name="SAPBEXHLevel3X 18 2" xfId="54237" xr:uid="{00000000-0005-0000-0000-00004CD10000}"/>
    <cellStyle name="SAPBEXHLevel3X 18 2 2" xfId="54238" xr:uid="{00000000-0005-0000-0000-00004DD10000}"/>
    <cellStyle name="SAPBEXHLevel3X 18 3" xfId="54239" xr:uid="{00000000-0005-0000-0000-00004ED10000}"/>
    <cellStyle name="SAPBEXHLevel3X 19" xfId="2995" xr:uid="{00000000-0005-0000-0000-00004FD10000}"/>
    <cellStyle name="SAPBEXHLevel3X 19 2" xfId="54240" xr:uid="{00000000-0005-0000-0000-000050D10000}"/>
    <cellStyle name="SAPBEXHLevel3X 19 2 2" xfId="54241" xr:uid="{00000000-0005-0000-0000-000051D10000}"/>
    <cellStyle name="SAPBEXHLevel3X 19 3" xfId="54242" xr:uid="{00000000-0005-0000-0000-000052D10000}"/>
    <cellStyle name="SAPBEXHLevel3X 2" xfId="2996" xr:uid="{00000000-0005-0000-0000-000053D10000}"/>
    <cellStyle name="SAPBEXHLevel3X 2 10" xfId="54243" xr:uid="{00000000-0005-0000-0000-000054D10000}"/>
    <cellStyle name="SAPBEXHLevel3X 2 2" xfId="54244" xr:uid="{00000000-0005-0000-0000-000055D10000}"/>
    <cellStyle name="SAPBEXHLevel3X 2 2 2" xfId="54245" xr:uid="{00000000-0005-0000-0000-000056D10000}"/>
    <cellStyle name="SAPBEXHLevel3X 2 3" xfId="54246" xr:uid="{00000000-0005-0000-0000-000057D10000}"/>
    <cellStyle name="SAPBEXHLevel3X 2 3 2" xfId="54247" xr:uid="{00000000-0005-0000-0000-000058D10000}"/>
    <cellStyle name="SAPBEXHLevel3X 2 4" xfId="54248" xr:uid="{00000000-0005-0000-0000-000059D10000}"/>
    <cellStyle name="SAPBEXHLevel3X 2 4 2" xfId="54249" xr:uid="{00000000-0005-0000-0000-00005AD10000}"/>
    <cellStyle name="SAPBEXHLevel3X 2 5" xfId="54250" xr:uid="{00000000-0005-0000-0000-00005BD10000}"/>
    <cellStyle name="SAPBEXHLevel3X 2 5 2" xfId="54251" xr:uid="{00000000-0005-0000-0000-00005CD10000}"/>
    <cellStyle name="SAPBEXHLevel3X 2 6" xfId="54252" xr:uid="{00000000-0005-0000-0000-00005DD10000}"/>
    <cellStyle name="SAPBEXHLevel3X 2 6 2" xfId="54253" xr:uid="{00000000-0005-0000-0000-00005ED10000}"/>
    <cellStyle name="SAPBEXHLevel3X 2 7" xfId="54254" xr:uid="{00000000-0005-0000-0000-00005FD10000}"/>
    <cellStyle name="SAPBEXHLevel3X 2 7 2" xfId="54255" xr:uid="{00000000-0005-0000-0000-000060D10000}"/>
    <cellStyle name="SAPBEXHLevel3X 2 8" xfId="54256" xr:uid="{00000000-0005-0000-0000-000061D10000}"/>
    <cellStyle name="SAPBEXHLevel3X 2 8 2" xfId="54257" xr:uid="{00000000-0005-0000-0000-000062D10000}"/>
    <cellStyle name="SAPBEXHLevel3X 2 9" xfId="54258" xr:uid="{00000000-0005-0000-0000-000063D10000}"/>
    <cellStyle name="SAPBEXHLevel3X 2 9 2" xfId="54259" xr:uid="{00000000-0005-0000-0000-000064D10000}"/>
    <cellStyle name="SAPBEXHLevel3X 20" xfId="2997" xr:uid="{00000000-0005-0000-0000-000065D10000}"/>
    <cellStyle name="SAPBEXHLevel3X 20 2" xfId="54260" xr:uid="{00000000-0005-0000-0000-000066D10000}"/>
    <cellStyle name="SAPBEXHLevel3X 20 2 2" xfId="54261" xr:uid="{00000000-0005-0000-0000-000067D10000}"/>
    <cellStyle name="SAPBEXHLevel3X 20 3" xfId="54262" xr:uid="{00000000-0005-0000-0000-000068D10000}"/>
    <cellStyle name="SAPBEXHLevel3X 21" xfId="2998" xr:uid="{00000000-0005-0000-0000-000069D10000}"/>
    <cellStyle name="SAPBEXHLevel3X 21 2" xfId="54263" xr:uid="{00000000-0005-0000-0000-00006AD10000}"/>
    <cellStyle name="SAPBEXHLevel3X 22" xfId="2999" xr:uid="{00000000-0005-0000-0000-00006BD10000}"/>
    <cellStyle name="SAPBEXHLevel3X 22 2" xfId="54264" xr:uid="{00000000-0005-0000-0000-00006CD10000}"/>
    <cellStyle name="SAPBEXHLevel3X 23" xfId="3000" xr:uid="{00000000-0005-0000-0000-00006DD10000}"/>
    <cellStyle name="SAPBEXHLevel3X 23 2" xfId="54265" xr:uid="{00000000-0005-0000-0000-00006ED10000}"/>
    <cellStyle name="SAPBEXHLevel3X 24" xfId="3001" xr:uid="{00000000-0005-0000-0000-00006FD10000}"/>
    <cellStyle name="SAPBEXHLevel3X 24 2" xfId="54266" xr:uid="{00000000-0005-0000-0000-000070D10000}"/>
    <cellStyle name="SAPBEXHLevel3X 25" xfId="3002" xr:uid="{00000000-0005-0000-0000-000071D10000}"/>
    <cellStyle name="SAPBEXHLevel3X 25 2" xfId="54267" xr:uid="{00000000-0005-0000-0000-000072D10000}"/>
    <cellStyle name="SAPBEXHLevel3X 26" xfId="3003" xr:uid="{00000000-0005-0000-0000-000073D10000}"/>
    <cellStyle name="SAPBEXHLevel3X 26 2" xfId="54268" xr:uid="{00000000-0005-0000-0000-000074D10000}"/>
    <cellStyle name="SAPBEXHLevel3X 27" xfId="3004" xr:uid="{00000000-0005-0000-0000-000075D10000}"/>
    <cellStyle name="SAPBEXHLevel3X 27 2" xfId="54269" xr:uid="{00000000-0005-0000-0000-000076D10000}"/>
    <cellStyle name="SAPBEXHLevel3X 28" xfId="3005" xr:uid="{00000000-0005-0000-0000-000077D10000}"/>
    <cellStyle name="SAPBEXHLevel3X 28 2" xfId="54270" xr:uid="{00000000-0005-0000-0000-000078D10000}"/>
    <cellStyle name="SAPBEXHLevel3X 29" xfId="3006" xr:uid="{00000000-0005-0000-0000-000079D10000}"/>
    <cellStyle name="SAPBEXHLevel3X 29 2" xfId="54271" xr:uid="{00000000-0005-0000-0000-00007AD10000}"/>
    <cellStyle name="SAPBEXHLevel3X 3" xfId="3007" xr:uid="{00000000-0005-0000-0000-00007BD10000}"/>
    <cellStyle name="SAPBEXHLevel3X 3 10" xfId="54272" xr:uid="{00000000-0005-0000-0000-00007CD10000}"/>
    <cellStyle name="SAPBEXHLevel3X 3 2" xfId="54273" xr:uid="{00000000-0005-0000-0000-00007DD10000}"/>
    <cellStyle name="SAPBEXHLevel3X 3 2 2" xfId="54274" xr:uid="{00000000-0005-0000-0000-00007ED10000}"/>
    <cellStyle name="SAPBEXHLevel3X 3 3" xfId="54275" xr:uid="{00000000-0005-0000-0000-00007FD10000}"/>
    <cellStyle name="SAPBEXHLevel3X 3 3 2" xfId="54276" xr:uid="{00000000-0005-0000-0000-000080D10000}"/>
    <cellStyle name="SAPBEXHLevel3X 3 4" xfId="54277" xr:uid="{00000000-0005-0000-0000-000081D10000}"/>
    <cellStyle name="SAPBEXHLevel3X 3 4 2" xfId="54278" xr:uid="{00000000-0005-0000-0000-000082D10000}"/>
    <cellStyle name="SAPBEXHLevel3X 3 5" xfId="54279" xr:uid="{00000000-0005-0000-0000-000083D10000}"/>
    <cellStyle name="SAPBEXHLevel3X 3 5 2" xfId="54280" xr:uid="{00000000-0005-0000-0000-000084D10000}"/>
    <cellStyle name="SAPBEXHLevel3X 3 6" xfId="54281" xr:uid="{00000000-0005-0000-0000-000085D10000}"/>
    <cellStyle name="SAPBEXHLevel3X 3 6 2" xfId="54282" xr:uid="{00000000-0005-0000-0000-000086D10000}"/>
    <cellStyle name="SAPBEXHLevel3X 3 7" xfId="54283" xr:uid="{00000000-0005-0000-0000-000087D10000}"/>
    <cellStyle name="SAPBEXHLevel3X 3 7 2" xfId="54284" xr:uid="{00000000-0005-0000-0000-000088D10000}"/>
    <cellStyle name="SAPBEXHLevel3X 3 8" xfId="54285" xr:uid="{00000000-0005-0000-0000-000089D10000}"/>
    <cellStyle name="SAPBEXHLevel3X 3 8 2" xfId="54286" xr:uid="{00000000-0005-0000-0000-00008AD10000}"/>
    <cellStyle name="SAPBEXHLevel3X 3 9" xfId="54287" xr:uid="{00000000-0005-0000-0000-00008BD10000}"/>
    <cellStyle name="SAPBEXHLevel3X 3 9 2" xfId="54288" xr:uid="{00000000-0005-0000-0000-00008CD10000}"/>
    <cellStyle name="SAPBEXHLevel3X 30" xfId="3008" xr:uid="{00000000-0005-0000-0000-00008DD10000}"/>
    <cellStyle name="SAPBEXHLevel3X 30 2" xfId="54289" xr:uid="{00000000-0005-0000-0000-00008ED10000}"/>
    <cellStyle name="SAPBEXHLevel3X 31" xfId="3009" xr:uid="{00000000-0005-0000-0000-00008FD10000}"/>
    <cellStyle name="SAPBEXHLevel3X 31 2" xfId="54290" xr:uid="{00000000-0005-0000-0000-000090D10000}"/>
    <cellStyle name="SAPBEXHLevel3X 32" xfId="3010" xr:uid="{00000000-0005-0000-0000-000091D10000}"/>
    <cellStyle name="SAPBEXHLevel3X 32 2" xfId="54291" xr:uid="{00000000-0005-0000-0000-000092D10000}"/>
    <cellStyle name="SAPBEXHLevel3X 33" xfId="3011" xr:uid="{00000000-0005-0000-0000-000093D10000}"/>
    <cellStyle name="SAPBEXHLevel3X 33 2" xfId="54292" xr:uid="{00000000-0005-0000-0000-000094D10000}"/>
    <cellStyle name="SAPBEXHLevel3X 34" xfId="3012" xr:uid="{00000000-0005-0000-0000-000095D10000}"/>
    <cellStyle name="SAPBEXHLevel3X 34 2" xfId="54293" xr:uid="{00000000-0005-0000-0000-000096D10000}"/>
    <cellStyle name="SAPBEXHLevel3X 35" xfId="3013" xr:uid="{00000000-0005-0000-0000-000097D10000}"/>
    <cellStyle name="SAPBEXHLevel3X 35 2" xfId="54294" xr:uid="{00000000-0005-0000-0000-000098D10000}"/>
    <cellStyle name="SAPBEXHLevel3X 36" xfId="3014" xr:uid="{00000000-0005-0000-0000-000099D10000}"/>
    <cellStyle name="SAPBEXHLevel3X 36 2" xfId="54295" xr:uid="{00000000-0005-0000-0000-00009AD10000}"/>
    <cellStyle name="SAPBEXHLevel3X 37" xfId="3015" xr:uid="{00000000-0005-0000-0000-00009BD10000}"/>
    <cellStyle name="SAPBEXHLevel3X 37 2" xfId="54296" xr:uid="{00000000-0005-0000-0000-00009CD10000}"/>
    <cellStyle name="SAPBEXHLevel3X 38" xfId="3016" xr:uid="{00000000-0005-0000-0000-00009DD10000}"/>
    <cellStyle name="SAPBEXHLevel3X 38 2" xfId="54297" xr:uid="{00000000-0005-0000-0000-00009ED10000}"/>
    <cellStyle name="SAPBEXHLevel3X 39" xfId="3017" xr:uid="{00000000-0005-0000-0000-00009FD10000}"/>
    <cellStyle name="SAPBEXHLevel3X 39 2" xfId="54298" xr:uid="{00000000-0005-0000-0000-0000A0D10000}"/>
    <cellStyle name="SAPBEXHLevel3X 4" xfId="3018" xr:uid="{00000000-0005-0000-0000-0000A1D10000}"/>
    <cellStyle name="SAPBEXHLevel3X 4 10" xfId="54299" xr:uid="{00000000-0005-0000-0000-0000A2D10000}"/>
    <cellStyle name="SAPBEXHLevel3X 4 2" xfId="54300" xr:uid="{00000000-0005-0000-0000-0000A3D10000}"/>
    <cellStyle name="SAPBEXHLevel3X 4 2 2" xfId="54301" xr:uid="{00000000-0005-0000-0000-0000A4D10000}"/>
    <cellStyle name="SAPBEXHLevel3X 4 3" xfId="54302" xr:uid="{00000000-0005-0000-0000-0000A5D10000}"/>
    <cellStyle name="SAPBEXHLevel3X 4 3 2" xfId="54303" xr:uid="{00000000-0005-0000-0000-0000A6D10000}"/>
    <cellStyle name="SAPBEXHLevel3X 4 4" xfId="54304" xr:uid="{00000000-0005-0000-0000-0000A7D10000}"/>
    <cellStyle name="SAPBEXHLevel3X 4 4 2" xfId="54305" xr:uid="{00000000-0005-0000-0000-0000A8D10000}"/>
    <cellStyle name="SAPBEXHLevel3X 4 5" xfId="54306" xr:uid="{00000000-0005-0000-0000-0000A9D10000}"/>
    <cellStyle name="SAPBEXHLevel3X 4 5 2" xfId="54307" xr:uid="{00000000-0005-0000-0000-0000AAD10000}"/>
    <cellStyle name="SAPBEXHLevel3X 4 6" xfId="54308" xr:uid="{00000000-0005-0000-0000-0000ABD10000}"/>
    <cellStyle name="SAPBEXHLevel3X 4 6 2" xfId="54309" xr:uid="{00000000-0005-0000-0000-0000ACD10000}"/>
    <cellStyle name="SAPBEXHLevel3X 4 7" xfId="54310" xr:uid="{00000000-0005-0000-0000-0000ADD10000}"/>
    <cellStyle name="SAPBEXHLevel3X 4 7 2" xfId="54311" xr:uid="{00000000-0005-0000-0000-0000AED10000}"/>
    <cellStyle name="SAPBEXHLevel3X 4 8" xfId="54312" xr:uid="{00000000-0005-0000-0000-0000AFD10000}"/>
    <cellStyle name="SAPBEXHLevel3X 4 8 2" xfId="54313" xr:uid="{00000000-0005-0000-0000-0000B0D10000}"/>
    <cellStyle name="SAPBEXHLevel3X 4 9" xfId="54314" xr:uid="{00000000-0005-0000-0000-0000B1D10000}"/>
    <cellStyle name="SAPBEXHLevel3X 4 9 2" xfId="54315" xr:uid="{00000000-0005-0000-0000-0000B2D10000}"/>
    <cellStyle name="SAPBEXHLevel3X 40" xfId="3019" xr:uid="{00000000-0005-0000-0000-0000B3D10000}"/>
    <cellStyle name="SAPBEXHLevel3X 40 2" xfId="54316" xr:uid="{00000000-0005-0000-0000-0000B4D10000}"/>
    <cellStyle name="SAPBEXHLevel3X 41" xfId="3020" xr:uid="{00000000-0005-0000-0000-0000B5D10000}"/>
    <cellStyle name="SAPBEXHLevel3X 41 2" xfId="54317" xr:uid="{00000000-0005-0000-0000-0000B6D10000}"/>
    <cellStyle name="SAPBEXHLevel3X 42" xfId="3021" xr:uid="{00000000-0005-0000-0000-0000B7D10000}"/>
    <cellStyle name="SAPBEXHLevel3X 42 2" xfId="54318" xr:uid="{00000000-0005-0000-0000-0000B8D10000}"/>
    <cellStyle name="SAPBEXHLevel3X 43" xfId="3022" xr:uid="{00000000-0005-0000-0000-0000B9D10000}"/>
    <cellStyle name="SAPBEXHLevel3X 43 2" xfId="54319" xr:uid="{00000000-0005-0000-0000-0000BAD10000}"/>
    <cellStyle name="SAPBEXHLevel3X 44" xfId="3023" xr:uid="{00000000-0005-0000-0000-0000BBD10000}"/>
    <cellStyle name="SAPBEXHLevel3X 44 2" xfId="54320" xr:uid="{00000000-0005-0000-0000-0000BCD10000}"/>
    <cellStyle name="SAPBEXHLevel3X 45" xfId="3024" xr:uid="{00000000-0005-0000-0000-0000BDD10000}"/>
    <cellStyle name="SAPBEXHLevel3X 45 2" xfId="54321" xr:uid="{00000000-0005-0000-0000-0000BED10000}"/>
    <cellStyle name="SAPBEXHLevel3X 46" xfId="54322" xr:uid="{00000000-0005-0000-0000-0000BFD10000}"/>
    <cellStyle name="SAPBEXHLevel3X 46 2" xfId="54323" xr:uid="{00000000-0005-0000-0000-0000C0D10000}"/>
    <cellStyle name="SAPBEXHLevel3X 46 2 2" xfId="54324" xr:uid="{00000000-0005-0000-0000-0000C1D10000}"/>
    <cellStyle name="SAPBEXHLevel3X 46 3" xfId="54325" xr:uid="{00000000-0005-0000-0000-0000C2D10000}"/>
    <cellStyle name="SAPBEXHLevel3X 47" xfId="54326" xr:uid="{00000000-0005-0000-0000-0000C3D10000}"/>
    <cellStyle name="SAPBEXHLevel3X 48" xfId="54327" xr:uid="{00000000-0005-0000-0000-0000C4D10000}"/>
    <cellStyle name="SAPBEXHLevel3X 49" xfId="54328" xr:uid="{00000000-0005-0000-0000-0000C5D10000}"/>
    <cellStyle name="SAPBEXHLevel3X 5" xfId="3025" xr:uid="{00000000-0005-0000-0000-0000C6D10000}"/>
    <cellStyle name="SAPBEXHLevel3X 5 10" xfId="54329" xr:uid="{00000000-0005-0000-0000-0000C7D10000}"/>
    <cellStyle name="SAPBEXHLevel3X 5 2" xfId="54330" xr:uid="{00000000-0005-0000-0000-0000C8D10000}"/>
    <cellStyle name="SAPBEXHLevel3X 5 2 2" xfId="54331" xr:uid="{00000000-0005-0000-0000-0000C9D10000}"/>
    <cellStyle name="SAPBEXHLevel3X 5 3" xfId="54332" xr:uid="{00000000-0005-0000-0000-0000CAD10000}"/>
    <cellStyle name="SAPBEXHLevel3X 5 3 2" xfId="54333" xr:uid="{00000000-0005-0000-0000-0000CBD10000}"/>
    <cellStyle name="SAPBEXHLevel3X 5 4" xfId="54334" xr:uid="{00000000-0005-0000-0000-0000CCD10000}"/>
    <cellStyle name="SAPBEXHLevel3X 5 4 2" xfId="54335" xr:uid="{00000000-0005-0000-0000-0000CDD10000}"/>
    <cellStyle name="SAPBEXHLevel3X 5 5" xfId="54336" xr:uid="{00000000-0005-0000-0000-0000CED10000}"/>
    <cellStyle name="SAPBEXHLevel3X 5 5 2" xfId="54337" xr:uid="{00000000-0005-0000-0000-0000CFD10000}"/>
    <cellStyle name="SAPBEXHLevel3X 5 6" xfId="54338" xr:uid="{00000000-0005-0000-0000-0000D0D10000}"/>
    <cellStyle name="SAPBEXHLevel3X 5 6 2" xfId="54339" xr:uid="{00000000-0005-0000-0000-0000D1D10000}"/>
    <cellStyle name="SAPBEXHLevel3X 5 7" xfId="54340" xr:uid="{00000000-0005-0000-0000-0000D2D10000}"/>
    <cellStyle name="SAPBEXHLevel3X 5 7 2" xfId="54341" xr:uid="{00000000-0005-0000-0000-0000D3D10000}"/>
    <cellStyle name="SAPBEXHLevel3X 5 8" xfId="54342" xr:uid="{00000000-0005-0000-0000-0000D4D10000}"/>
    <cellStyle name="SAPBEXHLevel3X 5 8 2" xfId="54343" xr:uid="{00000000-0005-0000-0000-0000D5D10000}"/>
    <cellStyle name="SAPBEXHLevel3X 5 9" xfId="54344" xr:uid="{00000000-0005-0000-0000-0000D6D10000}"/>
    <cellStyle name="SAPBEXHLevel3X 5 9 2" xfId="54345" xr:uid="{00000000-0005-0000-0000-0000D7D10000}"/>
    <cellStyle name="SAPBEXHLevel3X 50" xfId="54346" xr:uid="{00000000-0005-0000-0000-0000D8D10000}"/>
    <cellStyle name="SAPBEXHLevel3X 6" xfId="3026" xr:uid="{00000000-0005-0000-0000-0000D9D10000}"/>
    <cellStyle name="SAPBEXHLevel3X 6 10" xfId="54347" xr:uid="{00000000-0005-0000-0000-0000DAD10000}"/>
    <cellStyle name="SAPBEXHLevel3X 6 2" xfId="54348" xr:uid="{00000000-0005-0000-0000-0000DBD10000}"/>
    <cellStyle name="SAPBEXHLevel3X 6 2 2" xfId="54349" xr:uid="{00000000-0005-0000-0000-0000DCD10000}"/>
    <cellStyle name="SAPBEXHLevel3X 6 3" xfId="54350" xr:uid="{00000000-0005-0000-0000-0000DDD10000}"/>
    <cellStyle name="SAPBEXHLevel3X 6 3 2" xfId="54351" xr:uid="{00000000-0005-0000-0000-0000DED10000}"/>
    <cellStyle name="SAPBEXHLevel3X 6 4" xfId="54352" xr:uid="{00000000-0005-0000-0000-0000DFD10000}"/>
    <cellStyle name="SAPBEXHLevel3X 6 4 2" xfId="54353" xr:uid="{00000000-0005-0000-0000-0000E0D10000}"/>
    <cellStyle name="SAPBEXHLevel3X 6 5" xfId="54354" xr:uid="{00000000-0005-0000-0000-0000E1D10000}"/>
    <cellStyle name="SAPBEXHLevel3X 6 5 2" xfId="54355" xr:uid="{00000000-0005-0000-0000-0000E2D10000}"/>
    <cellStyle name="SAPBEXHLevel3X 6 6" xfId="54356" xr:uid="{00000000-0005-0000-0000-0000E3D10000}"/>
    <cellStyle name="SAPBEXHLevel3X 6 6 2" xfId="54357" xr:uid="{00000000-0005-0000-0000-0000E4D10000}"/>
    <cellStyle name="SAPBEXHLevel3X 6 7" xfId="54358" xr:uid="{00000000-0005-0000-0000-0000E5D10000}"/>
    <cellStyle name="SAPBEXHLevel3X 6 7 2" xfId="54359" xr:uid="{00000000-0005-0000-0000-0000E6D10000}"/>
    <cellStyle name="SAPBEXHLevel3X 6 8" xfId="54360" xr:uid="{00000000-0005-0000-0000-0000E7D10000}"/>
    <cellStyle name="SAPBEXHLevel3X 6 8 2" xfId="54361" xr:uid="{00000000-0005-0000-0000-0000E8D10000}"/>
    <cellStyle name="SAPBEXHLevel3X 6 9" xfId="54362" xr:uid="{00000000-0005-0000-0000-0000E9D10000}"/>
    <cellStyle name="SAPBEXHLevel3X 6 9 2" xfId="54363" xr:uid="{00000000-0005-0000-0000-0000EAD10000}"/>
    <cellStyle name="SAPBEXHLevel3X 7" xfId="3027" xr:uid="{00000000-0005-0000-0000-0000EBD10000}"/>
    <cellStyle name="SAPBEXHLevel3X 7 10" xfId="54364" xr:uid="{00000000-0005-0000-0000-0000ECD10000}"/>
    <cellStyle name="SAPBEXHLevel3X 7 2" xfId="54365" xr:uid="{00000000-0005-0000-0000-0000EDD10000}"/>
    <cellStyle name="SAPBEXHLevel3X 7 2 2" xfId="54366" xr:uid="{00000000-0005-0000-0000-0000EED10000}"/>
    <cellStyle name="SAPBEXHLevel3X 7 3" xfId="54367" xr:uid="{00000000-0005-0000-0000-0000EFD10000}"/>
    <cellStyle name="SAPBEXHLevel3X 7 3 2" xfId="54368" xr:uid="{00000000-0005-0000-0000-0000F0D10000}"/>
    <cellStyle name="SAPBEXHLevel3X 7 4" xfId="54369" xr:uid="{00000000-0005-0000-0000-0000F1D10000}"/>
    <cellStyle name="SAPBEXHLevel3X 7 4 2" xfId="54370" xr:uid="{00000000-0005-0000-0000-0000F2D10000}"/>
    <cellStyle name="SAPBEXHLevel3X 7 5" xfId="54371" xr:uid="{00000000-0005-0000-0000-0000F3D10000}"/>
    <cellStyle name="SAPBEXHLevel3X 7 5 2" xfId="54372" xr:uid="{00000000-0005-0000-0000-0000F4D10000}"/>
    <cellStyle name="SAPBEXHLevel3X 7 6" xfId="54373" xr:uid="{00000000-0005-0000-0000-0000F5D10000}"/>
    <cellStyle name="SAPBEXHLevel3X 7 6 2" xfId="54374" xr:uid="{00000000-0005-0000-0000-0000F6D10000}"/>
    <cellStyle name="SAPBEXHLevel3X 7 7" xfId="54375" xr:uid="{00000000-0005-0000-0000-0000F7D10000}"/>
    <cellStyle name="SAPBEXHLevel3X 7 7 2" xfId="54376" xr:uid="{00000000-0005-0000-0000-0000F8D10000}"/>
    <cellStyle name="SAPBEXHLevel3X 7 8" xfId="54377" xr:uid="{00000000-0005-0000-0000-0000F9D10000}"/>
    <cellStyle name="SAPBEXHLevel3X 7 8 2" xfId="54378" xr:uid="{00000000-0005-0000-0000-0000FAD10000}"/>
    <cellStyle name="SAPBEXHLevel3X 7 9" xfId="54379" xr:uid="{00000000-0005-0000-0000-0000FBD10000}"/>
    <cellStyle name="SAPBEXHLevel3X 7 9 2" xfId="54380" xr:uid="{00000000-0005-0000-0000-0000FCD10000}"/>
    <cellStyle name="SAPBEXHLevel3X 8" xfId="3028" xr:uid="{00000000-0005-0000-0000-0000FDD10000}"/>
    <cellStyle name="SAPBEXHLevel3X 8 10" xfId="54381" xr:uid="{00000000-0005-0000-0000-0000FED10000}"/>
    <cellStyle name="SAPBEXHLevel3X 8 2" xfId="54382" xr:uid="{00000000-0005-0000-0000-0000FFD10000}"/>
    <cellStyle name="SAPBEXHLevel3X 8 2 2" xfId="54383" xr:uid="{00000000-0005-0000-0000-000000D20000}"/>
    <cellStyle name="SAPBEXHLevel3X 8 3" xfId="54384" xr:uid="{00000000-0005-0000-0000-000001D20000}"/>
    <cellStyle name="SAPBEXHLevel3X 8 3 2" xfId="54385" xr:uid="{00000000-0005-0000-0000-000002D20000}"/>
    <cellStyle name="SAPBEXHLevel3X 8 4" xfId="54386" xr:uid="{00000000-0005-0000-0000-000003D20000}"/>
    <cellStyle name="SAPBEXHLevel3X 8 4 2" xfId="54387" xr:uid="{00000000-0005-0000-0000-000004D20000}"/>
    <cellStyle name="SAPBEXHLevel3X 8 5" xfId="54388" xr:uid="{00000000-0005-0000-0000-000005D20000}"/>
    <cellStyle name="SAPBEXHLevel3X 8 5 2" xfId="54389" xr:uid="{00000000-0005-0000-0000-000006D20000}"/>
    <cellStyle name="SAPBEXHLevel3X 8 6" xfId="54390" xr:uid="{00000000-0005-0000-0000-000007D20000}"/>
    <cellStyle name="SAPBEXHLevel3X 8 6 2" xfId="54391" xr:uid="{00000000-0005-0000-0000-000008D20000}"/>
    <cellStyle name="SAPBEXHLevel3X 8 7" xfId="54392" xr:uid="{00000000-0005-0000-0000-000009D20000}"/>
    <cellStyle name="SAPBEXHLevel3X 8 7 2" xfId="54393" xr:uid="{00000000-0005-0000-0000-00000AD20000}"/>
    <cellStyle name="SAPBEXHLevel3X 8 8" xfId="54394" xr:uid="{00000000-0005-0000-0000-00000BD20000}"/>
    <cellStyle name="SAPBEXHLevel3X 8 8 2" xfId="54395" xr:uid="{00000000-0005-0000-0000-00000CD20000}"/>
    <cellStyle name="SAPBEXHLevel3X 8 9" xfId="54396" xr:uid="{00000000-0005-0000-0000-00000DD20000}"/>
    <cellStyle name="SAPBEXHLevel3X 8 9 2" xfId="54397" xr:uid="{00000000-0005-0000-0000-00000ED20000}"/>
    <cellStyle name="SAPBEXHLevel3X 9" xfId="3029" xr:uid="{00000000-0005-0000-0000-00000FD20000}"/>
    <cellStyle name="SAPBEXHLevel3X 9 10" xfId="54398" xr:uid="{00000000-0005-0000-0000-000010D20000}"/>
    <cellStyle name="SAPBEXHLevel3X 9 2" xfId="54399" xr:uid="{00000000-0005-0000-0000-000011D20000}"/>
    <cellStyle name="SAPBEXHLevel3X 9 2 2" xfId="54400" xr:uid="{00000000-0005-0000-0000-000012D20000}"/>
    <cellStyle name="SAPBEXHLevel3X 9 3" xfId="54401" xr:uid="{00000000-0005-0000-0000-000013D20000}"/>
    <cellStyle name="SAPBEXHLevel3X 9 3 2" xfId="54402" xr:uid="{00000000-0005-0000-0000-000014D20000}"/>
    <cellStyle name="SAPBEXHLevel3X 9 4" xfId="54403" xr:uid="{00000000-0005-0000-0000-000015D20000}"/>
    <cellStyle name="SAPBEXHLevel3X 9 4 2" xfId="54404" xr:uid="{00000000-0005-0000-0000-000016D20000}"/>
    <cellStyle name="SAPBEXHLevel3X 9 5" xfId="54405" xr:uid="{00000000-0005-0000-0000-000017D20000}"/>
    <cellStyle name="SAPBEXHLevel3X 9 5 2" xfId="54406" xr:uid="{00000000-0005-0000-0000-000018D20000}"/>
    <cellStyle name="SAPBEXHLevel3X 9 6" xfId="54407" xr:uid="{00000000-0005-0000-0000-000019D20000}"/>
    <cellStyle name="SAPBEXHLevel3X 9 6 2" xfId="54408" xr:uid="{00000000-0005-0000-0000-00001AD20000}"/>
    <cellStyle name="SAPBEXHLevel3X 9 7" xfId="54409" xr:uid="{00000000-0005-0000-0000-00001BD20000}"/>
    <cellStyle name="SAPBEXHLevel3X 9 7 2" xfId="54410" xr:uid="{00000000-0005-0000-0000-00001CD20000}"/>
    <cellStyle name="SAPBEXHLevel3X 9 8" xfId="54411" xr:uid="{00000000-0005-0000-0000-00001DD20000}"/>
    <cellStyle name="SAPBEXHLevel3X 9 8 2" xfId="54412" xr:uid="{00000000-0005-0000-0000-00001ED20000}"/>
    <cellStyle name="SAPBEXHLevel3X 9 9" xfId="54413" xr:uid="{00000000-0005-0000-0000-00001FD20000}"/>
    <cellStyle name="SAPBEXHLevel3X 9 9 2" xfId="54414" xr:uid="{00000000-0005-0000-0000-000020D20000}"/>
    <cellStyle name="SAPBEXHLevel3X_(A-7) IS-Inputs" xfId="54415" xr:uid="{00000000-0005-0000-0000-000021D20000}"/>
    <cellStyle name="SAPBEXinputData" xfId="79" xr:uid="{00000000-0005-0000-0000-000087000000}"/>
    <cellStyle name="SAPBEXinputData 10" xfId="3031" xr:uid="{00000000-0005-0000-0000-000023D20000}"/>
    <cellStyle name="SAPBEXinputData 10 10" xfId="54416" xr:uid="{00000000-0005-0000-0000-000024D20000}"/>
    <cellStyle name="SAPBEXinputData 10 2" xfId="54417" xr:uid="{00000000-0005-0000-0000-000025D20000}"/>
    <cellStyle name="SAPBEXinputData 10 2 2" xfId="54418" xr:uid="{00000000-0005-0000-0000-000026D20000}"/>
    <cellStyle name="SAPBEXinputData 10 3" xfId="54419" xr:uid="{00000000-0005-0000-0000-000027D20000}"/>
    <cellStyle name="SAPBEXinputData 10 3 2" xfId="54420" xr:uid="{00000000-0005-0000-0000-000028D20000}"/>
    <cellStyle name="SAPBEXinputData 10 4" xfId="54421" xr:uid="{00000000-0005-0000-0000-000029D20000}"/>
    <cellStyle name="SAPBEXinputData 10 4 2" xfId="54422" xr:uid="{00000000-0005-0000-0000-00002AD20000}"/>
    <cellStyle name="SAPBEXinputData 10 5" xfId="54423" xr:uid="{00000000-0005-0000-0000-00002BD20000}"/>
    <cellStyle name="SAPBEXinputData 10 5 2" xfId="54424" xr:uid="{00000000-0005-0000-0000-00002CD20000}"/>
    <cellStyle name="SAPBEXinputData 10 6" xfId="54425" xr:uid="{00000000-0005-0000-0000-00002DD20000}"/>
    <cellStyle name="SAPBEXinputData 10 6 2" xfId="54426" xr:uid="{00000000-0005-0000-0000-00002ED20000}"/>
    <cellStyle name="SAPBEXinputData 10 7" xfId="54427" xr:uid="{00000000-0005-0000-0000-00002FD20000}"/>
    <cellStyle name="SAPBEXinputData 10 7 2" xfId="54428" xr:uid="{00000000-0005-0000-0000-000030D20000}"/>
    <cellStyle name="SAPBEXinputData 10 8" xfId="54429" xr:uid="{00000000-0005-0000-0000-000031D20000}"/>
    <cellStyle name="SAPBEXinputData 10 8 2" xfId="54430" xr:uid="{00000000-0005-0000-0000-000032D20000}"/>
    <cellStyle name="SAPBEXinputData 10 9" xfId="54431" xr:uid="{00000000-0005-0000-0000-000033D20000}"/>
    <cellStyle name="SAPBEXinputData 10 9 2" xfId="54432" xr:uid="{00000000-0005-0000-0000-000034D20000}"/>
    <cellStyle name="SAPBEXinputData 11" xfId="3032" xr:uid="{00000000-0005-0000-0000-000035D20000}"/>
    <cellStyle name="SAPBEXinputData 11 2" xfId="54433" xr:uid="{00000000-0005-0000-0000-000036D20000}"/>
    <cellStyle name="SAPBEXinputData 11 2 2" xfId="54434" xr:uid="{00000000-0005-0000-0000-000037D20000}"/>
    <cellStyle name="SAPBEXinputData 11 3" xfId="54435" xr:uid="{00000000-0005-0000-0000-000038D20000}"/>
    <cellStyle name="SAPBEXinputData 12" xfId="3033" xr:uid="{00000000-0005-0000-0000-000039D20000}"/>
    <cellStyle name="SAPBEXinputData 12 2" xfId="54436" xr:uid="{00000000-0005-0000-0000-00003AD20000}"/>
    <cellStyle name="SAPBEXinputData 12 2 2" xfId="54437" xr:uid="{00000000-0005-0000-0000-00003BD20000}"/>
    <cellStyle name="SAPBEXinputData 12 3" xfId="54438" xr:uid="{00000000-0005-0000-0000-00003CD20000}"/>
    <cellStyle name="SAPBEXinputData 12 3 2" xfId="54439" xr:uid="{00000000-0005-0000-0000-00003DD20000}"/>
    <cellStyle name="SAPBEXinputData 12 4" xfId="54440" xr:uid="{00000000-0005-0000-0000-00003ED20000}"/>
    <cellStyle name="SAPBEXinputData 12 4 2" xfId="54441" xr:uid="{00000000-0005-0000-0000-00003FD20000}"/>
    <cellStyle name="SAPBEXinputData 12 5" xfId="54442" xr:uid="{00000000-0005-0000-0000-000040D20000}"/>
    <cellStyle name="SAPBEXinputData 12 5 2" xfId="54443" xr:uid="{00000000-0005-0000-0000-000041D20000}"/>
    <cellStyle name="SAPBEXinputData 12 6" xfId="54444" xr:uid="{00000000-0005-0000-0000-000042D20000}"/>
    <cellStyle name="SAPBEXinputData 12 6 2" xfId="54445" xr:uid="{00000000-0005-0000-0000-000043D20000}"/>
    <cellStyle name="SAPBEXinputData 12 7" xfId="54446" xr:uid="{00000000-0005-0000-0000-000044D20000}"/>
    <cellStyle name="SAPBEXinputData 12 7 2" xfId="54447" xr:uid="{00000000-0005-0000-0000-000045D20000}"/>
    <cellStyle name="SAPBEXinputData 12 8" xfId="54448" xr:uid="{00000000-0005-0000-0000-000046D20000}"/>
    <cellStyle name="SAPBEXinputData 12 8 2" xfId="54449" xr:uid="{00000000-0005-0000-0000-000047D20000}"/>
    <cellStyle name="SAPBEXinputData 12 9" xfId="54450" xr:uid="{00000000-0005-0000-0000-000048D20000}"/>
    <cellStyle name="SAPBEXinputData 13" xfId="3034" xr:uid="{00000000-0005-0000-0000-000049D20000}"/>
    <cellStyle name="SAPBEXinputData 13 2" xfId="54451" xr:uid="{00000000-0005-0000-0000-00004AD20000}"/>
    <cellStyle name="SAPBEXinputData 13 2 2" xfId="54452" xr:uid="{00000000-0005-0000-0000-00004BD20000}"/>
    <cellStyle name="SAPBEXinputData 13 3" xfId="54453" xr:uid="{00000000-0005-0000-0000-00004CD20000}"/>
    <cellStyle name="SAPBEXinputData 13 3 2" xfId="54454" xr:uid="{00000000-0005-0000-0000-00004DD20000}"/>
    <cellStyle name="SAPBEXinputData 13 4" xfId="54455" xr:uid="{00000000-0005-0000-0000-00004ED20000}"/>
    <cellStyle name="SAPBEXinputData 13 4 2" xfId="54456" xr:uid="{00000000-0005-0000-0000-00004FD20000}"/>
    <cellStyle name="SAPBEXinputData 13 5" xfId="54457" xr:uid="{00000000-0005-0000-0000-000050D20000}"/>
    <cellStyle name="SAPBEXinputData 13 5 2" xfId="54458" xr:uid="{00000000-0005-0000-0000-000051D20000}"/>
    <cellStyle name="SAPBEXinputData 13 6" xfId="54459" xr:uid="{00000000-0005-0000-0000-000052D20000}"/>
    <cellStyle name="SAPBEXinputData 13 6 2" xfId="54460" xr:uid="{00000000-0005-0000-0000-000053D20000}"/>
    <cellStyle name="SAPBEXinputData 13 7" xfId="54461" xr:uid="{00000000-0005-0000-0000-000054D20000}"/>
    <cellStyle name="SAPBEXinputData 13 7 2" xfId="54462" xr:uid="{00000000-0005-0000-0000-000055D20000}"/>
    <cellStyle name="SAPBEXinputData 13 8" xfId="54463" xr:uid="{00000000-0005-0000-0000-000056D20000}"/>
    <cellStyle name="SAPBEXinputData 13 8 2" xfId="54464" xr:uid="{00000000-0005-0000-0000-000057D20000}"/>
    <cellStyle name="SAPBEXinputData 13 9" xfId="54465" xr:uid="{00000000-0005-0000-0000-000058D20000}"/>
    <cellStyle name="SAPBEXinputData 14" xfId="3035" xr:uid="{00000000-0005-0000-0000-000059D20000}"/>
    <cellStyle name="SAPBEXinputData 14 2" xfId="54466" xr:uid="{00000000-0005-0000-0000-00005AD20000}"/>
    <cellStyle name="SAPBEXinputData 14 2 2" xfId="54467" xr:uid="{00000000-0005-0000-0000-00005BD20000}"/>
    <cellStyle name="SAPBEXinputData 14 3" xfId="54468" xr:uid="{00000000-0005-0000-0000-00005CD20000}"/>
    <cellStyle name="SAPBEXinputData 15" xfId="3036" xr:uid="{00000000-0005-0000-0000-00005DD20000}"/>
    <cellStyle name="SAPBEXinputData 15 2" xfId="54469" xr:uid="{00000000-0005-0000-0000-00005ED20000}"/>
    <cellStyle name="SAPBEXinputData 15 2 2" xfId="54470" xr:uid="{00000000-0005-0000-0000-00005FD20000}"/>
    <cellStyle name="SAPBEXinputData 15 3" xfId="54471" xr:uid="{00000000-0005-0000-0000-000060D20000}"/>
    <cellStyle name="SAPBEXinputData 16" xfId="3037" xr:uid="{00000000-0005-0000-0000-000061D20000}"/>
    <cellStyle name="SAPBEXinputData 16 2" xfId="54472" xr:uid="{00000000-0005-0000-0000-000062D20000}"/>
    <cellStyle name="SAPBEXinputData 16 2 2" xfId="54473" xr:uid="{00000000-0005-0000-0000-000063D20000}"/>
    <cellStyle name="SAPBEXinputData 16 3" xfId="54474" xr:uid="{00000000-0005-0000-0000-000064D20000}"/>
    <cellStyle name="SAPBEXinputData 17" xfId="3038" xr:uid="{00000000-0005-0000-0000-000065D20000}"/>
    <cellStyle name="SAPBEXinputData 17 2" xfId="54475" xr:uid="{00000000-0005-0000-0000-000066D20000}"/>
    <cellStyle name="SAPBEXinputData 17 2 2" xfId="54476" xr:uid="{00000000-0005-0000-0000-000067D20000}"/>
    <cellStyle name="SAPBEXinputData 17 3" xfId="54477" xr:uid="{00000000-0005-0000-0000-000068D20000}"/>
    <cellStyle name="SAPBEXinputData 18" xfId="3039" xr:uid="{00000000-0005-0000-0000-000069D20000}"/>
    <cellStyle name="SAPBEXinputData 18 2" xfId="54478" xr:uid="{00000000-0005-0000-0000-00006AD20000}"/>
    <cellStyle name="SAPBEXinputData 18 2 2" xfId="54479" xr:uid="{00000000-0005-0000-0000-00006BD20000}"/>
    <cellStyle name="SAPBEXinputData 18 3" xfId="54480" xr:uid="{00000000-0005-0000-0000-00006CD20000}"/>
    <cellStyle name="SAPBEXinputData 19" xfId="3040" xr:uid="{00000000-0005-0000-0000-00006DD20000}"/>
    <cellStyle name="SAPBEXinputData 19 2" xfId="54481" xr:uid="{00000000-0005-0000-0000-00006ED20000}"/>
    <cellStyle name="SAPBEXinputData 19 2 2" xfId="54482" xr:uid="{00000000-0005-0000-0000-00006FD20000}"/>
    <cellStyle name="SAPBEXinputData 19 3" xfId="54483" xr:uid="{00000000-0005-0000-0000-000070D20000}"/>
    <cellStyle name="SAPBEXinputData 2" xfId="3041" xr:uid="{00000000-0005-0000-0000-000071D20000}"/>
    <cellStyle name="SAPBEXinputData 2 10" xfId="54484" xr:uid="{00000000-0005-0000-0000-000072D20000}"/>
    <cellStyle name="SAPBEXinputData 2 10 2" xfId="54485" xr:uid="{00000000-0005-0000-0000-000073D20000}"/>
    <cellStyle name="SAPBEXinputData 2 10 3" xfId="54486" xr:uid="{00000000-0005-0000-0000-000074D20000}"/>
    <cellStyle name="SAPBEXinputData 2 11" xfId="54487" xr:uid="{00000000-0005-0000-0000-000075D20000}"/>
    <cellStyle name="SAPBEXinputData 2 2" xfId="54488" xr:uid="{00000000-0005-0000-0000-000076D20000}"/>
    <cellStyle name="SAPBEXinputData 2 2 2" xfId="54489" xr:uid="{00000000-0005-0000-0000-000077D20000}"/>
    <cellStyle name="SAPBEXinputData 2 3" xfId="54490" xr:uid="{00000000-0005-0000-0000-000078D20000}"/>
    <cellStyle name="SAPBEXinputData 2 3 2" xfId="54491" xr:uid="{00000000-0005-0000-0000-000079D20000}"/>
    <cellStyle name="SAPBEXinputData 2 4" xfId="54492" xr:uid="{00000000-0005-0000-0000-00007AD20000}"/>
    <cellStyle name="SAPBEXinputData 2 4 2" xfId="54493" xr:uid="{00000000-0005-0000-0000-00007BD20000}"/>
    <cellStyle name="SAPBEXinputData 2 5" xfId="54494" xr:uid="{00000000-0005-0000-0000-00007CD20000}"/>
    <cellStyle name="SAPBEXinputData 2 5 2" xfId="54495" xr:uid="{00000000-0005-0000-0000-00007DD20000}"/>
    <cellStyle name="SAPBEXinputData 2 6" xfId="54496" xr:uid="{00000000-0005-0000-0000-00007ED20000}"/>
    <cellStyle name="SAPBEXinputData 2 6 2" xfId="54497" xr:uid="{00000000-0005-0000-0000-00007FD20000}"/>
    <cellStyle name="SAPBEXinputData 2 7" xfId="54498" xr:uid="{00000000-0005-0000-0000-000080D20000}"/>
    <cellStyle name="SAPBEXinputData 2 7 2" xfId="54499" xr:uid="{00000000-0005-0000-0000-000081D20000}"/>
    <cellStyle name="SAPBEXinputData 2 8" xfId="54500" xr:uid="{00000000-0005-0000-0000-000082D20000}"/>
    <cellStyle name="SAPBEXinputData 2 8 2" xfId="54501" xr:uid="{00000000-0005-0000-0000-000083D20000}"/>
    <cellStyle name="SAPBEXinputData 2 9" xfId="54502" xr:uid="{00000000-0005-0000-0000-000084D20000}"/>
    <cellStyle name="SAPBEXinputData 2 9 2" xfId="54503" xr:uid="{00000000-0005-0000-0000-000085D20000}"/>
    <cellStyle name="SAPBEXinputData 20" xfId="3042" xr:uid="{00000000-0005-0000-0000-000086D20000}"/>
    <cellStyle name="SAPBEXinputData 20 2" xfId="54504" xr:uid="{00000000-0005-0000-0000-000087D20000}"/>
    <cellStyle name="SAPBEXinputData 20 2 2" xfId="54505" xr:uid="{00000000-0005-0000-0000-000088D20000}"/>
    <cellStyle name="SAPBEXinputData 20 3" xfId="54506" xr:uid="{00000000-0005-0000-0000-000089D20000}"/>
    <cellStyle name="SAPBEXinputData 21" xfId="3043" xr:uid="{00000000-0005-0000-0000-00008AD20000}"/>
    <cellStyle name="SAPBEXinputData 21 2" xfId="54507" xr:uid="{00000000-0005-0000-0000-00008BD20000}"/>
    <cellStyle name="SAPBEXinputData 22" xfId="3044" xr:uid="{00000000-0005-0000-0000-00008CD20000}"/>
    <cellStyle name="SAPBEXinputData 22 2" xfId="54508" xr:uid="{00000000-0005-0000-0000-00008DD20000}"/>
    <cellStyle name="SAPBEXinputData 23" xfId="3045" xr:uid="{00000000-0005-0000-0000-00008ED20000}"/>
    <cellStyle name="SAPBEXinputData 23 2" xfId="54509" xr:uid="{00000000-0005-0000-0000-00008FD20000}"/>
    <cellStyle name="SAPBEXinputData 24" xfId="3046" xr:uid="{00000000-0005-0000-0000-000090D20000}"/>
    <cellStyle name="SAPBEXinputData 24 2" xfId="54510" xr:uid="{00000000-0005-0000-0000-000091D20000}"/>
    <cellStyle name="SAPBEXinputData 25" xfId="3047" xr:uid="{00000000-0005-0000-0000-000092D20000}"/>
    <cellStyle name="SAPBEXinputData 25 2" xfId="54511" xr:uid="{00000000-0005-0000-0000-000093D20000}"/>
    <cellStyle name="SAPBEXinputData 26" xfId="3048" xr:uid="{00000000-0005-0000-0000-000094D20000}"/>
    <cellStyle name="SAPBEXinputData 26 2" xfId="54512" xr:uid="{00000000-0005-0000-0000-000095D20000}"/>
    <cellStyle name="SAPBEXinputData 27" xfId="3049" xr:uid="{00000000-0005-0000-0000-000096D20000}"/>
    <cellStyle name="SAPBEXinputData 27 2" xfId="54513" xr:uid="{00000000-0005-0000-0000-000097D20000}"/>
    <cellStyle name="SAPBEXinputData 28" xfId="3050" xr:uid="{00000000-0005-0000-0000-000098D20000}"/>
    <cellStyle name="SAPBEXinputData 28 2" xfId="54514" xr:uid="{00000000-0005-0000-0000-000099D20000}"/>
    <cellStyle name="SAPBEXinputData 29" xfId="3051" xr:uid="{00000000-0005-0000-0000-00009AD20000}"/>
    <cellStyle name="SAPBEXinputData 29 2" xfId="54515" xr:uid="{00000000-0005-0000-0000-00009BD20000}"/>
    <cellStyle name="SAPBEXinputData 3" xfId="3052" xr:uid="{00000000-0005-0000-0000-00009CD20000}"/>
    <cellStyle name="SAPBEXinputData 3 10" xfId="54516" xr:uid="{00000000-0005-0000-0000-00009DD20000}"/>
    <cellStyle name="SAPBEXinputData 3 2" xfId="54517" xr:uid="{00000000-0005-0000-0000-00009ED20000}"/>
    <cellStyle name="SAPBEXinputData 3 2 2" xfId="54518" xr:uid="{00000000-0005-0000-0000-00009FD20000}"/>
    <cellStyle name="SAPBEXinputData 3 3" xfId="54519" xr:uid="{00000000-0005-0000-0000-0000A0D20000}"/>
    <cellStyle name="SAPBEXinputData 3 3 2" xfId="54520" xr:uid="{00000000-0005-0000-0000-0000A1D20000}"/>
    <cellStyle name="SAPBEXinputData 3 4" xfId="54521" xr:uid="{00000000-0005-0000-0000-0000A2D20000}"/>
    <cellStyle name="SAPBEXinputData 3 4 2" xfId="54522" xr:uid="{00000000-0005-0000-0000-0000A3D20000}"/>
    <cellStyle name="SAPBEXinputData 3 5" xfId="54523" xr:uid="{00000000-0005-0000-0000-0000A4D20000}"/>
    <cellStyle name="SAPBEXinputData 3 5 2" xfId="54524" xr:uid="{00000000-0005-0000-0000-0000A5D20000}"/>
    <cellStyle name="SAPBEXinputData 3 6" xfId="54525" xr:uid="{00000000-0005-0000-0000-0000A6D20000}"/>
    <cellStyle name="SAPBEXinputData 3 6 2" xfId="54526" xr:uid="{00000000-0005-0000-0000-0000A7D20000}"/>
    <cellStyle name="SAPBEXinputData 3 7" xfId="54527" xr:uid="{00000000-0005-0000-0000-0000A8D20000}"/>
    <cellStyle name="SAPBEXinputData 3 7 2" xfId="54528" xr:uid="{00000000-0005-0000-0000-0000A9D20000}"/>
    <cellStyle name="SAPBEXinputData 3 8" xfId="54529" xr:uid="{00000000-0005-0000-0000-0000AAD20000}"/>
    <cellStyle name="SAPBEXinputData 3 8 2" xfId="54530" xr:uid="{00000000-0005-0000-0000-0000ABD20000}"/>
    <cellStyle name="SAPBEXinputData 3 9" xfId="54531" xr:uid="{00000000-0005-0000-0000-0000ACD20000}"/>
    <cellStyle name="SAPBEXinputData 3 9 2" xfId="54532" xr:uid="{00000000-0005-0000-0000-0000ADD20000}"/>
    <cellStyle name="SAPBEXinputData 30" xfId="3053" xr:uid="{00000000-0005-0000-0000-0000AED20000}"/>
    <cellStyle name="SAPBEXinputData 30 2" xfId="54533" xr:uid="{00000000-0005-0000-0000-0000AFD20000}"/>
    <cellStyle name="SAPBEXinputData 31" xfId="3054" xr:uid="{00000000-0005-0000-0000-0000B0D20000}"/>
    <cellStyle name="SAPBEXinputData 31 2" xfId="54534" xr:uid="{00000000-0005-0000-0000-0000B1D20000}"/>
    <cellStyle name="SAPBEXinputData 32" xfId="3055" xr:uid="{00000000-0005-0000-0000-0000B2D20000}"/>
    <cellStyle name="SAPBEXinputData 32 2" xfId="54535" xr:uid="{00000000-0005-0000-0000-0000B3D20000}"/>
    <cellStyle name="SAPBEXinputData 33" xfId="3056" xr:uid="{00000000-0005-0000-0000-0000B4D20000}"/>
    <cellStyle name="SAPBEXinputData 33 2" xfId="54536" xr:uid="{00000000-0005-0000-0000-0000B5D20000}"/>
    <cellStyle name="SAPBEXinputData 34" xfId="3057" xr:uid="{00000000-0005-0000-0000-0000B6D20000}"/>
    <cellStyle name="SAPBEXinputData 34 2" xfId="54537" xr:uid="{00000000-0005-0000-0000-0000B7D20000}"/>
    <cellStyle name="SAPBEXinputData 35" xfId="3058" xr:uid="{00000000-0005-0000-0000-0000B8D20000}"/>
    <cellStyle name="SAPBEXinputData 35 2" xfId="54538" xr:uid="{00000000-0005-0000-0000-0000B9D20000}"/>
    <cellStyle name="SAPBEXinputData 36" xfId="3059" xr:uid="{00000000-0005-0000-0000-0000BAD20000}"/>
    <cellStyle name="SAPBEXinputData 36 2" xfId="54539" xr:uid="{00000000-0005-0000-0000-0000BBD20000}"/>
    <cellStyle name="SAPBEXinputData 37" xfId="3060" xr:uid="{00000000-0005-0000-0000-0000BCD20000}"/>
    <cellStyle name="SAPBEXinputData 37 2" xfId="54540" xr:uid="{00000000-0005-0000-0000-0000BDD20000}"/>
    <cellStyle name="SAPBEXinputData 38" xfId="3061" xr:uid="{00000000-0005-0000-0000-0000BED20000}"/>
    <cellStyle name="SAPBEXinputData 38 2" xfId="54541" xr:uid="{00000000-0005-0000-0000-0000BFD20000}"/>
    <cellStyle name="SAPBEXinputData 39" xfId="3062" xr:uid="{00000000-0005-0000-0000-0000C0D20000}"/>
    <cellStyle name="SAPBEXinputData 39 2" xfId="54542" xr:uid="{00000000-0005-0000-0000-0000C1D20000}"/>
    <cellStyle name="SAPBEXinputData 4" xfId="3063" xr:uid="{00000000-0005-0000-0000-0000C2D20000}"/>
    <cellStyle name="SAPBEXinputData 4 10" xfId="54543" xr:uid="{00000000-0005-0000-0000-0000C3D20000}"/>
    <cellStyle name="SAPBEXinputData 4 2" xfId="54544" xr:uid="{00000000-0005-0000-0000-0000C4D20000}"/>
    <cellStyle name="SAPBEXinputData 4 2 2" xfId="54545" xr:uid="{00000000-0005-0000-0000-0000C5D20000}"/>
    <cellStyle name="SAPBEXinputData 4 3" xfId="54546" xr:uid="{00000000-0005-0000-0000-0000C6D20000}"/>
    <cellStyle name="SAPBEXinputData 4 3 2" xfId="54547" xr:uid="{00000000-0005-0000-0000-0000C7D20000}"/>
    <cellStyle name="SAPBEXinputData 4 4" xfId="54548" xr:uid="{00000000-0005-0000-0000-0000C8D20000}"/>
    <cellStyle name="SAPBEXinputData 4 4 2" xfId="54549" xr:uid="{00000000-0005-0000-0000-0000C9D20000}"/>
    <cellStyle name="SAPBEXinputData 4 5" xfId="54550" xr:uid="{00000000-0005-0000-0000-0000CAD20000}"/>
    <cellStyle name="SAPBEXinputData 4 5 2" xfId="54551" xr:uid="{00000000-0005-0000-0000-0000CBD20000}"/>
    <cellStyle name="SAPBEXinputData 4 6" xfId="54552" xr:uid="{00000000-0005-0000-0000-0000CCD20000}"/>
    <cellStyle name="SAPBEXinputData 4 6 2" xfId="54553" xr:uid="{00000000-0005-0000-0000-0000CDD20000}"/>
    <cellStyle name="SAPBEXinputData 4 7" xfId="54554" xr:uid="{00000000-0005-0000-0000-0000CED20000}"/>
    <cellStyle name="SAPBEXinputData 4 7 2" xfId="54555" xr:uid="{00000000-0005-0000-0000-0000CFD20000}"/>
    <cellStyle name="SAPBEXinputData 4 8" xfId="54556" xr:uid="{00000000-0005-0000-0000-0000D0D20000}"/>
    <cellStyle name="SAPBEXinputData 4 8 2" xfId="54557" xr:uid="{00000000-0005-0000-0000-0000D1D20000}"/>
    <cellStyle name="SAPBEXinputData 4 9" xfId="54558" xr:uid="{00000000-0005-0000-0000-0000D2D20000}"/>
    <cellStyle name="SAPBEXinputData 4 9 2" xfId="54559" xr:uid="{00000000-0005-0000-0000-0000D3D20000}"/>
    <cellStyle name="SAPBEXinputData 40" xfId="3064" xr:uid="{00000000-0005-0000-0000-0000D4D20000}"/>
    <cellStyle name="SAPBEXinputData 40 2" xfId="54560" xr:uid="{00000000-0005-0000-0000-0000D5D20000}"/>
    <cellStyle name="SAPBEXinputData 41" xfId="3065" xr:uid="{00000000-0005-0000-0000-0000D6D20000}"/>
    <cellStyle name="SAPBEXinputData 41 2" xfId="54561" xr:uid="{00000000-0005-0000-0000-0000D7D20000}"/>
    <cellStyle name="SAPBEXinputData 42" xfId="3066" xr:uid="{00000000-0005-0000-0000-0000D8D20000}"/>
    <cellStyle name="SAPBEXinputData 42 2" xfId="54562" xr:uid="{00000000-0005-0000-0000-0000D9D20000}"/>
    <cellStyle name="SAPBEXinputData 43" xfId="3067" xr:uid="{00000000-0005-0000-0000-0000DAD20000}"/>
    <cellStyle name="SAPBEXinputData 43 2" xfId="54563" xr:uid="{00000000-0005-0000-0000-0000DBD20000}"/>
    <cellStyle name="SAPBEXinputData 44" xfId="3068" xr:uid="{00000000-0005-0000-0000-0000DCD20000}"/>
    <cellStyle name="SAPBEXinputData 44 2" xfId="54564" xr:uid="{00000000-0005-0000-0000-0000DDD20000}"/>
    <cellStyle name="SAPBEXinputData 45" xfId="3069" xr:uid="{00000000-0005-0000-0000-0000DED20000}"/>
    <cellStyle name="SAPBEXinputData 45 2" xfId="54565" xr:uid="{00000000-0005-0000-0000-0000DFD20000}"/>
    <cellStyle name="SAPBEXinputData 46" xfId="3070" xr:uid="{00000000-0005-0000-0000-0000E0D20000}"/>
    <cellStyle name="SAPBEXinputData 46 2" xfId="54566" xr:uid="{00000000-0005-0000-0000-0000E1D20000}"/>
    <cellStyle name="SAPBEXinputData 47" xfId="54567" xr:uid="{00000000-0005-0000-0000-0000E2D20000}"/>
    <cellStyle name="SAPBEXinputData 47 2" xfId="54568" xr:uid="{00000000-0005-0000-0000-0000E3D20000}"/>
    <cellStyle name="SAPBEXinputData 47 2 2" xfId="54569" xr:uid="{00000000-0005-0000-0000-0000E4D20000}"/>
    <cellStyle name="SAPBEXinputData 47 3" xfId="54570" xr:uid="{00000000-0005-0000-0000-0000E5D20000}"/>
    <cellStyle name="SAPBEXinputData 48" xfId="54571" xr:uid="{00000000-0005-0000-0000-0000E6D20000}"/>
    <cellStyle name="SAPBEXinputData 49" xfId="54572" xr:uid="{00000000-0005-0000-0000-0000E7D20000}"/>
    <cellStyle name="SAPBEXinputData 5" xfId="3071" xr:uid="{00000000-0005-0000-0000-0000E8D20000}"/>
    <cellStyle name="SAPBEXinputData 5 10" xfId="54573" xr:uid="{00000000-0005-0000-0000-0000E9D20000}"/>
    <cellStyle name="SAPBEXinputData 5 2" xfId="54574" xr:uid="{00000000-0005-0000-0000-0000EAD20000}"/>
    <cellStyle name="SAPBEXinputData 5 2 2" xfId="54575" xr:uid="{00000000-0005-0000-0000-0000EBD20000}"/>
    <cellStyle name="SAPBEXinputData 5 3" xfId="54576" xr:uid="{00000000-0005-0000-0000-0000ECD20000}"/>
    <cellStyle name="SAPBEXinputData 5 3 2" xfId="54577" xr:uid="{00000000-0005-0000-0000-0000EDD20000}"/>
    <cellStyle name="SAPBEXinputData 5 4" xfId="54578" xr:uid="{00000000-0005-0000-0000-0000EED20000}"/>
    <cellStyle name="SAPBEXinputData 5 4 2" xfId="54579" xr:uid="{00000000-0005-0000-0000-0000EFD20000}"/>
    <cellStyle name="SAPBEXinputData 5 5" xfId="54580" xr:uid="{00000000-0005-0000-0000-0000F0D20000}"/>
    <cellStyle name="SAPBEXinputData 5 5 2" xfId="54581" xr:uid="{00000000-0005-0000-0000-0000F1D20000}"/>
    <cellStyle name="SAPBEXinputData 5 6" xfId="54582" xr:uid="{00000000-0005-0000-0000-0000F2D20000}"/>
    <cellStyle name="SAPBEXinputData 5 6 2" xfId="54583" xr:uid="{00000000-0005-0000-0000-0000F3D20000}"/>
    <cellStyle name="SAPBEXinputData 5 7" xfId="54584" xr:uid="{00000000-0005-0000-0000-0000F4D20000}"/>
    <cellStyle name="SAPBEXinputData 5 7 2" xfId="54585" xr:uid="{00000000-0005-0000-0000-0000F5D20000}"/>
    <cellStyle name="SAPBEXinputData 5 8" xfId="54586" xr:uid="{00000000-0005-0000-0000-0000F6D20000}"/>
    <cellStyle name="SAPBEXinputData 5 8 2" xfId="54587" xr:uid="{00000000-0005-0000-0000-0000F7D20000}"/>
    <cellStyle name="SAPBEXinputData 5 9" xfId="54588" xr:uid="{00000000-0005-0000-0000-0000F8D20000}"/>
    <cellStyle name="SAPBEXinputData 5 9 2" xfId="54589" xr:uid="{00000000-0005-0000-0000-0000F9D20000}"/>
    <cellStyle name="SAPBEXinputData 50" xfId="54590" xr:uid="{00000000-0005-0000-0000-0000FAD20000}"/>
    <cellStyle name="SAPBEXinputData 51" xfId="3030" xr:uid="{00000000-0005-0000-0000-000022D20000}"/>
    <cellStyle name="SAPBEXinputData 6" xfId="3072" xr:uid="{00000000-0005-0000-0000-0000FBD20000}"/>
    <cellStyle name="SAPBEXinputData 6 10" xfId="54591" xr:uid="{00000000-0005-0000-0000-0000FCD20000}"/>
    <cellStyle name="SAPBEXinputData 6 2" xfId="54592" xr:uid="{00000000-0005-0000-0000-0000FDD20000}"/>
    <cellStyle name="SAPBEXinputData 6 2 2" xfId="54593" xr:uid="{00000000-0005-0000-0000-0000FED20000}"/>
    <cellStyle name="SAPBEXinputData 6 3" xfId="54594" xr:uid="{00000000-0005-0000-0000-0000FFD20000}"/>
    <cellStyle name="SAPBEXinputData 6 3 2" xfId="54595" xr:uid="{00000000-0005-0000-0000-000000D30000}"/>
    <cellStyle name="SAPBEXinputData 6 4" xfId="54596" xr:uid="{00000000-0005-0000-0000-000001D30000}"/>
    <cellStyle name="SAPBEXinputData 6 4 2" xfId="54597" xr:uid="{00000000-0005-0000-0000-000002D30000}"/>
    <cellStyle name="SAPBEXinputData 6 5" xfId="54598" xr:uid="{00000000-0005-0000-0000-000003D30000}"/>
    <cellStyle name="SAPBEXinputData 6 5 2" xfId="54599" xr:uid="{00000000-0005-0000-0000-000004D30000}"/>
    <cellStyle name="SAPBEXinputData 6 6" xfId="54600" xr:uid="{00000000-0005-0000-0000-000005D30000}"/>
    <cellStyle name="SAPBEXinputData 6 6 2" xfId="54601" xr:uid="{00000000-0005-0000-0000-000006D30000}"/>
    <cellStyle name="SAPBEXinputData 6 7" xfId="54602" xr:uid="{00000000-0005-0000-0000-000007D30000}"/>
    <cellStyle name="SAPBEXinputData 6 7 2" xfId="54603" xr:uid="{00000000-0005-0000-0000-000008D30000}"/>
    <cellStyle name="SAPBEXinputData 6 8" xfId="54604" xr:uid="{00000000-0005-0000-0000-000009D30000}"/>
    <cellStyle name="SAPBEXinputData 6 8 2" xfId="54605" xr:uid="{00000000-0005-0000-0000-00000AD30000}"/>
    <cellStyle name="SAPBEXinputData 6 9" xfId="54606" xr:uid="{00000000-0005-0000-0000-00000BD30000}"/>
    <cellStyle name="SAPBEXinputData 6 9 2" xfId="54607" xr:uid="{00000000-0005-0000-0000-00000CD30000}"/>
    <cellStyle name="SAPBEXinputData 7" xfId="3073" xr:uid="{00000000-0005-0000-0000-00000DD30000}"/>
    <cellStyle name="SAPBEXinputData 7 10" xfId="54608" xr:uid="{00000000-0005-0000-0000-00000ED30000}"/>
    <cellStyle name="SAPBEXinputData 7 2" xfId="54609" xr:uid="{00000000-0005-0000-0000-00000FD30000}"/>
    <cellStyle name="SAPBEXinputData 7 2 2" xfId="54610" xr:uid="{00000000-0005-0000-0000-000010D30000}"/>
    <cellStyle name="SAPBEXinputData 7 3" xfId="54611" xr:uid="{00000000-0005-0000-0000-000011D30000}"/>
    <cellStyle name="SAPBEXinputData 7 3 2" xfId="54612" xr:uid="{00000000-0005-0000-0000-000012D30000}"/>
    <cellStyle name="SAPBEXinputData 7 4" xfId="54613" xr:uid="{00000000-0005-0000-0000-000013D30000}"/>
    <cellStyle name="SAPBEXinputData 7 4 2" xfId="54614" xr:uid="{00000000-0005-0000-0000-000014D30000}"/>
    <cellStyle name="SAPBEXinputData 7 5" xfId="54615" xr:uid="{00000000-0005-0000-0000-000015D30000}"/>
    <cellStyle name="SAPBEXinputData 7 5 2" xfId="54616" xr:uid="{00000000-0005-0000-0000-000016D30000}"/>
    <cellStyle name="SAPBEXinputData 7 6" xfId="54617" xr:uid="{00000000-0005-0000-0000-000017D30000}"/>
    <cellStyle name="SAPBEXinputData 7 6 2" xfId="54618" xr:uid="{00000000-0005-0000-0000-000018D30000}"/>
    <cellStyle name="SAPBEXinputData 7 7" xfId="54619" xr:uid="{00000000-0005-0000-0000-000019D30000}"/>
    <cellStyle name="SAPBEXinputData 7 7 2" xfId="54620" xr:uid="{00000000-0005-0000-0000-00001AD30000}"/>
    <cellStyle name="SAPBEXinputData 7 8" xfId="54621" xr:uid="{00000000-0005-0000-0000-00001BD30000}"/>
    <cellStyle name="SAPBEXinputData 7 8 2" xfId="54622" xr:uid="{00000000-0005-0000-0000-00001CD30000}"/>
    <cellStyle name="SAPBEXinputData 7 9" xfId="54623" xr:uid="{00000000-0005-0000-0000-00001DD30000}"/>
    <cellStyle name="SAPBEXinputData 7 9 2" xfId="54624" xr:uid="{00000000-0005-0000-0000-00001ED30000}"/>
    <cellStyle name="SAPBEXinputData 8" xfId="3074" xr:uid="{00000000-0005-0000-0000-00001FD30000}"/>
    <cellStyle name="SAPBEXinputData 8 10" xfId="54625" xr:uid="{00000000-0005-0000-0000-000020D30000}"/>
    <cellStyle name="SAPBEXinputData 8 2" xfId="54626" xr:uid="{00000000-0005-0000-0000-000021D30000}"/>
    <cellStyle name="SAPBEXinputData 8 2 2" xfId="54627" xr:uid="{00000000-0005-0000-0000-000022D30000}"/>
    <cellStyle name="SAPBEXinputData 8 3" xfId="54628" xr:uid="{00000000-0005-0000-0000-000023D30000}"/>
    <cellStyle name="SAPBEXinputData 8 3 2" xfId="54629" xr:uid="{00000000-0005-0000-0000-000024D30000}"/>
    <cellStyle name="SAPBEXinputData 8 4" xfId="54630" xr:uid="{00000000-0005-0000-0000-000025D30000}"/>
    <cellStyle name="SAPBEXinputData 8 4 2" xfId="54631" xr:uid="{00000000-0005-0000-0000-000026D30000}"/>
    <cellStyle name="SAPBEXinputData 8 5" xfId="54632" xr:uid="{00000000-0005-0000-0000-000027D30000}"/>
    <cellStyle name="SAPBEXinputData 8 5 2" xfId="54633" xr:uid="{00000000-0005-0000-0000-000028D30000}"/>
    <cellStyle name="SAPBEXinputData 8 6" xfId="54634" xr:uid="{00000000-0005-0000-0000-000029D30000}"/>
    <cellStyle name="SAPBEXinputData 8 6 2" xfId="54635" xr:uid="{00000000-0005-0000-0000-00002AD30000}"/>
    <cellStyle name="SAPBEXinputData 8 7" xfId="54636" xr:uid="{00000000-0005-0000-0000-00002BD30000}"/>
    <cellStyle name="SAPBEXinputData 8 7 2" xfId="54637" xr:uid="{00000000-0005-0000-0000-00002CD30000}"/>
    <cellStyle name="SAPBEXinputData 8 8" xfId="54638" xr:uid="{00000000-0005-0000-0000-00002DD30000}"/>
    <cellStyle name="SAPBEXinputData 8 8 2" xfId="54639" xr:uid="{00000000-0005-0000-0000-00002ED30000}"/>
    <cellStyle name="SAPBEXinputData 8 9" xfId="54640" xr:uid="{00000000-0005-0000-0000-00002FD30000}"/>
    <cellStyle name="SAPBEXinputData 8 9 2" xfId="54641" xr:uid="{00000000-0005-0000-0000-000030D30000}"/>
    <cellStyle name="SAPBEXinputData 9" xfId="3075" xr:uid="{00000000-0005-0000-0000-000031D30000}"/>
    <cellStyle name="SAPBEXinputData 9 10" xfId="54642" xr:uid="{00000000-0005-0000-0000-000032D30000}"/>
    <cellStyle name="SAPBEXinputData 9 2" xfId="54643" xr:uid="{00000000-0005-0000-0000-000033D30000}"/>
    <cellStyle name="SAPBEXinputData 9 2 2" xfId="54644" xr:uid="{00000000-0005-0000-0000-000034D30000}"/>
    <cellStyle name="SAPBEXinputData 9 3" xfId="54645" xr:uid="{00000000-0005-0000-0000-000035D30000}"/>
    <cellStyle name="SAPBEXinputData 9 3 2" xfId="54646" xr:uid="{00000000-0005-0000-0000-000036D30000}"/>
    <cellStyle name="SAPBEXinputData 9 4" xfId="54647" xr:uid="{00000000-0005-0000-0000-000037D30000}"/>
    <cellStyle name="SAPBEXinputData 9 4 2" xfId="54648" xr:uid="{00000000-0005-0000-0000-000038D30000}"/>
    <cellStyle name="SAPBEXinputData 9 5" xfId="54649" xr:uid="{00000000-0005-0000-0000-000039D30000}"/>
    <cellStyle name="SAPBEXinputData 9 5 2" xfId="54650" xr:uid="{00000000-0005-0000-0000-00003AD30000}"/>
    <cellStyle name="SAPBEXinputData 9 6" xfId="54651" xr:uid="{00000000-0005-0000-0000-00003BD30000}"/>
    <cellStyle name="SAPBEXinputData 9 6 2" xfId="54652" xr:uid="{00000000-0005-0000-0000-00003CD30000}"/>
    <cellStyle name="SAPBEXinputData 9 7" xfId="54653" xr:uid="{00000000-0005-0000-0000-00003DD30000}"/>
    <cellStyle name="SAPBEXinputData 9 7 2" xfId="54654" xr:uid="{00000000-0005-0000-0000-00003ED30000}"/>
    <cellStyle name="SAPBEXinputData 9 8" xfId="54655" xr:uid="{00000000-0005-0000-0000-00003FD30000}"/>
    <cellStyle name="SAPBEXinputData 9 8 2" xfId="54656" xr:uid="{00000000-0005-0000-0000-000040D30000}"/>
    <cellStyle name="SAPBEXinputData 9 9" xfId="54657" xr:uid="{00000000-0005-0000-0000-000041D30000}"/>
    <cellStyle name="SAPBEXinputData 9 9 2" xfId="54658" xr:uid="{00000000-0005-0000-0000-000042D30000}"/>
    <cellStyle name="SAPBEXinputData_(A-7) IS-Inputs" xfId="54659" xr:uid="{00000000-0005-0000-0000-000043D30000}"/>
    <cellStyle name="SAPBEXItemHeader" xfId="3076" xr:uid="{00000000-0005-0000-0000-000044D30000}"/>
    <cellStyle name="SAPBEXItemHeader 2" xfId="54660" xr:uid="{00000000-0005-0000-0000-000045D30000}"/>
    <cellStyle name="SAPBEXItemHeader 2 2" xfId="54661" xr:uid="{00000000-0005-0000-0000-000046D30000}"/>
    <cellStyle name="SAPBEXItemHeader 2 2 2" xfId="54662" xr:uid="{00000000-0005-0000-0000-000047D30000}"/>
    <cellStyle name="SAPBEXItemHeader 2 3" xfId="54663" xr:uid="{00000000-0005-0000-0000-000048D30000}"/>
    <cellStyle name="SAPBEXItemHeader 3" xfId="54664" xr:uid="{00000000-0005-0000-0000-000049D30000}"/>
    <cellStyle name="SAPBEXresData" xfId="80" xr:uid="{00000000-0005-0000-0000-000088000000}"/>
    <cellStyle name="SAPBEXresData 10" xfId="3077" xr:uid="{00000000-0005-0000-0000-00004BD30000}"/>
    <cellStyle name="SAPBEXresData 11" xfId="3078" xr:uid="{00000000-0005-0000-0000-00004CD30000}"/>
    <cellStyle name="SAPBEXresData 12" xfId="3079" xr:uid="{00000000-0005-0000-0000-00004DD30000}"/>
    <cellStyle name="SAPBEXresData 13" xfId="3080" xr:uid="{00000000-0005-0000-0000-00004ED30000}"/>
    <cellStyle name="SAPBEXresData 14" xfId="3081" xr:uid="{00000000-0005-0000-0000-00004FD30000}"/>
    <cellStyle name="SAPBEXresData 15" xfId="3082" xr:uid="{00000000-0005-0000-0000-000050D30000}"/>
    <cellStyle name="SAPBEXresData 16" xfId="3083" xr:uid="{00000000-0005-0000-0000-000051D30000}"/>
    <cellStyle name="SAPBEXresData 17" xfId="3084" xr:uid="{00000000-0005-0000-0000-000052D30000}"/>
    <cellStyle name="SAPBEXresData 18" xfId="3085" xr:uid="{00000000-0005-0000-0000-000053D30000}"/>
    <cellStyle name="SAPBEXresData 19" xfId="3086" xr:uid="{00000000-0005-0000-0000-000054D30000}"/>
    <cellStyle name="SAPBEXresData 2" xfId="3087" xr:uid="{00000000-0005-0000-0000-000055D30000}"/>
    <cellStyle name="SAPBEXresData 2 2" xfId="54665" xr:uid="{00000000-0005-0000-0000-000056D30000}"/>
    <cellStyle name="SAPBEXresData 2 2 2" xfId="54666" xr:uid="{00000000-0005-0000-0000-000057D30000}"/>
    <cellStyle name="SAPBEXresData 2 3" xfId="54667" xr:uid="{00000000-0005-0000-0000-000058D30000}"/>
    <cellStyle name="SAPBEXresData 20" xfId="3088" xr:uid="{00000000-0005-0000-0000-000059D30000}"/>
    <cellStyle name="SAPBEXresData 21" xfId="3089" xr:uid="{00000000-0005-0000-0000-00005AD30000}"/>
    <cellStyle name="SAPBEXresData 22" xfId="3090" xr:uid="{00000000-0005-0000-0000-00005BD30000}"/>
    <cellStyle name="SAPBEXresData 23" xfId="3091" xr:uid="{00000000-0005-0000-0000-00005CD30000}"/>
    <cellStyle name="SAPBEXresData 24" xfId="3092" xr:uid="{00000000-0005-0000-0000-00005DD30000}"/>
    <cellStyle name="SAPBEXresData 25" xfId="3093" xr:uid="{00000000-0005-0000-0000-00005ED30000}"/>
    <cellStyle name="SAPBEXresData 26" xfId="3094" xr:uid="{00000000-0005-0000-0000-00005FD30000}"/>
    <cellStyle name="SAPBEXresData 27" xfId="3095" xr:uid="{00000000-0005-0000-0000-000060D30000}"/>
    <cellStyle name="SAPBEXresData 28" xfId="3096" xr:uid="{00000000-0005-0000-0000-000061D30000}"/>
    <cellStyle name="SAPBEXresData 29" xfId="3097" xr:uid="{00000000-0005-0000-0000-000062D30000}"/>
    <cellStyle name="SAPBEXresData 3" xfId="3098" xr:uid="{00000000-0005-0000-0000-000063D30000}"/>
    <cellStyle name="SAPBEXresData 30" xfId="3099" xr:uid="{00000000-0005-0000-0000-000064D30000}"/>
    <cellStyle name="SAPBEXresData 31" xfId="3100" xr:uid="{00000000-0005-0000-0000-000065D30000}"/>
    <cellStyle name="SAPBEXresData 32" xfId="3101" xr:uid="{00000000-0005-0000-0000-000066D30000}"/>
    <cellStyle name="SAPBEXresData 33" xfId="3102" xr:uid="{00000000-0005-0000-0000-000067D30000}"/>
    <cellStyle name="SAPBEXresData 34" xfId="3103" xr:uid="{00000000-0005-0000-0000-000068D30000}"/>
    <cellStyle name="SAPBEXresData 35" xfId="3104" xr:uid="{00000000-0005-0000-0000-000069D30000}"/>
    <cellStyle name="SAPBEXresData 36" xfId="3105" xr:uid="{00000000-0005-0000-0000-00006AD30000}"/>
    <cellStyle name="SAPBEXresData 37" xfId="3106" xr:uid="{00000000-0005-0000-0000-00006BD30000}"/>
    <cellStyle name="SAPBEXresData 38" xfId="3107" xr:uid="{00000000-0005-0000-0000-00006CD30000}"/>
    <cellStyle name="SAPBEXresData 39" xfId="3108" xr:uid="{00000000-0005-0000-0000-00006DD30000}"/>
    <cellStyle name="SAPBEXresData 4" xfId="3109" xr:uid="{00000000-0005-0000-0000-00006ED30000}"/>
    <cellStyle name="SAPBEXresData 40" xfId="3110" xr:uid="{00000000-0005-0000-0000-00006FD30000}"/>
    <cellStyle name="SAPBEXresData 41" xfId="3111" xr:uid="{00000000-0005-0000-0000-000070D30000}"/>
    <cellStyle name="SAPBEXresData 42" xfId="3112" xr:uid="{00000000-0005-0000-0000-000071D30000}"/>
    <cellStyle name="SAPBEXresData 43" xfId="3113" xr:uid="{00000000-0005-0000-0000-000072D30000}"/>
    <cellStyle name="SAPBEXresData 44" xfId="3114" xr:uid="{00000000-0005-0000-0000-000073D30000}"/>
    <cellStyle name="SAPBEXresData 45" xfId="3115" xr:uid="{00000000-0005-0000-0000-000074D30000}"/>
    <cellStyle name="SAPBEXresData 46" xfId="54668" xr:uid="{00000000-0005-0000-0000-000075D30000}"/>
    <cellStyle name="SAPBEXresData 5" xfId="3116" xr:uid="{00000000-0005-0000-0000-000076D30000}"/>
    <cellStyle name="SAPBEXresData 6" xfId="3117" xr:uid="{00000000-0005-0000-0000-000077D30000}"/>
    <cellStyle name="SAPBEXresData 7" xfId="3118" xr:uid="{00000000-0005-0000-0000-000078D30000}"/>
    <cellStyle name="SAPBEXresData 8" xfId="3119" xr:uid="{00000000-0005-0000-0000-000079D30000}"/>
    <cellStyle name="SAPBEXresData 9" xfId="3120" xr:uid="{00000000-0005-0000-0000-00007AD30000}"/>
    <cellStyle name="SAPBEXresDataEmph" xfId="81" xr:uid="{00000000-0005-0000-0000-000089000000}"/>
    <cellStyle name="SAPBEXresDataEmph 10" xfId="3121" xr:uid="{00000000-0005-0000-0000-00007CD30000}"/>
    <cellStyle name="SAPBEXresDataEmph 11" xfId="3122" xr:uid="{00000000-0005-0000-0000-00007DD30000}"/>
    <cellStyle name="SAPBEXresDataEmph 12" xfId="3123" xr:uid="{00000000-0005-0000-0000-00007ED30000}"/>
    <cellStyle name="SAPBEXresDataEmph 13" xfId="3124" xr:uid="{00000000-0005-0000-0000-00007FD30000}"/>
    <cellStyle name="SAPBEXresDataEmph 14" xfId="3125" xr:uid="{00000000-0005-0000-0000-000080D30000}"/>
    <cellStyle name="SAPBEXresDataEmph 15" xfId="3126" xr:uid="{00000000-0005-0000-0000-000081D30000}"/>
    <cellStyle name="SAPBEXresDataEmph 16" xfId="3127" xr:uid="{00000000-0005-0000-0000-000082D30000}"/>
    <cellStyle name="SAPBEXresDataEmph 17" xfId="3128" xr:uid="{00000000-0005-0000-0000-000083D30000}"/>
    <cellStyle name="SAPBEXresDataEmph 18" xfId="3129" xr:uid="{00000000-0005-0000-0000-000084D30000}"/>
    <cellStyle name="SAPBEXresDataEmph 19" xfId="3130" xr:uid="{00000000-0005-0000-0000-000085D30000}"/>
    <cellStyle name="SAPBEXresDataEmph 2" xfId="3131" xr:uid="{00000000-0005-0000-0000-000086D30000}"/>
    <cellStyle name="SAPBEXresDataEmph 2 2" xfId="54669" xr:uid="{00000000-0005-0000-0000-000087D30000}"/>
    <cellStyle name="SAPBEXresDataEmph 20" xfId="3132" xr:uid="{00000000-0005-0000-0000-000088D30000}"/>
    <cellStyle name="SAPBEXresDataEmph 21" xfId="3133" xr:uid="{00000000-0005-0000-0000-000089D30000}"/>
    <cellStyle name="SAPBEXresDataEmph 22" xfId="3134" xr:uid="{00000000-0005-0000-0000-00008AD30000}"/>
    <cellStyle name="SAPBEXresDataEmph 23" xfId="3135" xr:uid="{00000000-0005-0000-0000-00008BD30000}"/>
    <cellStyle name="SAPBEXresDataEmph 24" xfId="3136" xr:uid="{00000000-0005-0000-0000-00008CD30000}"/>
    <cellStyle name="SAPBEXresDataEmph 25" xfId="3137" xr:uid="{00000000-0005-0000-0000-00008DD30000}"/>
    <cellStyle name="SAPBEXresDataEmph 26" xfId="3138" xr:uid="{00000000-0005-0000-0000-00008ED30000}"/>
    <cellStyle name="SAPBEXresDataEmph 27" xfId="3139" xr:uid="{00000000-0005-0000-0000-00008FD30000}"/>
    <cellStyle name="SAPBEXresDataEmph 28" xfId="3140" xr:uid="{00000000-0005-0000-0000-000090D30000}"/>
    <cellStyle name="SAPBEXresDataEmph 29" xfId="3141" xr:uid="{00000000-0005-0000-0000-000091D30000}"/>
    <cellStyle name="SAPBEXresDataEmph 3" xfId="3142" xr:uid="{00000000-0005-0000-0000-000092D30000}"/>
    <cellStyle name="SAPBEXresDataEmph 30" xfId="3143" xr:uid="{00000000-0005-0000-0000-000093D30000}"/>
    <cellStyle name="SAPBEXresDataEmph 31" xfId="3144" xr:uid="{00000000-0005-0000-0000-000094D30000}"/>
    <cellStyle name="SAPBEXresDataEmph 32" xfId="3145" xr:uid="{00000000-0005-0000-0000-000095D30000}"/>
    <cellStyle name="SAPBEXresDataEmph 33" xfId="3146" xr:uid="{00000000-0005-0000-0000-000096D30000}"/>
    <cellStyle name="SAPBEXresDataEmph 34" xfId="3147" xr:uid="{00000000-0005-0000-0000-000097D30000}"/>
    <cellStyle name="SAPBEXresDataEmph 35" xfId="3148" xr:uid="{00000000-0005-0000-0000-000098D30000}"/>
    <cellStyle name="SAPBEXresDataEmph 36" xfId="3149" xr:uid="{00000000-0005-0000-0000-000099D30000}"/>
    <cellStyle name="SAPBEXresDataEmph 37" xfId="3150" xr:uid="{00000000-0005-0000-0000-00009AD30000}"/>
    <cellStyle name="SAPBEXresDataEmph 38" xfId="3151" xr:uid="{00000000-0005-0000-0000-00009BD30000}"/>
    <cellStyle name="SAPBEXresDataEmph 39" xfId="3152" xr:uid="{00000000-0005-0000-0000-00009CD30000}"/>
    <cellStyle name="SAPBEXresDataEmph 4" xfId="3153" xr:uid="{00000000-0005-0000-0000-00009DD30000}"/>
    <cellStyle name="SAPBEXresDataEmph 40" xfId="3154" xr:uid="{00000000-0005-0000-0000-00009ED30000}"/>
    <cellStyle name="SAPBEXresDataEmph 41" xfId="3155" xr:uid="{00000000-0005-0000-0000-00009FD30000}"/>
    <cellStyle name="SAPBEXresDataEmph 42" xfId="3156" xr:uid="{00000000-0005-0000-0000-0000A0D30000}"/>
    <cellStyle name="SAPBEXresDataEmph 43" xfId="3157" xr:uid="{00000000-0005-0000-0000-0000A1D30000}"/>
    <cellStyle name="SAPBEXresDataEmph 44" xfId="3158" xr:uid="{00000000-0005-0000-0000-0000A2D30000}"/>
    <cellStyle name="SAPBEXresDataEmph 45" xfId="3159" xr:uid="{00000000-0005-0000-0000-0000A3D30000}"/>
    <cellStyle name="SAPBEXresDataEmph 46" xfId="54670" xr:uid="{00000000-0005-0000-0000-0000A4D30000}"/>
    <cellStyle name="SAPBEXresDataEmph 5" xfId="3160" xr:uid="{00000000-0005-0000-0000-0000A5D30000}"/>
    <cellStyle name="SAPBEXresDataEmph 6" xfId="3161" xr:uid="{00000000-0005-0000-0000-0000A6D30000}"/>
    <cellStyle name="SAPBEXresDataEmph 7" xfId="3162" xr:uid="{00000000-0005-0000-0000-0000A7D30000}"/>
    <cellStyle name="SAPBEXresDataEmph 8" xfId="3163" xr:uid="{00000000-0005-0000-0000-0000A8D30000}"/>
    <cellStyle name="SAPBEXresDataEmph 9" xfId="3164" xr:uid="{00000000-0005-0000-0000-0000A9D30000}"/>
    <cellStyle name="SAPBEXresItem" xfId="82" xr:uid="{00000000-0005-0000-0000-00008A000000}"/>
    <cellStyle name="SAPBEXresItem 10" xfId="3165" xr:uid="{00000000-0005-0000-0000-0000ABD30000}"/>
    <cellStyle name="SAPBEXresItem 11" xfId="3166" xr:uid="{00000000-0005-0000-0000-0000ACD30000}"/>
    <cellStyle name="SAPBEXresItem 12" xfId="3167" xr:uid="{00000000-0005-0000-0000-0000ADD30000}"/>
    <cellStyle name="SAPBEXresItem 13" xfId="3168" xr:uid="{00000000-0005-0000-0000-0000AED30000}"/>
    <cellStyle name="SAPBEXresItem 14" xfId="3169" xr:uid="{00000000-0005-0000-0000-0000AFD30000}"/>
    <cellStyle name="SAPBEXresItem 15" xfId="3170" xr:uid="{00000000-0005-0000-0000-0000B0D30000}"/>
    <cellStyle name="SAPBEXresItem 16" xfId="3171" xr:uid="{00000000-0005-0000-0000-0000B1D30000}"/>
    <cellStyle name="SAPBEXresItem 17" xfId="3172" xr:uid="{00000000-0005-0000-0000-0000B2D30000}"/>
    <cellStyle name="SAPBEXresItem 18" xfId="3173" xr:uid="{00000000-0005-0000-0000-0000B3D30000}"/>
    <cellStyle name="SAPBEXresItem 19" xfId="3174" xr:uid="{00000000-0005-0000-0000-0000B4D30000}"/>
    <cellStyle name="SAPBEXresItem 2" xfId="3175" xr:uid="{00000000-0005-0000-0000-0000B5D30000}"/>
    <cellStyle name="SAPBEXresItem 2 2" xfId="54671" xr:uid="{00000000-0005-0000-0000-0000B6D30000}"/>
    <cellStyle name="SAPBEXresItem 2 2 2" xfId="54672" xr:uid="{00000000-0005-0000-0000-0000B7D30000}"/>
    <cellStyle name="SAPBEXresItem 2 3" xfId="54673" xr:uid="{00000000-0005-0000-0000-0000B8D30000}"/>
    <cellStyle name="SAPBEXresItem 20" xfId="3176" xr:uid="{00000000-0005-0000-0000-0000B9D30000}"/>
    <cellStyle name="SAPBEXresItem 21" xfId="3177" xr:uid="{00000000-0005-0000-0000-0000BAD30000}"/>
    <cellStyle name="SAPBEXresItem 22" xfId="3178" xr:uid="{00000000-0005-0000-0000-0000BBD30000}"/>
    <cellStyle name="SAPBEXresItem 23" xfId="3179" xr:uid="{00000000-0005-0000-0000-0000BCD30000}"/>
    <cellStyle name="SAPBEXresItem 24" xfId="3180" xr:uid="{00000000-0005-0000-0000-0000BDD30000}"/>
    <cellStyle name="SAPBEXresItem 25" xfId="3181" xr:uid="{00000000-0005-0000-0000-0000BED30000}"/>
    <cellStyle name="SAPBEXresItem 26" xfId="3182" xr:uid="{00000000-0005-0000-0000-0000BFD30000}"/>
    <cellStyle name="SAPBEXresItem 27" xfId="3183" xr:uid="{00000000-0005-0000-0000-0000C0D30000}"/>
    <cellStyle name="SAPBEXresItem 28" xfId="3184" xr:uid="{00000000-0005-0000-0000-0000C1D30000}"/>
    <cellStyle name="SAPBEXresItem 29" xfId="3185" xr:uid="{00000000-0005-0000-0000-0000C2D30000}"/>
    <cellStyle name="SAPBEXresItem 3" xfId="3186" xr:uid="{00000000-0005-0000-0000-0000C3D30000}"/>
    <cellStyle name="SAPBEXresItem 30" xfId="3187" xr:uid="{00000000-0005-0000-0000-0000C4D30000}"/>
    <cellStyle name="SAPBEXresItem 31" xfId="3188" xr:uid="{00000000-0005-0000-0000-0000C5D30000}"/>
    <cellStyle name="SAPBEXresItem 32" xfId="3189" xr:uid="{00000000-0005-0000-0000-0000C6D30000}"/>
    <cellStyle name="SAPBEXresItem 33" xfId="3190" xr:uid="{00000000-0005-0000-0000-0000C7D30000}"/>
    <cellStyle name="SAPBEXresItem 34" xfId="3191" xr:uid="{00000000-0005-0000-0000-0000C8D30000}"/>
    <cellStyle name="SAPBEXresItem 35" xfId="3192" xr:uid="{00000000-0005-0000-0000-0000C9D30000}"/>
    <cellStyle name="SAPBEXresItem 36" xfId="3193" xr:uid="{00000000-0005-0000-0000-0000CAD30000}"/>
    <cellStyle name="SAPBEXresItem 37" xfId="3194" xr:uid="{00000000-0005-0000-0000-0000CBD30000}"/>
    <cellStyle name="SAPBEXresItem 38" xfId="3195" xr:uid="{00000000-0005-0000-0000-0000CCD30000}"/>
    <cellStyle name="SAPBEXresItem 39" xfId="3196" xr:uid="{00000000-0005-0000-0000-0000CDD30000}"/>
    <cellStyle name="SAPBEXresItem 4" xfId="3197" xr:uid="{00000000-0005-0000-0000-0000CED30000}"/>
    <cellStyle name="SAPBEXresItem 40" xfId="3198" xr:uid="{00000000-0005-0000-0000-0000CFD30000}"/>
    <cellStyle name="SAPBEXresItem 41" xfId="3199" xr:uid="{00000000-0005-0000-0000-0000D0D30000}"/>
    <cellStyle name="SAPBEXresItem 42" xfId="3200" xr:uid="{00000000-0005-0000-0000-0000D1D30000}"/>
    <cellStyle name="SAPBEXresItem 43" xfId="3201" xr:uid="{00000000-0005-0000-0000-0000D2D30000}"/>
    <cellStyle name="SAPBEXresItem 44" xfId="3202" xr:uid="{00000000-0005-0000-0000-0000D3D30000}"/>
    <cellStyle name="SAPBEXresItem 45" xfId="3203" xr:uid="{00000000-0005-0000-0000-0000D4D30000}"/>
    <cellStyle name="SAPBEXresItem 46" xfId="54674" xr:uid="{00000000-0005-0000-0000-0000D5D30000}"/>
    <cellStyle name="SAPBEXresItem 5" xfId="3204" xr:uid="{00000000-0005-0000-0000-0000D6D30000}"/>
    <cellStyle name="SAPBEXresItem 6" xfId="3205" xr:uid="{00000000-0005-0000-0000-0000D7D30000}"/>
    <cellStyle name="SAPBEXresItem 7" xfId="3206" xr:uid="{00000000-0005-0000-0000-0000D8D30000}"/>
    <cellStyle name="SAPBEXresItem 8" xfId="3207" xr:uid="{00000000-0005-0000-0000-0000D9D30000}"/>
    <cellStyle name="SAPBEXresItem 9" xfId="3208" xr:uid="{00000000-0005-0000-0000-0000DAD30000}"/>
    <cellStyle name="SAPBEXresItemX" xfId="83" xr:uid="{00000000-0005-0000-0000-00008B000000}"/>
    <cellStyle name="SAPBEXresItemX 10" xfId="3209" xr:uid="{00000000-0005-0000-0000-0000DCD30000}"/>
    <cellStyle name="SAPBEXresItemX 10 2" xfId="54675" xr:uid="{00000000-0005-0000-0000-0000DDD30000}"/>
    <cellStyle name="SAPBEXresItemX 11" xfId="3210" xr:uid="{00000000-0005-0000-0000-0000DED30000}"/>
    <cellStyle name="SAPBEXresItemX 11 2" xfId="54676" xr:uid="{00000000-0005-0000-0000-0000DFD30000}"/>
    <cellStyle name="SAPBEXresItemX 12" xfId="3211" xr:uid="{00000000-0005-0000-0000-0000E0D30000}"/>
    <cellStyle name="SAPBEXresItemX 12 2" xfId="54677" xr:uid="{00000000-0005-0000-0000-0000E1D30000}"/>
    <cellStyle name="SAPBEXresItemX 13" xfId="3212" xr:uid="{00000000-0005-0000-0000-0000E2D30000}"/>
    <cellStyle name="SAPBEXresItemX 13 2" xfId="54678" xr:uid="{00000000-0005-0000-0000-0000E3D30000}"/>
    <cellStyle name="SAPBEXresItemX 14" xfId="3213" xr:uid="{00000000-0005-0000-0000-0000E4D30000}"/>
    <cellStyle name="SAPBEXresItemX 14 2" xfId="54679" xr:uid="{00000000-0005-0000-0000-0000E5D30000}"/>
    <cellStyle name="SAPBEXresItemX 15" xfId="3214" xr:uid="{00000000-0005-0000-0000-0000E6D30000}"/>
    <cellStyle name="SAPBEXresItemX 15 2" xfId="54680" xr:uid="{00000000-0005-0000-0000-0000E7D30000}"/>
    <cellStyle name="SAPBEXresItemX 16" xfId="3215" xr:uid="{00000000-0005-0000-0000-0000E8D30000}"/>
    <cellStyle name="SAPBEXresItemX 16 2" xfId="54681" xr:uid="{00000000-0005-0000-0000-0000E9D30000}"/>
    <cellStyle name="SAPBEXresItemX 17" xfId="3216" xr:uid="{00000000-0005-0000-0000-0000EAD30000}"/>
    <cellStyle name="SAPBEXresItemX 17 2" xfId="54682" xr:uid="{00000000-0005-0000-0000-0000EBD30000}"/>
    <cellStyle name="SAPBEXresItemX 18" xfId="3217" xr:uid="{00000000-0005-0000-0000-0000ECD30000}"/>
    <cellStyle name="SAPBEXresItemX 18 2" xfId="54683" xr:uid="{00000000-0005-0000-0000-0000EDD30000}"/>
    <cellStyle name="SAPBEXresItemX 19" xfId="3218" xr:uid="{00000000-0005-0000-0000-0000EED30000}"/>
    <cellStyle name="SAPBEXresItemX 19 2" xfId="54684" xr:uid="{00000000-0005-0000-0000-0000EFD30000}"/>
    <cellStyle name="SAPBEXresItemX 2" xfId="3219" xr:uid="{00000000-0005-0000-0000-0000F0D30000}"/>
    <cellStyle name="SAPBEXresItemX 2 2" xfId="54685" xr:uid="{00000000-0005-0000-0000-0000F1D30000}"/>
    <cellStyle name="SAPBEXresItemX 2 2 2" xfId="54686" xr:uid="{00000000-0005-0000-0000-0000F2D30000}"/>
    <cellStyle name="SAPBEXresItemX 2 3" xfId="54687" xr:uid="{00000000-0005-0000-0000-0000F3D30000}"/>
    <cellStyle name="SAPBEXresItemX 20" xfId="3220" xr:uid="{00000000-0005-0000-0000-0000F4D30000}"/>
    <cellStyle name="SAPBEXresItemX 20 2" xfId="54688" xr:uid="{00000000-0005-0000-0000-0000F5D30000}"/>
    <cellStyle name="SAPBEXresItemX 21" xfId="3221" xr:uid="{00000000-0005-0000-0000-0000F6D30000}"/>
    <cellStyle name="SAPBEXresItemX 21 2" xfId="54689" xr:uid="{00000000-0005-0000-0000-0000F7D30000}"/>
    <cellStyle name="SAPBEXresItemX 22" xfId="3222" xr:uid="{00000000-0005-0000-0000-0000F8D30000}"/>
    <cellStyle name="SAPBEXresItemX 22 2" xfId="54690" xr:uid="{00000000-0005-0000-0000-0000F9D30000}"/>
    <cellStyle name="SAPBEXresItemX 23" xfId="3223" xr:uid="{00000000-0005-0000-0000-0000FAD30000}"/>
    <cellStyle name="SAPBEXresItemX 23 2" xfId="54691" xr:uid="{00000000-0005-0000-0000-0000FBD30000}"/>
    <cellStyle name="SAPBEXresItemX 24" xfId="3224" xr:uid="{00000000-0005-0000-0000-0000FCD30000}"/>
    <cellStyle name="SAPBEXresItemX 24 2" xfId="54692" xr:uid="{00000000-0005-0000-0000-0000FDD30000}"/>
    <cellStyle name="SAPBEXresItemX 25" xfId="3225" xr:uid="{00000000-0005-0000-0000-0000FED30000}"/>
    <cellStyle name="SAPBEXresItemX 25 2" xfId="54693" xr:uid="{00000000-0005-0000-0000-0000FFD30000}"/>
    <cellStyle name="SAPBEXresItemX 26" xfId="3226" xr:uid="{00000000-0005-0000-0000-000000D40000}"/>
    <cellStyle name="SAPBEXresItemX 26 2" xfId="54694" xr:uid="{00000000-0005-0000-0000-000001D40000}"/>
    <cellStyle name="SAPBEXresItemX 27" xfId="3227" xr:uid="{00000000-0005-0000-0000-000002D40000}"/>
    <cellStyle name="SAPBEXresItemX 27 2" xfId="54695" xr:uid="{00000000-0005-0000-0000-000003D40000}"/>
    <cellStyle name="SAPBEXresItemX 28" xfId="3228" xr:uid="{00000000-0005-0000-0000-000004D40000}"/>
    <cellStyle name="SAPBEXresItemX 28 2" xfId="54696" xr:uid="{00000000-0005-0000-0000-000005D40000}"/>
    <cellStyle name="SAPBEXresItemX 29" xfId="3229" xr:uid="{00000000-0005-0000-0000-000006D40000}"/>
    <cellStyle name="SAPBEXresItemX 29 2" xfId="54697" xr:uid="{00000000-0005-0000-0000-000007D40000}"/>
    <cellStyle name="SAPBEXresItemX 3" xfId="3230" xr:uid="{00000000-0005-0000-0000-000008D40000}"/>
    <cellStyle name="SAPBEXresItemX 3 2" xfId="54698" xr:uid="{00000000-0005-0000-0000-000009D40000}"/>
    <cellStyle name="SAPBEXresItemX 30" xfId="3231" xr:uid="{00000000-0005-0000-0000-00000AD40000}"/>
    <cellStyle name="SAPBEXresItemX 30 2" xfId="54699" xr:uid="{00000000-0005-0000-0000-00000BD40000}"/>
    <cellStyle name="SAPBEXresItemX 31" xfId="3232" xr:uid="{00000000-0005-0000-0000-00000CD40000}"/>
    <cellStyle name="SAPBEXresItemX 31 2" xfId="54700" xr:uid="{00000000-0005-0000-0000-00000DD40000}"/>
    <cellStyle name="SAPBEXresItemX 32" xfId="3233" xr:uid="{00000000-0005-0000-0000-00000ED40000}"/>
    <cellStyle name="SAPBEXresItemX 32 2" xfId="54701" xr:uid="{00000000-0005-0000-0000-00000FD40000}"/>
    <cellStyle name="SAPBEXresItemX 33" xfId="3234" xr:uid="{00000000-0005-0000-0000-000010D40000}"/>
    <cellStyle name="SAPBEXresItemX 33 2" xfId="54702" xr:uid="{00000000-0005-0000-0000-000011D40000}"/>
    <cellStyle name="SAPBEXresItemX 34" xfId="3235" xr:uid="{00000000-0005-0000-0000-000012D40000}"/>
    <cellStyle name="SAPBEXresItemX 34 2" xfId="54703" xr:uid="{00000000-0005-0000-0000-000013D40000}"/>
    <cellStyle name="SAPBEXresItemX 35" xfId="3236" xr:uid="{00000000-0005-0000-0000-000014D40000}"/>
    <cellStyle name="SAPBEXresItemX 35 2" xfId="54704" xr:uid="{00000000-0005-0000-0000-000015D40000}"/>
    <cellStyle name="SAPBEXresItemX 36" xfId="3237" xr:uid="{00000000-0005-0000-0000-000016D40000}"/>
    <cellStyle name="SAPBEXresItemX 36 2" xfId="54705" xr:uid="{00000000-0005-0000-0000-000017D40000}"/>
    <cellStyle name="SAPBEXresItemX 37" xfId="3238" xr:uid="{00000000-0005-0000-0000-000018D40000}"/>
    <cellStyle name="SAPBEXresItemX 37 2" xfId="54706" xr:uid="{00000000-0005-0000-0000-000019D40000}"/>
    <cellStyle name="SAPBEXresItemX 38" xfId="3239" xr:uid="{00000000-0005-0000-0000-00001AD40000}"/>
    <cellStyle name="SAPBEXresItemX 38 2" xfId="54707" xr:uid="{00000000-0005-0000-0000-00001BD40000}"/>
    <cellStyle name="SAPBEXresItemX 39" xfId="3240" xr:uid="{00000000-0005-0000-0000-00001CD40000}"/>
    <cellStyle name="SAPBEXresItemX 39 2" xfId="54708" xr:uid="{00000000-0005-0000-0000-00001DD40000}"/>
    <cellStyle name="SAPBEXresItemX 4" xfId="3241" xr:uid="{00000000-0005-0000-0000-00001ED40000}"/>
    <cellStyle name="SAPBEXresItemX 4 2" xfId="54709" xr:uid="{00000000-0005-0000-0000-00001FD40000}"/>
    <cellStyle name="SAPBEXresItemX 40" xfId="3242" xr:uid="{00000000-0005-0000-0000-000020D40000}"/>
    <cellStyle name="SAPBEXresItemX 40 2" xfId="54710" xr:uid="{00000000-0005-0000-0000-000021D40000}"/>
    <cellStyle name="SAPBEXresItemX 41" xfId="3243" xr:uid="{00000000-0005-0000-0000-000022D40000}"/>
    <cellStyle name="SAPBEXresItemX 41 2" xfId="54711" xr:uid="{00000000-0005-0000-0000-000023D40000}"/>
    <cellStyle name="SAPBEXresItemX 42" xfId="3244" xr:uid="{00000000-0005-0000-0000-000024D40000}"/>
    <cellStyle name="SAPBEXresItemX 42 2" xfId="54712" xr:uid="{00000000-0005-0000-0000-000025D40000}"/>
    <cellStyle name="SAPBEXresItemX 43" xfId="3245" xr:uid="{00000000-0005-0000-0000-000026D40000}"/>
    <cellStyle name="SAPBEXresItemX 43 2" xfId="54713" xr:uid="{00000000-0005-0000-0000-000027D40000}"/>
    <cellStyle name="SAPBEXresItemX 44" xfId="3246" xr:uid="{00000000-0005-0000-0000-000028D40000}"/>
    <cellStyle name="SAPBEXresItemX 44 2" xfId="54714" xr:uid="{00000000-0005-0000-0000-000029D40000}"/>
    <cellStyle name="SAPBEXresItemX 45" xfId="3247" xr:uid="{00000000-0005-0000-0000-00002AD40000}"/>
    <cellStyle name="SAPBEXresItemX 45 2" xfId="54715" xr:uid="{00000000-0005-0000-0000-00002BD40000}"/>
    <cellStyle name="SAPBEXresItemX 46" xfId="54716" xr:uid="{00000000-0005-0000-0000-00002CD40000}"/>
    <cellStyle name="SAPBEXresItemX 46 2" xfId="54717" xr:uid="{00000000-0005-0000-0000-00002DD40000}"/>
    <cellStyle name="SAPBEXresItemX 46 3" xfId="54718" xr:uid="{00000000-0005-0000-0000-00002ED40000}"/>
    <cellStyle name="SAPBEXresItemX 47" xfId="54719" xr:uid="{00000000-0005-0000-0000-00002FD40000}"/>
    <cellStyle name="SAPBEXresItemX 48" xfId="54720" xr:uid="{00000000-0005-0000-0000-000030D40000}"/>
    <cellStyle name="SAPBEXresItemX 49" xfId="54721" xr:uid="{00000000-0005-0000-0000-000031D40000}"/>
    <cellStyle name="SAPBEXresItemX 5" xfId="3248" xr:uid="{00000000-0005-0000-0000-000032D40000}"/>
    <cellStyle name="SAPBEXresItemX 5 2" xfId="54722" xr:uid="{00000000-0005-0000-0000-000033D40000}"/>
    <cellStyle name="SAPBEXresItemX 50" xfId="54723" xr:uid="{00000000-0005-0000-0000-000034D40000}"/>
    <cellStyle name="SAPBEXresItemX 6" xfId="3249" xr:uid="{00000000-0005-0000-0000-000035D40000}"/>
    <cellStyle name="SAPBEXresItemX 6 2" xfId="54724" xr:uid="{00000000-0005-0000-0000-000036D40000}"/>
    <cellStyle name="SAPBEXresItemX 7" xfId="3250" xr:uid="{00000000-0005-0000-0000-000037D40000}"/>
    <cellStyle name="SAPBEXresItemX 7 2" xfId="54725" xr:uid="{00000000-0005-0000-0000-000038D40000}"/>
    <cellStyle name="SAPBEXresItemX 8" xfId="3251" xr:uid="{00000000-0005-0000-0000-000039D40000}"/>
    <cellStyle name="SAPBEXresItemX 8 2" xfId="54726" xr:uid="{00000000-0005-0000-0000-00003AD40000}"/>
    <cellStyle name="SAPBEXresItemX 9" xfId="3252" xr:uid="{00000000-0005-0000-0000-00003BD40000}"/>
    <cellStyle name="SAPBEXresItemX 9 2" xfId="54727" xr:uid="{00000000-0005-0000-0000-00003CD40000}"/>
    <cellStyle name="SAPBEXstdData" xfId="84" xr:uid="{00000000-0005-0000-0000-00008C000000}"/>
    <cellStyle name="SAPBEXstdData 10" xfId="3253" xr:uid="{00000000-0005-0000-0000-00003ED40000}"/>
    <cellStyle name="SAPBEXstdData 100" xfId="54728" xr:uid="{00000000-0005-0000-0000-00003FD40000}"/>
    <cellStyle name="SAPBEXstdData 101" xfId="54729" xr:uid="{00000000-0005-0000-0000-000040D40000}"/>
    <cellStyle name="SAPBEXstdData 102" xfId="54730" xr:uid="{00000000-0005-0000-0000-000041D40000}"/>
    <cellStyle name="SAPBEXstdData 103" xfId="54731" xr:uid="{00000000-0005-0000-0000-000042D40000}"/>
    <cellStyle name="SAPBEXstdData 104" xfId="54732" xr:uid="{00000000-0005-0000-0000-000043D40000}"/>
    <cellStyle name="SAPBEXstdData 105" xfId="54733" xr:uid="{00000000-0005-0000-0000-000044D40000}"/>
    <cellStyle name="SAPBEXstdData 106" xfId="54734" xr:uid="{00000000-0005-0000-0000-000045D40000}"/>
    <cellStyle name="SAPBEXstdData 107" xfId="54735" xr:uid="{00000000-0005-0000-0000-000046D40000}"/>
    <cellStyle name="SAPBEXstdData 108" xfId="54736" xr:uid="{00000000-0005-0000-0000-000047D40000}"/>
    <cellStyle name="SAPBEXstdData 109" xfId="54737" xr:uid="{00000000-0005-0000-0000-000048D40000}"/>
    <cellStyle name="SAPBEXstdData 11" xfId="3254" xr:uid="{00000000-0005-0000-0000-000049D40000}"/>
    <cellStyle name="SAPBEXstdData 110" xfId="54738" xr:uid="{00000000-0005-0000-0000-00004AD40000}"/>
    <cellStyle name="SAPBEXstdData 12" xfId="3255" xr:uid="{00000000-0005-0000-0000-00004BD40000}"/>
    <cellStyle name="SAPBEXstdData 13" xfId="3256" xr:uid="{00000000-0005-0000-0000-00004CD40000}"/>
    <cellStyle name="SAPBEXstdData 14" xfId="3257" xr:uid="{00000000-0005-0000-0000-00004DD40000}"/>
    <cellStyle name="SAPBEXstdData 15" xfId="3258" xr:uid="{00000000-0005-0000-0000-00004ED40000}"/>
    <cellStyle name="SAPBEXstdData 16" xfId="3259" xr:uid="{00000000-0005-0000-0000-00004FD40000}"/>
    <cellStyle name="SAPBEXstdData 17" xfId="3260" xr:uid="{00000000-0005-0000-0000-000050D40000}"/>
    <cellStyle name="SAPBEXstdData 18" xfId="3261" xr:uid="{00000000-0005-0000-0000-000051D40000}"/>
    <cellStyle name="SAPBEXstdData 19" xfId="3262" xr:uid="{00000000-0005-0000-0000-000052D40000}"/>
    <cellStyle name="SAPBEXstdData 2" xfId="3263" xr:uid="{00000000-0005-0000-0000-000053D40000}"/>
    <cellStyle name="SAPBEXstdData 20" xfId="3264" xr:uid="{00000000-0005-0000-0000-000054D40000}"/>
    <cellStyle name="SAPBEXstdData 21" xfId="3265" xr:uid="{00000000-0005-0000-0000-000055D40000}"/>
    <cellStyle name="SAPBEXstdData 22" xfId="3266" xr:uid="{00000000-0005-0000-0000-000056D40000}"/>
    <cellStyle name="SAPBEXstdData 23" xfId="3267" xr:uid="{00000000-0005-0000-0000-000057D40000}"/>
    <cellStyle name="SAPBEXstdData 24" xfId="3268" xr:uid="{00000000-0005-0000-0000-000058D40000}"/>
    <cellStyle name="SAPBEXstdData 25" xfId="3269" xr:uid="{00000000-0005-0000-0000-000059D40000}"/>
    <cellStyle name="SAPBEXstdData 26" xfId="3270" xr:uid="{00000000-0005-0000-0000-00005AD40000}"/>
    <cellStyle name="SAPBEXstdData 27" xfId="3271" xr:uid="{00000000-0005-0000-0000-00005BD40000}"/>
    <cellStyle name="SAPBEXstdData 28" xfId="3272" xr:uid="{00000000-0005-0000-0000-00005CD40000}"/>
    <cellStyle name="SAPBEXstdData 29" xfId="3273" xr:uid="{00000000-0005-0000-0000-00005DD40000}"/>
    <cellStyle name="SAPBEXstdData 3" xfId="3274" xr:uid="{00000000-0005-0000-0000-00005ED40000}"/>
    <cellStyle name="SAPBEXstdData 3 2" xfId="54739" xr:uid="{00000000-0005-0000-0000-00005FD40000}"/>
    <cellStyle name="SAPBEXstdData 30" xfId="3275" xr:uid="{00000000-0005-0000-0000-000060D40000}"/>
    <cellStyle name="SAPBEXstdData 31" xfId="3276" xr:uid="{00000000-0005-0000-0000-000061D40000}"/>
    <cellStyle name="SAPBEXstdData 32" xfId="3277" xr:uid="{00000000-0005-0000-0000-000062D40000}"/>
    <cellStyle name="SAPBEXstdData 33" xfId="3278" xr:uid="{00000000-0005-0000-0000-000063D40000}"/>
    <cellStyle name="SAPBEXstdData 34" xfId="3279" xr:uid="{00000000-0005-0000-0000-000064D40000}"/>
    <cellStyle name="SAPBEXstdData 35" xfId="3280" xr:uid="{00000000-0005-0000-0000-000065D40000}"/>
    <cellStyle name="SAPBEXstdData 36" xfId="3281" xr:uid="{00000000-0005-0000-0000-000066D40000}"/>
    <cellStyle name="SAPBEXstdData 37" xfId="3282" xr:uid="{00000000-0005-0000-0000-000067D40000}"/>
    <cellStyle name="SAPBEXstdData 38" xfId="3283" xr:uid="{00000000-0005-0000-0000-000068D40000}"/>
    <cellStyle name="SAPBEXstdData 39" xfId="3284" xr:uid="{00000000-0005-0000-0000-000069D40000}"/>
    <cellStyle name="SAPBEXstdData 4" xfId="3285" xr:uid="{00000000-0005-0000-0000-00006AD40000}"/>
    <cellStyle name="SAPBEXstdData 40" xfId="3286" xr:uid="{00000000-0005-0000-0000-00006BD40000}"/>
    <cellStyle name="SAPBEXstdData 41" xfId="3287" xr:uid="{00000000-0005-0000-0000-00006CD40000}"/>
    <cellStyle name="SAPBEXstdData 42" xfId="3288" xr:uid="{00000000-0005-0000-0000-00006DD40000}"/>
    <cellStyle name="SAPBEXstdData 43" xfId="3289" xr:uid="{00000000-0005-0000-0000-00006ED40000}"/>
    <cellStyle name="SAPBEXstdData 44" xfId="3290" xr:uid="{00000000-0005-0000-0000-00006FD40000}"/>
    <cellStyle name="SAPBEXstdData 45" xfId="3291" xr:uid="{00000000-0005-0000-0000-000070D40000}"/>
    <cellStyle name="SAPBEXstdData 46" xfId="54740" xr:uid="{00000000-0005-0000-0000-000071D40000}"/>
    <cellStyle name="SAPBEXstdData 47" xfId="54741" xr:uid="{00000000-0005-0000-0000-000072D40000}"/>
    <cellStyle name="SAPBEXstdData 48" xfId="54742" xr:uid="{00000000-0005-0000-0000-000073D40000}"/>
    <cellStyle name="SAPBEXstdData 49" xfId="54743" xr:uid="{00000000-0005-0000-0000-000074D40000}"/>
    <cellStyle name="SAPBEXstdData 5" xfId="3292" xr:uid="{00000000-0005-0000-0000-000075D40000}"/>
    <cellStyle name="SAPBEXstdData 50" xfId="54744" xr:uid="{00000000-0005-0000-0000-000076D40000}"/>
    <cellStyle name="SAPBEXstdData 51" xfId="54745" xr:uid="{00000000-0005-0000-0000-000077D40000}"/>
    <cellStyle name="SAPBEXstdData 52" xfId="54746" xr:uid="{00000000-0005-0000-0000-000078D40000}"/>
    <cellStyle name="SAPBEXstdData 53" xfId="54747" xr:uid="{00000000-0005-0000-0000-000079D40000}"/>
    <cellStyle name="SAPBEXstdData 54" xfId="54748" xr:uid="{00000000-0005-0000-0000-00007AD40000}"/>
    <cellStyle name="SAPBEXstdData 55" xfId="54749" xr:uid="{00000000-0005-0000-0000-00007BD40000}"/>
    <cellStyle name="SAPBEXstdData 56" xfId="54750" xr:uid="{00000000-0005-0000-0000-00007CD40000}"/>
    <cellStyle name="SAPBEXstdData 57" xfId="54751" xr:uid="{00000000-0005-0000-0000-00007DD40000}"/>
    <cellStyle name="SAPBEXstdData 58" xfId="54752" xr:uid="{00000000-0005-0000-0000-00007ED40000}"/>
    <cellStyle name="SAPBEXstdData 59" xfId="54753" xr:uid="{00000000-0005-0000-0000-00007FD40000}"/>
    <cellStyle name="SAPBEXstdData 6" xfId="3293" xr:uid="{00000000-0005-0000-0000-000080D40000}"/>
    <cellStyle name="SAPBEXstdData 60" xfId="54754" xr:uid="{00000000-0005-0000-0000-000081D40000}"/>
    <cellStyle name="SAPBEXstdData 61" xfId="54755" xr:uid="{00000000-0005-0000-0000-000082D40000}"/>
    <cellStyle name="SAPBEXstdData 62" xfId="54756" xr:uid="{00000000-0005-0000-0000-000083D40000}"/>
    <cellStyle name="SAPBEXstdData 63" xfId="54757" xr:uid="{00000000-0005-0000-0000-000084D40000}"/>
    <cellStyle name="SAPBEXstdData 64" xfId="54758" xr:uid="{00000000-0005-0000-0000-000085D40000}"/>
    <cellStyle name="SAPBEXstdData 65" xfId="54759" xr:uid="{00000000-0005-0000-0000-000086D40000}"/>
    <cellStyle name="SAPBEXstdData 66" xfId="54760" xr:uid="{00000000-0005-0000-0000-000087D40000}"/>
    <cellStyle name="SAPBEXstdData 67" xfId="54761" xr:uid="{00000000-0005-0000-0000-000088D40000}"/>
    <cellStyle name="SAPBEXstdData 68" xfId="54762" xr:uid="{00000000-0005-0000-0000-000089D40000}"/>
    <cellStyle name="SAPBEXstdData 69" xfId="54763" xr:uid="{00000000-0005-0000-0000-00008AD40000}"/>
    <cellStyle name="SAPBEXstdData 7" xfId="3294" xr:uid="{00000000-0005-0000-0000-00008BD40000}"/>
    <cellStyle name="SAPBEXstdData 70" xfId="54764" xr:uid="{00000000-0005-0000-0000-00008CD40000}"/>
    <cellStyle name="SAPBEXstdData 71" xfId="54765" xr:uid="{00000000-0005-0000-0000-00008DD40000}"/>
    <cellStyle name="SAPBEXstdData 72" xfId="54766" xr:uid="{00000000-0005-0000-0000-00008ED40000}"/>
    <cellStyle name="SAPBEXstdData 73" xfId="54767" xr:uid="{00000000-0005-0000-0000-00008FD40000}"/>
    <cellStyle name="SAPBEXstdData 74" xfId="54768" xr:uid="{00000000-0005-0000-0000-000090D40000}"/>
    <cellStyle name="SAPBEXstdData 75" xfId="54769" xr:uid="{00000000-0005-0000-0000-000091D40000}"/>
    <cellStyle name="SAPBEXstdData 76" xfId="54770" xr:uid="{00000000-0005-0000-0000-000092D40000}"/>
    <cellStyle name="SAPBEXstdData 77" xfId="54771" xr:uid="{00000000-0005-0000-0000-000093D40000}"/>
    <cellStyle name="SAPBEXstdData 78" xfId="54772" xr:uid="{00000000-0005-0000-0000-000094D40000}"/>
    <cellStyle name="SAPBEXstdData 79" xfId="54773" xr:uid="{00000000-0005-0000-0000-000095D40000}"/>
    <cellStyle name="SAPBEXstdData 8" xfId="3295" xr:uid="{00000000-0005-0000-0000-000096D40000}"/>
    <cellStyle name="SAPBEXstdData 80" xfId="54774" xr:uid="{00000000-0005-0000-0000-000097D40000}"/>
    <cellStyle name="SAPBEXstdData 81" xfId="54775" xr:uid="{00000000-0005-0000-0000-000098D40000}"/>
    <cellStyle name="SAPBEXstdData 82" xfId="54776" xr:uid="{00000000-0005-0000-0000-000099D40000}"/>
    <cellStyle name="SAPBEXstdData 83" xfId="54777" xr:uid="{00000000-0005-0000-0000-00009AD40000}"/>
    <cellStyle name="SAPBEXstdData 84" xfId="54778" xr:uid="{00000000-0005-0000-0000-00009BD40000}"/>
    <cellStyle name="SAPBEXstdData 85" xfId="54779" xr:uid="{00000000-0005-0000-0000-00009CD40000}"/>
    <cellStyle name="SAPBEXstdData 86" xfId="54780" xr:uid="{00000000-0005-0000-0000-00009DD40000}"/>
    <cellStyle name="SAPBEXstdData 87" xfId="54781" xr:uid="{00000000-0005-0000-0000-00009ED40000}"/>
    <cellStyle name="SAPBEXstdData 88" xfId="54782" xr:uid="{00000000-0005-0000-0000-00009FD40000}"/>
    <cellStyle name="SAPBEXstdData 89" xfId="54783" xr:uid="{00000000-0005-0000-0000-0000A0D40000}"/>
    <cellStyle name="SAPBEXstdData 9" xfId="3296" xr:uid="{00000000-0005-0000-0000-0000A1D40000}"/>
    <cellStyle name="SAPBEXstdData 90" xfId="54784" xr:uid="{00000000-0005-0000-0000-0000A2D40000}"/>
    <cellStyle name="SAPBEXstdData 91" xfId="54785" xr:uid="{00000000-0005-0000-0000-0000A3D40000}"/>
    <cellStyle name="SAPBEXstdData 92" xfId="54786" xr:uid="{00000000-0005-0000-0000-0000A4D40000}"/>
    <cellStyle name="SAPBEXstdData 93" xfId="54787" xr:uid="{00000000-0005-0000-0000-0000A5D40000}"/>
    <cellStyle name="SAPBEXstdData 94" xfId="54788" xr:uid="{00000000-0005-0000-0000-0000A6D40000}"/>
    <cellStyle name="SAPBEXstdData 95" xfId="54789" xr:uid="{00000000-0005-0000-0000-0000A7D40000}"/>
    <cellStyle name="SAPBEXstdData 96" xfId="54790" xr:uid="{00000000-0005-0000-0000-0000A8D40000}"/>
    <cellStyle name="SAPBEXstdData 97" xfId="54791" xr:uid="{00000000-0005-0000-0000-0000A9D40000}"/>
    <cellStyle name="SAPBEXstdData 98" xfId="54792" xr:uid="{00000000-0005-0000-0000-0000AAD40000}"/>
    <cellStyle name="SAPBEXstdData 99" xfId="54793" xr:uid="{00000000-0005-0000-0000-0000ABD40000}"/>
    <cellStyle name="SAPBEXstdData_(A-7) IS-Inputs" xfId="54794" xr:uid="{00000000-0005-0000-0000-0000ACD40000}"/>
    <cellStyle name="SAPBEXstdDataEmph" xfId="85" xr:uid="{00000000-0005-0000-0000-00008D000000}"/>
    <cellStyle name="SAPBEXstdDataEmph 10" xfId="3297" xr:uid="{00000000-0005-0000-0000-0000AED40000}"/>
    <cellStyle name="SAPBEXstdDataEmph 11" xfId="3298" xr:uid="{00000000-0005-0000-0000-0000AFD40000}"/>
    <cellStyle name="SAPBEXstdDataEmph 12" xfId="3299" xr:uid="{00000000-0005-0000-0000-0000B0D40000}"/>
    <cellStyle name="SAPBEXstdDataEmph 13" xfId="3300" xr:uid="{00000000-0005-0000-0000-0000B1D40000}"/>
    <cellStyle name="SAPBEXstdDataEmph 14" xfId="3301" xr:uid="{00000000-0005-0000-0000-0000B2D40000}"/>
    <cellStyle name="SAPBEXstdDataEmph 15" xfId="3302" xr:uid="{00000000-0005-0000-0000-0000B3D40000}"/>
    <cellStyle name="SAPBEXstdDataEmph 16" xfId="3303" xr:uid="{00000000-0005-0000-0000-0000B4D40000}"/>
    <cellStyle name="SAPBEXstdDataEmph 17" xfId="3304" xr:uid="{00000000-0005-0000-0000-0000B5D40000}"/>
    <cellStyle name="SAPBEXstdDataEmph 18" xfId="3305" xr:uid="{00000000-0005-0000-0000-0000B6D40000}"/>
    <cellStyle name="SAPBEXstdDataEmph 19" xfId="3306" xr:uid="{00000000-0005-0000-0000-0000B7D40000}"/>
    <cellStyle name="SAPBEXstdDataEmph 2" xfId="3307" xr:uid="{00000000-0005-0000-0000-0000B8D40000}"/>
    <cellStyle name="SAPBEXstdDataEmph 2 2" xfId="54795" xr:uid="{00000000-0005-0000-0000-0000B9D40000}"/>
    <cellStyle name="SAPBEXstdDataEmph 20" xfId="3308" xr:uid="{00000000-0005-0000-0000-0000BAD40000}"/>
    <cellStyle name="SAPBEXstdDataEmph 21" xfId="3309" xr:uid="{00000000-0005-0000-0000-0000BBD40000}"/>
    <cellStyle name="SAPBEXstdDataEmph 22" xfId="3310" xr:uid="{00000000-0005-0000-0000-0000BCD40000}"/>
    <cellStyle name="SAPBEXstdDataEmph 23" xfId="3311" xr:uid="{00000000-0005-0000-0000-0000BDD40000}"/>
    <cellStyle name="SAPBEXstdDataEmph 24" xfId="3312" xr:uid="{00000000-0005-0000-0000-0000BED40000}"/>
    <cellStyle name="SAPBEXstdDataEmph 25" xfId="3313" xr:uid="{00000000-0005-0000-0000-0000BFD40000}"/>
    <cellStyle name="SAPBEXstdDataEmph 26" xfId="3314" xr:uid="{00000000-0005-0000-0000-0000C0D40000}"/>
    <cellStyle name="SAPBEXstdDataEmph 27" xfId="3315" xr:uid="{00000000-0005-0000-0000-0000C1D40000}"/>
    <cellStyle name="SAPBEXstdDataEmph 28" xfId="3316" xr:uid="{00000000-0005-0000-0000-0000C2D40000}"/>
    <cellStyle name="SAPBEXstdDataEmph 29" xfId="3317" xr:uid="{00000000-0005-0000-0000-0000C3D40000}"/>
    <cellStyle name="SAPBEXstdDataEmph 3" xfId="3318" xr:uid="{00000000-0005-0000-0000-0000C4D40000}"/>
    <cellStyle name="SAPBEXstdDataEmph 30" xfId="3319" xr:uid="{00000000-0005-0000-0000-0000C5D40000}"/>
    <cellStyle name="SAPBEXstdDataEmph 31" xfId="3320" xr:uid="{00000000-0005-0000-0000-0000C6D40000}"/>
    <cellStyle name="SAPBEXstdDataEmph 32" xfId="3321" xr:uid="{00000000-0005-0000-0000-0000C7D40000}"/>
    <cellStyle name="SAPBEXstdDataEmph 33" xfId="3322" xr:uid="{00000000-0005-0000-0000-0000C8D40000}"/>
    <cellStyle name="SAPBEXstdDataEmph 34" xfId="3323" xr:uid="{00000000-0005-0000-0000-0000C9D40000}"/>
    <cellStyle name="SAPBEXstdDataEmph 35" xfId="3324" xr:uid="{00000000-0005-0000-0000-0000CAD40000}"/>
    <cellStyle name="SAPBEXstdDataEmph 36" xfId="3325" xr:uid="{00000000-0005-0000-0000-0000CBD40000}"/>
    <cellStyle name="SAPBEXstdDataEmph 37" xfId="3326" xr:uid="{00000000-0005-0000-0000-0000CCD40000}"/>
    <cellStyle name="SAPBEXstdDataEmph 38" xfId="3327" xr:uid="{00000000-0005-0000-0000-0000CDD40000}"/>
    <cellStyle name="SAPBEXstdDataEmph 39" xfId="3328" xr:uid="{00000000-0005-0000-0000-0000CED40000}"/>
    <cellStyle name="SAPBEXstdDataEmph 4" xfId="3329" xr:uid="{00000000-0005-0000-0000-0000CFD40000}"/>
    <cellStyle name="SAPBEXstdDataEmph 40" xfId="3330" xr:uid="{00000000-0005-0000-0000-0000D0D40000}"/>
    <cellStyle name="SAPBEXstdDataEmph 41" xfId="3331" xr:uid="{00000000-0005-0000-0000-0000D1D40000}"/>
    <cellStyle name="SAPBEXstdDataEmph 42" xfId="3332" xr:uid="{00000000-0005-0000-0000-0000D2D40000}"/>
    <cellStyle name="SAPBEXstdDataEmph 43" xfId="3333" xr:uid="{00000000-0005-0000-0000-0000D3D40000}"/>
    <cellStyle name="SAPBEXstdDataEmph 44" xfId="3334" xr:uid="{00000000-0005-0000-0000-0000D4D40000}"/>
    <cellStyle name="SAPBEXstdDataEmph 45" xfId="3335" xr:uid="{00000000-0005-0000-0000-0000D5D40000}"/>
    <cellStyle name="SAPBEXstdDataEmph 46" xfId="54796" xr:uid="{00000000-0005-0000-0000-0000D6D40000}"/>
    <cellStyle name="SAPBEXstdDataEmph 5" xfId="3336" xr:uid="{00000000-0005-0000-0000-0000D7D40000}"/>
    <cellStyle name="SAPBEXstdDataEmph 6" xfId="3337" xr:uid="{00000000-0005-0000-0000-0000D8D40000}"/>
    <cellStyle name="SAPBEXstdDataEmph 7" xfId="3338" xr:uid="{00000000-0005-0000-0000-0000D9D40000}"/>
    <cellStyle name="SAPBEXstdDataEmph 8" xfId="3339" xr:uid="{00000000-0005-0000-0000-0000DAD40000}"/>
    <cellStyle name="SAPBEXstdDataEmph 9" xfId="3340" xr:uid="{00000000-0005-0000-0000-0000DBD40000}"/>
    <cellStyle name="SAPBEXstdItem" xfId="86" xr:uid="{00000000-0005-0000-0000-00008E000000}"/>
    <cellStyle name="SAPBEXstdItem 10" xfId="3341" xr:uid="{00000000-0005-0000-0000-0000DDD40000}"/>
    <cellStyle name="SAPBEXstdItem 100" xfId="54797" xr:uid="{00000000-0005-0000-0000-0000DED40000}"/>
    <cellStyle name="SAPBEXstdItem 101" xfId="54798" xr:uid="{00000000-0005-0000-0000-0000DFD40000}"/>
    <cellStyle name="SAPBEXstdItem 102" xfId="54799" xr:uid="{00000000-0005-0000-0000-0000E0D40000}"/>
    <cellStyle name="SAPBEXstdItem 103" xfId="54800" xr:uid="{00000000-0005-0000-0000-0000E1D40000}"/>
    <cellStyle name="SAPBEXstdItem 104" xfId="54801" xr:uid="{00000000-0005-0000-0000-0000E2D40000}"/>
    <cellStyle name="SAPBEXstdItem 105" xfId="54802" xr:uid="{00000000-0005-0000-0000-0000E3D40000}"/>
    <cellStyle name="SAPBEXstdItem 106" xfId="54803" xr:uid="{00000000-0005-0000-0000-0000E4D40000}"/>
    <cellStyle name="SAPBEXstdItem 107" xfId="54804" xr:uid="{00000000-0005-0000-0000-0000E5D40000}"/>
    <cellStyle name="SAPBEXstdItem 108" xfId="54805" xr:uid="{00000000-0005-0000-0000-0000E6D40000}"/>
    <cellStyle name="SAPBEXstdItem 109" xfId="54806" xr:uid="{00000000-0005-0000-0000-0000E7D40000}"/>
    <cellStyle name="SAPBEXstdItem 11" xfId="3342" xr:uid="{00000000-0005-0000-0000-0000E8D40000}"/>
    <cellStyle name="SAPBEXstdItem 110" xfId="54807" xr:uid="{00000000-0005-0000-0000-0000E9D40000}"/>
    <cellStyle name="SAPBEXstdItem 12" xfId="3343" xr:uid="{00000000-0005-0000-0000-0000EAD40000}"/>
    <cellStyle name="SAPBEXstdItem 13" xfId="3344" xr:uid="{00000000-0005-0000-0000-0000EBD40000}"/>
    <cellStyle name="SAPBEXstdItem 14" xfId="3345" xr:uid="{00000000-0005-0000-0000-0000ECD40000}"/>
    <cellStyle name="SAPBEXstdItem 15" xfId="3346" xr:uid="{00000000-0005-0000-0000-0000EDD40000}"/>
    <cellStyle name="SAPBEXstdItem 16" xfId="3347" xr:uid="{00000000-0005-0000-0000-0000EED40000}"/>
    <cellStyle name="SAPBEXstdItem 17" xfId="3348" xr:uid="{00000000-0005-0000-0000-0000EFD40000}"/>
    <cellStyle name="SAPBEXstdItem 18" xfId="3349" xr:uid="{00000000-0005-0000-0000-0000F0D40000}"/>
    <cellStyle name="SAPBEXstdItem 19" xfId="3350" xr:uid="{00000000-0005-0000-0000-0000F1D40000}"/>
    <cellStyle name="SAPBEXstdItem 2" xfId="3351" xr:uid="{00000000-0005-0000-0000-0000F2D40000}"/>
    <cellStyle name="SAPBEXstdItem 2 2" xfId="54808" xr:uid="{00000000-0005-0000-0000-0000F3D40000}"/>
    <cellStyle name="SAPBEXstdItem 20" xfId="3352" xr:uid="{00000000-0005-0000-0000-0000F4D40000}"/>
    <cellStyle name="SAPBEXstdItem 21" xfId="3353" xr:uid="{00000000-0005-0000-0000-0000F5D40000}"/>
    <cellStyle name="SAPBEXstdItem 22" xfId="3354" xr:uid="{00000000-0005-0000-0000-0000F6D40000}"/>
    <cellStyle name="SAPBEXstdItem 23" xfId="3355" xr:uid="{00000000-0005-0000-0000-0000F7D40000}"/>
    <cellStyle name="SAPBEXstdItem 24" xfId="3356" xr:uid="{00000000-0005-0000-0000-0000F8D40000}"/>
    <cellStyle name="SAPBEXstdItem 25" xfId="3357" xr:uid="{00000000-0005-0000-0000-0000F9D40000}"/>
    <cellStyle name="SAPBEXstdItem 26" xfId="3358" xr:uid="{00000000-0005-0000-0000-0000FAD40000}"/>
    <cellStyle name="SAPBEXstdItem 27" xfId="3359" xr:uid="{00000000-0005-0000-0000-0000FBD40000}"/>
    <cellStyle name="SAPBEXstdItem 28" xfId="3360" xr:uid="{00000000-0005-0000-0000-0000FCD40000}"/>
    <cellStyle name="SAPBEXstdItem 29" xfId="3361" xr:uid="{00000000-0005-0000-0000-0000FDD40000}"/>
    <cellStyle name="SAPBEXstdItem 3" xfId="3362" xr:uid="{00000000-0005-0000-0000-0000FED40000}"/>
    <cellStyle name="SAPBEXstdItem 3 2" xfId="54809" xr:uid="{00000000-0005-0000-0000-0000FFD40000}"/>
    <cellStyle name="SAPBEXstdItem 30" xfId="3363" xr:uid="{00000000-0005-0000-0000-000000D50000}"/>
    <cellStyle name="SAPBEXstdItem 31" xfId="3364" xr:uid="{00000000-0005-0000-0000-000001D50000}"/>
    <cellStyle name="SAPBEXstdItem 32" xfId="3365" xr:uid="{00000000-0005-0000-0000-000002D50000}"/>
    <cellStyle name="SAPBEXstdItem 33" xfId="3366" xr:uid="{00000000-0005-0000-0000-000003D50000}"/>
    <cellStyle name="SAPBEXstdItem 34" xfId="3367" xr:uid="{00000000-0005-0000-0000-000004D50000}"/>
    <cellStyle name="SAPBEXstdItem 35" xfId="3368" xr:uid="{00000000-0005-0000-0000-000005D50000}"/>
    <cellStyle name="SAPBEXstdItem 36" xfId="3369" xr:uid="{00000000-0005-0000-0000-000006D50000}"/>
    <cellStyle name="SAPBEXstdItem 37" xfId="3370" xr:uid="{00000000-0005-0000-0000-000007D50000}"/>
    <cellStyle name="SAPBEXstdItem 38" xfId="3371" xr:uid="{00000000-0005-0000-0000-000008D50000}"/>
    <cellStyle name="SAPBEXstdItem 39" xfId="3372" xr:uid="{00000000-0005-0000-0000-000009D50000}"/>
    <cellStyle name="SAPBEXstdItem 4" xfId="3373" xr:uid="{00000000-0005-0000-0000-00000AD50000}"/>
    <cellStyle name="SAPBEXstdItem 40" xfId="3374" xr:uid="{00000000-0005-0000-0000-00000BD50000}"/>
    <cellStyle name="SAPBEXstdItem 41" xfId="3375" xr:uid="{00000000-0005-0000-0000-00000CD50000}"/>
    <cellStyle name="SAPBEXstdItem 42" xfId="3376" xr:uid="{00000000-0005-0000-0000-00000DD50000}"/>
    <cellStyle name="SAPBEXstdItem 43" xfId="3377" xr:uid="{00000000-0005-0000-0000-00000ED50000}"/>
    <cellStyle name="SAPBEXstdItem 44" xfId="3378" xr:uid="{00000000-0005-0000-0000-00000FD50000}"/>
    <cellStyle name="SAPBEXstdItem 45" xfId="3379" xr:uid="{00000000-0005-0000-0000-000010D50000}"/>
    <cellStyle name="SAPBEXstdItem 46" xfId="54810" xr:uid="{00000000-0005-0000-0000-000011D50000}"/>
    <cellStyle name="SAPBEXstdItem 47" xfId="54811" xr:uid="{00000000-0005-0000-0000-000012D50000}"/>
    <cellStyle name="SAPBEXstdItem 48" xfId="54812" xr:uid="{00000000-0005-0000-0000-000013D50000}"/>
    <cellStyle name="SAPBEXstdItem 49" xfId="54813" xr:uid="{00000000-0005-0000-0000-000014D50000}"/>
    <cellStyle name="SAPBEXstdItem 5" xfId="3380" xr:uid="{00000000-0005-0000-0000-000015D50000}"/>
    <cellStyle name="SAPBEXstdItem 50" xfId="54814" xr:uid="{00000000-0005-0000-0000-000016D50000}"/>
    <cellStyle name="SAPBEXstdItem 51" xfId="54815" xr:uid="{00000000-0005-0000-0000-000017D50000}"/>
    <cellStyle name="SAPBEXstdItem 52" xfId="54816" xr:uid="{00000000-0005-0000-0000-000018D50000}"/>
    <cellStyle name="SAPBEXstdItem 53" xfId="54817" xr:uid="{00000000-0005-0000-0000-000019D50000}"/>
    <cellStyle name="SAPBEXstdItem 54" xfId="54818" xr:uid="{00000000-0005-0000-0000-00001AD50000}"/>
    <cellStyle name="SAPBEXstdItem 55" xfId="54819" xr:uid="{00000000-0005-0000-0000-00001BD50000}"/>
    <cellStyle name="SAPBEXstdItem 56" xfId="54820" xr:uid="{00000000-0005-0000-0000-00001CD50000}"/>
    <cellStyle name="SAPBEXstdItem 57" xfId="54821" xr:uid="{00000000-0005-0000-0000-00001DD50000}"/>
    <cellStyle name="SAPBEXstdItem 58" xfId="54822" xr:uid="{00000000-0005-0000-0000-00001ED50000}"/>
    <cellStyle name="SAPBEXstdItem 59" xfId="54823" xr:uid="{00000000-0005-0000-0000-00001FD50000}"/>
    <cellStyle name="SAPBEXstdItem 6" xfId="3381" xr:uid="{00000000-0005-0000-0000-000020D50000}"/>
    <cellStyle name="SAPBEXstdItem 60" xfId="54824" xr:uid="{00000000-0005-0000-0000-000021D50000}"/>
    <cellStyle name="SAPBEXstdItem 61" xfId="54825" xr:uid="{00000000-0005-0000-0000-000022D50000}"/>
    <cellStyle name="SAPBEXstdItem 62" xfId="54826" xr:uid="{00000000-0005-0000-0000-000023D50000}"/>
    <cellStyle name="SAPBEXstdItem 63" xfId="54827" xr:uid="{00000000-0005-0000-0000-000024D50000}"/>
    <cellStyle name="SAPBEXstdItem 64" xfId="54828" xr:uid="{00000000-0005-0000-0000-000025D50000}"/>
    <cellStyle name="SAPBEXstdItem 65" xfId="54829" xr:uid="{00000000-0005-0000-0000-000026D50000}"/>
    <cellStyle name="SAPBEXstdItem 66" xfId="54830" xr:uid="{00000000-0005-0000-0000-000027D50000}"/>
    <cellStyle name="SAPBEXstdItem 67" xfId="54831" xr:uid="{00000000-0005-0000-0000-000028D50000}"/>
    <cellStyle name="SAPBEXstdItem 68" xfId="54832" xr:uid="{00000000-0005-0000-0000-000029D50000}"/>
    <cellStyle name="SAPBEXstdItem 69" xfId="54833" xr:uid="{00000000-0005-0000-0000-00002AD50000}"/>
    <cellStyle name="SAPBEXstdItem 7" xfId="3382" xr:uid="{00000000-0005-0000-0000-00002BD50000}"/>
    <cellStyle name="SAPBEXstdItem 70" xfId="54834" xr:uid="{00000000-0005-0000-0000-00002CD50000}"/>
    <cellStyle name="SAPBEXstdItem 71" xfId="54835" xr:uid="{00000000-0005-0000-0000-00002DD50000}"/>
    <cellStyle name="SAPBEXstdItem 72" xfId="54836" xr:uid="{00000000-0005-0000-0000-00002ED50000}"/>
    <cellStyle name="SAPBEXstdItem 73" xfId="54837" xr:uid="{00000000-0005-0000-0000-00002FD50000}"/>
    <cellStyle name="SAPBEXstdItem 74" xfId="54838" xr:uid="{00000000-0005-0000-0000-000030D50000}"/>
    <cellStyle name="SAPBEXstdItem 75" xfId="54839" xr:uid="{00000000-0005-0000-0000-000031D50000}"/>
    <cellStyle name="SAPBEXstdItem 76" xfId="54840" xr:uid="{00000000-0005-0000-0000-000032D50000}"/>
    <cellStyle name="SAPBEXstdItem 77" xfId="54841" xr:uid="{00000000-0005-0000-0000-000033D50000}"/>
    <cellStyle name="SAPBEXstdItem 78" xfId="54842" xr:uid="{00000000-0005-0000-0000-000034D50000}"/>
    <cellStyle name="SAPBEXstdItem 79" xfId="54843" xr:uid="{00000000-0005-0000-0000-000035D50000}"/>
    <cellStyle name="SAPBEXstdItem 8" xfId="3383" xr:uid="{00000000-0005-0000-0000-000036D50000}"/>
    <cellStyle name="SAPBEXstdItem 80" xfId="54844" xr:uid="{00000000-0005-0000-0000-000037D50000}"/>
    <cellStyle name="SAPBEXstdItem 81" xfId="54845" xr:uid="{00000000-0005-0000-0000-000038D50000}"/>
    <cellStyle name="SAPBEXstdItem 82" xfId="54846" xr:uid="{00000000-0005-0000-0000-000039D50000}"/>
    <cellStyle name="SAPBEXstdItem 83" xfId="54847" xr:uid="{00000000-0005-0000-0000-00003AD50000}"/>
    <cellStyle name="SAPBEXstdItem 84" xfId="54848" xr:uid="{00000000-0005-0000-0000-00003BD50000}"/>
    <cellStyle name="SAPBEXstdItem 85" xfId="54849" xr:uid="{00000000-0005-0000-0000-00003CD50000}"/>
    <cellStyle name="SAPBEXstdItem 86" xfId="54850" xr:uid="{00000000-0005-0000-0000-00003DD50000}"/>
    <cellStyle name="SAPBEXstdItem 87" xfId="54851" xr:uid="{00000000-0005-0000-0000-00003ED50000}"/>
    <cellStyle name="SAPBEXstdItem 88" xfId="54852" xr:uid="{00000000-0005-0000-0000-00003FD50000}"/>
    <cellStyle name="SAPBEXstdItem 89" xfId="54853" xr:uid="{00000000-0005-0000-0000-000040D50000}"/>
    <cellStyle name="SAPBEXstdItem 9" xfId="3384" xr:uid="{00000000-0005-0000-0000-000041D50000}"/>
    <cellStyle name="SAPBEXstdItem 90" xfId="54854" xr:uid="{00000000-0005-0000-0000-000042D50000}"/>
    <cellStyle name="SAPBEXstdItem 91" xfId="54855" xr:uid="{00000000-0005-0000-0000-000043D50000}"/>
    <cellStyle name="SAPBEXstdItem 92" xfId="54856" xr:uid="{00000000-0005-0000-0000-000044D50000}"/>
    <cellStyle name="SAPBEXstdItem 93" xfId="54857" xr:uid="{00000000-0005-0000-0000-000045D50000}"/>
    <cellStyle name="SAPBEXstdItem 94" xfId="54858" xr:uid="{00000000-0005-0000-0000-000046D50000}"/>
    <cellStyle name="SAPBEXstdItem 95" xfId="54859" xr:uid="{00000000-0005-0000-0000-000047D50000}"/>
    <cellStyle name="SAPBEXstdItem 96" xfId="54860" xr:uid="{00000000-0005-0000-0000-000048D50000}"/>
    <cellStyle name="SAPBEXstdItem 97" xfId="54861" xr:uid="{00000000-0005-0000-0000-000049D50000}"/>
    <cellStyle name="SAPBEXstdItem 98" xfId="54862" xr:uid="{00000000-0005-0000-0000-00004AD50000}"/>
    <cellStyle name="SAPBEXstdItem 99" xfId="54863" xr:uid="{00000000-0005-0000-0000-00004BD50000}"/>
    <cellStyle name="SAPBEXstdItem_(A-7) IS-Inputs" xfId="54864" xr:uid="{00000000-0005-0000-0000-00004CD50000}"/>
    <cellStyle name="SAPBEXstdItemX" xfId="87" xr:uid="{00000000-0005-0000-0000-00008F000000}"/>
    <cellStyle name="SAPBEXstdItemX 10" xfId="3385" xr:uid="{00000000-0005-0000-0000-00004ED50000}"/>
    <cellStyle name="SAPBEXstdItemX 10 2" xfId="54865" xr:uid="{00000000-0005-0000-0000-00004FD50000}"/>
    <cellStyle name="SAPBEXstdItemX 11" xfId="3386" xr:uid="{00000000-0005-0000-0000-000050D50000}"/>
    <cellStyle name="SAPBEXstdItemX 11 2" xfId="54866" xr:uid="{00000000-0005-0000-0000-000051D50000}"/>
    <cellStyle name="SAPBEXstdItemX 12" xfId="3387" xr:uid="{00000000-0005-0000-0000-000052D50000}"/>
    <cellStyle name="SAPBEXstdItemX 12 2" xfId="54867" xr:uid="{00000000-0005-0000-0000-000053D50000}"/>
    <cellStyle name="SAPBEXstdItemX 13" xfId="3388" xr:uid="{00000000-0005-0000-0000-000054D50000}"/>
    <cellStyle name="SAPBEXstdItemX 13 2" xfId="54868" xr:uid="{00000000-0005-0000-0000-000055D50000}"/>
    <cellStyle name="SAPBEXstdItemX 14" xfId="3389" xr:uid="{00000000-0005-0000-0000-000056D50000}"/>
    <cellStyle name="SAPBEXstdItemX 14 2" xfId="54869" xr:uid="{00000000-0005-0000-0000-000057D50000}"/>
    <cellStyle name="SAPBEXstdItemX 15" xfId="3390" xr:uid="{00000000-0005-0000-0000-000058D50000}"/>
    <cellStyle name="SAPBEXstdItemX 15 2" xfId="54870" xr:uid="{00000000-0005-0000-0000-000059D50000}"/>
    <cellStyle name="SAPBEXstdItemX 16" xfId="3391" xr:uid="{00000000-0005-0000-0000-00005AD50000}"/>
    <cellStyle name="SAPBEXstdItemX 16 2" xfId="54871" xr:uid="{00000000-0005-0000-0000-00005BD50000}"/>
    <cellStyle name="SAPBEXstdItemX 17" xfId="3392" xr:uid="{00000000-0005-0000-0000-00005CD50000}"/>
    <cellStyle name="SAPBEXstdItemX 17 2" xfId="54872" xr:uid="{00000000-0005-0000-0000-00005DD50000}"/>
    <cellStyle name="SAPBEXstdItemX 18" xfId="3393" xr:uid="{00000000-0005-0000-0000-00005ED50000}"/>
    <cellStyle name="SAPBEXstdItemX 18 2" xfId="54873" xr:uid="{00000000-0005-0000-0000-00005FD50000}"/>
    <cellStyle name="SAPBEXstdItemX 19" xfId="3394" xr:uid="{00000000-0005-0000-0000-000060D50000}"/>
    <cellStyle name="SAPBEXstdItemX 19 2" xfId="54874" xr:uid="{00000000-0005-0000-0000-000061D50000}"/>
    <cellStyle name="SAPBEXstdItemX 2" xfId="3395" xr:uid="{00000000-0005-0000-0000-000062D50000}"/>
    <cellStyle name="SAPBEXstdItemX 2 2" xfId="54875" xr:uid="{00000000-0005-0000-0000-000063D50000}"/>
    <cellStyle name="SAPBEXstdItemX 2 2 2" xfId="54876" xr:uid="{00000000-0005-0000-0000-000064D50000}"/>
    <cellStyle name="SAPBEXstdItemX 2 3" xfId="54877" xr:uid="{00000000-0005-0000-0000-000065D50000}"/>
    <cellStyle name="SAPBEXstdItemX 20" xfId="3396" xr:uid="{00000000-0005-0000-0000-000066D50000}"/>
    <cellStyle name="SAPBEXstdItemX 20 2" xfId="54878" xr:uid="{00000000-0005-0000-0000-000067D50000}"/>
    <cellStyle name="SAPBEXstdItemX 21" xfId="3397" xr:uid="{00000000-0005-0000-0000-000068D50000}"/>
    <cellStyle name="SAPBEXstdItemX 21 2" xfId="54879" xr:uid="{00000000-0005-0000-0000-000069D50000}"/>
    <cellStyle name="SAPBEXstdItemX 22" xfId="3398" xr:uid="{00000000-0005-0000-0000-00006AD50000}"/>
    <cellStyle name="SAPBEXstdItemX 22 2" xfId="54880" xr:uid="{00000000-0005-0000-0000-00006BD50000}"/>
    <cellStyle name="SAPBEXstdItemX 23" xfId="3399" xr:uid="{00000000-0005-0000-0000-00006CD50000}"/>
    <cellStyle name="SAPBEXstdItemX 23 2" xfId="54881" xr:uid="{00000000-0005-0000-0000-00006DD50000}"/>
    <cellStyle name="SAPBEXstdItemX 24" xfId="3400" xr:uid="{00000000-0005-0000-0000-00006ED50000}"/>
    <cellStyle name="SAPBEXstdItemX 24 2" xfId="54882" xr:uid="{00000000-0005-0000-0000-00006FD50000}"/>
    <cellStyle name="SAPBEXstdItemX 25" xfId="3401" xr:uid="{00000000-0005-0000-0000-000070D50000}"/>
    <cellStyle name="SAPBEXstdItemX 25 2" xfId="54883" xr:uid="{00000000-0005-0000-0000-000071D50000}"/>
    <cellStyle name="SAPBEXstdItemX 26" xfId="3402" xr:uid="{00000000-0005-0000-0000-000072D50000}"/>
    <cellStyle name="SAPBEXstdItemX 26 2" xfId="54884" xr:uid="{00000000-0005-0000-0000-000073D50000}"/>
    <cellStyle name="SAPBEXstdItemX 27" xfId="3403" xr:uid="{00000000-0005-0000-0000-000074D50000}"/>
    <cellStyle name="SAPBEXstdItemX 27 2" xfId="54885" xr:uid="{00000000-0005-0000-0000-000075D50000}"/>
    <cellStyle name="SAPBEXstdItemX 28" xfId="3404" xr:uid="{00000000-0005-0000-0000-000076D50000}"/>
    <cellStyle name="SAPBEXstdItemX 28 2" xfId="54886" xr:uid="{00000000-0005-0000-0000-000077D50000}"/>
    <cellStyle name="SAPBEXstdItemX 29" xfId="3405" xr:uid="{00000000-0005-0000-0000-000078D50000}"/>
    <cellStyle name="SAPBEXstdItemX 29 2" xfId="54887" xr:uid="{00000000-0005-0000-0000-000079D50000}"/>
    <cellStyle name="SAPBEXstdItemX 3" xfId="3406" xr:uid="{00000000-0005-0000-0000-00007AD50000}"/>
    <cellStyle name="SAPBEXstdItemX 3 2" xfId="54888" xr:uid="{00000000-0005-0000-0000-00007BD50000}"/>
    <cellStyle name="SAPBEXstdItemX 30" xfId="3407" xr:uid="{00000000-0005-0000-0000-00007CD50000}"/>
    <cellStyle name="SAPBEXstdItemX 30 2" xfId="54889" xr:uid="{00000000-0005-0000-0000-00007DD50000}"/>
    <cellStyle name="SAPBEXstdItemX 31" xfId="3408" xr:uid="{00000000-0005-0000-0000-00007ED50000}"/>
    <cellStyle name="SAPBEXstdItemX 31 2" xfId="54890" xr:uid="{00000000-0005-0000-0000-00007FD50000}"/>
    <cellStyle name="SAPBEXstdItemX 32" xfId="3409" xr:uid="{00000000-0005-0000-0000-000080D50000}"/>
    <cellStyle name="SAPBEXstdItemX 32 2" xfId="54891" xr:uid="{00000000-0005-0000-0000-000081D50000}"/>
    <cellStyle name="SAPBEXstdItemX 33" xfId="3410" xr:uid="{00000000-0005-0000-0000-000082D50000}"/>
    <cellStyle name="SAPBEXstdItemX 33 2" xfId="54892" xr:uid="{00000000-0005-0000-0000-000083D50000}"/>
    <cellStyle name="SAPBEXstdItemX 34" xfId="3411" xr:uid="{00000000-0005-0000-0000-000084D50000}"/>
    <cellStyle name="SAPBEXstdItemX 34 2" xfId="54893" xr:uid="{00000000-0005-0000-0000-000085D50000}"/>
    <cellStyle name="SAPBEXstdItemX 35" xfId="3412" xr:uid="{00000000-0005-0000-0000-000086D50000}"/>
    <cellStyle name="SAPBEXstdItemX 35 2" xfId="54894" xr:uid="{00000000-0005-0000-0000-000087D50000}"/>
    <cellStyle name="SAPBEXstdItemX 36" xfId="3413" xr:uid="{00000000-0005-0000-0000-000088D50000}"/>
    <cellStyle name="SAPBEXstdItemX 36 2" xfId="54895" xr:uid="{00000000-0005-0000-0000-000089D50000}"/>
    <cellStyle name="SAPBEXstdItemX 37" xfId="3414" xr:uid="{00000000-0005-0000-0000-00008AD50000}"/>
    <cellStyle name="SAPBEXstdItemX 37 2" xfId="54896" xr:uid="{00000000-0005-0000-0000-00008BD50000}"/>
    <cellStyle name="SAPBEXstdItemX 38" xfId="3415" xr:uid="{00000000-0005-0000-0000-00008CD50000}"/>
    <cellStyle name="SAPBEXstdItemX 38 2" xfId="54897" xr:uid="{00000000-0005-0000-0000-00008DD50000}"/>
    <cellStyle name="SAPBEXstdItemX 39" xfId="3416" xr:uid="{00000000-0005-0000-0000-00008ED50000}"/>
    <cellStyle name="SAPBEXstdItemX 39 2" xfId="54898" xr:uid="{00000000-0005-0000-0000-00008FD50000}"/>
    <cellStyle name="SAPBEXstdItemX 4" xfId="3417" xr:uid="{00000000-0005-0000-0000-000090D50000}"/>
    <cellStyle name="SAPBEXstdItemX 4 2" xfId="54899" xr:uid="{00000000-0005-0000-0000-000091D50000}"/>
    <cellStyle name="SAPBEXstdItemX 40" xfId="3418" xr:uid="{00000000-0005-0000-0000-000092D50000}"/>
    <cellStyle name="SAPBEXstdItemX 40 2" xfId="54900" xr:uid="{00000000-0005-0000-0000-000093D50000}"/>
    <cellStyle name="SAPBEXstdItemX 41" xfId="3419" xr:uid="{00000000-0005-0000-0000-000094D50000}"/>
    <cellStyle name="SAPBEXstdItemX 41 2" xfId="54901" xr:uid="{00000000-0005-0000-0000-000095D50000}"/>
    <cellStyle name="SAPBEXstdItemX 42" xfId="3420" xr:uid="{00000000-0005-0000-0000-000096D50000}"/>
    <cellStyle name="SAPBEXstdItemX 42 2" xfId="54902" xr:uid="{00000000-0005-0000-0000-000097D50000}"/>
    <cellStyle name="SAPBEXstdItemX 43" xfId="3421" xr:uid="{00000000-0005-0000-0000-000098D50000}"/>
    <cellStyle name="SAPBEXstdItemX 43 2" xfId="54903" xr:uid="{00000000-0005-0000-0000-000099D50000}"/>
    <cellStyle name="SAPBEXstdItemX 44" xfId="3422" xr:uid="{00000000-0005-0000-0000-00009AD50000}"/>
    <cellStyle name="SAPBEXstdItemX 44 2" xfId="54904" xr:uid="{00000000-0005-0000-0000-00009BD50000}"/>
    <cellStyle name="SAPBEXstdItemX 45" xfId="3423" xr:uid="{00000000-0005-0000-0000-00009CD50000}"/>
    <cellStyle name="SAPBEXstdItemX 45 2" xfId="54905" xr:uid="{00000000-0005-0000-0000-00009DD50000}"/>
    <cellStyle name="SAPBEXstdItemX 46" xfId="54906" xr:uid="{00000000-0005-0000-0000-00009ED50000}"/>
    <cellStyle name="SAPBEXstdItemX 46 2" xfId="54907" xr:uid="{00000000-0005-0000-0000-00009FD50000}"/>
    <cellStyle name="SAPBEXstdItemX 46 3" xfId="54908" xr:uid="{00000000-0005-0000-0000-0000A0D50000}"/>
    <cellStyle name="SAPBEXstdItemX 47" xfId="54909" xr:uid="{00000000-0005-0000-0000-0000A1D50000}"/>
    <cellStyle name="SAPBEXstdItemX 48" xfId="54910" xr:uid="{00000000-0005-0000-0000-0000A2D50000}"/>
    <cellStyle name="SAPBEXstdItemX 49" xfId="54911" xr:uid="{00000000-0005-0000-0000-0000A3D50000}"/>
    <cellStyle name="SAPBEXstdItemX 5" xfId="3424" xr:uid="{00000000-0005-0000-0000-0000A4D50000}"/>
    <cellStyle name="SAPBEXstdItemX 5 2" xfId="54912" xr:uid="{00000000-0005-0000-0000-0000A5D50000}"/>
    <cellStyle name="SAPBEXstdItemX 50" xfId="54913" xr:uid="{00000000-0005-0000-0000-0000A6D50000}"/>
    <cellStyle name="SAPBEXstdItemX 6" xfId="3425" xr:uid="{00000000-0005-0000-0000-0000A7D50000}"/>
    <cellStyle name="SAPBEXstdItemX 6 2" xfId="54914" xr:uid="{00000000-0005-0000-0000-0000A8D50000}"/>
    <cellStyle name="SAPBEXstdItemX 7" xfId="3426" xr:uid="{00000000-0005-0000-0000-0000A9D50000}"/>
    <cellStyle name="SAPBEXstdItemX 7 2" xfId="54915" xr:uid="{00000000-0005-0000-0000-0000AAD50000}"/>
    <cellStyle name="SAPBEXstdItemX 8" xfId="3427" xr:uid="{00000000-0005-0000-0000-0000ABD50000}"/>
    <cellStyle name="SAPBEXstdItemX 8 2" xfId="54916" xr:uid="{00000000-0005-0000-0000-0000ACD50000}"/>
    <cellStyle name="SAPBEXstdItemX 9" xfId="3428" xr:uid="{00000000-0005-0000-0000-0000ADD50000}"/>
    <cellStyle name="SAPBEXstdItemX 9 2" xfId="54917" xr:uid="{00000000-0005-0000-0000-0000AED50000}"/>
    <cellStyle name="SAPBEXtitle" xfId="88" xr:uid="{00000000-0005-0000-0000-000090000000}"/>
    <cellStyle name="SAPBEXtitle 10" xfId="3429" xr:uid="{00000000-0005-0000-0000-0000B0D50000}"/>
    <cellStyle name="SAPBEXtitle 11" xfId="3430" xr:uid="{00000000-0005-0000-0000-0000B1D50000}"/>
    <cellStyle name="SAPBEXtitle 12" xfId="3431" xr:uid="{00000000-0005-0000-0000-0000B2D50000}"/>
    <cellStyle name="SAPBEXtitle 13" xfId="3432" xr:uid="{00000000-0005-0000-0000-0000B3D50000}"/>
    <cellStyle name="SAPBEXtitle 14" xfId="3433" xr:uid="{00000000-0005-0000-0000-0000B4D50000}"/>
    <cellStyle name="SAPBEXtitle 15" xfId="3434" xr:uid="{00000000-0005-0000-0000-0000B5D50000}"/>
    <cellStyle name="SAPBEXtitle 16" xfId="3435" xr:uid="{00000000-0005-0000-0000-0000B6D50000}"/>
    <cellStyle name="SAPBEXtitle 17" xfId="3436" xr:uid="{00000000-0005-0000-0000-0000B7D50000}"/>
    <cellStyle name="SAPBEXtitle 18" xfId="3437" xr:uid="{00000000-0005-0000-0000-0000B8D50000}"/>
    <cellStyle name="SAPBEXtitle 19" xfId="3438" xr:uid="{00000000-0005-0000-0000-0000B9D50000}"/>
    <cellStyle name="SAPBEXtitle 2" xfId="3439" xr:uid="{00000000-0005-0000-0000-0000BAD50000}"/>
    <cellStyle name="SAPBEXtitle 2 2" xfId="54918" xr:uid="{00000000-0005-0000-0000-0000BBD50000}"/>
    <cellStyle name="SAPBEXtitle 2 2 2" xfId="54919" xr:uid="{00000000-0005-0000-0000-0000BCD50000}"/>
    <cellStyle name="SAPBEXtitle 2 3" xfId="54920" xr:uid="{00000000-0005-0000-0000-0000BDD50000}"/>
    <cellStyle name="SAPBEXtitle 20" xfId="3440" xr:uid="{00000000-0005-0000-0000-0000BED50000}"/>
    <cellStyle name="SAPBEXtitle 21" xfId="3441" xr:uid="{00000000-0005-0000-0000-0000BFD50000}"/>
    <cellStyle name="SAPBEXtitle 22" xfId="3442" xr:uid="{00000000-0005-0000-0000-0000C0D50000}"/>
    <cellStyle name="SAPBEXtitle 23" xfId="3443" xr:uid="{00000000-0005-0000-0000-0000C1D50000}"/>
    <cellStyle name="SAPBEXtitle 24" xfId="3444" xr:uid="{00000000-0005-0000-0000-0000C2D50000}"/>
    <cellStyle name="SAPBEXtitle 25" xfId="3445" xr:uid="{00000000-0005-0000-0000-0000C3D50000}"/>
    <cellStyle name="SAPBEXtitle 26" xfId="3446" xr:uid="{00000000-0005-0000-0000-0000C4D50000}"/>
    <cellStyle name="SAPBEXtitle 27" xfId="3447" xr:uid="{00000000-0005-0000-0000-0000C5D50000}"/>
    <cellStyle name="SAPBEXtitle 28" xfId="3448" xr:uid="{00000000-0005-0000-0000-0000C6D50000}"/>
    <cellStyle name="SAPBEXtitle 29" xfId="3449" xr:uid="{00000000-0005-0000-0000-0000C7D50000}"/>
    <cellStyle name="SAPBEXtitle 3" xfId="3450" xr:uid="{00000000-0005-0000-0000-0000C8D50000}"/>
    <cellStyle name="SAPBEXtitle 30" xfId="3451" xr:uid="{00000000-0005-0000-0000-0000C9D50000}"/>
    <cellStyle name="SAPBEXtitle 31" xfId="3452" xr:uid="{00000000-0005-0000-0000-0000CAD50000}"/>
    <cellStyle name="SAPBEXtitle 32" xfId="3453" xr:uid="{00000000-0005-0000-0000-0000CBD50000}"/>
    <cellStyle name="SAPBEXtitle 33" xfId="3454" xr:uid="{00000000-0005-0000-0000-0000CCD50000}"/>
    <cellStyle name="SAPBEXtitle 34" xfId="3455" xr:uid="{00000000-0005-0000-0000-0000CDD50000}"/>
    <cellStyle name="SAPBEXtitle 35" xfId="3456" xr:uid="{00000000-0005-0000-0000-0000CED50000}"/>
    <cellStyle name="SAPBEXtitle 36" xfId="3457" xr:uid="{00000000-0005-0000-0000-0000CFD50000}"/>
    <cellStyle name="SAPBEXtitle 37" xfId="3458" xr:uid="{00000000-0005-0000-0000-0000D0D50000}"/>
    <cellStyle name="SAPBEXtitle 38" xfId="3459" xr:uid="{00000000-0005-0000-0000-0000D1D50000}"/>
    <cellStyle name="SAPBEXtitle 39" xfId="3460" xr:uid="{00000000-0005-0000-0000-0000D2D50000}"/>
    <cellStyle name="SAPBEXtitle 4" xfId="3461" xr:uid="{00000000-0005-0000-0000-0000D3D50000}"/>
    <cellStyle name="SAPBEXtitle 40" xfId="3462" xr:uid="{00000000-0005-0000-0000-0000D4D50000}"/>
    <cellStyle name="SAPBEXtitle 41" xfId="3463" xr:uid="{00000000-0005-0000-0000-0000D5D50000}"/>
    <cellStyle name="SAPBEXtitle 42" xfId="3464" xr:uid="{00000000-0005-0000-0000-0000D6D50000}"/>
    <cellStyle name="SAPBEXtitle 43" xfId="3465" xr:uid="{00000000-0005-0000-0000-0000D7D50000}"/>
    <cellStyle name="SAPBEXtitle 44" xfId="3466" xr:uid="{00000000-0005-0000-0000-0000D8D50000}"/>
    <cellStyle name="SAPBEXtitle 45" xfId="3467" xr:uid="{00000000-0005-0000-0000-0000D9D50000}"/>
    <cellStyle name="SAPBEXtitle 46" xfId="54921" xr:uid="{00000000-0005-0000-0000-0000DAD50000}"/>
    <cellStyle name="SAPBEXtitle 5" xfId="3468" xr:uid="{00000000-0005-0000-0000-0000DBD50000}"/>
    <cellStyle name="SAPBEXtitle 6" xfId="3469" xr:uid="{00000000-0005-0000-0000-0000DCD50000}"/>
    <cellStyle name="SAPBEXtitle 7" xfId="3470" xr:uid="{00000000-0005-0000-0000-0000DDD50000}"/>
    <cellStyle name="SAPBEXtitle 8" xfId="3471" xr:uid="{00000000-0005-0000-0000-0000DED50000}"/>
    <cellStyle name="SAPBEXtitle 9" xfId="3472" xr:uid="{00000000-0005-0000-0000-0000DFD50000}"/>
    <cellStyle name="SAPBEXunassignedItem" xfId="3473" xr:uid="{00000000-0005-0000-0000-0000E0D50000}"/>
    <cellStyle name="SAPBEXunassignedItem 10" xfId="54922" xr:uid="{00000000-0005-0000-0000-0000E1D50000}"/>
    <cellStyle name="SAPBEXunassignedItem 10 2" xfId="54923" xr:uid="{00000000-0005-0000-0000-0000E2D50000}"/>
    <cellStyle name="SAPBEXunassignedItem 10 2 2" xfId="54924" xr:uid="{00000000-0005-0000-0000-0000E3D50000}"/>
    <cellStyle name="SAPBEXunassignedItem 10 3" xfId="54925" xr:uid="{00000000-0005-0000-0000-0000E4D50000}"/>
    <cellStyle name="SAPBEXunassignedItem 10 3 2" xfId="54926" xr:uid="{00000000-0005-0000-0000-0000E5D50000}"/>
    <cellStyle name="SAPBEXunassignedItem 10 4" xfId="54927" xr:uid="{00000000-0005-0000-0000-0000E6D50000}"/>
    <cellStyle name="SAPBEXunassignedItem 10 4 2" xfId="54928" xr:uid="{00000000-0005-0000-0000-0000E7D50000}"/>
    <cellStyle name="SAPBEXunassignedItem 10 5" xfId="54929" xr:uid="{00000000-0005-0000-0000-0000E8D50000}"/>
    <cellStyle name="SAPBEXunassignedItem 10 5 2" xfId="54930" xr:uid="{00000000-0005-0000-0000-0000E9D50000}"/>
    <cellStyle name="SAPBEXunassignedItem 10 6" xfId="54931" xr:uid="{00000000-0005-0000-0000-0000EAD50000}"/>
    <cellStyle name="SAPBEXunassignedItem 10 6 2" xfId="54932" xr:uid="{00000000-0005-0000-0000-0000EBD50000}"/>
    <cellStyle name="SAPBEXunassignedItem 10 7" xfId="54933" xr:uid="{00000000-0005-0000-0000-0000ECD50000}"/>
    <cellStyle name="SAPBEXunassignedItem 100" xfId="54934" xr:uid="{00000000-0005-0000-0000-0000EDD50000}"/>
    <cellStyle name="SAPBEXunassignedItem 100 2" xfId="54935" xr:uid="{00000000-0005-0000-0000-0000EED50000}"/>
    <cellStyle name="SAPBEXunassignedItem 101" xfId="54936" xr:uid="{00000000-0005-0000-0000-0000EFD50000}"/>
    <cellStyle name="SAPBEXunassignedItem 101 2" xfId="54937" xr:uid="{00000000-0005-0000-0000-0000F0D50000}"/>
    <cellStyle name="SAPBEXunassignedItem 102" xfId="54938" xr:uid="{00000000-0005-0000-0000-0000F1D50000}"/>
    <cellStyle name="SAPBEXunassignedItem 102 2" xfId="54939" xr:uid="{00000000-0005-0000-0000-0000F2D50000}"/>
    <cellStyle name="SAPBEXunassignedItem 103" xfId="54940" xr:uid="{00000000-0005-0000-0000-0000F3D50000}"/>
    <cellStyle name="SAPBEXunassignedItem 103 2" xfId="54941" xr:uid="{00000000-0005-0000-0000-0000F4D50000}"/>
    <cellStyle name="SAPBEXunassignedItem 104" xfId="54942" xr:uid="{00000000-0005-0000-0000-0000F5D50000}"/>
    <cellStyle name="SAPBEXunassignedItem 104 2" xfId="54943" xr:uid="{00000000-0005-0000-0000-0000F6D50000}"/>
    <cellStyle name="SAPBEXunassignedItem 105" xfId="54944" xr:uid="{00000000-0005-0000-0000-0000F7D50000}"/>
    <cellStyle name="SAPBEXunassignedItem 105 2" xfId="54945" xr:uid="{00000000-0005-0000-0000-0000F8D50000}"/>
    <cellStyle name="SAPBEXunassignedItem 106" xfId="54946" xr:uid="{00000000-0005-0000-0000-0000F9D50000}"/>
    <cellStyle name="SAPBEXunassignedItem 106 2" xfId="54947" xr:uid="{00000000-0005-0000-0000-0000FAD50000}"/>
    <cellStyle name="SAPBEXunassignedItem 107" xfId="54948" xr:uid="{00000000-0005-0000-0000-0000FBD50000}"/>
    <cellStyle name="SAPBEXunassignedItem 107 2" xfId="54949" xr:uid="{00000000-0005-0000-0000-0000FCD50000}"/>
    <cellStyle name="SAPBEXunassignedItem 108" xfId="54950" xr:uid="{00000000-0005-0000-0000-0000FDD50000}"/>
    <cellStyle name="SAPBEXunassignedItem 108 2" xfId="54951" xr:uid="{00000000-0005-0000-0000-0000FED50000}"/>
    <cellStyle name="SAPBEXunassignedItem 109" xfId="54952" xr:uid="{00000000-0005-0000-0000-0000FFD50000}"/>
    <cellStyle name="SAPBEXunassignedItem 109 2" xfId="54953" xr:uid="{00000000-0005-0000-0000-000000D60000}"/>
    <cellStyle name="SAPBEXunassignedItem 11" xfId="54954" xr:uid="{00000000-0005-0000-0000-000001D60000}"/>
    <cellStyle name="SAPBEXunassignedItem 11 2" xfId="54955" xr:uid="{00000000-0005-0000-0000-000002D60000}"/>
    <cellStyle name="SAPBEXunassignedItem 11 2 2" xfId="54956" xr:uid="{00000000-0005-0000-0000-000003D60000}"/>
    <cellStyle name="SAPBEXunassignedItem 11 3" xfId="54957" xr:uid="{00000000-0005-0000-0000-000004D60000}"/>
    <cellStyle name="SAPBEXunassignedItem 11 3 2" xfId="54958" xr:uid="{00000000-0005-0000-0000-000005D60000}"/>
    <cellStyle name="SAPBEXunassignedItem 11 4" xfId="54959" xr:uid="{00000000-0005-0000-0000-000006D60000}"/>
    <cellStyle name="SAPBEXunassignedItem 11 4 2" xfId="54960" xr:uid="{00000000-0005-0000-0000-000007D60000}"/>
    <cellStyle name="SAPBEXunassignedItem 11 5" xfId="54961" xr:uid="{00000000-0005-0000-0000-000008D60000}"/>
    <cellStyle name="SAPBEXunassignedItem 11 5 2" xfId="54962" xr:uid="{00000000-0005-0000-0000-000009D60000}"/>
    <cellStyle name="SAPBEXunassignedItem 11 6" xfId="54963" xr:uid="{00000000-0005-0000-0000-00000AD60000}"/>
    <cellStyle name="SAPBEXunassignedItem 11 6 2" xfId="54964" xr:uid="{00000000-0005-0000-0000-00000BD60000}"/>
    <cellStyle name="SAPBEXunassignedItem 11 7" xfId="54965" xr:uid="{00000000-0005-0000-0000-00000CD60000}"/>
    <cellStyle name="SAPBEXunassignedItem 110" xfId="54966" xr:uid="{00000000-0005-0000-0000-00000DD60000}"/>
    <cellStyle name="SAPBEXunassignedItem 12" xfId="54967" xr:uid="{00000000-0005-0000-0000-00000ED60000}"/>
    <cellStyle name="SAPBEXunassignedItem 12 2" xfId="54968" xr:uid="{00000000-0005-0000-0000-00000FD60000}"/>
    <cellStyle name="SAPBEXunassignedItem 12 2 2" xfId="54969" xr:uid="{00000000-0005-0000-0000-000010D60000}"/>
    <cellStyle name="SAPBEXunassignedItem 12 3" xfId="54970" xr:uid="{00000000-0005-0000-0000-000011D60000}"/>
    <cellStyle name="SAPBEXunassignedItem 12 3 2" xfId="54971" xr:uid="{00000000-0005-0000-0000-000012D60000}"/>
    <cellStyle name="SAPBEXunassignedItem 12 4" xfId="54972" xr:uid="{00000000-0005-0000-0000-000013D60000}"/>
    <cellStyle name="SAPBEXunassignedItem 12 4 2" xfId="54973" xr:uid="{00000000-0005-0000-0000-000014D60000}"/>
    <cellStyle name="SAPBEXunassignedItem 12 5" xfId="54974" xr:uid="{00000000-0005-0000-0000-000015D60000}"/>
    <cellStyle name="SAPBEXunassignedItem 12 5 2" xfId="54975" xr:uid="{00000000-0005-0000-0000-000016D60000}"/>
    <cellStyle name="SAPBEXunassignedItem 12 6" xfId="54976" xr:uid="{00000000-0005-0000-0000-000017D60000}"/>
    <cellStyle name="SAPBEXunassignedItem 12 6 2" xfId="54977" xr:uid="{00000000-0005-0000-0000-000018D60000}"/>
    <cellStyle name="SAPBEXunassignedItem 12 7" xfId="54978" xr:uid="{00000000-0005-0000-0000-000019D60000}"/>
    <cellStyle name="SAPBEXunassignedItem 13" xfId="54979" xr:uid="{00000000-0005-0000-0000-00001AD60000}"/>
    <cellStyle name="SAPBEXunassignedItem 13 2" xfId="54980" xr:uid="{00000000-0005-0000-0000-00001BD60000}"/>
    <cellStyle name="SAPBEXunassignedItem 13 2 2" xfId="54981" xr:uid="{00000000-0005-0000-0000-00001CD60000}"/>
    <cellStyle name="SAPBEXunassignedItem 13 3" xfId="54982" xr:uid="{00000000-0005-0000-0000-00001DD60000}"/>
    <cellStyle name="SAPBEXunassignedItem 13 3 2" xfId="54983" xr:uid="{00000000-0005-0000-0000-00001ED60000}"/>
    <cellStyle name="SAPBEXunassignedItem 13 4" xfId="54984" xr:uid="{00000000-0005-0000-0000-00001FD60000}"/>
    <cellStyle name="SAPBEXunassignedItem 13 4 2" xfId="54985" xr:uid="{00000000-0005-0000-0000-000020D60000}"/>
    <cellStyle name="SAPBEXunassignedItem 13 5" xfId="54986" xr:uid="{00000000-0005-0000-0000-000021D60000}"/>
    <cellStyle name="SAPBEXunassignedItem 13 5 2" xfId="54987" xr:uid="{00000000-0005-0000-0000-000022D60000}"/>
    <cellStyle name="SAPBEXunassignedItem 13 6" xfId="54988" xr:uid="{00000000-0005-0000-0000-000023D60000}"/>
    <cellStyle name="SAPBEXunassignedItem 13 6 2" xfId="54989" xr:uid="{00000000-0005-0000-0000-000024D60000}"/>
    <cellStyle name="SAPBEXunassignedItem 13 7" xfId="54990" xr:uid="{00000000-0005-0000-0000-000025D60000}"/>
    <cellStyle name="SAPBEXunassignedItem 14" xfId="54991" xr:uid="{00000000-0005-0000-0000-000026D60000}"/>
    <cellStyle name="SAPBEXunassignedItem 14 2" xfId="54992" xr:uid="{00000000-0005-0000-0000-000027D60000}"/>
    <cellStyle name="SAPBEXunassignedItem 14 2 2" xfId="54993" xr:uid="{00000000-0005-0000-0000-000028D60000}"/>
    <cellStyle name="SAPBEXunassignedItem 14 3" xfId="54994" xr:uid="{00000000-0005-0000-0000-000029D60000}"/>
    <cellStyle name="SAPBEXunassignedItem 14 3 2" xfId="54995" xr:uid="{00000000-0005-0000-0000-00002AD60000}"/>
    <cellStyle name="SAPBEXunassignedItem 14 4" xfId="54996" xr:uid="{00000000-0005-0000-0000-00002BD60000}"/>
    <cellStyle name="SAPBEXunassignedItem 14 4 2" xfId="54997" xr:uid="{00000000-0005-0000-0000-00002CD60000}"/>
    <cellStyle name="SAPBEXunassignedItem 14 5" xfId="54998" xr:uid="{00000000-0005-0000-0000-00002DD60000}"/>
    <cellStyle name="SAPBEXunassignedItem 14 5 2" xfId="54999" xr:uid="{00000000-0005-0000-0000-00002ED60000}"/>
    <cellStyle name="SAPBEXunassignedItem 14 6" xfId="55000" xr:uid="{00000000-0005-0000-0000-00002FD60000}"/>
    <cellStyle name="SAPBEXunassignedItem 14 6 2" xfId="55001" xr:uid="{00000000-0005-0000-0000-000030D60000}"/>
    <cellStyle name="SAPBEXunassignedItem 14 7" xfId="55002" xr:uid="{00000000-0005-0000-0000-000031D60000}"/>
    <cellStyle name="SAPBEXunassignedItem 15" xfId="55003" xr:uid="{00000000-0005-0000-0000-000032D60000}"/>
    <cellStyle name="SAPBEXunassignedItem 15 2" xfId="55004" xr:uid="{00000000-0005-0000-0000-000033D60000}"/>
    <cellStyle name="SAPBEXunassignedItem 15 2 2" xfId="55005" xr:uid="{00000000-0005-0000-0000-000034D60000}"/>
    <cellStyle name="SAPBEXunassignedItem 15 3" xfId="55006" xr:uid="{00000000-0005-0000-0000-000035D60000}"/>
    <cellStyle name="SAPBEXunassignedItem 15 3 2" xfId="55007" xr:uid="{00000000-0005-0000-0000-000036D60000}"/>
    <cellStyle name="SAPBEXunassignedItem 15 4" xfId="55008" xr:uid="{00000000-0005-0000-0000-000037D60000}"/>
    <cellStyle name="SAPBEXunassignedItem 15 4 2" xfId="55009" xr:uid="{00000000-0005-0000-0000-000038D60000}"/>
    <cellStyle name="SAPBEXunassignedItem 15 5" xfId="55010" xr:uid="{00000000-0005-0000-0000-000039D60000}"/>
    <cellStyle name="SAPBEXunassignedItem 15 5 2" xfId="55011" xr:uid="{00000000-0005-0000-0000-00003AD60000}"/>
    <cellStyle name="SAPBEXunassignedItem 15 6" xfId="55012" xr:uid="{00000000-0005-0000-0000-00003BD60000}"/>
    <cellStyle name="SAPBEXunassignedItem 15 6 2" xfId="55013" xr:uid="{00000000-0005-0000-0000-00003CD60000}"/>
    <cellStyle name="SAPBEXunassignedItem 15 7" xfId="55014" xr:uid="{00000000-0005-0000-0000-00003DD60000}"/>
    <cellStyle name="SAPBEXunassignedItem 16" xfId="55015" xr:uid="{00000000-0005-0000-0000-00003ED60000}"/>
    <cellStyle name="SAPBEXunassignedItem 16 2" xfId="55016" xr:uid="{00000000-0005-0000-0000-00003FD60000}"/>
    <cellStyle name="SAPBEXunassignedItem 16 2 2" xfId="55017" xr:uid="{00000000-0005-0000-0000-000040D60000}"/>
    <cellStyle name="SAPBEXunassignedItem 16 3" xfId="55018" xr:uid="{00000000-0005-0000-0000-000041D60000}"/>
    <cellStyle name="SAPBEXunassignedItem 16 3 2" xfId="55019" xr:uid="{00000000-0005-0000-0000-000042D60000}"/>
    <cellStyle name="SAPBEXunassignedItem 16 4" xfId="55020" xr:uid="{00000000-0005-0000-0000-000043D60000}"/>
    <cellStyle name="SAPBEXunassignedItem 16 4 2" xfId="55021" xr:uid="{00000000-0005-0000-0000-000044D60000}"/>
    <cellStyle name="SAPBEXunassignedItem 16 5" xfId="55022" xr:uid="{00000000-0005-0000-0000-000045D60000}"/>
    <cellStyle name="SAPBEXunassignedItem 16 5 2" xfId="55023" xr:uid="{00000000-0005-0000-0000-000046D60000}"/>
    <cellStyle name="SAPBEXunassignedItem 16 6" xfId="55024" xr:uid="{00000000-0005-0000-0000-000047D60000}"/>
    <cellStyle name="SAPBEXunassignedItem 16 6 2" xfId="55025" xr:uid="{00000000-0005-0000-0000-000048D60000}"/>
    <cellStyle name="SAPBEXunassignedItem 16 7" xfId="55026" xr:uid="{00000000-0005-0000-0000-000049D60000}"/>
    <cellStyle name="SAPBEXunassignedItem 17" xfId="55027" xr:uid="{00000000-0005-0000-0000-00004AD60000}"/>
    <cellStyle name="SAPBEXunassignedItem 17 2" xfId="55028" xr:uid="{00000000-0005-0000-0000-00004BD60000}"/>
    <cellStyle name="SAPBEXunassignedItem 17 2 2" xfId="55029" xr:uid="{00000000-0005-0000-0000-00004CD60000}"/>
    <cellStyle name="SAPBEXunassignedItem 17 3" xfId="55030" xr:uid="{00000000-0005-0000-0000-00004DD60000}"/>
    <cellStyle name="SAPBEXunassignedItem 17 3 2" xfId="55031" xr:uid="{00000000-0005-0000-0000-00004ED60000}"/>
    <cellStyle name="SAPBEXunassignedItem 17 4" xfId="55032" xr:uid="{00000000-0005-0000-0000-00004FD60000}"/>
    <cellStyle name="SAPBEXunassignedItem 17 4 2" xfId="55033" xr:uid="{00000000-0005-0000-0000-000050D60000}"/>
    <cellStyle name="SAPBEXunassignedItem 17 5" xfId="55034" xr:uid="{00000000-0005-0000-0000-000051D60000}"/>
    <cellStyle name="SAPBEXunassignedItem 17 5 2" xfId="55035" xr:uid="{00000000-0005-0000-0000-000052D60000}"/>
    <cellStyle name="SAPBEXunassignedItem 17 6" xfId="55036" xr:uid="{00000000-0005-0000-0000-000053D60000}"/>
    <cellStyle name="SAPBEXunassignedItem 17 6 2" xfId="55037" xr:uid="{00000000-0005-0000-0000-000054D60000}"/>
    <cellStyle name="SAPBEXunassignedItem 17 7" xfId="55038" xr:uid="{00000000-0005-0000-0000-000055D60000}"/>
    <cellStyle name="SAPBEXunassignedItem 18" xfId="55039" xr:uid="{00000000-0005-0000-0000-000056D60000}"/>
    <cellStyle name="SAPBEXunassignedItem 18 2" xfId="55040" xr:uid="{00000000-0005-0000-0000-000057D60000}"/>
    <cellStyle name="SAPBEXunassignedItem 18 2 2" xfId="55041" xr:uid="{00000000-0005-0000-0000-000058D60000}"/>
    <cellStyle name="SAPBEXunassignedItem 18 3" xfId="55042" xr:uid="{00000000-0005-0000-0000-000059D60000}"/>
    <cellStyle name="SAPBEXunassignedItem 18 3 2" xfId="55043" xr:uid="{00000000-0005-0000-0000-00005AD60000}"/>
    <cellStyle name="SAPBEXunassignedItem 18 4" xfId="55044" xr:uid="{00000000-0005-0000-0000-00005BD60000}"/>
    <cellStyle name="SAPBEXunassignedItem 18 4 2" xfId="55045" xr:uid="{00000000-0005-0000-0000-00005CD60000}"/>
    <cellStyle name="SAPBEXunassignedItem 18 5" xfId="55046" xr:uid="{00000000-0005-0000-0000-00005DD60000}"/>
    <cellStyle name="SAPBEXunassignedItem 18 5 2" xfId="55047" xr:uid="{00000000-0005-0000-0000-00005ED60000}"/>
    <cellStyle name="SAPBEXunassignedItem 18 6" xfId="55048" xr:uid="{00000000-0005-0000-0000-00005FD60000}"/>
    <cellStyle name="SAPBEXunassignedItem 18 6 2" xfId="55049" xr:uid="{00000000-0005-0000-0000-000060D60000}"/>
    <cellStyle name="SAPBEXunassignedItem 18 7" xfId="55050" xr:uid="{00000000-0005-0000-0000-000061D60000}"/>
    <cellStyle name="SAPBEXunassignedItem 19" xfId="55051" xr:uid="{00000000-0005-0000-0000-000062D60000}"/>
    <cellStyle name="SAPBEXunassignedItem 19 2" xfId="55052" xr:uid="{00000000-0005-0000-0000-000063D60000}"/>
    <cellStyle name="SAPBEXunassignedItem 19 2 2" xfId="55053" xr:uid="{00000000-0005-0000-0000-000064D60000}"/>
    <cellStyle name="SAPBEXunassignedItem 19 3" xfId="55054" xr:uid="{00000000-0005-0000-0000-000065D60000}"/>
    <cellStyle name="SAPBEXunassignedItem 19 3 2" xfId="55055" xr:uid="{00000000-0005-0000-0000-000066D60000}"/>
    <cellStyle name="SAPBEXunassignedItem 19 4" xfId="55056" xr:uid="{00000000-0005-0000-0000-000067D60000}"/>
    <cellStyle name="SAPBEXunassignedItem 19 4 2" xfId="55057" xr:uid="{00000000-0005-0000-0000-000068D60000}"/>
    <cellStyle name="SAPBEXunassignedItem 19 5" xfId="55058" xr:uid="{00000000-0005-0000-0000-000069D60000}"/>
    <cellStyle name="SAPBEXunassignedItem 19 5 2" xfId="55059" xr:uid="{00000000-0005-0000-0000-00006AD60000}"/>
    <cellStyle name="SAPBEXunassignedItem 19 6" xfId="55060" xr:uid="{00000000-0005-0000-0000-00006BD60000}"/>
    <cellStyle name="SAPBEXunassignedItem 19 6 2" xfId="55061" xr:uid="{00000000-0005-0000-0000-00006CD60000}"/>
    <cellStyle name="SAPBEXunassignedItem 19 7" xfId="55062" xr:uid="{00000000-0005-0000-0000-00006DD60000}"/>
    <cellStyle name="SAPBEXunassignedItem 2" xfId="55063" xr:uid="{00000000-0005-0000-0000-00006ED60000}"/>
    <cellStyle name="SAPBEXunassignedItem 2 2" xfId="55064" xr:uid="{00000000-0005-0000-0000-00006FD60000}"/>
    <cellStyle name="SAPBEXunassignedItem 2 2 2" xfId="55065" xr:uid="{00000000-0005-0000-0000-000070D60000}"/>
    <cellStyle name="SAPBEXunassignedItem 2 3" xfId="55066" xr:uid="{00000000-0005-0000-0000-000071D60000}"/>
    <cellStyle name="SAPBEXunassignedItem 2 3 2" xfId="55067" xr:uid="{00000000-0005-0000-0000-000072D60000}"/>
    <cellStyle name="SAPBEXunassignedItem 2 4" xfId="55068" xr:uid="{00000000-0005-0000-0000-000073D60000}"/>
    <cellStyle name="SAPBEXunassignedItem 2 4 2" xfId="55069" xr:uid="{00000000-0005-0000-0000-000074D60000}"/>
    <cellStyle name="SAPBEXunassignedItem 2 5" xfId="55070" xr:uid="{00000000-0005-0000-0000-000075D60000}"/>
    <cellStyle name="SAPBEXunassignedItem 2 5 2" xfId="55071" xr:uid="{00000000-0005-0000-0000-000076D60000}"/>
    <cellStyle name="SAPBEXunassignedItem 2 6" xfId="55072" xr:uid="{00000000-0005-0000-0000-000077D60000}"/>
    <cellStyle name="SAPBEXunassignedItem 2 6 2" xfId="55073" xr:uid="{00000000-0005-0000-0000-000078D60000}"/>
    <cellStyle name="SAPBEXunassignedItem 2 7" xfId="55074" xr:uid="{00000000-0005-0000-0000-000079D60000}"/>
    <cellStyle name="SAPBEXunassignedItem 20" xfId="55075" xr:uid="{00000000-0005-0000-0000-00007AD60000}"/>
    <cellStyle name="SAPBEXunassignedItem 20 2" xfId="55076" xr:uid="{00000000-0005-0000-0000-00007BD60000}"/>
    <cellStyle name="SAPBEXunassignedItem 20 2 2" xfId="55077" xr:uid="{00000000-0005-0000-0000-00007CD60000}"/>
    <cellStyle name="SAPBEXunassignedItem 20 3" xfId="55078" xr:uid="{00000000-0005-0000-0000-00007DD60000}"/>
    <cellStyle name="SAPBEXunassignedItem 20 3 2" xfId="55079" xr:uid="{00000000-0005-0000-0000-00007ED60000}"/>
    <cellStyle name="SAPBEXunassignedItem 20 4" xfId="55080" xr:uid="{00000000-0005-0000-0000-00007FD60000}"/>
    <cellStyle name="SAPBEXunassignedItem 20 4 2" xfId="55081" xr:uid="{00000000-0005-0000-0000-000080D60000}"/>
    <cellStyle name="SAPBEXunassignedItem 20 5" xfId="55082" xr:uid="{00000000-0005-0000-0000-000081D60000}"/>
    <cellStyle name="SAPBEXunassignedItem 20 5 2" xfId="55083" xr:uid="{00000000-0005-0000-0000-000082D60000}"/>
    <cellStyle name="SAPBEXunassignedItem 20 6" xfId="55084" xr:uid="{00000000-0005-0000-0000-000083D60000}"/>
    <cellStyle name="SAPBEXunassignedItem 20 6 2" xfId="55085" xr:uid="{00000000-0005-0000-0000-000084D60000}"/>
    <cellStyle name="SAPBEXunassignedItem 20 7" xfId="55086" xr:uid="{00000000-0005-0000-0000-000085D60000}"/>
    <cellStyle name="SAPBEXunassignedItem 21" xfId="55087" xr:uid="{00000000-0005-0000-0000-000086D60000}"/>
    <cellStyle name="SAPBEXunassignedItem 21 2" xfId="55088" xr:uid="{00000000-0005-0000-0000-000087D60000}"/>
    <cellStyle name="SAPBEXunassignedItem 21 2 2" xfId="55089" xr:uid="{00000000-0005-0000-0000-000088D60000}"/>
    <cellStyle name="SAPBEXunassignedItem 21 3" xfId="55090" xr:uid="{00000000-0005-0000-0000-000089D60000}"/>
    <cellStyle name="SAPBEXunassignedItem 21 3 2" xfId="55091" xr:uid="{00000000-0005-0000-0000-00008AD60000}"/>
    <cellStyle name="SAPBEXunassignedItem 21 4" xfId="55092" xr:uid="{00000000-0005-0000-0000-00008BD60000}"/>
    <cellStyle name="SAPBEXunassignedItem 21 4 2" xfId="55093" xr:uid="{00000000-0005-0000-0000-00008CD60000}"/>
    <cellStyle name="SAPBEXunassignedItem 21 5" xfId="55094" xr:uid="{00000000-0005-0000-0000-00008DD60000}"/>
    <cellStyle name="SAPBEXunassignedItem 21 5 2" xfId="55095" xr:uid="{00000000-0005-0000-0000-00008ED60000}"/>
    <cellStyle name="SAPBEXunassignedItem 21 6" xfId="55096" xr:uid="{00000000-0005-0000-0000-00008FD60000}"/>
    <cellStyle name="SAPBEXunassignedItem 21 6 2" xfId="55097" xr:uid="{00000000-0005-0000-0000-000090D60000}"/>
    <cellStyle name="SAPBEXunassignedItem 21 7" xfId="55098" xr:uid="{00000000-0005-0000-0000-000091D60000}"/>
    <cellStyle name="SAPBEXunassignedItem 22" xfId="55099" xr:uid="{00000000-0005-0000-0000-000092D60000}"/>
    <cellStyle name="SAPBEXunassignedItem 22 2" xfId="55100" xr:uid="{00000000-0005-0000-0000-000093D60000}"/>
    <cellStyle name="SAPBEXunassignedItem 22 2 2" xfId="55101" xr:uid="{00000000-0005-0000-0000-000094D60000}"/>
    <cellStyle name="SAPBEXunassignedItem 22 3" xfId="55102" xr:uid="{00000000-0005-0000-0000-000095D60000}"/>
    <cellStyle name="SAPBEXunassignedItem 22 3 2" xfId="55103" xr:uid="{00000000-0005-0000-0000-000096D60000}"/>
    <cellStyle name="SAPBEXunassignedItem 22 4" xfId="55104" xr:uid="{00000000-0005-0000-0000-000097D60000}"/>
    <cellStyle name="SAPBEXunassignedItem 22 4 2" xfId="55105" xr:uid="{00000000-0005-0000-0000-000098D60000}"/>
    <cellStyle name="SAPBEXunassignedItem 22 5" xfId="55106" xr:uid="{00000000-0005-0000-0000-000099D60000}"/>
    <cellStyle name="SAPBEXunassignedItem 22 5 2" xfId="55107" xr:uid="{00000000-0005-0000-0000-00009AD60000}"/>
    <cellStyle name="SAPBEXunassignedItem 22 6" xfId="55108" xr:uid="{00000000-0005-0000-0000-00009BD60000}"/>
    <cellStyle name="SAPBEXunassignedItem 22 6 2" xfId="55109" xr:uid="{00000000-0005-0000-0000-00009CD60000}"/>
    <cellStyle name="SAPBEXunassignedItem 22 7" xfId="55110" xr:uid="{00000000-0005-0000-0000-00009DD60000}"/>
    <cellStyle name="SAPBEXunassignedItem 23" xfId="55111" xr:uid="{00000000-0005-0000-0000-00009ED60000}"/>
    <cellStyle name="SAPBEXunassignedItem 23 2" xfId="55112" xr:uid="{00000000-0005-0000-0000-00009FD60000}"/>
    <cellStyle name="SAPBEXunassignedItem 23 2 2" xfId="55113" xr:uid="{00000000-0005-0000-0000-0000A0D60000}"/>
    <cellStyle name="SAPBEXunassignedItem 23 3" xfId="55114" xr:uid="{00000000-0005-0000-0000-0000A1D60000}"/>
    <cellStyle name="SAPBEXunassignedItem 23 3 2" xfId="55115" xr:uid="{00000000-0005-0000-0000-0000A2D60000}"/>
    <cellStyle name="SAPBEXunassignedItem 23 4" xfId="55116" xr:uid="{00000000-0005-0000-0000-0000A3D60000}"/>
    <cellStyle name="SAPBEXunassignedItem 23 4 2" xfId="55117" xr:uid="{00000000-0005-0000-0000-0000A4D60000}"/>
    <cellStyle name="SAPBEXunassignedItem 23 5" xfId="55118" xr:uid="{00000000-0005-0000-0000-0000A5D60000}"/>
    <cellStyle name="SAPBEXunassignedItem 23 5 2" xfId="55119" xr:uid="{00000000-0005-0000-0000-0000A6D60000}"/>
    <cellStyle name="SAPBEXunassignedItem 23 6" xfId="55120" xr:uid="{00000000-0005-0000-0000-0000A7D60000}"/>
    <cellStyle name="SAPBEXunassignedItem 23 6 2" xfId="55121" xr:uid="{00000000-0005-0000-0000-0000A8D60000}"/>
    <cellStyle name="SAPBEXunassignedItem 23 7" xfId="55122" xr:uid="{00000000-0005-0000-0000-0000A9D60000}"/>
    <cellStyle name="SAPBEXunassignedItem 24" xfId="55123" xr:uid="{00000000-0005-0000-0000-0000AAD60000}"/>
    <cellStyle name="SAPBEXunassignedItem 24 2" xfId="55124" xr:uid="{00000000-0005-0000-0000-0000ABD60000}"/>
    <cellStyle name="SAPBEXunassignedItem 24 2 2" xfId="55125" xr:uid="{00000000-0005-0000-0000-0000ACD60000}"/>
    <cellStyle name="SAPBEXunassignedItem 24 3" xfId="55126" xr:uid="{00000000-0005-0000-0000-0000ADD60000}"/>
    <cellStyle name="SAPBEXunassignedItem 24 3 2" xfId="55127" xr:uid="{00000000-0005-0000-0000-0000AED60000}"/>
    <cellStyle name="SAPBEXunassignedItem 24 4" xfId="55128" xr:uid="{00000000-0005-0000-0000-0000AFD60000}"/>
    <cellStyle name="SAPBEXunassignedItem 24 4 2" xfId="55129" xr:uid="{00000000-0005-0000-0000-0000B0D60000}"/>
    <cellStyle name="SAPBEXunassignedItem 24 5" xfId="55130" xr:uid="{00000000-0005-0000-0000-0000B1D60000}"/>
    <cellStyle name="SAPBEXunassignedItem 24 5 2" xfId="55131" xr:uid="{00000000-0005-0000-0000-0000B2D60000}"/>
    <cellStyle name="SAPBEXunassignedItem 24 6" xfId="55132" xr:uid="{00000000-0005-0000-0000-0000B3D60000}"/>
    <cellStyle name="SAPBEXunassignedItem 24 6 2" xfId="55133" xr:uid="{00000000-0005-0000-0000-0000B4D60000}"/>
    <cellStyle name="SAPBEXunassignedItem 24 7" xfId="55134" xr:uid="{00000000-0005-0000-0000-0000B5D60000}"/>
    <cellStyle name="SAPBEXunassignedItem 25" xfId="55135" xr:uid="{00000000-0005-0000-0000-0000B6D60000}"/>
    <cellStyle name="SAPBEXunassignedItem 25 2" xfId="55136" xr:uid="{00000000-0005-0000-0000-0000B7D60000}"/>
    <cellStyle name="SAPBEXunassignedItem 25 2 2" xfId="55137" xr:uid="{00000000-0005-0000-0000-0000B8D60000}"/>
    <cellStyle name="SAPBEXunassignedItem 25 3" xfId="55138" xr:uid="{00000000-0005-0000-0000-0000B9D60000}"/>
    <cellStyle name="SAPBEXunassignedItem 25 3 2" xfId="55139" xr:uid="{00000000-0005-0000-0000-0000BAD60000}"/>
    <cellStyle name="SAPBEXunassignedItem 25 4" xfId="55140" xr:uid="{00000000-0005-0000-0000-0000BBD60000}"/>
    <cellStyle name="SAPBEXunassignedItem 25 4 2" xfId="55141" xr:uid="{00000000-0005-0000-0000-0000BCD60000}"/>
    <cellStyle name="SAPBEXunassignedItem 25 5" xfId="55142" xr:uid="{00000000-0005-0000-0000-0000BDD60000}"/>
    <cellStyle name="SAPBEXunassignedItem 25 5 2" xfId="55143" xr:uid="{00000000-0005-0000-0000-0000BED60000}"/>
    <cellStyle name="SAPBEXunassignedItem 25 6" xfId="55144" xr:uid="{00000000-0005-0000-0000-0000BFD60000}"/>
    <cellStyle name="SAPBEXunassignedItem 25 6 2" xfId="55145" xr:uid="{00000000-0005-0000-0000-0000C0D60000}"/>
    <cellStyle name="SAPBEXunassignedItem 25 7" xfId="55146" xr:uid="{00000000-0005-0000-0000-0000C1D60000}"/>
    <cellStyle name="SAPBEXunassignedItem 26" xfId="55147" xr:uid="{00000000-0005-0000-0000-0000C2D60000}"/>
    <cellStyle name="SAPBEXunassignedItem 26 2" xfId="55148" xr:uid="{00000000-0005-0000-0000-0000C3D60000}"/>
    <cellStyle name="SAPBEXunassignedItem 26 2 2" xfId="55149" xr:uid="{00000000-0005-0000-0000-0000C4D60000}"/>
    <cellStyle name="SAPBEXunassignedItem 26 3" xfId="55150" xr:uid="{00000000-0005-0000-0000-0000C5D60000}"/>
    <cellStyle name="SAPBEXunassignedItem 26 3 2" xfId="55151" xr:uid="{00000000-0005-0000-0000-0000C6D60000}"/>
    <cellStyle name="SAPBEXunassignedItem 26 4" xfId="55152" xr:uid="{00000000-0005-0000-0000-0000C7D60000}"/>
    <cellStyle name="SAPBEXunassignedItem 26 4 2" xfId="55153" xr:uid="{00000000-0005-0000-0000-0000C8D60000}"/>
    <cellStyle name="SAPBEXunassignedItem 26 5" xfId="55154" xr:uid="{00000000-0005-0000-0000-0000C9D60000}"/>
    <cellStyle name="SAPBEXunassignedItem 26 5 2" xfId="55155" xr:uid="{00000000-0005-0000-0000-0000CAD60000}"/>
    <cellStyle name="SAPBEXunassignedItem 26 6" xfId="55156" xr:uid="{00000000-0005-0000-0000-0000CBD60000}"/>
    <cellStyle name="SAPBEXunassignedItem 26 6 2" xfId="55157" xr:uid="{00000000-0005-0000-0000-0000CCD60000}"/>
    <cellStyle name="SAPBEXunassignedItem 26 7" xfId="55158" xr:uid="{00000000-0005-0000-0000-0000CDD60000}"/>
    <cellStyle name="SAPBEXunassignedItem 27" xfId="55159" xr:uid="{00000000-0005-0000-0000-0000CED60000}"/>
    <cellStyle name="SAPBEXunassignedItem 27 2" xfId="55160" xr:uid="{00000000-0005-0000-0000-0000CFD60000}"/>
    <cellStyle name="SAPBEXunassignedItem 27 2 2" xfId="55161" xr:uid="{00000000-0005-0000-0000-0000D0D60000}"/>
    <cellStyle name="SAPBEXunassignedItem 27 3" xfId="55162" xr:uid="{00000000-0005-0000-0000-0000D1D60000}"/>
    <cellStyle name="SAPBEXunassignedItem 27 3 2" xfId="55163" xr:uid="{00000000-0005-0000-0000-0000D2D60000}"/>
    <cellStyle name="SAPBEXunassignedItem 27 4" xfId="55164" xr:uid="{00000000-0005-0000-0000-0000D3D60000}"/>
    <cellStyle name="SAPBEXunassignedItem 27 4 2" xfId="55165" xr:uid="{00000000-0005-0000-0000-0000D4D60000}"/>
    <cellStyle name="SAPBEXunassignedItem 27 5" xfId="55166" xr:uid="{00000000-0005-0000-0000-0000D5D60000}"/>
    <cellStyle name="SAPBEXunassignedItem 27 5 2" xfId="55167" xr:uid="{00000000-0005-0000-0000-0000D6D60000}"/>
    <cellStyle name="SAPBEXunassignedItem 27 6" xfId="55168" xr:uid="{00000000-0005-0000-0000-0000D7D60000}"/>
    <cellStyle name="SAPBEXunassignedItem 27 6 2" xfId="55169" xr:uid="{00000000-0005-0000-0000-0000D8D60000}"/>
    <cellStyle name="SAPBEXunassignedItem 27 7" xfId="55170" xr:uid="{00000000-0005-0000-0000-0000D9D60000}"/>
    <cellStyle name="SAPBEXunassignedItem 28" xfId="55171" xr:uid="{00000000-0005-0000-0000-0000DAD60000}"/>
    <cellStyle name="SAPBEXunassignedItem 28 2" xfId="55172" xr:uid="{00000000-0005-0000-0000-0000DBD60000}"/>
    <cellStyle name="SAPBEXunassignedItem 28 2 2" xfId="55173" xr:uid="{00000000-0005-0000-0000-0000DCD60000}"/>
    <cellStyle name="SAPBEXunassignedItem 28 3" xfId="55174" xr:uid="{00000000-0005-0000-0000-0000DDD60000}"/>
    <cellStyle name="SAPBEXunassignedItem 28 3 2" xfId="55175" xr:uid="{00000000-0005-0000-0000-0000DED60000}"/>
    <cellStyle name="SAPBEXunassignedItem 28 4" xfId="55176" xr:uid="{00000000-0005-0000-0000-0000DFD60000}"/>
    <cellStyle name="SAPBEXunassignedItem 28 4 2" xfId="55177" xr:uid="{00000000-0005-0000-0000-0000E0D60000}"/>
    <cellStyle name="SAPBEXunassignedItem 28 5" xfId="55178" xr:uid="{00000000-0005-0000-0000-0000E1D60000}"/>
    <cellStyle name="SAPBEXunassignedItem 28 5 2" xfId="55179" xr:uid="{00000000-0005-0000-0000-0000E2D60000}"/>
    <cellStyle name="SAPBEXunassignedItem 28 6" xfId="55180" xr:uid="{00000000-0005-0000-0000-0000E3D60000}"/>
    <cellStyle name="SAPBEXunassignedItem 28 6 2" xfId="55181" xr:uid="{00000000-0005-0000-0000-0000E4D60000}"/>
    <cellStyle name="SAPBEXunassignedItem 28 7" xfId="55182" xr:uid="{00000000-0005-0000-0000-0000E5D60000}"/>
    <cellStyle name="SAPBEXunassignedItem 29" xfId="55183" xr:uid="{00000000-0005-0000-0000-0000E6D60000}"/>
    <cellStyle name="SAPBEXunassignedItem 29 2" xfId="55184" xr:uid="{00000000-0005-0000-0000-0000E7D60000}"/>
    <cellStyle name="SAPBEXunassignedItem 29 2 2" xfId="55185" xr:uid="{00000000-0005-0000-0000-0000E8D60000}"/>
    <cellStyle name="SAPBEXunassignedItem 29 3" xfId="55186" xr:uid="{00000000-0005-0000-0000-0000E9D60000}"/>
    <cellStyle name="SAPBEXunassignedItem 29 3 2" xfId="55187" xr:uid="{00000000-0005-0000-0000-0000EAD60000}"/>
    <cellStyle name="SAPBEXunassignedItem 29 4" xfId="55188" xr:uid="{00000000-0005-0000-0000-0000EBD60000}"/>
    <cellStyle name="SAPBEXunassignedItem 29 4 2" xfId="55189" xr:uid="{00000000-0005-0000-0000-0000ECD60000}"/>
    <cellStyle name="SAPBEXunassignedItem 29 5" xfId="55190" xr:uid="{00000000-0005-0000-0000-0000EDD60000}"/>
    <cellStyle name="SAPBEXunassignedItem 29 5 2" xfId="55191" xr:uid="{00000000-0005-0000-0000-0000EED60000}"/>
    <cellStyle name="SAPBEXunassignedItem 29 6" xfId="55192" xr:uid="{00000000-0005-0000-0000-0000EFD60000}"/>
    <cellStyle name="SAPBEXunassignedItem 29 6 2" xfId="55193" xr:uid="{00000000-0005-0000-0000-0000F0D60000}"/>
    <cellStyle name="SAPBEXunassignedItem 29 7" xfId="55194" xr:uid="{00000000-0005-0000-0000-0000F1D60000}"/>
    <cellStyle name="SAPBEXunassignedItem 3" xfId="55195" xr:uid="{00000000-0005-0000-0000-0000F2D60000}"/>
    <cellStyle name="SAPBEXunassignedItem 3 2" xfId="55196" xr:uid="{00000000-0005-0000-0000-0000F3D60000}"/>
    <cellStyle name="SAPBEXunassignedItem 3 2 2" xfId="55197" xr:uid="{00000000-0005-0000-0000-0000F4D60000}"/>
    <cellStyle name="SAPBEXunassignedItem 3 3" xfId="55198" xr:uid="{00000000-0005-0000-0000-0000F5D60000}"/>
    <cellStyle name="SAPBEXunassignedItem 3 3 2" xfId="55199" xr:uid="{00000000-0005-0000-0000-0000F6D60000}"/>
    <cellStyle name="SAPBEXunassignedItem 3 4" xfId="55200" xr:uid="{00000000-0005-0000-0000-0000F7D60000}"/>
    <cellStyle name="SAPBEXunassignedItem 3 4 2" xfId="55201" xr:uid="{00000000-0005-0000-0000-0000F8D60000}"/>
    <cellStyle name="SAPBEXunassignedItem 3 5" xfId="55202" xr:uid="{00000000-0005-0000-0000-0000F9D60000}"/>
    <cellStyle name="SAPBEXunassignedItem 3 5 2" xfId="55203" xr:uid="{00000000-0005-0000-0000-0000FAD60000}"/>
    <cellStyle name="SAPBEXunassignedItem 3 6" xfId="55204" xr:uid="{00000000-0005-0000-0000-0000FBD60000}"/>
    <cellStyle name="SAPBEXunassignedItem 3 6 2" xfId="55205" xr:uid="{00000000-0005-0000-0000-0000FCD60000}"/>
    <cellStyle name="SAPBEXunassignedItem 3 7" xfId="55206" xr:uid="{00000000-0005-0000-0000-0000FDD60000}"/>
    <cellStyle name="SAPBEXunassignedItem 30" xfId="55207" xr:uid="{00000000-0005-0000-0000-0000FED60000}"/>
    <cellStyle name="SAPBEXunassignedItem 30 2" xfId="55208" xr:uid="{00000000-0005-0000-0000-0000FFD60000}"/>
    <cellStyle name="SAPBEXunassignedItem 30 2 2" xfId="55209" xr:uid="{00000000-0005-0000-0000-000000D70000}"/>
    <cellStyle name="SAPBEXunassignedItem 30 3" xfId="55210" xr:uid="{00000000-0005-0000-0000-000001D70000}"/>
    <cellStyle name="SAPBEXunassignedItem 30 3 2" xfId="55211" xr:uid="{00000000-0005-0000-0000-000002D70000}"/>
    <cellStyle name="SAPBEXunassignedItem 30 4" xfId="55212" xr:uid="{00000000-0005-0000-0000-000003D70000}"/>
    <cellStyle name="SAPBEXunassignedItem 30 4 2" xfId="55213" xr:uid="{00000000-0005-0000-0000-000004D70000}"/>
    <cellStyle name="SAPBEXunassignedItem 30 5" xfId="55214" xr:uid="{00000000-0005-0000-0000-000005D70000}"/>
    <cellStyle name="SAPBEXunassignedItem 30 5 2" xfId="55215" xr:uid="{00000000-0005-0000-0000-000006D70000}"/>
    <cellStyle name="SAPBEXunassignedItem 30 6" xfId="55216" xr:uid="{00000000-0005-0000-0000-000007D70000}"/>
    <cellStyle name="SAPBEXunassignedItem 30 6 2" xfId="55217" xr:uid="{00000000-0005-0000-0000-000008D70000}"/>
    <cellStyle name="SAPBEXunassignedItem 30 7" xfId="55218" xr:uid="{00000000-0005-0000-0000-000009D70000}"/>
    <cellStyle name="SAPBEXunassignedItem 31" xfId="55219" xr:uid="{00000000-0005-0000-0000-00000AD70000}"/>
    <cellStyle name="SAPBEXunassignedItem 31 2" xfId="55220" xr:uid="{00000000-0005-0000-0000-00000BD70000}"/>
    <cellStyle name="SAPBEXunassignedItem 31 2 2" xfId="55221" xr:uid="{00000000-0005-0000-0000-00000CD70000}"/>
    <cellStyle name="SAPBEXunassignedItem 31 3" xfId="55222" xr:uid="{00000000-0005-0000-0000-00000DD70000}"/>
    <cellStyle name="SAPBEXunassignedItem 31 3 2" xfId="55223" xr:uid="{00000000-0005-0000-0000-00000ED70000}"/>
    <cellStyle name="SAPBEXunassignedItem 31 4" xfId="55224" xr:uid="{00000000-0005-0000-0000-00000FD70000}"/>
    <cellStyle name="SAPBEXunassignedItem 31 4 2" xfId="55225" xr:uid="{00000000-0005-0000-0000-000010D70000}"/>
    <cellStyle name="SAPBEXunassignedItem 31 5" xfId="55226" xr:uid="{00000000-0005-0000-0000-000011D70000}"/>
    <cellStyle name="SAPBEXunassignedItem 31 5 2" xfId="55227" xr:uid="{00000000-0005-0000-0000-000012D70000}"/>
    <cellStyle name="SAPBEXunassignedItem 31 6" xfId="55228" xr:uid="{00000000-0005-0000-0000-000013D70000}"/>
    <cellStyle name="SAPBEXunassignedItem 31 6 2" xfId="55229" xr:uid="{00000000-0005-0000-0000-000014D70000}"/>
    <cellStyle name="SAPBEXunassignedItem 31 7" xfId="55230" xr:uid="{00000000-0005-0000-0000-000015D70000}"/>
    <cellStyle name="SAPBEXunassignedItem 32" xfId="55231" xr:uid="{00000000-0005-0000-0000-000016D70000}"/>
    <cellStyle name="SAPBEXunassignedItem 32 2" xfId="55232" xr:uid="{00000000-0005-0000-0000-000017D70000}"/>
    <cellStyle name="SAPBEXunassignedItem 32 2 2" xfId="55233" xr:uid="{00000000-0005-0000-0000-000018D70000}"/>
    <cellStyle name="SAPBEXunassignedItem 32 3" xfId="55234" xr:uid="{00000000-0005-0000-0000-000019D70000}"/>
    <cellStyle name="SAPBEXunassignedItem 32 3 2" xfId="55235" xr:uid="{00000000-0005-0000-0000-00001AD70000}"/>
    <cellStyle name="SAPBEXunassignedItem 32 4" xfId="55236" xr:uid="{00000000-0005-0000-0000-00001BD70000}"/>
    <cellStyle name="SAPBEXunassignedItem 32 4 2" xfId="55237" xr:uid="{00000000-0005-0000-0000-00001CD70000}"/>
    <cellStyle name="SAPBEXunassignedItem 32 5" xfId="55238" xr:uid="{00000000-0005-0000-0000-00001DD70000}"/>
    <cellStyle name="SAPBEXunassignedItem 32 5 2" xfId="55239" xr:uid="{00000000-0005-0000-0000-00001ED70000}"/>
    <cellStyle name="SAPBEXunassignedItem 32 6" xfId="55240" xr:uid="{00000000-0005-0000-0000-00001FD70000}"/>
    <cellStyle name="SAPBEXunassignedItem 32 6 2" xfId="55241" xr:uid="{00000000-0005-0000-0000-000020D70000}"/>
    <cellStyle name="SAPBEXunassignedItem 32 7" xfId="55242" xr:uid="{00000000-0005-0000-0000-000021D70000}"/>
    <cellStyle name="SAPBEXunassignedItem 33" xfId="55243" xr:uid="{00000000-0005-0000-0000-000022D70000}"/>
    <cellStyle name="SAPBEXunassignedItem 33 2" xfId="55244" xr:uid="{00000000-0005-0000-0000-000023D70000}"/>
    <cellStyle name="SAPBEXunassignedItem 33 2 2" xfId="55245" xr:uid="{00000000-0005-0000-0000-000024D70000}"/>
    <cellStyle name="SAPBEXunassignedItem 33 3" xfId="55246" xr:uid="{00000000-0005-0000-0000-000025D70000}"/>
    <cellStyle name="SAPBEXunassignedItem 33 3 2" xfId="55247" xr:uid="{00000000-0005-0000-0000-000026D70000}"/>
    <cellStyle name="SAPBEXunassignedItem 33 4" xfId="55248" xr:uid="{00000000-0005-0000-0000-000027D70000}"/>
    <cellStyle name="SAPBEXunassignedItem 33 4 2" xfId="55249" xr:uid="{00000000-0005-0000-0000-000028D70000}"/>
    <cellStyle name="SAPBEXunassignedItem 33 5" xfId="55250" xr:uid="{00000000-0005-0000-0000-000029D70000}"/>
    <cellStyle name="SAPBEXunassignedItem 33 5 2" xfId="55251" xr:uid="{00000000-0005-0000-0000-00002AD70000}"/>
    <cellStyle name="SAPBEXunassignedItem 33 6" xfId="55252" xr:uid="{00000000-0005-0000-0000-00002BD70000}"/>
    <cellStyle name="SAPBEXunassignedItem 33 6 2" xfId="55253" xr:uid="{00000000-0005-0000-0000-00002CD70000}"/>
    <cellStyle name="SAPBEXunassignedItem 33 7" xfId="55254" xr:uid="{00000000-0005-0000-0000-00002DD70000}"/>
    <cellStyle name="SAPBEXunassignedItem 34" xfId="55255" xr:uid="{00000000-0005-0000-0000-00002ED70000}"/>
    <cellStyle name="SAPBEXunassignedItem 34 2" xfId="55256" xr:uid="{00000000-0005-0000-0000-00002FD70000}"/>
    <cellStyle name="SAPBEXunassignedItem 34 2 2" xfId="55257" xr:uid="{00000000-0005-0000-0000-000030D70000}"/>
    <cellStyle name="SAPBEXunassignedItem 34 3" xfId="55258" xr:uid="{00000000-0005-0000-0000-000031D70000}"/>
    <cellStyle name="SAPBEXunassignedItem 34 3 2" xfId="55259" xr:uid="{00000000-0005-0000-0000-000032D70000}"/>
    <cellStyle name="SAPBEXunassignedItem 34 4" xfId="55260" xr:uid="{00000000-0005-0000-0000-000033D70000}"/>
    <cellStyle name="SAPBEXunassignedItem 34 4 2" xfId="55261" xr:uid="{00000000-0005-0000-0000-000034D70000}"/>
    <cellStyle name="SAPBEXunassignedItem 34 5" xfId="55262" xr:uid="{00000000-0005-0000-0000-000035D70000}"/>
    <cellStyle name="SAPBEXunassignedItem 34 5 2" xfId="55263" xr:uid="{00000000-0005-0000-0000-000036D70000}"/>
    <cellStyle name="SAPBEXunassignedItem 34 6" xfId="55264" xr:uid="{00000000-0005-0000-0000-000037D70000}"/>
    <cellStyle name="SAPBEXunassignedItem 34 6 2" xfId="55265" xr:uid="{00000000-0005-0000-0000-000038D70000}"/>
    <cellStyle name="SAPBEXunassignedItem 34 7" xfId="55266" xr:uid="{00000000-0005-0000-0000-000039D70000}"/>
    <cellStyle name="SAPBEXunassignedItem 35" xfId="55267" xr:uid="{00000000-0005-0000-0000-00003AD70000}"/>
    <cellStyle name="SAPBEXunassignedItem 35 2" xfId="55268" xr:uid="{00000000-0005-0000-0000-00003BD70000}"/>
    <cellStyle name="SAPBEXunassignedItem 35 2 2" xfId="55269" xr:uid="{00000000-0005-0000-0000-00003CD70000}"/>
    <cellStyle name="SAPBEXunassignedItem 35 3" xfId="55270" xr:uid="{00000000-0005-0000-0000-00003DD70000}"/>
    <cellStyle name="SAPBEXunassignedItem 35 3 2" xfId="55271" xr:uid="{00000000-0005-0000-0000-00003ED70000}"/>
    <cellStyle name="SAPBEXunassignedItem 35 4" xfId="55272" xr:uid="{00000000-0005-0000-0000-00003FD70000}"/>
    <cellStyle name="SAPBEXunassignedItem 35 4 2" xfId="55273" xr:uid="{00000000-0005-0000-0000-000040D70000}"/>
    <cellStyle name="SAPBEXunassignedItem 35 5" xfId="55274" xr:uid="{00000000-0005-0000-0000-000041D70000}"/>
    <cellStyle name="SAPBEXunassignedItem 35 5 2" xfId="55275" xr:uid="{00000000-0005-0000-0000-000042D70000}"/>
    <cellStyle name="SAPBEXunassignedItem 35 6" xfId="55276" xr:uid="{00000000-0005-0000-0000-000043D70000}"/>
    <cellStyle name="SAPBEXunassignedItem 35 6 2" xfId="55277" xr:uid="{00000000-0005-0000-0000-000044D70000}"/>
    <cellStyle name="SAPBEXunassignedItem 35 7" xfId="55278" xr:uid="{00000000-0005-0000-0000-000045D70000}"/>
    <cellStyle name="SAPBEXunassignedItem 36" xfId="55279" xr:uid="{00000000-0005-0000-0000-000046D70000}"/>
    <cellStyle name="SAPBEXunassignedItem 36 2" xfId="55280" xr:uid="{00000000-0005-0000-0000-000047D70000}"/>
    <cellStyle name="SAPBEXunassignedItem 36 2 2" xfId="55281" xr:uid="{00000000-0005-0000-0000-000048D70000}"/>
    <cellStyle name="SAPBEXunassignedItem 36 3" xfId="55282" xr:uid="{00000000-0005-0000-0000-000049D70000}"/>
    <cellStyle name="SAPBEXunassignedItem 36 3 2" xfId="55283" xr:uid="{00000000-0005-0000-0000-00004AD70000}"/>
    <cellStyle name="SAPBEXunassignedItem 36 4" xfId="55284" xr:uid="{00000000-0005-0000-0000-00004BD70000}"/>
    <cellStyle name="SAPBEXunassignedItem 36 4 2" xfId="55285" xr:uid="{00000000-0005-0000-0000-00004CD70000}"/>
    <cellStyle name="SAPBEXunassignedItem 36 5" xfId="55286" xr:uid="{00000000-0005-0000-0000-00004DD70000}"/>
    <cellStyle name="SAPBEXunassignedItem 36 5 2" xfId="55287" xr:uid="{00000000-0005-0000-0000-00004ED70000}"/>
    <cellStyle name="SAPBEXunassignedItem 36 6" xfId="55288" xr:uid="{00000000-0005-0000-0000-00004FD70000}"/>
    <cellStyle name="SAPBEXunassignedItem 36 6 2" xfId="55289" xr:uid="{00000000-0005-0000-0000-000050D70000}"/>
    <cellStyle name="SAPBEXunassignedItem 36 7" xfId="55290" xr:uid="{00000000-0005-0000-0000-000051D70000}"/>
    <cellStyle name="SAPBEXunassignedItem 37" xfId="55291" xr:uid="{00000000-0005-0000-0000-000052D70000}"/>
    <cellStyle name="SAPBEXunassignedItem 37 2" xfId="55292" xr:uid="{00000000-0005-0000-0000-000053D70000}"/>
    <cellStyle name="SAPBEXunassignedItem 37 2 2" xfId="55293" xr:uid="{00000000-0005-0000-0000-000054D70000}"/>
    <cellStyle name="SAPBEXunassignedItem 37 3" xfId="55294" xr:uid="{00000000-0005-0000-0000-000055D70000}"/>
    <cellStyle name="SAPBEXunassignedItem 37 3 2" xfId="55295" xr:uid="{00000000-0005-0000-0000-000056D70000}"/>
    <cellStyle name="SAPBEXunassignedItem 37 4" xfId="55296" xr:uid="{00000000-0005-0000-0000-000057D70000}"/>
    <cellStyle name="SAPBEXunassignedItem 37 4 2" xfId="55297" xr:uid="{00000000-0005-0000-0000-000058D70000}"/>
    <cellStyle name="SAPBEXunassignedItem 37 5" xfId="55298" xr:uid="{00000000-0005-0000-0000-000059D70000}"/>
    <cellStyle name="SAPBEXunassignedItem 37 5 2" xfId="55299" xr:uid="{00000000-0005-0000-0000-00005AD70000}"/>
    <cellStyle name="SAPBEXunassignedItem 37 6" xfId="55300" xr:uid="{00000000-0005-0000-0000-00005BD70000}"/>
    <cellStyle name="SAPBEXunassignedItem 37 6 2" xfId="55301" xr:uid="{00000000-0005-0000-0000-00005CD70000}"/>
    <cellStyle name="SAPBEXunassignedItem 37 7" xfId="55302" xr:uid="{00000000-0005-0000-0000-00005DD70000}"/>
    <cellStyle name="SAPBEXunassignedItem 38" xfId="55303" xr:uid="{00000000-0005-0000-0000-00005ED70000}"/>
    <cellStyle name="SAPBEXunassignedItem 38 2" xfId="55304" xr:uid="{00000000-0005-0000-0000-00005FD70000}"/>
    <cellStyle name="SAPBEXunassignedItem 38 2 2" xfId="55305" xr:uid="{00000000-0005-0000-0000-000060D70000}"/>
    <cellStyle name="SAPBEXunassignedItem 38 3" xfId="55306" xr:uid="{00000000-0005-0000-0000-000061D70000}"/>
    <cellStyle name="SAPBEXunassignedItem 38 3 2" xfId="55307" xr:uid="{00000000-0005-0000-0000-000062D70000}"/>
    <cellStyle name="SAPBEXunassignedItem 38 4" xfId="55308" xr:uid="{00000000-0005-0000-0000-000063D70000}"/>
    <cellStyle name="SAPBEXunassignedItem 38 4 2" xfId="55309" xr:uid="{00000000-0005-0000-0000-000064D70000}"/>
    <cellStyle name="SAPBEXunassignedItem 38 5" xfId="55310" xr:uid="{00000000-0005-0000-0000-000065D70000}"/>
    <cellStyle name="SAPBEXunassignedItem 38 5 2" xfId="55311" xr:uid="{00000000-0005-0000-0000-000066D70000}"/>
    <cellStyle name="SAPBEXunassignedItem 38 6" xfId="55312" xr:uid="{00000000-0005-0000-0000-000067D70000}"/>
    <cellStyle name="SAPBEXunassignedItem 38 6 2" xfId="55313" xr:uid="{00000000-0005-0000-0000-000068D70000}"/>
    <cellStyle name="SAPBEXunassignedItem 38 7" xfId="55314" xr:uid="{00000000-0005-0000-0000-000069D70000}"/>
    <cellStyle name="SAPBEXunassignedItem 39" xfId="55315" xr:uid="{00000000-0005-0000-0000-00006AD70000}"/>
    <cellStyle name="SAPBEXunassignedItem 39 2" xfId="55316" xr:uid="{00000000-0005-0000-0000-00006BD70000}"/>
    <cellStyle name="SAPBEXunassignedItem 39 2 2" xfId="55317" xr:uid="{00000000-0005-0000-0000-00006CD70000}"/>
    <cellStyle name="SAPBEXunassignedItem 39 3" xfId="55318" xr:uid="{00000000-0005-0000-0000-00006DD70000}"/>
    <cellStyle name="SAPBEXunassignedItem 39 3 2" xfId="55319" xr:uid="{00000000-0005-0000-0000-00006ED70000}"/>
    <cellStyle name="SAPBEXunassignedItem 39 4" xfId="55320" xr:uid="{00000000-0005-0000-0000-00006FD70000}"/>
    <cellStyle name="SAPBEXunassignedItem 39 4 2" xfId="55321" xr:uid="{00000000-0005-0000-0000-000070D70000}"/>
    <cellStyle name="SAPBEXunassignedItem 39 5" xfId="55322" xr:uid="{00000000-0005-0000-0000-000071D70000}"/>
    <cellStyle name="SAPBEXunassignedItem 39 5 2" xfId="55323" xr:uid="{00000000-0005-0000-0000-000072D70000}"/>
    <cellStyle name="SAPBEXunassignedItem 39 6" xfId="55324" xr:uid="{00000000-0005-0000-0000-000073D70000}"/>
    <cellStyle name="SAPBEXunassignedItem 39 6 2" xfId="55325" xr:uid="{00000000-0005-0000-0000-000074D70000}"/>
    <cellStyle name="SAPBEXunassignedItem 39 7" xfId="55326" xr:uid="{00000000-0005-0000-0000-000075D70000}"/>
    <cellStyle name="SAPBEXunassignedItem 4" xfId="55327" xr:uid="{00000000-0005-0000-0000-000076D70000}"/>
    <cellStyle name="SAPBEXunassignedItem 4 2" xfId="55328" xr:uid="{00000000-0005-0000-0000-000077D70000}"/>
    <cellStyle name="SAPBEXunassignedItem 4 2 2" xfId="55329" xr:uid="{00000000-0005-0000-0000-000078D70000}"/>
    <cellStyle name="SAPBEXunassignedItem 4 3" xfId="55330" xr:uid="{00000000-0005-0000-0000-000079D70000}"/>
    <cellStyle name="SAPBEXunassignedItem 4 3 2" xfId="55331" xr:uid="{00000000-0005-0000-0000-00007AD70000}"/>
    <cellStyle name="SAPBEXunassignedItem 4 4" xfId="55332" xr:uid="{00000000-0005-0000-0000-00007BD70000}"/>
    <cellStyle name="SAPBEXunassignedItem 4 4 2" xfId="55333" xr:uid="{00000000-0005-0000-0000-00007CD70000}"/>
    <cellStyle name="SAPBEXunassignedItem 4 5" xfId="55334" xr:uid="{00000000-0005-0000-0000-00007DD70000}"/>
    <cellStyle name="SAPBEXunassignedItem 4 5 2" xfId="55335" xr:uid="{00000000-0005-0000-0000-00007ED70000}"/>
    <cellStyle name="SAPBEXunassignedItem 4 6" xfId="55336" xr:uid="{00000000-0005-0000-0000-00007FD70000}"/>
    <cellStyle name="SAPBEXunassignedItem 4 6 2" xfId="55337" xr:uid="{00000000-0005-0000-0000-000080D70000}"/>
    <cellStyle name="SAPBEXunassignedItem 4 7" xfId="55338" xr:uid="{00000000-0005-0000-0000-000081D70000}"/>
    <cellStyle name="SAPBEXunassignedItem 40" xfId="55339" xr:uid="{00000000-0005-0000-0000-000082D70000}"/>
    <cellStyle name="SAPBEXunassignedItem 40 2" xfId="55340" xr:uid="{00000000-0005-0000-0000-000083D70000}"/>
    <cellStyle name="SAPBEXunassignedItem 40 2 2" xfId="55341" xr:uid="{00000000-0005-0000-0000-000084D70000}"/>
    <cellStyle name="SAPBEXunassignedItem 40 3" xfId="55342" xr:uid="{00000000-0005-0000-0000-000085D70000}"/>
    <cellStyle name="SAPBEXunassignedItem 40 3 2" xfId="55343" xr:uid="{00000000-0005-0000-0000-000086D70000}"/>
    <cellStyle name="SAPBEXunassignedItem 40 4" xfId="55344" xr:uid="{00000000-0005-0000-0000-000087D70000}"/>
    <cellStyle name="SAPBEXunassignedItem 40 4 2" xfId="55345" xr:uid="{00000000-0005-0000-0000-000088D70000}"/>
    <cellStyle name="SAPBEXunassignedItem 40 5" xfId="55346" xr:uid="{00000000-0005-0000-0000-000089D70000}"/>
    <cellStyle name="SAPBEXunassignedItem 40 5 2" xfId="55347" xr:uid="{00000000-0005-0000-0000-00008AD70000}"/>
    <cellStyle name="SAPBEXunassignedItem 40 6" xfId="55348" xr:uid="{00000000-0005-0000-0000-00008BD70000}"/>
    <cellStyle name="SAPBEXunassignedItem 40 6 2" xfId="55349" xr:uid="{00000000-0005-0000-0000-00008CD70000}"/>
    <cellStyle name="SAPBEXunassignedItem 40 7" xfId="55350" xr:uid="{00000000-0005-0000-0000-00008DD70000}"/>
    <cellStyle name="SAPBEXunassignedItem 41" xfId="55351" xr:uid="{00000000-0005-0000-0000-00008ED70000}"/>
    <cellStyle name="SAPBEXunassignedItem 41 2" xfId="55352" xr:uid="{00000000-0005-0000-0000-00008FD70000}"/>
    <cellStyle name="SAPBEXunassignedItem 41 2 2" xfId="55353" xr:uid="{00000000-0005-0000-0000-000090D70000}"/>
    <cellStyle name="SAPBEXunassignedItem 41 3" xfId="55354" xr:uid="{00000000-0005-0000-0000-000091D70000}"/>
    <cellStyle name="SAPBEXunassignedItem 41 3 2" xfId="55355" xr:uid="{00000000-0005-0000-0000-000092D70000}"/>
    <cellStyle name="SAPBEXunassignedItem 41 4" xfId="55356" xr:uid="{00000000-0005-0000-0000-000093D70000}"/>
    <cellStyle name="SAPBEXunassignedItem 41 4 2" xfId="55357" xr:uid="{00000000-0005-0000-0000-000094D70000}"/>
    <cellStyle name="SAPBEXunassignedItem 41 5" xfId="55358" xr:uid="{00000000-0005-0000-0000-000095D70000}"/>
    <cellStyle name="SAPBEXunassignedItem 41 5 2" xfId="55359" xr:uid="{00000000-0005-0000-0000-000096D70000}"/>
    <cellStyle name="SAPBEXunassignedItem 41 6" xfId="55360" xr:uid="{00000000-0005-0000-0000-000097D70000}"/>
    <cellStyle name="SAPBEXunassignedItem 41 6 2" xfId="55361" xr:uid="{00000000-0005-0000-0000-000098D70000}"/>
    <cellStyle name="SAPBEXunassignedItem 41 7" xfId="55362" xr:uid="{00000000-0005-0000-0000-000099D70000}"/>
    <cellStyle name="SAPBEXunassignedItem 42" xfId="55363" xr:uid="{00000000-0005-0000-0000-00009AD70000}"/>
    <cellStyle name="SAPBEXunassignedItem 42 2" xfId="55364" xr:uid="{00000000-0005-0000-0000-00009BD70000}"/>
    <cellStyle name="SAPBEXunassignedItem 42 2 2" xfId="55365" xr:uid="{00000000-0005-0000-0000-00009CD70000}"/>
    <cellStyle name="SAPBEXunassignedItem 42 3" xfId="55366" xr:uid="{00000000-0005-0000-0000-00009DD70000}"/>
    <cellStyle name="SAPBEXunassignedItem 42 3 2" xfId="55367" xr:uid="{00000000-0005-0000-0000-00009ED70000}"/>
    <cellStyle name="SAPBEXunassignedItem 42 4" xfId="55368" xr:uid="{00000000-0005-0000-0000-00009FD70000}"/>
    <cellStyle name="SAPBEXunassignedItem 42 4 2" xfId="55369" xr:uid="{00000000-0005-0000-0000-0000A0D70000}"/>
    <cellStyle name="SAPBEXunassignedItem 42 5" xfId="55370" xr:uid="{00000000-0005-0000-0000-0000A1D70000}"/>
    <cellStyle name="SAPBEXunassignedItem 42 5 2" xfId="55371" xr:uid="{00000000-0005-0000-0000-0000A2D70000}"/>
    <cellStyle name="SAPBEXunassignedItem 42 6" xfId="55372" xr:uid="{00000000-0005-0000-0000-0000A3D70000}"/>
    <cellStyle name="SAPBEXunassignedItem 42 6 2" xfId="55373" xr:uid="{00000000-0005-0000-0000-0000A4D70000}"/>
    <cellStyle name="SAPBEXunassignedItem 42 7" xfId="55374" xr:uid="{00000000-0005-0000-0000-0000A5D70000}"/>
    <cellStyle name="SAPBEXunassignedItem 43" xfId="55375" xr:uid="{00000000-0005-0000-0000-0000A6D70000}"/>
    <cellStyle name="SAPBEXunassignedItem 43 2" xfId="55376" xr:uid="{00000000-0005-0000-0000-0000A7D70000}"/>
    <cellStyle name="SAPBEXunassignedItem 43 2 2" xfId="55377" xr:uid="{00000000-0005-0000-0000-0000A8D70000}"/>
    <cellStyle name="SAPBEXunassignedItem 43 3" xfId="55378" xr:uid="{00000000-0005-0000-0000-0000A9D70000}"/>
    <cellStyle name="SAPBEXunassignedItem 43 3 2" xfId="55379" xr:uid="{00000000-0005-0000-0000-0000AAD70000}"/>
    <cellStyle name="SAPBEXunassignedItem 43 4" xfId="55380" xr:uid="{00000000-0005-0000-0000-0000ABD70000}"/>
    <cellStyle name="SAPBEXunassignedItem 43 4 2" xfId="55381" xr:uid="{00000000-0005-0000-0000-0000ACD70000}"/>
    <cellStyle name="SAPBEXunassignedItem 43 5" xfId="55382" xr:uid="{00000000-0005-0000-0000-0000ADD70000}"/>
    <cellStyle name="SAPBEXunassignedItem 43 5 2" xfId="55383" xr:uid="{00000000-0005-0000-0000-0000AED70000}"/>
    <cellStyle name="SAPBEXunassignedItem 43 6" xfId="55384" xr:uid="{00000000-0005-0000-0000-0000AFD70000}"/>
    <cellStyle name="SAPBEXunassignedItem 43 6 2" xfId="55385" xr:uid="{00000000-0005-0000-0000-0000B0D70000}"/>
    <cellStyle name="SAPBEXunassignedItem 43 7" xfId="55386" xr:uid="{00000000-0005-0000-0000-0000B1D70000}"/>
    <cellStyle name="SAPBEXunassignedItem 44" xfId="55387" xr:uid="{00000000-0005-0000-0000-0000B2D70000}"/>
    <cellStyle name="SAPBEXunassignedItem 44 2" xfId="55388" xr:uid="{00000000-0005-0000-0000-0000B3D70000}"/>
    <cellStyle name="SAPBEXunassignedItem 44 2 2" xfId="55389" xr:uid="{00000000-0005-0000-0000-0000B4D70000}"/>
    <cellStyle name="SAPBEXunassignedItem 44 3" xfId="55390" xr:uid="{00000000-0005-0000-0000-0000B5D70000}"/>
    <cellStyle name="SAPBEXunassignedItem 44 3 2" xfId="55391" xr:uid="{00000000-0005-0000-0000-0000B6D70000}"/>
    <cellStyle name="SAPBEXunassignedItem 44 4" xfId="55392" xr:uid="{00000000-0005-0000-0000-0000B7D70000}"/>
    <cellStyle name="SAPBEXunassignedItem 44 4 2" xfId="55393" xr:uid="{00000000-0005-0000-0000-0000B8D70000}"/>
    <cellStyle name="SAPBEXunassignedItem 44 5" xfId="55394" xr:uid="{00000000-0005-0000-0000-0000B9D70000}"/>
    <cellStyle name="SAPBEXunassignedItem 44 5 2" xfId="55395" xr:uid="{00000000-0005-0000-0000-0000BAD70000}"/>
    <cellStyle name="SAPBEXunassignedItem 44 6" xfId="55396" xr:uid="{00000000-0005-0000-0000-0000BBD70000}"/>
    <cellStyle name="SAPBEXunassignedItem 44 6 2" xfId="55397" xr:uid="{00000000-0005-0000-0000-0000BCD70000}"/>
    <cellStyle name="SAPBEXunassignedItem 44 7" xfId="55398" xr:uid="{00000000-0005-0000-0000-0000BDD70000}"/>
    <cellStyle name="SAPBEXunassignedItem 45" xfId="55399" xr:uid="{00000000-0005-0000-0000-0000BED70000}"/>
    <cellStyle name="SAPBEXunassignedItem 45 2" xfId="55400" xr:uid="{00000000-0005-0000-0000-0000BFD70000}"/>
    <cellStyle name="SAPBEXunassignedItem 45 2 2" xfId="55401" xr:uid="{00000000-0005-0000-0000-0000C0D70000}"/>
    <cellStyle name="SAPBEXunassignedItem 45 3" xfId="55402" xr:uid="{00000000-0005-0000-0000-0000C1D70000}"/>
    <cellStyle name="SAPBEXunassignedItem 45 3 2" xfId="55403" xr:uid="{00000000-0005-0000-0000-0000C2D70000}"/>
    <cellStyle name="SAPBEXunassignedItem 45 4" xfId="55404" xr:uid="{00000000-0005-0000-0000-0000C3D70000}"/>
    <cellStyle name="SAPBEXunassignedItem 45 4 2" xfId="55405" xr:uid="{00000000-0005-0000-0000-0000C4D70000}"/>
    <cellStyle name="SAPBEXunassignedItem 45 5" xfId="55406" xr:uid="{00000000-0005-0000-0000-0000C5D70000}"/>
    <cellStyle name="SAPBEXunassignedItem 45 5 2" xfId="55407" xr:uid="{00000000-0005-0000-0000-0000C6D70000}"/>
    <cellStyle name="SAPBEXunassignedItem 45 6" xfId="55408" xr:uid="{00000000-0005-0000-0000-0000C7D70000}"/>
    <cellStyle name="SAPBEXunassignedItem 45 6 2" xfId="55409" xr:uid="{00000000-0005-0000-0000-0000C8D70000}"/>
    <cellStyle name="SAPBEXunassignedItem 45 7" xfId="55410" xr:uid="{00000000-0005-0000-0000-0000C9D70000}"/>
    <cellStyle name="SAPBEXunassignedItem 46" xfId="55411" xr:uid="{00000000-0005-0000-0000-0000CAD70000}"/>
    <cellStyle name="SAPBEXunassignedItem 46 2" xfId="55412" xr:uid="{00000000-0005-0000-0000-0000CBD70000}"/>
    <cellStyle name="SAPBEXunassignedItem 46 2 2" xfId="55413" xr:uid="{00000000-0005-0000-0000-0000CCD70000}"/>
    <cellStyle name="SAPBEXunassignedItem 46 3" xfId="55414" xr:uid="{00000000-0005-0000-0000-0000CDD70000}"/>
    <cellStyle name="SAPBEXunassignedItem 46 3 2" xfId="55415" xr:uid="{00000000-0005-0000-0000-0000CED70000}"/>
    <cellStyle name="SAPBEXunassignedItem 46 4" xfId="55416" xr:uid="{00000000-0005-0000-0000-0000CFD70000}"/>
    <cellStyle name="SAPBEXunassignedItem 46 4 2" xfId="55417" xr:uid="{00000000-0005-0000-0000-0000D0D70000}"/>
    <cellStyle name="SAPBEXunassignedItem 46 5" xfId="55418" xr:uid="{00000000-0005-0000-0000-0000D1D70000}"/>
    <cellStyle name="SAPBEXunassignedItem 46 5 2" xfId="55419" xr:uid="{00000000-0005-0000-0000-0000D2D70000}"/>
    <cellStyle name="SAPBEXunassignedItem 46 6" xfId="55420" xr:uid="{00000000-0005-0000-0000-0000D3D70000}"/>
    <cellStyle name="SAPBEXunassignedItem 46 6 2" xfId="55421" xr:uid="{00000000-0005-0000-0000-0000D4D70000}"/>
    <cellStyle name="SAPBEXunassignedItem 46 7" xfId="55422" xr:uid="{00000000-0005-0000-0000-0000D5D70000}"/>
    <cellStyle name="SAPBEXunassignedItem 47" xfId="55423" xr:uid="{00000000-0005-0000-0000-0000D6D70000}"/>
    <cellStyle name="SAPBEXunassignedItem 47 2" xfId="55424" xr:uid="{00000000-0005-0000-0000-0000D7D70000}"/>
    <cellStyle name="SAPBEXunassignedItem 47 2 2" xfId="55425" xr:uid="{00000000-0005-0000-0000-0000D8D70000}"/>
    <cellStyle name="SAPBEXunassignedItem 47 3" xfId="55426" xr:uid="{00000000-0005-0000-0000-0000D9D70000}"/>
    <cellStyle name="SAPBEXunassignedItem 47 3 2" xfId="55427" xr:uid="{00000000-0005-0000-0000-0000DAD70000}"/>
    <cellStyle name="SAPBEXunassignedItem 47 4" xfId="55428" xr:uid="{00000000-0005-0000-0000-0000DBD70000}"/>
    <cellStyle name="SAPBEXunassignedItem 47 4 2" xfId="55429" xr:uid="{00000000-0005-0000-0000-0000DCD70000}"/>
    <cellStyle name="SAPBEXunassignedItem 47 5" xfId="55430" xr:uid="{00000000-0005-0000-0000-0000DDD70000}"/>
    <cellStyle name="SAPBEXunassignedItem 47 5 2" xfId="55431" xr:uid="{00000000-0005-0000-0000-0000DED70000}"/>
    <cellStyle name="SAPBEXunassignedItem 47 6" xfId="55432" xr:uid="{00000000-0005-0000-0000-0000DFD70000}"/>
    <cellStyle name="SAPBEXunassignedItem 47 6 2" xfId="55433" xr:uid="{00000000-0005-0000-0000-0000E0D70000}"/>
    <cellStyle name="SAPBEXunassignedItem 47 7" xfId="55434" xr:uid="{00000000-0005-0000-0000-0000E1D70000}"/>
    <cellStyle name="SAPBEXunassignedItem 48" xfId="55435" xr:uid="{00000000-0005-0000-0000-0000E2D70000}"/>
    <cellStyle name="SAPBEXunassignedItem 48 2" xfId="55436" xr:uid="{00000000-0005-0000-0000-0000E3D70000}"/>
    <cellStyle name="SAPBEXunassignedItem 48 2 2" xfId="55437" xr:uid="{00000000-0005-0000-0000-0000E4D70000}"/>
    <cellStyle name="SAPBEXunassignedItem 48 3" xfId="55438" xr:uid="{00000000-0005-0000-0000-0000E5D70000}"/>
    <cellStyle name="SAPBEXunassignedItem 48 3 2" xfId="55439" xr:uid="{00000000-0005-0000-0000-0000E6D70000}"/>
    <cellStyle name="SAPBEXunassignedItem 48 4" xfId="55440" xr:uid="{00000000-0005-0000-0000-0000E7D70000}"/>
    <cellStyle name="SAPBEXunassignedItem 48 4 2" xfId="55441" xr:uid="{00000000-0005-0000-0000-0000E8D70000}"/>
    <cellStyle name="SAPBEXunassignedItem 48 5" xfId="55442" xr:uid="{00000000-0005-0000-0000-0000E9D70000}"/>
    <cellStyle name="SAPBEXunassignedItem 48 5 2" xfId="55443" xr:uid="{00000000-0005-0000-0000-0000EAD70000}"/>
    <cellStyle name="SAPBEXunassignedItem 48 6" xfId="55444" xr:uid="{00000000-0005-0000-0000-0000EBD70000}"/>
    <cellStyle name="SAPBEXunassignedItem 48 6 2" xfId="55445" xr:uid="{00000000-0005-0000-0000-0000ECD70000}"/>
    <cellStyle name="SAPBEXunassignedItem 48 7" xfId="55446" xr:uid="{00000000-0005-0000-0000-0000EDD70000}"/>
    <cellStyle name="SAPBEXunassignedItem 49" xfId="55447" xr:uid="{00000000-0005-0000-0000-0000EED70000}"/>
    <cellStyle name="SAPBEXunassignedItem 49 2" xfId="55448" xr:uid="{00000000-0005-0000-0000-0000EFD70000}"/>
    <cellStyle name="SAPBEXunassignedItem 49 2 2" xfId="55449" xr:uid="{00000000-0005-0000-0000-0000F0D70000}"/>
    <cellStyle name="SAPBEXunassignedItem 49 3" xfId="55450" xr:uid="{00000000-0005-0000-0000-0000F1D70000}"/>
    <cellStyle name="SAPBEXunassignedItem 49 3 2" xfId="55451" xr:uid="{00000000-0005-0000-0000-0000F2D70000}"/>
    <cellStyle name="SAPBEXunassignedItem 49 4" xfId="55452" xr:uid="{00000000-0005-0000-0000-0000F3D70000}"/>
    <cellStyle name="SAPBEXunassignedItem 49 4 2" xfId="55453" xr:uid="{00000000-0005-0000-0000-0000F4D70000}"/>
    <cellStyle name="SAPBEXunassignedItem 49 5" xfId="55454" xr:uid="{00000000-0005-0000-0000-0000F5D70000}"/>
    <cellStyle name="SAPBEXunassignedItem 49 5 2" xfId="55455" xr:uid="{00000000-0005-0000-0000-0000F6D70000}"/>
    <cellStyle name="SAPBEXunassignedItem 49 6" xfId="55456" xr:uid="{00000000-0005-0000-0000-0000F7D70000}"/>
    <cellStyle name="SAPBEXunassignedItem 49 6 2" xfId="55457" xr:uid="{00000000-0005-0000-0000-0000F8D70000}"/>
    <cellStyle name="SAPBEXunassignedItem 49 7" xfId="55458" xr:uid="{00000000-0005-0000-0000-0000F9D70000}"/>
    <cellStyle name="SAPBEXunassignedItem 5" xfId="55459" xr:uid="{00000000-0005-0000-0000-0000FAD70000}"/>
    <cellStyle name="SAPBEXunassignedItem 5 2" xfId="55460" xr:uid="{00000000-0005-0000-0000-0000FBD70000}"/>
    <cellStyle name="SAPBEXunassignedItem 5 2 2" xfId="55461" xr:uid="{00000000-0005-0000-0000-0000FCD70000}"/>
    <cellStyle name="SAPBEXunassignedItem 5 3" xfId="55462" xr:uid="{00000000-0005-0000-0000-0000FDD70000}"/>
    <cellStyle name="SAPBEXunassignedItem 5 3 2" xfId="55463" xr:uid="{00000000-0005-0000-0000-0000FED70000}"/>
    <cellStyle name="SAPBEXunassignedItem 5 4" xfId="55464" xr:uid="{00000000-0005-0000-0000-0000FFD70000}"/>
    <cellStyle name="SAPBEXunassignedItem 5 4 2" xfId="55465" xr:uid="{00000000-0005-0000-0000-000000D80000}"/>
    <cellStyle name="SAPBEXunassignedItem 5 5" xfId="55466" xr:uid="{00000000-0005-0000-0000-000001D80000}"/>
    <cellStyle name="SAPBEXunassignedItem 5 5 2" xfId="55467" xr:uid="{00000000-0005-0000-0000-000002D80000}"/>
    <cellStyle name="SAPBEXunassignedItem 5 6" xfId="55468" xr:uid="{00000000-0005-0000-0000-000003D80000}"/>
    <cellStyle name="SAPBEXunassignedItem 5 6 2" xfId="55469" xr:uid="{00000000-0005-0000-0000-000004D80000}"/>
    <cellStyle name="SAPBEXunassignedItem 5 7" xfId="55470" xr:uid="{00000000-0005-0000-0000-000005D80000}"/>
    <cellStyle name="SAPBEXunassignedItem 50" xfId="55471" xr:uid="{00000000-0005-0000-0000-000006D80000}"/>
    <cellStyle name="SAPBEXunassignedItem 50 2" xfId="55472" xr:uid="{00000000-0005-0000-0000-000007D80000}"/>
    <cellStyle name="SAPBEXunassignedItem 50 2 2" xfId="55473" xr:uid="{00000000-0005-0000-0000-000008D80000}"/>
    <cellStyle name="SAPBEXunassignedItem 50 3" xfId="55474" xr:uid="{00000000-0005-0000-0000-000009D80000}"/>
    <cellStyle name="SAPBEXunassignedItem 50 3 2" xfId="55475" xr:uid="{00000000-0005-0000-0000-00000AD80000}"/>
    <cellStyle name="SAPBEXunassignedItem 50 4" xfId="55476" xr:uid="{00000000-0005-0000-0000-00000BD80000}"/>
    <cellStyle name="SAPBEXunassignedItem 50 4 2" xfId="55477" xr:uid="{00000000-0005-0000-0000-00000CD80000}"/>
    <cellStyle name="SAPBEXunassignedItem 50 5" xfId="55478" xr:uid="{00000000-0005-0000-0000-00000DD80000}"/>
    <cellStyle name="SAPBEXunassignedItem 50 5 2" xfId="55479" xr:uid="{00000000-0005-0000-0000-00000ED80000}"/>
    <cellStyle name="SAPBEXunassignedItem 50 6" xfId="55480" xr:uid="{00000000-0005-0000-0000-00000FD80000}"/>
    <cellStyle name="SAPBEXunassignedItem 50 6 2" xfId="55481" xr:uid="{00000000-0005-0000-0000-000010D80000}"/>
    <cellStyle name="SAPBEXunassignedItem 50 7" xfId="55482" xr:uid="{00000000-0005-0000-0000-000011D80000}"/>
    <cellStyle name="SAPBEXunassignedItem 51" xfId="55483" xr:uid="{00000000-0005-0000-0000-000012D80000}"/>
    <cellStyle name="SAPBEXunassignedItem 51 2" xfId="55484" xr:uid="{00000000-0005-0000-0000-000013D80000}"/>
    <cellStyle name="SAPBEXunassignedItem 51 2 2" xfId="55485" xr:uid="{00000000-0005-0000-0000-000014D80000}"/>
    <cellStyle name="SAPBEXunassignedItem 51 3" xfId="55486" xr:uid="{00000000-0005-0000-0000-000015D80000}"/>
    <cellStyle name="SAPBEXunassignedItem 51 3 2" xfId="55487" xr:uid="{00000000-0005-0000-0000-000016D80000}"/>
    <cellStyle name="SAPBEXunassignedItem 51 4" xfId="55488" xr:uid="{00000000-0005-0000-0000-000017D80000}"/>
    <cellStyle name="SAPBEXunassignedItem 51 4 2" xfId="55489" xr:uid="{00000000-0005-0000-0000-000018D80000}"/>
    <cellStyle name="SAPBEXunassignedItem 51 5" xfId="55490" xr:uid="{00000000-0005-0000-0000-000019D80000}"/>
    <cellStyle name="SAPBEXunassignedItem 51 5 2" xfId="55491" xr:uid="{00000000-0005-0000-0000-00001AD80000}"/>
    <cellStyle name="SAPBEXunassignedItem 51 6" xfId="55492" xr:uid="{00000000-0005-0000-0000-00001BD80000}"/>
    <cellStyle name="SAPBEXunassignedItem 51 6 2" xfId="55493" xr:uid="{00000000-0005-0000-0000-00001CD80000}"/>
    <cellStyle name="SAPBEXunassignedItem 51 7" xfId="55494" xr:uid="{00000000-0005-0000-0000-00001DD80000}"/>
    <cellStyle name="SAPBEXunassignedItem 52" xfId="55495" xr:uid="{00000000-0005-0000-0000-00001ED80000}"/>
    <cellStyle name="SAPBEXunassignedItem 52 2" xfId="55496" xr:uid="{00000000-0005-0000-0000-00001FD80000}"/>
    <cellStyle name="SAPBEXunassignedItem 52 2 2" xfId="55497" xr:uid="{00000000-0005-0000-0000-000020D80000}"/>
    <cellStyle name="SAPBEXunassignedItem 52 3" xfId="55498" xr:uid="{00000000-0005-0000-0000-000021D80000}"/>
    <cellStyle name="SAPBEXunassignedItem 52 3 2" xfId="55499" xr:uid="{00000000-0005-0000-0000-000022D80000}"/>
    <cellStyle name="SAPBEXunassignedItem 52 4" xfId="55500" xr:uid="{00000000-0005-0000-0000-000023D80000}"/>
    <cellStyle name="SAPBEXunassignedItem 52 4 2" xfId="55501" xr:uid="{00000000-0005-0000-0000-000024D80000}"/>
    <cellStyle name="SAPBEXunassignedItem 52 5" xfId="55502" xr:uid="{00000000-0005-0000-0000-000025D80000}"/>
    <cellStyle name="SAPBEXunassignedItem 52 5 2" xfId="55503" xr:uid="{00000000-0005-0000-0000-000026D80000}"/>
    <cellStyle name="SAPBEXunassignedItem 52 6" xfId="55504" xr:uid="{00000000-0005-0000-0000-000027D80000}"/>
    <cellStyle name="SAPBEXunassignedItem 52 6 2" xfId="55505" xr:uid="{00000000-0005-0000-0000-000028D80000}"/>
    <cellStyle name="SAPBEXunassignedItem 52 7" xfId="55506" xr:uid="{00000000-0005-0000-0000-000029D80000}"/>
    <cellStyle name="SAPBEXunassignedItem 53" xfId="55507" xr:uid="{00000000-0005-0000-0000-00002AD80000}"/>
    <cellStyle name="SAPBEXunassignedItem 53 2" xfId="55508" xr:uid="{00000000-0005-0000-0000-00002BD80000}"/>
    <cellStyle name="SAPBEXunassignedItem 53 2 2" xfId="55509" xr:uid="{00000000-0005-0000-0000-00002CD80000}"/>
    <cellStyle name="SAPBEXunassignedItem 53 3" xfId="55510" xr:uid="{00000000-0005-0000-0000-00002DD80000}"/>
    <cellStyle name="SAPBEXunassignedItem 53 3 2" xfId="55511" xr:uid="{00000000-0005-0000-0000-00002ED80000}"/>
    <cellStyle name="SAPBEXunassignedItem 53 4" xfId="55512" xr:uid="{00000000-0005-0000-0000-00002FD80000}"/>
    <cellStyle name="SAPBEXunassignedItem 53 4 2" xfId="55513" xr:uid="{00000000-0005-0000-0000-000030D80000}"/>
    <cellStyle name="SAPBEXunassignedItem 53 5" xfId="55514" xr:uid="{00000000-0005-0000-0000-000031D80000}"/>
    <cellStyle name="SAPBEXunassignedItem 53 5 2" xfId="55515" xr:uid="{00000000-0005-0000-0000-000032D80000}"/>
    <cellStyle name="SAPBEXunassignedItem 53 6" xfId="55516" xr:uid="{00000000-0005-0000-0000-000033D80000}"/>
    <cellStyle name="SAPBEXunassignedItem 53 6 2" xfId="55517" xr:uid="{00000000-0005-0000-0000-000034D80000}"/>
    <cellStyle name="SAPBEXunassignedItem 53 7" xfId="55518" xr:uid="{00000000-0005-0000-0000-000035D80000}"/>
    <cellStyle name="SAPBEXunassignedItem 54" xfId="55519" xr:uid="{00000000-0005-0000-0000-000036D80000}"/>
    <cellStyle name="SAPBEXunassignedItem 54 2" xfId="55520" xr:uid="{00000000-0005-0000-0000-000037D80000}"/>
    <cellStyle name="SAPBEXunassignedItem 54 2 2" xfId="55521" xr:uid="{00000000-0005-0000-0000-000038D80000}"/>
    <cellStyle name="SAPBEXunassignedItem 54 3" xfId="55522" xr:uid="{00000000-0005-0000-0000-000039D80000}"/>
    <cellStyle name="SAPBEXunassignedItem 54 3 2" xfId="55523" xr:uid="{00000000-0005-0000-0000-00003AD80000}"/>
    <cellStyle name="SAPBEXunassignedItem 54 4" xfId="55524" xr:uid="{00000000-0005-0000-0000-00003BD80000}"/>
    <cellStyle name="SAPBEXunassignedItem 54 4 2" xfId="55525" xr:uid="{00000000-0005-0000-0000-00003CD80000}"/>
    <cellStyle name="SAPBEXunassignedItem 54 5" xfId="55526" xr:uid="{00000000-0005-0000-0000-00003DD80000}"/>
    <cellStyle name="SAPBEXunassignedItem 54 5 2" xfId="55527" xr:uid="{00000000-0005-0000-0000-00003ED80000}"/>
    <cellStyle name="SAPBEXunassignedItem 54 6" xfId="55528" xr:uid="{00000000-0005-0000-0000-00003FD80000}"/>
    <cellStyle name="SAPBEXunassignedItem 54 6 2" xfId="55529" xr:uid="{00000000-0005-0000-0000-000040D80000}"/>
    <cellStyle name="SAPBEXunassignedItem 54 7" xfId="55530" xr:uid="{00000000-0005-0000-0000-000041D80000}"/>
    <cellStyle name="SAPBEXunassignedItem 55" xfId="55531" xr:uid="{00000000-0005-0000-0000-000042D80000}"/>
    <cellStyle name="SAPBEXunassignedItem 55 2" xfId="55532" xr:uid="{00000000-0005-0000-0000-000043D80000}"/>
    <cellStyle name="SAPBEXunassignedItem 55 2 2" xfId="55533" xr:uid="{00000000-0005-0000-0000-000044D80000}"/>
    <cellStyle name="SAPBEXunassignedItem 55 3" xfId="55534" xr:uid="{00000000-0005-0000-0000-000045D80000}"/>
    <cellStyle name="SAPBEXunassignedItem 55 3 2" xfId="55535" xr:uid="{00000000-0005-0000-0000-000046D80000}"/>
    <cellStyle name="SAPBEXunassignedItem 55 4" xfId="55536" xr:uid="{00000000-0005-0000-0000-000047D80000}"/>
    <cellStyle name="SAPBEXunassignedItem 55 4 2" xfId="55537" xr:uid="{00000000-0005-0000-0000-000048D80000}"/>
    <cellStyle name="SAPBEXunassignedItem 55 5" xfId="55538" xr:uid="{00000000-0005-0000-0000-000049D80000}"/>
    <cellStyle name="SAPBEXunassignedItem 55 5 2" xfId="55539" xr:uid="{00000000-0005-0000-0000-00004AD80000}"/>
    <cellStyle name="SAPBEXunassignedItem 55 6" xfId="55540" xr:uid="{00000000-0005-0000-0000-00004BD80000}"/>
    <cellStyle name="SAPBEXunassignedItem 55 6 2" xfId="55541" xr:uid="{00000000-0005-0000-0000-00004CD80000}"/>
    <cellStyle name="SAPBEXunassignedItem 55 7" xfId="55542" xr:uid="{00000000-0005-0000-0000-00004DD80000}"/>
    <cellStyle name="SAPBEXunassignedItem 56" xfId="55543" xr:uid="{00000000-0005-0000-0000-00004ED80000}"/>
    <cellStyle name="SAPBEXunassignedItem 56 2" xfId="55544" xr:uid="{00000000-0005-0000-0000-00004FD80000}"/>
    <cellStyle name="SAPBEXunassignedItem 56 2 2" xfId="55545" xr:uid="{00000000-0005-0000-0000-000050D80000}"/>
    <cellStyle name="SAPBEXunassignedItem 56 3" xfId="55546" xr:uid="{00000000-0005-0000-0000-000051D80000}"/>
    <cellStyle name="SAPBEXunassignedItem 56 3 2" xfId="55547" xr:uid="{00000000-0005-0000-0000-000052D80000}"/>
    <cellStyle name="SAPBEXunassignedItem 56 4" xfId="55548" xr:uid="{00000000-0005-0000-0000-000053D80000}"/>
    <cellStyle name="SAPBEXunassignedItem 56 4 2" xfId="55549" xr:uid="{00000000-0005-0000-0000-000054D80000}"/>
    <cellStyle name="SAPBEXunassignedItem 56 5" xfId="55550" xr:uid="{00000000-0005-0000-0000-000055D80000}"/>
    <cellStyle name="SAPBEXunassignedItem 56 5 2" xfId="55551" xr:uid="{00000000-0005-0000-0000-000056D80000}"/>
    <cellStyle name="SAPBEXunassignedItem 56 6" xfId="55552" xr:uid="{00000000-0005-0000-0000-000057D80000}"/>
    <cellStyle name="SAPBEXunassignedItem 56 6 2" xfId="55553" xr:uid="{00000000-0005-0000-0000-000058D80000}"/>
    <cellStyle name="SAPBEXunassignedItem 56 7" xfId="55554" xr:uid="{00000000-0005-0000-0000-000059D80000}"/>
    <cellStyle name="SAPBEXunassignedItem 57" xfId="55555" xr:uid="{00000000-0005-0000-0000-00005AD80000}"/>
    <cellStyle name="SAPBEXunassignedItem 57 2" xfId="55556" xr:uid="{00000000-0005-0000-0000-00005BD80000}"/>
    <cellStyle name="SAPBEXunassignedItem 57 2 2" xfId="55557" xr:uid="{00000000-0005-0000-0000-00005CD80000}"/>
    <cellStyle name="SAPBEXunassignedItem 57 3" xfId="55558" xr:uid="{00000000-0005-0000-0000-00005DD80000}"/>
    <cellStyle name="SAPBEXunassignedItem 57 3 2" xfId="55559" xr:uid="{00000000-0005-0000-0000-00005ED80000}"/>
    <cellStyle name="SAPBEXunassignedItem 57 4" xfId="55560" xr:uid="{00000000-0005-0000-0000-00005FD80000}"/>
    <cellStyle name="SAPBEXunassignedItem 57 4 2" xfId="55561" xr:uid="{00000000-0005-0000-0000-000060D80000}"/>
    <cellStyle name="SAPBEXunassignedItem 57 5" xfId="55562" xr:uid="{00000000-0005-0000-0000-000061D80000}"/>
    <cellStyle name="SAPBEXunassignedItem 57 5 2" xfId="55563" xr:uid="{00000000-0005-0000-0000-000062D80000}"/>
    <cellStyle name="SAPBEXunassignedItem 57 6" xfId="55564" xr:uid="{00000000-0005-0000-0000-000063D80000}"/>
    <cellStyle name="SAPBEXunassignedItem 57 6 2" xfId="55565" xr:uid="{00000000-0005-0000-0000-000064D80000}"/>
    <cellStyle name="SAPBEXunassignedItem 57 7" xfId="55566" xr:uid="{00000000-0005-0000-0000-000065D80000}"/>
    <cellStyle name="SAPBEXunassignedItem 58" xfId="55567" xr:uid="{00000000-0005-0000-0000-000066D80000}"/>
    <cellStyle name="SAPBEXunassignedItem 58 2" xfId="55568" xr:uid="{00000000-0005-0000-0000-000067D80000}"/>
    <cellStyle name="SAPBEXunassignedItem 58 2 2" xfId="55569" xr:uid="{00000000-0005-0000-0000-000068D80000}"/>
    <cellStyle name="SAPBEXunassignedItem 58 3" xfId="55570" xr:uid="{00000000-0005-0000-0000-000069D80000}"/>
    <cellStyle name="SAPBEXunassignedItem 58 3 2" xfId="55571" xr:uid="{00000000-0005-0000-0000-00006AD80000}"/>
    <cellStyle name="SAPBEXunassignedItem 58 4" xfId="55572" xr:uid="{00000000-0005-0000-0000-00006BD80000}"/>
    <cellStyle name="SAPBEXunassignedItem 58 4 2" xfId="55573" xr:uid="{00000000-0005-0000-0000-00006CD80000}"/>
    <cellStyle name="SAPBEXunassignedItem 58 5" xfId="55574" xr:uid="{00000000-0005-0000-0000-00006DD80000}"/>
    <cellStyle name="SAPBEXunassignedItem 58 5 2" xfId="55575" xr:uid="{00000000-0005-0000-0000-00006ED80000}"/>
    <cellStyle name="SAPBEXunassignedItem 58 6" xfId="55576" xr:uid="{00000000-0005-0000-0000-00006FD80000}"/>
    <cellStyle name="SAPBEXunassignedItem 58 6 2" xfId="55577" xr:uid="{00000000-0005-0000-0000-000070D80000}"/>
    <cellStyle name="SAPBEXunassignedItem 58 7" xfId="55578" xr:uid="{00000000-0005-0000-0000-000071D80000}"/>
    <cellStyle name="SAPBEXunassignedItem 59" xfId="55579" xr:uid="{00000000-0005-0000-0000-000072D80000}"/>
    <cellStyle name="SAPBEXunassignedItem 59 2" xfId="55580" xr:uid="{00000000-0005-0000-0000-000073D80000}"/>
    <cellStyle name="SAPBEXunassignedItem 59 2 2" xfId="55581" xr:uid="{00000000-0005-0000-0000-000074D80000}"/>
    <cellStyle name="SAPBEXunassignedItem 59 3" xfId="55582" xr:uid="{00000000-0005-0000-0000-000075D80000}"/>
    <cellStyle name="SAPBEXunassignedItem 59 3 2" xfId="55583" xr:uid="{00000000-0005-0000-0000-000076D80000}"/>
    <cellStyle name="SAPBEXunassignedItem 59 4" xfId="55584" xr:uid="{00000000-0005-0000-0000-000077D80000}"/>
    <cellStyle name="SAPBEXunassignedItem 59 4 2" xfId="55585" xr:uid="{00000000-0005-0000-0000-000078D80000}"/>
    <cellStyle name="SAPBEXunassignedItem 59 5" xfId="55586" xr:uid="{00000000-0005-0000-0000-000079D80000}"/>
    <cellStyle name="SAPBEXunassignedItem 59 5 2" xfId="55587" xr:uid="{00000000-0005-0000-0000-00007AD80000}"/>
    <cellStyle name="SAPBEXunassignedItem 59 6" xfId="55588" xr:uid="{00000000-0005-0000-0000-00007BD80000}"/>
    <cellStyle name="SAPBEXunassignedItem 59 6 2" xfId="55589" xr:uid="{00000000-0005-0000-0000-00007CD80000}"/>
    <cellStyle name="SAPBEXunassignedItem 59 7" xfId="55590" xr:uid="{00000000-0005-0000-0000-00007DD80000}"/>
    <cellStyle name="SAPBEXunassignedItem 6" xfId="55591" xr:uid="{00000000-0005-0000-0000-00007ED80000}"/>
    <cellStyle name="SAPBEXunassignedItem 6 2" xfId="55592" xr:uid="{00000000-0005-0000-0000-00007FD80000}"/>
    <cellStyle name="SAPBEXunassignedItem 6 2 2" xfId="55593" xr:uid="{00000000-0005-0000-0000-000080D80000}"/>
    <cellStyle name="SAPBEXunassignedItem 6 3" xfId="55594" xr:uid="{00000000-0005-0000-0000-000081D80000}"/>
    <cellStyle name="SAPBEXunassignedItem 6 3 2" xfId="55595" xr:uid="{00000000-0005-0000-0000-000082D80000}"/>
    <cellStyle name="SAPBEXunassignedItem 6 4" xfId="55596" xr:uid="{00000000-0005-0000-0000-000083D80000}"/>
    <cellStyle name="SAPBEXunassignedItem 6 4 2" xfId="55597" xr:uid="{00000000-0005-0000-0000-000084D80000}"/>
    <cellStyle name="SAPBEXunassignedItem 6 5" xfId="55598" xr:uid="{00000000-0005-0000-0000-000085D80000}"/>
    <cellStyle name="SAPBEXunassignedItem 6 5 2" xfId="55599" xr:uid="{00000000-0005-0000-0000-000086D80000}"/>
    <cellStyle name="SAPBEXunassignedItem 6 6" xfId="55600" xr:uid="{00000000-0005-0000-0000-000087D80000}"/>
    <cellStyle name="SAPBEXunassignedItem 6 6 2" xfId="55601" xr:uid="{00000000-0005-0000-0000-000088D80000}"/>
    <cellStyle name="SAPBEXunassignedItem 6 7" xfId="55602" xr:uid="{00000000-0005-0000-0000-000089D80000}"/>
    <cellStyle name="SAPBEXunassignedItem 60" xfId="55603" xr:uid="{00000000-0005-0000-0000-00008AD80000}"/>
    <cellStyle name="SAPBEXunassignedItem 60 2" xfId="55604" xr:uid="{00000000-0005-0000-0000-00008BD80000}"/>
    <cellStyle name="SAPBEXunassignedItem 60 2 2" xfId="55605" xr:uid="{00000000-0005-0000-0000-00008CD80000}"/>
    <cellStyle name="SAPBEXunassignedItem 60 3" xfId="55606" xr:uid="{00000000-0005-0000-0000-00008DD80000}"/>
    <cellStyle name="SAPBEXunassignedItem 60 3 2" xfId="55607" xr:uid="{00000000-0005-0000-0000-00008ED80000}"/>
    <cellStyle name="SAPBEXunassignedItem 60 4" xfId="55608" xr:uid="{00000000-0005-0000-0000-00008FD80000}"/>
    <cellStyle name="SAPBEXunassignedItem 60 4 2" xfId="55609" xr:uid="{00000000-0005-0000-0000-000090D80000}"/>
    <cellStyle name="SAPBEXunassignedItem 60 5" xfId="55610" xr:uid="{00000000-0005-0000-0000-000091D80000}"/>
    <cellStyle name="SAPBEXunassignedItem 60 5 2" xfId="55611" xr:uid="{00000000-0005-0000-0000-000092D80000}"/>
    <cellStyle name="SAPBEXunassignedItem 60 6" xfId="55612" xr:uid="{00000000-0005-0000-0000-000093D80000}"/>
    <cellStyle name="SAPBEXunassignedItem 60 6 2" xfId="55613" xr:uid="{00000000-0005-0000-0000-000094D80000}"/>
    <cellStyle name="SAPBEXunassignedItem 60 7" xfId="55614" xr:uid="{00000000-0005-0000-0000-000095D80000}"/>
    <cellStyle name="SAPBEXunassignedItem 61" xfId="55615" xr:uid="{00000000-0005-0000-0000-000096D80000}"/>
    <cellStyle name="SAPBEXunassignedItem 61 2" xfId="55616" xr:uid="{00000000-0005-0000-0000-000097D80000}"/>
    <cellStyle name="SAPBEXunassignedItem 61 2 2" xfId="55617" xr:uid="{00000000-0005-0000-0000-000098D80000}"/>
    <cellStyle name="SAPBEXunassignedItem 61 3" xfId="55618" xr:uid="{00000000-0005-0000-0000-000099D80000}"/>
    <cellStyle name="SAPBEXunassignedItem 61 3 2" xfId="55619" xr:uid="{00000000-0005-0000-0000-00009AD80000}"/>
    <cellStyle name="SAPBEXunassignedItem 61 4" xfId="55620" xr:uid="{00000000-0005-0000-0000-00009BD80000}"/>
    <cellStyle name="SAPBEXunassignedItem 61 4 2" xfId="55621" xr:uid="{00000000-0005-0000-0000-00009CD80000}"/>
    <cellStyle name="SAPBEXunassignedItem 61 5" xfId="55622" xr:uid="{00000000-0005-0000-0000-00009DD80000}"/>
    <cellStyle name="SAPBEXunassignedItem 61 5 2" xfId="55623" xr:uid="{00000000-0005-0000-0000-00009ED80000}"/>
    <cellStyle name="SAPBEXunassignedItem 61 6" xfId="55624" xr:uid="{00000000-0005-0000-0000-00009FD80000}"/>
    <cellStyle name="SAPBEXunassignedItem 61 6 2" xfId="55625" xr:uid="{00000000-0005-0000-0000-0000A0D80000}"/>
    <cellStyle name="SAPBEXunassignedItem 61 7" xfId="55626" xr:uid="{00000000-0005-0000-0000-0000A1D80000}"/>
    <cellStyle name="SAPBEXunassignedItem 62" xfId="55627" xr:uid="{00000000-0005-0000-0000-0000A2D80000}"/>
    <cellStyle name="SAPBEXunassignedItem 62 2" xfId="55628" xr:uid="{00000000-0005-0000-0000-0000A3D80000}"/>
    <cellStyle name="SAPBEXunassignedItem 62 2 2" xfId="55629" xr:uid="{00000000-0005-0000-0000-0000A4D80000}"/>
    <cellStyle name="SAPBEXunassignedItem 62 3" xfId="55630" xr:uid="{00000000-0005-0000-0000-0000A5D80000}"/>
    <cellStyle name="SAPBEXunassignedItem 62 3 2" xfId="55631" xr:uid="{00000000-0005-0000-0000-0000A6D80000}"/>
    <cellStyle name="SAPBEXunassignedItem 62 4" xfId="55632" xr:uid="{00000000-0005-0000-0000-0000A7D80000}"/>
    <cellStyle name="SAPBEXunassignedItem 62 4 2" xfId="55633" xr:uid="{00000000-0005-0000-0000-0000A8D80000}"/>
    <cellStyle name="SAPBEXunassignedItem 62 5" xfId="55634" xr:uid="{00000000-0005-0000-0000-0000A9D80000}"/>
    <cellStyle name="SAPBEXunassignedItem 62 5 2" xfId="55635" xr:uid="{00000000-0005-0000-0000-0000AAD80000}"/>
    <cellStyle name="SAPBEXunassignedItem 62 6" xfId="55636" xr:uid="{00000000-0005-0000-0000-0000ABD80000}"/>
    <cellStyle name="SAPBEXunassignedItem 62 6 2" xfId="55637" xr:uid="{00000000-0005-0000-0000-0000ACD80000}"/>
    <cellStyle name="SAPBEXunassignedItem 62 7" xfId="55638" xr:uid="{00000000-0005-0000-0000-0000ADD80000}"/>
    <cellStyle name="SAPBEXunassignedItem 63" xfId="55639" xr:uid="{00000000-0005-0000-0000-0000AED80000}"/>
    <cellStyle name="SAPBEXunassignedItem 63 2" xfId="55640" xr:uid="{00000000-0005-0000-0000-0000AFD80000}"/>
    <cellStyle name="SAPBEXunassignedItem 63 2 2" xfId="55641" xr:uid="{00000000-0005-0000-0000-0000B0D80000}"/>
    <cellStyle name="SAPBEXunassignedItem 63 3" xfId="55642" xr:uid="{00000000-0005-0000-0000-0000B1D80000}"/>
    <cellStyle name="SAPBEXunassignedItem 63 3 2" xfId="55643" xr:uid="{00000000-0005-0000-0000-0000B2D80000}"/>
    <cellStyle name="SAPBEXunassignedItem 63 4" xfId="55644" xr:uid="{00000000-0005-0000-0000-0000B3D80000}"/>
    <cellStyle name="SAPBEXunassignedItem 63 4 2" xfId="55645" xr:uid="{00000000-0005-0000-0000-0000B4D80000}"/>
    <cellStyle name="SAPBEXunassignedItem 63 5" xfId="55646" xr:uid="{00000000-0005-0000-0000-0000B5D80000}"/>
    <cellStyle name="SAPBEXunassignedItem 63 5 2" xfId="55647" xr:uid="{00000000-0005-0000-0000-0000B6D80000}"/>
    <cellStyle name="SAPBEXunassignedItem 63 6" xfId="55648" xr:uid="{00000000-0005-0000-0000-0000B7D80000}"/>
    <cellStyle name="SAPBEXunassignedItem 63 6 2" xfId="55649" xr:uid="{00000000-0005-0000-0000-0000B8D80000}"/>
    <cellStyle name="SAPBEXunassignedItem 63 7" xfId="55650" xr:uid="{00000000-0005-0000-0000-0000B9D80000}"/>
    <cellStyle name="SAPBEXunassignedItem 64" xfId="55651" xr:uid="{00000000-0005-0000-0000-0000BAD80000}"/>
    <cellStyle name="SAPBEXunassignedItem 64 2" xfId="55652" xr:uid="{00000000-0005-0000-0000-0000BBD80000}"/>
    <cellStyle name="SAPBEXunassignedItem 64 2 2" xfId="55653" xr:uid="{00000000-0005-0000-0000-0000BCD80000}"/>
    <cellStyle name="SAPBEXunassignedItem 64 3" xfId="55654" xr:uid="{00000000-0005-0000-0000-0000BDD80000}"/>
    <cellStyle name="SAPBEXunassignedItem 64 3 2" xfId="55655" xr:uid="{00000000-0005-0000-0000-0000BED80000}"/>
    <cellStyle name="SAPBEXunassignedItem 64 4" xfId="55656" xr:uid="{00000000-0005-0000-0000-0000BFD80000}"/>
    <cellStyle name="SAPBEXunassignedItem 64 4 2" xfId="55657" xr:uid="{00000000-0005-0000-0000-0000C0D80000}"/>
    <cellStyle name="SAPBEXunassignedItem 64 5" xfId="55658" xr:uid="{00000000-0005-0000-0000-0000C1D80000}"/>
    <cellStyle name="SAPBEXunassignedItem 64 5 2" xfId="55659" xr:uid="{00000000-0005-0000-0000-0000C2D80000}"/>
    <cellStyle name="SAPBEXunassignedItem 64 6" xfId="55660" xr:uid="{00000000-0005-0000-0000-0000C3D80000}"/>
    <cellStyle name="SAPBEXunassignedItem 64 6 2" xfId="55661" xr:uid="{00000000-0005-0000-0000-0000C4D80000}"/>
    <cellStyle name="SAPBEXunassignedItem 64 7" xfId="55662" xr:uid="{00000000-0005-0000-0000-0000C5D80000}"/>
    <cellStyle name="SAPBEXunassignedItem 65" xfId="55663" xr:uid="{00000000-0005-0000-0000-0000C6D80000}"/>
    <cellStyle name="SAPBEXunassignedItem 65 2" xfId="55664" xr:uid="{00000000-0005-0000-0000-0000C7D80000}"/>
    <cellStyle name="SAPBEXunassignedItem 65 2 2" xfId="55665" xr:uid="{00000000-0005-0000-0000-0000C8D80000}"/>
    <cellStyle name="SAPBEXunassignedItem 65 3" xfId="55666" xr:uid="{00000000-0005-0000-0000-0000C9D80000}"/>
    <cellStyle name="SAPBEXunassignedItem 65 3 2" xfId="55667" xr:uid="{00000000-0005-0000-0000-0000CAD80000}"/>
    <cellStyle name="SAPBEXunassignedItem 65 4" xfId="55668" xr:uid="{00000000-0005-0000-0000-0000CBD80000}"/>
    <cellStyle name="SAPBEXunassignedItem 65 4 2" xfId="55669" xr:uid="{00000000-0005-0000-0000-0000CCD80000}"/>
    <cellStyle name="SAPBEXunassignedItem 65 5" xfId="55670" xr:uid="{00000000-0005-0000-0000-0000CDD80000}"/>
    <cellStyle name="SAPBEXunassignedItem 65 5 2" xfId="55671" xr:uid="{00000000-0005-0000-0000-0000CED80000}"/>
    <cellStyle name="SAPBEXunassignedItem 65 6" xfId="55672" xr:uid="{00000000-0005-0000-0000-0000CFD80000}"/>
    <cellStyle name="SAPBEXunassignedItem 65 6 2" xfId="55673" xr:uid="{00000000-0005-0000-0000-0000D0D80000}"/>
    <cellStyle name="SAPBEXunassignedItem 65 7" xfId="55674" xr:uid="{00000000-0005-0000-0000-0000D1D80000}"/>
    <cellStyle name="SAPBEXunassignedItem 66" xfId="55675" xr:uid="{00000000-0005-0000-0000-0000D2D80000}"/>
    <cellStyle name="SAPBEXunassignedItem 66 2" xfId="55676" xr:uid="{00000000-0005-0000-0000-0000D3D80000}"/>
    <cellStyle name="SAPBEXunassignedItem 66 2 2" xfId="55677" xr:uid="{00000000-0005-0000-0000-0000D4D80000}"/>
    <cellStyle name="SAPBEXunassignedItem 66 3" xfId="55678" xr:uid="{00000000-0005-0000-0000-0000D5D80000}"/>
    <cellStyle name="SAPBEXunassignedItem 66 3 2" xfId="55679" xr:uid="{00000000-0005-0000-0000-0000D6D80000}"/>
    <cellStyle name="SAPBEXunassignedItem 66 4" xfId="55680" xr:uid="{00000000-0005-0000-0000-0000D7D80000}"/>
    <cellStyle name="SAPBEXunassignedItem 66 4 2" xfId="55681" xr:uid="{00000000-0005-0000-0000-0000D8D80000}"/>
    <cellStyle name="SAPBEXunassignedItem 66 5" xfId="55682" xr:uid="{00000000-0005-0000-0000-0000D9D80000}"/>
    <cellStyle name="SAPBEXunassignedItem 66 5 2" xfId="55683" xr:uid="{00000000-0005-0000-0000-0000DAD80000}"/>
    <cellStyle name="SAPBEXunassignedItem 66 6" xfId="55684" xr:uid="{00000000-0005-0000-0000-0000DBD80000}"/>
    <cellStyle name="SAPBEXunassignedItem 66 6 2" xfId="55685" xr:uid="{00000000-0005-0000-0000-0000DCD80000}"/>
    <cellStyle name="SAPBEXunassignedItem 66 7" xfId="55686" xr:uid="{00000000-0005-0000-0000-0000DDD80000}"/>
    <cellStyle name="SAPBEXunassignedItem 67" xfId="55687" xr:uid="{00000000-0005-0000-0000-0000DED80000}"/>
    <cellStyle name="SAPBEXunassignedItem 67 2" xfId="55688" xr:uid="{00000000-0005-0000-0000-0000DFD80000}"/>
    <cellStyle name="SAPBEXunassignedItem 68" xfId="55689" xr:uid="{00000000-0005-0000-0000-0000E0D80000}"/>
    <cellStyle name="SAPBEXunassignedItem 68 2" xfId="55690" xr:uid="{00000000-0005-0000-0000-0000E1D80000}"/>
    <cellStyle name="SAPBEXunassignedItem 69" xfId="55691" xr:uid="{00000000-0005-0000-0000-0000E2D80000}"/>
    <cellStyle name="SAPBEXunassignedItem 69 2" xfId="55692" xr:uid="{00000000-0005-0000-0000-0000E3D80000}"/>
    <cellStyle name="SAPBEXunassignedItem 7" xfId="55693" xr:uid="{00000000-0005-0000-0000-0000E4D80000}"/>
    <cellStyle name="SAPBEXunassignedItem 7 2" xfId="55694" xr:uid="{00000000-0005-0000-0000-0000E5D80000}"/>
    <cellStyle name="SAPBEXunassignedItem 7 2 2" xfId="55695" xr:uid="{00000000-0005-0000-0000-0000E6D80000}"/>
    <cellStyle name="SAPBEXunassignedItem 7 3" xfId="55696" xr:uid="{00000000-0005-0000-0000-0000E7D80000}"/>
    <cellStyle name="SAPBEXunassignedItem 7 3 2" xfId="55697" xr:uid="{00000000-0005-0000-0000-0000E8D80000}"/>
    <cellStyle name="SAPBEXunassignedItem 7 4" xfId="55698" xr:uid="{00000000-0005-0000-0000-0000E9D80000}"/>
    <cellStyle name="SAPBEXunassignedItem 7 4 2" xfId="55699" xr:uid="{00000000-0005-0000-0000-0000EAD80000}"/>
    <cellStyle name="SAPBEXunassignedItem 7 5" xfId="55700" xr:uid="{00000000-0005-0000-0000-0000EBD80000}"/>
    <cellStyle name="SAPBEXunassignedItem 7 5 2" xfId="55701" xr:uid="{00000000-0005-0000-0000-0000ECD80000}"/>
    <cellStyle name="SAPBEXunassignedItem 7 6" xfId="55702" xr:uid="{00000000-0005-0000-0000-0000EDD80000}"/>
    <cellStyle name="SAPBEXunassignedItem 7 6 2" xfId="55703" xr:uid="{00000000-0005-0000-0000-0000EED80000}"/>
    <cellStyle name="SAPBEXunassignedItem 7 7" xfId="55704" xr:uid="{00000000-0005-0000-0000-0000EFD80000}"/>
    <cellStyle name="SAPBEXunassignedItem 70" xfId="55705" xr:uid="{00000000-0005-0000-0000-0000F0D80000}"/>
    <cellStyle name="SAPBEXunassignedItem 70 2" xfId="55706" xr:uid="{00000000-0005-0000-0000-0000F1D80000}"/>
    <cellStyle name="SAPBEXunassignedItem 71" xfId="55707" xr:uid="{00000000-0005-0000-0000-0000F2D80000}"/>
    <cellStyle name="SAPBEXunassignedItem 71 2" xfId="55708" xr:uid="{00000000-0005-0000-0000-0000F3D80000}"/>
    <cellStyle name="SAPBEXunassignedItem 72" xfId="55709" xr:uid="{00000000-0005-0000-0000-0000F4D80000}"/>
    <cellStyle name="SAPBEXunassignedItem 72 2" xfId="55710" xr:uid="{00000000-0005-0000-0000-0000F5D80000}"/>
    <cellStyle name="SAPBEXunassignedItem 73" xfId="55711" xr:uid="{00000000-0005-0000-0000-0000F6D80000}"/>
    <cellStyle name="SAPBEXunassignedItem 73 2" xfId="55712" xr:uid="{00000000-0005-0000-0000-0000F7D80000}"/>
    <cellStyle name="SAPBEXunassignedItem 74" xfId="55713" xr:uid="{00000000-0005-0000-0000-0000F8D80000}"/>
    <cellStyle name="SAPBEXunassignedItem 74 2" xfId="55714" xr:uid="{00000000-0005-0000-0000-0000F9D80000}"/>
    <cellStyle name="SAPBEXunassignedItem 75" xfId="55715" xr:uid="{00000000-0005-0000-0000-0000FAD80000}"/>
    <cellStyle name="SAPBEXunassignedItem 75 2" xfId="55716" xr:uid="{00000000-0005-0000-0000-0000FBD80000}"/>
    <cellStyle name="SAPBEXunassignedItem 76" xfId="55717" xr:uid="{00000000-0005-0000-0000-0000FCD80000}"/>
    <cellStyle name="SAPBEXunassignedItem 76 2" xfId="55718" xr:uid="{00000000-0005-0000-0000-0000FDD80000}"/>
    <cellStyle name="SAPBEXunassignedItem 77" xfId="55719" xr:uid="{00000000-0005-0000-0000-0000FED80000}"/>
    <cellStyle name="SAPBEXunassignedItem 77 2" xfId="55720" xr:uid="{00000000-0005-0000-0000-0000FFD80000}"/>
    <cellStyle name="SAPBEXunassignedItem 78" xfId="55721" xr:uid="{00000000-0005-0000-0000-000000D90000}"/>
    <cellStyle name="SAPBEXunassignedItem 78 2" xfId="55722" xr:uid="{00000000-0005-0000-0000-000001D90000}"/>
    <cellStyle name="SAPBEXunassignedItem 79" xfId="55723" xr:uid="{00000000-0005-0000-0000-000002D90000}"/>
    <cellStyle name="SAPBEXunassignedItem 79 2" xfId="55724" xr:uid="{00000000-0005-0000-0000-000003D90000}"/>
    <cellStyle name="SAPBEXunassignedItem 8" xfId="55725" xr:uid="{00000000-0005-0000-0000-000004D90000}"/>
    <cellStyle name="SAPBEXunassignedItem 8 2" xfId="55726" xr:uid="{00000000-0005-0000-0000-000005D90000}"/>
    <cellStyle name="SAPBEXunassignedItem 8 2 2" xfId="55727" xr:uid="{00000000-0005-0000-0000-000006D90000}"/>
    <cellStyle name="SAPBEXunassignedItem 8 3" xfId="55728" xr:uid="{00000000-0005-0000-0000-000007D90000}"/>
    <cellStyle name="SAPBEXunassignedItem 8 3 2" xfId="55729" xr:uid="{00000000-0005-0000-0000-000008D90000}"/>
    <cellStyle name="SAPBEXunassignedItem 8 4" xfId="55730" xr:uid="{00000000-0005-0000-0000-000009D90000}"/>
    <cellStyle name="SAPBEXunassignedItem 8 4 2" xfId="55731" xr:uid="{00000000-0005-0000-0000-00000AD90000}"/>
    <cellStyle name="SAPBEXunassignedItem 8 5" xfId="55732" xr:uid="{00000000-0005-0000-0000-00000BD90000}"/>
    <cellStyle name="SAPBEXunassignedItem 8 5 2" xfId="55733" xr:uid="{00000000-0005-0000-0000-00000CD90000}"/>
    <cellStyle name="SAPBEXunassignedItem 8 6" xfId="55734" xr:uid="{00000000-0005-0000-0000-00000DD90000}"/>
    <cellStyle name="SAPBEXunassignedItem 8 6 2" xfId="55735" xr:uid="{00000000-0005-0000-0000-00000ED90000}"/>
    <cellStyle name="SAPBEXunassignedItem 8 7" xfId="55736" xr:uid="{00000000-0005-0000-0000-00000FD90000}"/>
    <cellStyle name="SAPBEXunassignedItem 80" xfId="55737" xr:uid="{00000000-0005-0000-0000-000010D90000}"/>
    <cellStyle name="SAPBEXunassignedItem 80 2" xfId="55738" xr:uid="{00000000-0005-0000-0000-000011D90000}"/>
    <cellStyle name="SAPBEXunassignedItem 81" xfId="55739" xr:uid="{00000000-0005-0000-0000-000012D90000}"/>
    <cellStyle name="SAPBEXunassignedItem 81 2" xfId="55740" xr:uid="{00000000-0005-0000-0000-000013D90000}"/>
    <cellStyle name="SAPBEXunassignedItem 82" xfId="55741" xr:uid="{00000000-0005-0000-0000-000014D90000}"/>
    <cellStyle name="SAPBEXunassignedItem 82 2" xfId="55742" xr:uid="{00000000-0005-0000-0000-000015D90000}"/>
    <cellStyle name="SAPBEXunassignedItem 83" xfId="55743" xr:uid="{00000000-0005-0000-0000-000016D90000}"/>
    <cellStyle name="SAPBEXunassignedItem 83 2" xfId="55744" xr:uid="{00000000-0005-0000-0000-000017D90000}"/>
    <cellStyle name="SAPBEXunassignedItem 84" xfId="55745" xr:uid="{00000000-0005-0000-0000-000018D90000}"/>
    <cellStyle name="SAPBEXunassignedItem 84 2" xfId="55746" xr:uid="{00000000-0005-0000-0000-000019D90000}"/>
    <cellStyle name="SAPBEXunassignedItem 85" xfId="55747" xr:uid="{00000000-0005-0000-0000-00001AD90000}"/>
    <cellStyle name="SAPBEXunassignedItem 85 2" xfId="55748" xr:uid="{00000000-0005-0000-0000-00001BD90000}"/>
    <cellStyle name="SAPBEXunassignedItem 86" xfId="55749" xr:uid="{00000000-0005-0000-0000-00001CD90000}"/>
    <cellStyle name="SAPBEXunassignedItem 86 2" xfId="55750" xr:uid="{00000000-0005-0000-0000-00001DD90000}"/>
    <cellStyle name="SAPBEXunassignedItem 87" xfId="55751" xr:uid="{00000000-0005-0000-0000-00001ED90000}"/>
    <cellStyle name="SAPBEXunassignedItem 87 2" xfId="55752" xr:uid="{00000000-0005-0000-0000-00001FD90000}"/>
    <cellStyle name="SAPBEXunassignedItem 88" xfId="55753" xr:uid="{00000000-0005-0000-0000-000020D90000}"/>
    <cellStyle name="SAPBEXunassignedItem 88 2" xfId="55754" xr:uid="{00000000-0005-0000-0000-000021D90000}"/>
    <cellStyle name="SAPBEXunassignedItem 89" xfId="55755" xr:uid="{00000000-0005-0000-0000-000022D90000}"/>
    <cellStyle name="SAPBEXunassignedItem 89 2" xfId="55756" xr:uid="{00000000-0005-0000-0000-000023D90000}"/>
    <cellStyle name="SAPBEXunassignedItem 9" xfId="55757" xr:uid="{00000000-0005-0000-0000-000024D90000}"/>
    <cellStyle name="SAPBEXunassignedItem 9 2" xfId="55758" xr:uid="{00000000-0005-0000-0000-000025D90000}"/>
    <cellStyle name="SAPBEXunassignedItem 9 2 2" xfId="55759" xr:uid="{00000000-0005-0000-0000-000026D90000}"/>
    <cellStyle name="SAPBEXunassignedItem 9 3" xfId="55760" xr:uid="{00000000-0005-0000-0000-000027D90000}"/>
    <cellStyle name="SAPBEXunassignedItem 9 3 2" xfId="55761" xr:uid="{00000000-0005-0000-0000-000028D90000}"/>
    <cellStyle name="SAPBEXunassignedItem 9 4" xfId="55762" xr:uid="{00000000-0005-0000-0000-000029D90000}"/>
    <cellStyle name="SAPBEXunassignedItem 9 4 2" xfId="55763" xr:uid="{00000000-0005-0000-0000-00002AD90000}"/>
    <cellStyle name="SAPBEXunassignedItem 9 5" xfId="55764" xr:uid="{00000000-0005-0000-0000-00002BD90000}"/>
    <cellStyle name="SAPBEXunassignedItem 9 5 2" xfId="55765" xr:uid="{00000000-0005-0000-0000-00002CD90000}"/>
    <cellStyle name="SAPBEXunassignedItem 9 6" xfId="55766" xr:uid="{00000000-0005-0000-0000-00002DD90000}"/>
    <cellStyle name="SAPBEXunassignedItem 9 6 2" xfId="55767" xr:uid="{00000000-0005-0000-0000-00002ED90000}"/>
    <cellStyle name="SAPBEXunassignedItem 9 7" xfId="55768" xr:uid="{00000000-0005-0000-0000-00002FD90000}"/>
    <cellStyle name="SAPBEXunassignedItem 90" xfId="55769" xr:uid="{00000000-0005-0000-0000-000030D90000}"/>
    <cellStyle name="SAPBEXunassignedItem 90 2" xfId="55770" xr:uid="{00000000-0005-0000-0000-000031D90000}"/>
    <cellStyle name="SAPBEXunassignedItem 91" xfId="55771" xr:uid="{00000000-0005-0000-0000-000032D90000}"/>
    <cellStyle name="SAPBEXunassignedItem 91 2" xfId="55772" xr:uid="{00000000-0005-0000-0000-000033D90000}"/>
    <cellStyle name="SAPBEXunassignedItem 92" xfId="55773" xr:uid="{00000000-0005-0000-0000-000034D90000}"/>
    <cellStyle name="SAPBEXunassignedItem 92 2" xfId="55774" xr:uid="{00000000-0005-0000-0000-000035D90000}"/>
    <cellStyle name="SAPBEXunassignedItem 93" xfId="55775" xr:uid="{00000000-0005-0000-0000-000036D90000}"/>
    <cellStyle name="SAPBEXunassignedItem 93 2" xfId="55776" xr:uid="{00000000-0005-0000-0000-000037D90000}"/>
    <cellStyle name="SAPBEXunassignedItem 94" xfId="55777" xr:uid="{00000000-0005-0000-0000-000038D90000}"/>
    <cellStyle name="SAPBEXunassignedItem 94 2" xfId="55778" xr:uid="{00000000-0005-0000-0000-000039D90000}"/>
    <cellStyle name="SAPBEXunassignedItem 95" xfId="55779" xr:uid="{00000000-0005-0000-0000-00003AD90000}"/>
    <cellStyle name="SAPBEXunassignedItem 95 2" xfId="55780" xr:uid="{00000000-0005-0000-0000-00003BD90000}"/>
    <cellStyle name="SAPBEXunassignedItem 96" xfId="55781" xr:uid="{00000000-0005-0000-0000-00003CD90000}"/>
    <cellStyle name="SAPBEXunassignedItem 96 2" xfId="55782" xr:uid="{00000000-0005-0000-0000-00003DD90000}"/>
    <cellStyle name="SAPBEXunassignedItem 97" xfId="55783" xr:uid="{00000000-0005-0000-0000-00003ED90000}"/>
    <cellStyle name="SAPBEXunassignedItem 97 2" xfId="55784" xr:uid="{00000000-0005-0000-0000-00003FD90000}"/>
    <cellStyle name="SAPBEXunassignedItem 98" xfId="55785" xr:uid="{00000000-0005-0000-0000-000040D90000}"/>
    <cellStyle name="SAPBEXunassignedItem 98 2" xfId="55786" xr:uid="{00000000-0005-0000-0000-000041D90000}"/>
    <cellStyle name="SAPBEXunassignedItem 99" xfId="55787" xr:uid="{00000000-0005-0000-0000-000042D90000}"/>
    <cellStyle name="SAPBEXunassignedItem 99 2" xfId="55788" xr:uid="{00000000-0005-0000-0000-000043D90000}"/>
    <cellStyle name="SAPBEXunassignedItem_(A-7) IS-Inputs" xfId="55789" xr:uid="{00000000-0005-0000-0000-000044D90000}"/>
    <cellStyle name="SAPBEXundefined" xfId="89" xr:uid="{00000000-0005-0000-0000-000091000000}"/>
    <cellStyle name="SAPBEXundefined 10" xfId="3474" xr:uid="{00000000-0005-0000-0000-000046D90000}"/>
    <cellStyle name="SAPBEXundefined 11" xfId="3475" xr:uid="{00000000-0005-0000-0000-000047D90000}"/>
    <cellStyle name="SAPBEXundefined 12" xfId="3476" xr:uid="{00000000-0005-0000-0000-000048D90000}"/>
    <cellStyle name="SAPBEXundefined 13" xfId="3477" xr:uid="{00000000-0005-0000-0000-000049D90000}"/>
    <cellStyle name="SAPBEXundefined 14" xfId="3478" xr:uid="{00000000-0005-0000-0000-00004AD90000}"/>
    <cellStyle name="SAPBEXundefined 15" xfId="3479" xr:uid="{00000000-0005-0000-0000-00004BD90000}"/>
    <cellStyle name="SAPBEXundefined 16" xfId="3480" xr:uid="{00000000-0005-0000-0000-00004CD90000}"/>
    <cellStyle name="SAPBEXundefined 17" xfId="3481" xr:uid="{00000000-0005-0000-0000-00004DD90000}"/>
    <cellStyle name="SAPBEXundefined 18" xfId="3482" xr:uid="{00000000-0005-0000-0000-00004ED90000}"/>
    <cellStyle name="SAPBEXundefined 19" xfId="3483" xr:uid="{00000000-0005-0000-0000-00004FD90000}"/>
    <cellStyle name="SAPBEXundefined 2" xfId="3484" xr:uid="{00000000-0005-0000-0000-000050D90000}"/>
    <cellStyle name="SAPBEXundefined 2 2" xfId="55790" xr:uid="{00000000-0005-0000-0000-000051D90000}"/>
    <cellStyle name="SAPBEXundefined 2 2 2" xfId="55791" xr:uid="{00000000-0005-0000-0000-000052D90000}"/>
    <cellStyle name="SAPBEXundefined 2 3" xfId="55792" xr:uid="{00000000-0005-0000-0000-000053D90000}"/>
    <cellStyle name="SAPBEXundefined 20" xfId="3485" xr:uid="{00000000-0005-0000-0000-000054D90000}"/>
    <cellStyle name="SAPBEXundefined 21" xfId="3486" xr:uid="{00000000-0005-0000-0000-000055D90000}"/>
    <cellStyle name="SAPBEXundefined 22" xfId="3487" xr:uid="{00000000-0005-0000-0000-000056D90000}"/>
    <cellStyle name="SAPBEXundefined 23" xfId="3488" xr:uid="{00000000-0005-0000-0000-000057D90000}"/>
    <cellStyle name="SAPBEXundefined 24" xfId="3489" xr:uid="{00000000-0005-0000-0000-000058D90000}"/>
    <cellStyle name="SAPBEXundefined 25" xfId="3490" xr:uid="{00000000-0005-0000-0000-000059D90000}"/>
    <cellStyle name="SAPBEXundefined 26" xfId="3491" xr:uid="{00000000-0005-0000-0000-00005AD90000}"/>
    <cellStyle name="SAPBEXundefined 27" xfId="3492" xr:uid="{00000000-0005-0000-0000-00005BD90000}"/>
    <cellStyle name="SAPBEXundefined 28" xfId="3493" xr:uid="{00000000-0005-0000-0000-00005CD90000}"/>
    <cellStyle name="SAPBEXundefined 29" xfId="3494" xr:uid="{00000000-0005-0000-0000-00005DD90000}"/>
    <cellStyle name="SAPBEXundefined 3" xfId="3495" xr:uid="{00000000-0005-0000-0000-00005ED90000}"/>
    <cellStyle name="SAPBEXundefined 30" xfId="3496" xr:uid="{00000000-0005-0000-0000-00005FD90000}"/>
    <cellStyle name="SAPBEXundefined 31" xfId="3497" xr:uid="{00000000-0005-0000-0000-000060D90000}"/>
    <cellStyle name="SAPBEXundefined 32" xfId="3498" xr:uid="{00000000-0005-0000-0000-000061D90000}"/>
    <cellStyle name="SAPBEXundefined 33" xfId="3499" xr:uid="{00000000-0005-0000-0000-000062D90000}"/>
    <cellStyle name="SAPBEXundefined 34" xfId="3500" xr:uid="{00000000-0005-0000-0000-000063D90000}"/>
    <cellStyle name="SAPBEXundefined 35" xfId="3501" xr:uid="{00000000-0005-0000-0000-000064D90000}"/>
    <cellStyle name="SAPBEXundefined 36" xfId="3502" xr:uid="{00000000-0005-0000-0000-000065D90000}"/>
    <cellStyle name="SAPBEXundefined 37" xfId="3503" xr:uid="{00000000-0005-0000-0000-000066D90000}"/>
    <cellStyle name="SAPBEXundefined 38" xfId="3504" xr:uid="{00000000-0005-0000-0000-000067D90000}"/>
    <cellStyle name="SAPBEXundefined 39" xfId="3505" xr:uid="{00000000-0005-0000-0000-000068D90000}"/>
    <cellStyle name="SAPBEXundefined 4" xfId="3506" xr:uid="{00000000-0005-0000-0000-000069D90000}"/>
    <cellStyle name="SAPBEXundefined 40" xfId="3507" xr:uid="{00000000-0005-0000-0000-00006AD90000}"/>
    <cellStyle name="SAPBEXundefined 41" xfId="3508" xr:uid="{00000000-0005-0000-0000-00006BD90000}"/>
    <cellStyle name="SAPBEXundefined 42" xfId="3509" xr:uid="{00000000-0005-0000-0000-00006CD90000}"/>
    <cellStyle name="SAPBEXundefined 43" xfId="3510" xr:uid="{00000000-0005-0000-0000-00006DD90000}"/>
    <cellStyle name="SAPBEXundefined 44" xfId="3511" xr:uid="{00000000-0005-0000-0000-00006ED90000}"/>
    <cellStyle name="SAPBEXundefined 45" xfId="3512" xr:uid="{00000000-0005-0000-0000-00006FD90000}"/>
    <cellStyle name="SAPBEXundefined 46" xfId="3513" xr:uid="{00000000-0005-0000-0000-000070D90000}"/>
    <cellStyle name="SAPBEXundefined 47" xfId="55793" xr:uid="{00000000-0005-0000-0000-000071D90000}"/>
    <cellStyle name="SAPBEXundefined 5" xfId="3514" xr:uid="{00000000-0005-0000-0000-000072D90000}"/>
    <cellStyle name="SAPBEXundefined 6" xfId="3515" xr:uid="{00000000-0005-0000-0000-000073D90000}"/>
    <cellStyle name="SAPBEXundefined 7" xfId="3516" xr:uid="{00000000-0005-0000-0000-000074D90000}"/>
    <cellStyle name="SAPBEXundefined 8" xfId="3517" xr:uid="{00000000-0005-0000-0000-000075D90000}"/>
    <cellStyle name="SAPBEXundefined 9" xfId="3518" xr:uid="{00000000-0005-0000-0000-000076D90000}"/>
    <cellStyle name="shaded" xfId="55794" xr:uid="{00000000-0005-0000-0000-000077D90000}"/>
    <cellStyle name="shaded - Style3" xfId="55795" xr:uid="{00000000-0005-0000-0000-000078D90000}"/>
    <cellStyle name="Sheet Title" xfId="90" xr:uid="{00000000-0005-0000-0000-000092000000}"/>
    <cellStyle name="Sheet Title 2" xfId="55796" xr:uid="{00000000-0005-0000-0000-00007AD90000}"/>
    <cellStyle name="Sheet Title 3" xfId="55797" xr:uid="{00000000-0005-0000-0000-00007BD90000}"/>
    <cellStyle name="Sheet Title 4" xfId="55798" xr:uid="{00000000-0005-0000-0000-00007CD90000}"/>
    <cellStyle name="Sheet Title 5" xfId="55799" xr:uid="{00000000-0005-0000-0000-00007DD90000}"/>
    <cellStyle name="STYLE1" xfId="3519" xr:uid="{00000000-0005-0000-0000-00007ED90000}"/>
    <cellStyle name="STYLE1 10" xfId="55800" xr:uid="{00000000-0005-0000-0000-00007FD90000}"/>
    <cellStyle name="STYLE1 10 2" xfId="55801" xr:uid="{00000000-0005-0000-0000-000080D90000}"/>
    <cellStyle name="STYLE1 10 3" xfId="55802" xr:uid="{00000000-0005-0000-0000-000081D90000}"/>
    <cellStyle name="STYLE1 10 4" xfId="55803" xr:uid="{00000000-0005-0000-0000-000082D90000}"/>
    <cellStyle name="STYLE1 11" xfId="55804" xr:uid="{00000000-0005-0000-0000-000083D90000}"/>
    <cellStyle name="STYLE1 12" xfId="55805" xr:uid="{00000000-0005-0000-0000-000084D90000}"/>
    <cellStyle name="STYLE1 13" xfId="55806" xr:uid="{00000000-0005-0000-0000-000085D90000}"/>
    <cellStyle name="STYLE1 14" xfId="55807" xr:uid="{00000000-0005-0000-0000-000086D90000}"/>
    <cellStyle name="STYLE1 15" xfId="55808" xr:uid="{00000000-0005-0000-0000-000087D90000}"/>
    <cellStyle name="STYLE1 16" xfId="55809" xr:uid="{00000000-0005-0000-0000-000088D90000}"/>
    <cellStyle name="STYLE1 17" xfId="55810" xr:uid="{00000000-0005-0000-0000-000089D90000}"/>
    <cellStyle name="STYLE1 18" xfId="55811" xr:uid="{00000000-0005-0000-0000-00008AD90000}"/>
    <cellStyle name="STYLE1 2" xfId="55812" xr:uid="{00000000-0005-0000-0000-00008BD90000}"/>
    <cellStyle name="STYLE1 2 2" xfId="55813" xr:uid="{00000000-0005-0000-0000-00008CD90000}"/>
    <cellStyle name="STYLE1 2 2 2" xfId="55814" xr:uid="{00000000-0005-0000-0000-00008DD90000}"/>
    <cellStyle name="STYLE1 2 3" xfId="55815" xr:uid="{00000000-0005-0000-0000-00008ED90000}"/>
    <cellStyle name="STYLE1 2 4" xfId="55816" xr:uid="{00000000-0005-0000-0000-00008FD90000}"/>
    <cellStyle name="STYLE1 2 5" xfId="55817" xr:uid="{00000000-0005-0000-0000-000090D90000}"/>
    <cellStyle name="STYLE1 2 6" xfId="55818" xr:uid="{00000000-0005-0000-0000-000091D90000}"/>
    <cellStyle name="STYLE1 3" xfId="55819" xr:uid="{00000000-0005-0000-0000-000092D90000}"/>
    <cellStyle name="STYLE1 3 2" xfId="55820" xr:uid="{00000000-0005-0000-0000-000093D90000}"/>
    <cellStyle name="STYLE1 4" xfId="55821" xr:uid="{00000000-0005-0000-0000-000094D90000}"/>
    <cellStyle name="STYLE1 5" xfId="55822" xr:uid="{00000000-0005-0000-0000-000095D90000}"/>
    <cellStyle name="STYLE1 6" xfId="55823" xr:uid="{00000000-0005-0000-0000-000096D90000}"/>
    <cellStyle name="STYLE1 7" xfId="55824" xr:uid="{00000000-0005-0000-0000-000097D90000}"/>
    <cellStyle name="STYLE1 8" xfId="55825" xr:uid="{00000000-0005-0000-0000-000098D90000}"/>
    <cellStyle name="STYLE1 9" xfId="55826" xr:uid="{00000000-0005-0000-0000-000099D90000}"/>
    <cellStyle name="STYLE1 9 2" xfId="55827" xr:uid="{00000000-0005-0000-0000-00009AD90000}"/>
    <cellStyle name="STYLE1 9 3" xfId="55828" xr:uid="{00000000-0005-0000-0000-00009BD90000}"/>
    <cellStyle name="STYLE1 9 4" xfId="55829" xr:uid="{00000000-0005-0000-0000-00009CD90000}"/>
    <cellStyle name="STYLE1 9 5" xfId="55830" xr:uid="{00000000-0005-0000-0000-00009DD90000}"/>
    <cellStyle name="STYLE1_Board IS by month for cash flow" xfId="55831" xr:uid="{00000000-0005-0000-0000-00009ED90000}"/>
    <cellStyle name="STYLE2" xfId="3520" xr:uid="{00000000-0005-0000-0000-00009FD90000}"/>
    <cellStyle name="STYLE2 10" xfId="55832" xr:uid="{00000000-0005-0000-0000-0000A0D90000}"/>
    <cellStyle name="STYLE2 10 2" xfId="55833" xr:uid="{00000000-0005-0000-0000-0000A1D90000}"/>
    <cellStyle name="STYLE2 10 3" xfId="55834" xr:uid="{00000000-0005-0000-0000-0000A2D90000}"/>
    <cellStyle name="STYLE2 10 4" xfId="55835" xr:uid="{00000000-0005-0000-0000-0000A3D90000}"/>
    <cellStyle name="STYLE2 11" xfId="55836" xr:uid="{00000000-0005-0000-0000-0000A4D90000}"/>
    <cellStyle name="STYLE2 12" xfId="55837" xr:uid="{00000000-0005-0000-0000-0000A5D90000}"/>
    <cellStyle name="STYLE2 13" xfId="55838" xr:uid="{00000000-0005-0000-0000-0000A6D90000}"/>
    <cellStyle name="STYLE2 14" xfId="55839" xr:uid="{00000000-0005-0000-0000-0000A7D90000}"/>
    <cellStyle name="STYLE2 15" xfId="55840" xr:uid="{00000000-0005-0000-0000-0000A8D90000}"/>
    <cellStyle name="STYLE2 16" xfId="55841" xr:uid="{00000000-0005-0000-0000-0000A9D90000}"/>
    <cellStyle name="STYLE2 17" xfId="55842" xr:uid="{00000000-0005-0000-0000-0000AAD90000}"/>
    <cellStyle name="STYLE2 18" xfId="55843" xr:uid="{00000000-0005-0000-0000-0000ABD90000}"/>
    <cellStyle name="STYLE2 2" xfId="55844" xr:uid="{00000000-0005-0000-0000-0000ACD90000}"/>
    <cellStyle name="STYLE2 2 2" xfId="55845" xr:uid="{00000000-0005-0000-0000-0000ADD90000}"/>
    <cellStyle name="STYLE2 2 2 2" xfId="55846" xr:uid="{00000000-0005-0000-0000-0000AED90000}"/>
    <cellStyle name="STYLE2 2 3" xfId="55847" xr:uid="{00000000-0005-0000-0000-0000AFD90000}"/>
    <cellStyle name="STYLE2 2 4" xfId="55848" xr:uid="{00000000-0005-0000-0000-0000B0D90000}"/>
    <cellStyle name="STYLE2 2 5" xfId="55849" xr:uid="{00000000-0005-0000-0000-0000B1D90000}"/>
    <cellStyle name="STYLE2 2 6" xfId="55850" xr:uid="{00000000-0005-0000-0000-0000B2D90000}"/>
    <cellStyle name="STYLE2 2 7" xfId="55851" xr:uid="{00000000-0005-0000-0000-0000B3D90000}"/>
    <cellStyle name="STYLE2 3" xfId="55852" xr:uid="{00000000-0005-0000-0000-0000B4D90000}"/>
    <cellStyle name="STYLE2 3 2" xfId="55853" xr:uid="{00000000-0005-0000-0000-0000B5D90000}"/>
    <cellStyle name="STYLE2 4" xfId="55854" xr:uid="{00000000-0005-0000-0000-0000B6D90000}"/>
    <cellStyle name="STYLE2 5" xfId="55855" xr:uid="{00000000-0005-0000-0000-0000B7D90000}"/>
    <cellStyle name="STYLE2 6" xfId="55856" xr:uid="{00000000-0005-0000-0000-0000B8D90000}"/>
    <cellStyle name="STYLE2 7" xfId="55857" xr:uid="{00000000-0005-0000-0000-0000B9D90000}"/>
    <cellStyle name="STYLE2 8" xfId="55858" xr:uid="{00000000-0005-0000-0000-0000BAD90000}"/>
    <cellStyle name="STYLE2 9" xfId="55859" xr:uid="{00000000-0005-0000-0000-0000BBD90000}"/>
    <cellStyle name="STYLE2 9 2" xfId="55860" xr:uid="{00000000-0005-0000-0000-0000BCD90000}"/>
    <cellStyle name="STYLE2 9 3" xfId="55861" xr:uid="{00000000-0005-0000-0000-0000BDD90000}"/>
    <cellStyle name="STYLE2 9 4" xfId="55862" xr:uid="{00000000-0005-0000-0000-0000BED90000}"/>
    <cellStyle name="STYLE2 9 5" xfId="55863" xr:uid="{00000000-0005-0000-0000-0000BFD90000}"/>
    <cellStyle name="STYLE3" xfId="3521" xr:uid="{00000000-0005-0000-0000-0000C0D90000}"/>
    <cellStyle name="STYLE3 10" xfId="55864" xr:uid="{00000000-0005-0000-0000-0000C1D90000}"/>
    <cellStyle name="STYLE3 10 2" xfId="55865" xr:uid="{00000000-0005-0000-0000-0000C2D90000}"/>
    <cellStyle name="STYLE3 10 3" xfId="55866" xr:uid="{00000000-0005-0000-0000-0000C3D90000}"/>
    <cellStyle name="STYLE3 10 4" xfId="55867" xr:uid="{00000000-0005-0000-0000-0000C4D90000}"/>
    <cellStyle name="STYLE3 11" xfId="55868" xr:uid="{00000000-0005-0000-0000-0000C5D90000}"/>
    <cellStyle name="STYLE3 12" xfId="55869" xr:uid="{00000000-0005-0000-0000-0000C6D90000}"/>
    <cellStyle name="STYLE3 13" xfId="55870" xr:uid="{00000000-0005-0000-0000-0000C7D90000}"/>
    <cellStyle name="STYLE3 14" xfId="55871" xr:uid="{00000000-0005-0000-0000-0000C8D90000}"/>
    <cellStyle name="STYLE3 15" xfId="55872" xr:uid="{00000000-0005-0000-0000-0000C9D90000}"/>
    <cellStyle name="STYLE3 16" xfId="55873" xr:uid="{00000000-0005-0000-0000-0000CAD90000}"/>
    <cellStyle name="STYLE3 17" xfId="55874" xr:uid="{00000000-0005-0000-0000-0000CBD90000}"/>
    <cellStyle name="STYLE3 18" xfId="55875" xr:uid="{00000000-0005-0000-0000-0000CCD90000}"/>
    <cellStyle name="STYLE3 2" xfId="55876" xr:uid="{00000000-0005-0000-0000-0000CDD90000}"/>
    <cellStyle name="STYLE3 2 2" xfId="55877" xr:uid="{00000000-0005-0000-0000-0000CED90000}"/>
    <cellStyle name="STYLE3 2 2 2" xfId="55878" xr:uid="{00000000-0005-0000-0000-0000CFD90000}"/>
    <cellStyle name="STYLE3 2 3" xfId="55879" xr:uid="{00000000-0005-0000-0000-0000D0D90000}"/>
    <cellStyle name="STYLE3 2 4" xfId="55880" xr:uid="{00000000-0005-0000-0000-0000D1D90000}"/>
    <cellStyle name="STYLE3 2 5" xfId="55881" xr:uid="{00000000-0005-0000-0000-0000D2D90000}"/>
    <cellStyle name="STYLE3 2 6" xfId="55882" xr:uid="{00000000-0005-0000-0000-0000D3D90000}"/>
    <cellStyle name="STYLE3 2 7" xfId="55883" xr:uid="{00000000-0005-0000-0000-0000D4D90000}"/>
    <cellStyle name="STYLE3 3" xfId="55884" xr:uid="{00000000-0005-0000-0000-0000D5D90000}"/>
    <cellStyle name="STYLE3 3 2" xfId="55885" xr:uid="{00000000-0005-0000-0000-0000D6D90000}"/>
    <cellStyle name="STYLE3 4" xfId="55886" xr:uid="{00000000-0005-0000-0000-0000D7D90000}"/>
    <cellStyle name="STYLE3 5" xfId="55887" xr:uid="{00000000-0005-0000-0000-0000D8D90000}"/>
    <cellStyle name="STYLE3 6" xfId="55888" xr:uid="{00000000-0005-0000-0000-0000D9D90000}"/>
    <cellStyle name="STYLE3 7" xfId="55889" xr:uid="{00000000-0005-0000-0000-0000DAD90000}"/>
    <cellStyle name="STYLE3 8" xfId="55890" xr:uid="{00000000-0005-0000-0000-0000DBD90000}"/>
    <cellStyle name="STYLE3 9" xfId="55891" xr:uid="{00000000-0005-0000-0000-0000DCD90000}"/>
    <cellStyle name="STYLE3 9 2" xfId="55892" xr:uid="{00000000-0005-0000-0000-0000DDD90000}"/>
    <cellStyle name="STYLE3 9 3" xfId="55893" xr:uid="{00000000-0005-0000-0000-0000DED90000}"/>
    <cellStyle name="STYLE3 9 4" xfId="55894" xr:uid="{00000000-0005-0000-0000-0000DFD90000}"/>
    <cellStyle name="STYLE3 9 5" xfId="55895" xr:uid="{00000000-0005-0000-0000-0000E0D90000}"/>
    <cellStyle name="STYLE3_CASH FLOW analysis" xfId="55896" xr:uid="{00000000-0005-0000-0000-0000E1D90000}"/>
    <cellStyle name="STYLE4" xfId="3522" xr:uid="{00000000-0005-0000-0000-0000E2D90000}"/>
    <cellStyle name="STYLE4 2" xfId="55897" xr:uid="{00000000-0005-0000-0000-0000E3D90000}"/>
    <cellStyle name="STYLE4 3" xfId="55898" xr:uid="{00000000-0005-0000-0000-0000E4D90000}"/>
    <cellStyle name="STYLE4 4" xfId="55899" xr:uid="{00000000-0005-0000-0000-0000E5D90000}"/>
    <cellStyle name="STYLE4 5" xfId="55900" xr:uid="{00000000-0005-0000-0000-0000E6D90000}"/>
    <cellStyle name="STYLE4 6" xfId="55901" xr:uid="{00000000-0005-0000-0000-0000E7D90000}"/>
    <cellStyle name="STYLE4 7" xfId="55902" xr:uid="{00000000-0005-0000-0000-0000E8D90000}"/>
    <cellStyle name="STYLE4 8" xfId="55903" xr:uid="{00000000-0005-0000-0000-0000E9D90000}"/>
    <cellStyle name="STYLE4_CASH FLOW proforma inputs" xfId="55904" xr:uid="{00000000-0005-0000-0000-0000EAD90000}"/>
    <cellStyle name="STYLE5" xfId="3523" xr:uid="{00000000-0005-0000-0000-0000EBD90000}"/>
    <cellStyle name="STYLE5 2" xfId="55905" xr:uid="{00000000-0005-0000-0000-0000ECD90000}"/>
    <cellStyle name="STYLE5 3" xfId="55906" xr:uid="{00000000-0005-0000-0000-0000EDD90000}"/>
    <cellStyle name="STYLE5 4" xfId="55907" xr:uid="{00000000-0005-0000-0000-0000EED90000}"/>
    <cellStyle name="STYLE5 5" xfId="55908" xr:uid="{00000000-0005-0000-0000-0000EFD90000}"/>
    <cellStyle name="STYLE5_Cashflow Projection.B-05.1andP-04" xfId="55909" xr:uid="{00000000-0005-0000-0000-0000F0D90000}"/>
    <cellStyle name="STYLE6" xfId="3524" xr:uid="{00000000-0005-0000-0000-0000F1D90000}"/>
    <cellStyle name="STYLE6 2" xfId="55910" xr:uid="{00000000-0005-0000-0000-0000F2D90000}"/>
    <cellStyle name="STYLE6 3" xfId="55911" xr:uid="{00000000-0005-0000-0000-0000F3D90000}"/>
    <cellStyle name="STYLE6 4" xfId="55912" xr:uid="{00000000-0005-0000-0000-0000F4D90000}"/>
    <cellStyle name="STYLE6 5" xfId="55913" xr:uid="{00000000-0005-0000-0000-0000F5D90000}"/>
    <cellStyle name="STYLE6_INCOME STATEMENT_prelim" xfId="55914" xr:uid="{00000000-0005-0000-0000-0000F6D90000}"/>
    <cellStyle name="STYLE7" xfId="55915" xr:uid="{00000000-0005-0000-0000-0000F7D90000}"/>
    <cellStyle name="STYLE7 2" xfId="55916" xr:uid="{00000000-0005-0000-0000-0000F8D90000}"/>
    <cellStyle name="STYLE7 3" xfId="55917" xr:uid="{00000000-0005-0000-0000-0000F9D90000}"/>
    <cellStyle name="STYLE7 4" xfId="55918" xr:uid="{00000000-0005-0000-0000-0000FAD90000}"/>
    <cellStyle name="STYLE7 5" xfId="55919" xr:uid="{00000000-0005-0000-0000-0000FBD90000}"/>
    <cellStyle name="STYLE8" xfId="55920" xr:uid="{00000000-0005-0000-0000-0000FCD90000}"/>
    <cellStyle name="STYLE8 2" xfId="55921" xr:uid="{00000000-0005-0000-0000-0000FDD90000}"/>
    <cellStyle name="STYLE8 3" xfId="55922" xr:uid="{00000000-0005-0000-0000-0000FED90000}"/>
    <cellStyle name="STYLE8 4" xfId="55923" xr:uid="{00000000-0005-0000-0000-0000FFD90000}"/>
    <cellStyle name="STYLE8 5" xfId="55924" xr:uid="{00000000-0005-0000-0000-000000DA0000}"/>
    <cellStyle name="STYLE9" xfId="55925" xr:uid="{00000000-0005-0000-0000-000001DA0000}"/>
    <cellStyle name="SubHeading" xfId="91" xr:uid="{00000000-0005-0000-0000-000093000000}"/>
    <cellStyle name="SubsidTitle" xfId="92" xr:uid="{00000000-0005-0000-0000-000094000000}"/>
    <cellStyle name="Table Data" xfId="93" xr:uid="{00000000-0005-0000-0000-000095000000}"/>
    <cellStyle name="Table Headings Bold" xfId="94" xr:uid="{00000000-0005-0000-0000-000096000000}"/>
    <cellStyle name="Tickmark" xfId="55926" xr:uid="{00000000-0005-0000-0000-000006DA0000}"/>
    <cellStyle name="Title" xfId="102" builtinId="15" customBuiltin="1"/>
    <cellStyle name="Title 10" xfId="55927" xr:uid="{00000000-0005-0000-0000-000007DA0000}"/>
    <cellStyle name="Title 10 2" xfId="55928" xr:uid="{00000000-0005-0000-0000-000008DA0000}"/>
    <cellStyle name="Title 11" xfId="55929" xr:uid="{00000000-0005-0000-0000-000009DA0000}"/>
    <cellStyle name="Title 11 2" xfId="55930" xr:uid="{00000000-0005-0000-0000-00000ADA0000}"/>
    <cellStyle name="Title 12" xfId="55931" xr:uid="{00000000-0005-0000-0000-00000BDA0000}"/>
    <cellStyle name="Title 12 2" xfId="55932" xr:uid="{00000000-0005-0000-0000-00000CDA0000}"/>
    <cellStyle name="Title 13" xfId="55933" xr:uid="{00000000-0005-0000-0000-00000DDA0000}"/>
    <cellStyle name="Title 13 2" xfId="55934" xr:uid="{00000000-0005-0000-0000-00000EDA0000}"/>
    <cellStyle name="Title 14" xfId="55935" xr:uid="{00000000-0005-0000-0000-00000FDA0000}"/>
    <cellStyle name="Title 2" xfId="3525" xr:uid="{00000000-0005-0000-0000-000010DA0000}"/>
    <cellStyle name="Title 2 2" xfId="55936" xr:uid="{00000000-0005-0000-0000-000011DA0000}"/>
    <cellStyle name="Title 2 2 2" xfId="55937" xr:uid="{00000000-0005-0000-0000-000012DA0000}"/>
    <cellStyle name="Title 2 2 2 2" xfId="55938" xr:uid="{00000000-0005-0000-0000-000013DA0000}"/>
    <cellStyle name="Title 2 2 3" xfId="55939" xr:uid="{00000000-0005-0000-0000-000014DA0000}"/>
    <cellStyle name="Title 2 2 3 2" xfId="55940" xr:uid="{00000000-0005-0000-0000-000015DA0000}"/>
    <cellStyle name="Title 2 2 4" xfId="55941" xr:uid="{00000000-0005-0000-0000-000016DA0000}"/>
    <cellStyle name="Title 2 2 4 2" xfId="55942" xr:uid="{00000000-0005-0000-0000-000017DA0000}"/>
    <cellStyle name="Title 2 2 5" xfId="55943" xr:uid="{00000000-0005-0000-0000-000018DA0000}"/>
    <cellStyle name="Title 2 2 5 2" xfId="55944" xr:uid="{00000000-0005-0000-0000-000019DA0000}"/>
    <cellStyle name="Title 2 2 6" xfId="55945" xr:uid="{00000000-0005-0000-0000-00001ADA0000}"/>
    <cellStyle name="Title 2 2 6 2" xfId="55946" xr:uid="{00000000-0005-0000-0000-00001BDA0000}"/>
    <cellStyle name="Title 2 2 7" xfId="55947" xr:uid="{00000000-0005-0000-0000-00001CDA0000}"/>
    <cellStyle name="Title 2 2 7 2" xfId="55948" xr:uid="{00000000-0005-0000-0000-00001DDA0000}"/>
    <cellStyle name="Title 2 2 8" xfId="55949" xr:uid="{00000000-0005-0000-0000-00001EDA0000}"/>
    <cellStyle name="Title 2 2 8 2" xfId="55950" xr:uid="{00000000-0005-0000-0000-00001FDA0000}"/>
    <cellStyle name="Title 2 2 9" xfId="55951" xr:uid="{00000000-0005-0000-0000-000020DA0000}"/>
    <cellStyle name="Title 2 3" xfId="55952" xr:uid="{00000000-0005-0000-0000-000021DA0000}"/>
    <cellStyle name="Title 2 3 2" xfId="55953" xr:uid="{00000000-0005-0000-0000-000022DA0000}"/>
    <cellStyle name="Title 2 4" xfId="55954" xr:uid="{00000000-0005-0000-0000-000023DA0000}"/>
    <cellStyle name="Title 2 4 2" xfId="55955" xr:uid="{00000000-0005-0000-0000-000024DA0000}"/>
    <cellStyle name="Title 2 5" xfId="55956" xr:uid="{00000000-0005-0000-0000-000025DA0000}"/>
    <cellStyle name="Title 2 6" xfId="55957" xr:uid="{00000000-0005-0000-0000-000026DA0000}"/>
    <cellStyle name="Title 3" xfId="55958" xr:uid="{00000000-0005-0000-0000-000027DA0000}"/>
    <cellStyle name="Title 3 2" xfId="55959" xr:uid="{00000000-0005-0000-0000-000028DA0000}"/>
    <cellStyle name="Title 3 2 2" xfId="55960" xr:uid="{00000000-0005-0000-0000-000029DA0000}"/>
    <cellStyle name="Title 3 3" xfId="55961" xr:uid="{00000000-0005-0000-0000-00002ADA0000}"/>
    <cellStyle name="Title 3 3 2" xfId="55962" xr:uid="{00000000-0005-0000-0000-00002BDA0000}"/>
    <cellStyle name="Title 3 4" xfId="55963" xr:uid="{00000000-0005-0000-0000-00002CDA0000}"/>
    <cellStyle name="Title 3 4 2" xfId="55964" xr:uid="{00000000-0005-0000-0000-00002DDA0000}"/>
    <cellStyle name="Title 3 5" xfId="55965" xr:uid="{00000000-0005-0000-0000-00002EDA0000}"/>
    <cellStyle name="Title 3 5 2" xfId="55966" xr:uid="{00000000-0005-0000-0000-00002FDA0000}"/>
    <cellStyle name="Title 3 6" xfId="55967" xr:uid="{00000000-0005-0000-0000-000030DA0000}"/>
    <cellStyle name="Title 3 6 2" xfId="55968" xr:uid="{00000000-0005-0000-0000-000031DA0000}"/>
    <cellStyle name="Title 3 7" xfId="55969" xr:uid="{00000000-0005-0000-0000-000032DA0000}"/>
    <cellStyle name="Title 3 7 2" xfId="55970" xr:uid="{00000000-0005-0000-0000-000033DA0000}"/>
    <cellStyle name="Title 3 8" xfId="55971" xr:uid="{00000000-0005-0000-0000-000034DA0000}"/>
    <cellStyle name="Title 3 8 2" xfId="55972" xr:uid="{00000000-0005-0000-0000-000035DA0000}"/>
    <cellStyle name="Title 3 9" xfId="55973" xr:uid="{00000000-0005-0000-0000-000036DA0000}"/>
    <cellStyle name="Title 4" xfId="55974" xr:uid="{00000000-0005-0000-0000-000037DA0000}"/>
    <cellStyle name="Title 4 2" xfId="55975" xr:uid="{00000000-0005-0000-0000-000038DA0000}"/>
    <cellStyle name="Title 4 2 2" xfId="55976" xr:uid="{00000000-0005-0000-0000-000039DA0000}"/>
    <cellStyle name="Title 4 3" xfId="55977" xr:uid="{00000000-0005-0000-0000-00003ADA0000}"/>
    <cellStyle name="Title 4 3 2" xfId="55978" xr:uid="{00000000-0005-0000-0000-00003BDA0000}"/>
    <cellStyle name="Title 4 4" xfId="55979" xr:uid="{00000000-0005-0000-0000-00003CDA0000}"/>
    <cellStyle name="Title 4 4 2" xfId="55980" xr:uid="{00000000-0005-0000-0000-00003DDA0000}"/>
    <cellStyle name="Title 4 5" xfId="55981" xr:uid="{00000000-0005-0000-0000-00003EDA0000}"/>
    <cellStyle name="Title 4 5 2" xfId="55982" xr:uid="{00000000-0005-0000-0000-00003FDA0000}"/>
    <cellStyle name="Title 4 6" xfId="55983" xr:uid="{00000000-0005-0000-0000-000040DA0000}"/>
    <cellStyle name="Title 4 6 2" xfId="55984" xr:uid="{00000000-0005-0000-0000-000041DA0000}"/>
    <cellStyle name="Title 4 7" xfId="55985" xr:uid="{00000000-0005-0000-0000-000042DA0000}"/>
    <cellStyle name="Title 4 7 2" xfId="55986" xr:uid="{00000000-0005-0000-0000-000043DA0000}"/>
    <cellStyle name="Title 4 8" xfId="55987" xr:uid="{00000000-0005-0000-0000-000044DA0000}"/>
    <cellStyle name="Title 4 8 2" xfId="55988" xr:uid="{00000000-0005-0000-0000-000045DA0000}"/>
    <cellStyle name="Title 4 9" xfId="55989" xr:uid="{00000000-0005-0000-0000-000046DA0000}"/>
    <cellStyle name="Title 5" xfId="55990" xr:uid="{00000000-0005-0000-0000-000047DA0000}"/>
    <cellStyle name="Title 5 2" xfId="55991" xr:uid="{00000000-0005-0000-0000-000048DA0000}"/>
    <cellStyle name="Title 5 2 2" xfId="55992" xr:uid="{00000000-0005-0000-0000-000049DA0000}"/>
    <cellStyle name="Title 5 3" xfId="55993" xr:uid="{00000000-0005-0000-0000-00004ADA0000}"/>
    <cellStyle name="Title 5 3 2" xfId="55994" xr:uid="{00000000-0005-0000-0000-00004BDA0000}"/>
    <cellStyle name="Title 5 4" xfId="55995" xr:uid="{00000000-0005-0000-0000-00004CDA0000}"/>
    <cellStyle name="Title 5 4 2" xfId="55996" xr:uid="{00000000-0005-0000-0000-00004DDA0000}"/>
    <cellStyle name="Title 5 5" xfId="55997" xr:uid="{00000000-0005-0000-0000-00004EDA0000}"/>
    <cellStyle name="Title 5 5 2" xfId="55998" xr:uid="{00000000-0005-0000-0000-00004FDA0000}"/>
    <cellStyle name="Title 5 6" xfId="55999" xr:uid="{00000000-0005-0000-0000-000050DA0000}"/>
    <cellStyle name="Title 5 6 2" xfId="56000" xr:uid="{00000000-0005-0000-0000-000051DA0000}"/>
    <cellStyle name="Title 5 7" xfId="56001" xr:uid="{00000000-0005-0000-0000-000052DA0000}"/>
    <cellStyle name="Title 5 7 2" xfId="56002" xr:uid="{00000000-0005-0000-0000-000053DA0000}"/>
    <cellStyle name="Title 5 8" xfId="56003" xr:uid="{00000000-0005-0000-0000-000054DA0000}"/>
    <cellStyle name="Title 5 8 2" xfId="56004" xr:uid="{00000000-0005-0000-0000-000055DA0000}"/>
    <cellStyle name="Title 5 9" xfId="56005" xr:uid="{00000000-0005-0000-0000-000056DA0000}"/>
    <cellStyle name="Title 6" xfId="56006" xr:uid="{00000000-0005-0000-0000-000057DA0000}"/>
    <cellStyle name="Title 6 2" xfId="56007" xr:uid="{00000000-0005-0000-0000-000058DA0000}"/>
    <cellStyle name="Title 7" xfId="56008" xr:uid="{00000000-0005-0000-0000-000059DA0000}"/>
    <cellStyle name="Title 7 2" xfId="56009" xr:uid="{00000000-0005-0000-0000-00005ADA0000}"/>
    <cellStyle name="Title 8" xfId="56010" xr:uid="{00000000-0005-0000-0000-00005BDA0000}"/>
    <cellStyle name="Title 8 2" xfId="56011" xr:uid="{00000000-0005-0000-0000-00005CDA0000}"/>
    <cellStyle name="Title 9" xfId="56012" xr:uid="{00000000-0005-0000-0000-00005DDA0000}"/>
    <cellStyle name="Title 9 2" xfId="56013" xr:uid="{00000000-0005-0000-0000-00005EDA0000}"/>
    <cellStyle name="Total" xfId="117" builtinId="25" customBuiltin="1"/>
    <cellStyle name="Total 10" xfId="56014" xr:uid="{00000000-0005-0000-0000-00005FDA0000}"/>
    <cellStyle name="Total 10 2" xfId="56015" xr:uid="{00000000-0005-0000-0000-000060DA0000}"/>
    <cellStyle name="Total 10 2 2" xfId="56016" xr:uid="{00000000-0005-0000-0000-000061DA0000}"/>
    <cellStyle name="Total 10 3" xfId="56017" xr:uid="{00000000-0005-0000-0000-000062DA0000}"/>
    <cellStyle name="Total 10 3 2" xfId="56018" xr:uid="{00000000-0005-0000-0000-000063DA0000}"/>
    <cellStyle name="Total 10 4" xfId="56019" xr:uid="{00000000-0005-0000-0000-000064DA0000}"/>
    <cellStyle name="Total 11" xfId="56020" xr:uid="{00000000-0005-0000-0000-000065DA0000}"/>
    <cellStyle name="Total 11 2" xfId="56021" xr:uid="{00000000-0005-0000-0000-000066DA0000}"/>
    <cellStyle name="Total 12" xfId="56022" xr:uid="{00000000-0005-0000-0000-000067DA0000}"/>
    <cellStyle name="Total 12 2" xfId="56023" xr:uid="{00000000-0005-0000-0000-000068DA0000}"/>
    <cellStyle name="Total 13" xfId="56024" xr:uid="{00000000-0005-0000-0000-000069DA0000}"/>
    <cellStyle name="Total 14" xfId="56025" xr:uid="{00000000-0005-0000-0000-00006ADA0000}"/>
    <cellStyle name="Total 2" xfId="3526" xr:uid="{00000000-0005-0000-0000-00006BDA0000}"/>
    <cellStyle name="Total 2 2" xfId="3527" xr:uid="{00000000-0005-0000-0000-00006CDA0000}"/>
    <cellStyle name="Total 2 2 2" xfId="56026" xr:uid="{00000000-0005-0000-0000-00006DDA0000}"/>
    <cellStyle name="Total 2 2 2 2" xfId="56027" xr:uid="{00000000-0005-0000-0000-00006EDA0000}"/>
    <cellStyle name="Total 2 2 3" xfId="56028" xr:uid="{00000000-0005-0000-0000-00006FDA0000}"/>
    <cellStyle name="Total 2 3" xfId="3528" xr:uid="{00000000-0005-0000-0000-000070DA0000}"/>
    <cellStyle name="Total 2 3 2" xfId="56029" xr:uid="{00000000-0005-0000-0000-000071DA0000}"/>
    <cellStyle name="Total 2 3 2 2" xfId="56030" xr:uid="{00000000-0005-0000-0000-000072DA0000}"/>
    <cellStyle name="Total 2 3 3" xfId="56031" xr:uid="{00000000-0005-0000-0000-000073DA0000}"/>
    <cellStyle name="Total 2 4" xfId="3529" xr:uid="{00000000-0005-0000-0000-000074DA0000}"/>
    <cellStyle name="Total 2 4 2" xfId="56032" xr:uid="{00000000-0005-0000-0000-000075DA0000}"/>
    <cellStyle name="Total 2 4 2 2" xfId="56033" xr:uid="{00000000-0005-0000-0000-000076DA0000}"/>
    <cellStyle name="Total 2 4 3" xfId="56034" xr:uid="{00000000-0005-0000-0000-000077DA0000}"/>
    <cellStyle name="Total 2 5" xfId="56035" xr:uid="{00000000-0005-0000-0000-000078DA0000}"/>
    <cellStyle name="Total 2 5 2" xfId="56036" xr:uid="{00000000-0005-0000-0000-000079DA0000}"/>
    <cellStyle name="Total 2 5 3" xfId="56037" xr:uid="{00000000-0005-0000-0000-00007ADA0000}"/>
    <cellStyle name="Total 2 5 4" xfId="56038" xr:uid="{00000000-0005-0000-0000-00007BDA0000}"/>
    <cellStyle name="Total 2 6" xfId="56039" xr:uid="{00000000-0005-0000-0000-00007CDA0000}"/>
    <cellStyle name="Total 2 7" xfId="56040" xr:uid="{00000000-0005-0000-0000-00007DDA0000}"/>
    <cellStyle name="Total 2 8" xfId="56041" xr:uid="{00000000-0005-0000-0000-00007EDA0000}"/>
    <cellStyle name="Total 3" xfId="3530" xr:uid="{00000000-0005-0000-0000-00007FDA0000}"/>
    <cellStyle name="Total 3 2" xfId="3531" xr:uid="{00000000-0005-0000-0000-000080DA0000}"/>
    <cellStyle name="Total 3 2 2" xfId="56042" xr:uid="{00000000-0005-0000-0000-000081DA0000}"/>
    <cellStyle name="Total 3 2 2 2" xfId="56043" xr:uid="{00000000-0005-0000-0000-000082DA0000}"/>
    <cellStyle name="Total 3 2 3" xfId="56044" xr:uid="{00000000-0005-0000-0000-000083DA0000}"/>
    <cellStyle name="Total 3 3" xfId="56045" xr:uid="{00000000-0005-0000-0000-000084DA0000}"/>
    <cellStyle name="Total 3 3 2" xfId="56046" xr:uid="{00000000-0005-0000-0000-000085DA0000}"/>
    <cellStyle name="Total 3 4" xfId="56047" xr:uid="{00000000-0005-0000-0000-000086DA0000}"/>
    <cellStyle name="Total 3 4 2" xfId="56048" xr:uid="{00000000-0005-0000-0000-000087DA0000}"/>
    <cellStyle name="Total 3 5" xfId="56049" xr:uid="{00000000-0005-0000-0000-000088DA0000}"/>
    <cellStyle name="Total 3 5 2" xfId="56050" xr:uid="{00000000-0005-0000-0000-000089DA0000}"/>
    <cellStyle name="Total 3 6" xfId="56051" xr:uid="{00000000-0005-0000-0000-00008ADA0000}"/>
    <cellStyle name="Total 3 7" xfId="56052" xr:uid="{00000000-0005-0000-0000-00008BDA0000}"/>
    <cellStyle name="Total 4" xfId="3532" xr:uid="{00000000-0005-0000-0000-00008CDA0000}"/>
    <cellStyle name="Total 4 2" xfId="56053" xr:uid="{00000000-0005-0000-0000-00008DDA0000}"/>
    <cellStyle name="Total 4 2 2" xfId="56054" xr:uid="{00000000-0005-0000-0000-00008EDA0000}"/>
    <cellStyle name="Total 4 3" xfId="56055" xr:uid="{00000000-0005-0000-0000-00008FDA0000}"/>
    <cellStyle name="Total 4 3 2" xfId="56056" xr:uid="{00000000-0005-0000-0000-000090DA0000}"/>
    <cellStyle name="Total 4 4" xfId="56057" xr:uid="{00000000-0005-0000-0000-000091DA0000}"/>
    <cellStyle name="Total 4 4 2" xfId="56058" xr:uid="{00000000-0005-0000-0000-000092DA0000}"/>
    <cellStyle name="Total 4 5" xfId="56059" xr:uid="{00000000-0005-0000-0000-000093DA0000}"/>
    <cellStyle name="Total 4 5 2" xfId="56060" xr:uid="{00000000-0005-0000-0000-000094DA0000}"/>
    <cellStyle name="Total 4 6" xfId="56061" xr:uid="{00000000-0005-0000-0000-000095DA0000}"/>
    <cellStyle name="Total 5" xfId="3533" xr:uid="{00000000-0005-0000-0000-000096DA0000}"/>
    <cellStyle name="Total 5 2" xfId="56062" xr:uid="{00000000-0005-0000-0000-000097DA0000}"/>
    <cellStyle name="Total 5 2 2" xfId="56063" xr:uid="{00000000-0005-0000-0000-000098DA0000}"/>
    <cellStyle name="Total 5 3" xfId="56064" xr:uid="{00000000-0005-0000-0000-000099DA0000}"/>
    <cellStyle name="Total 5 3 2" xfId="56065" xr:uid="{00000000-0005-0000-0000-00009ADA0000}"/>
    <cellStyle name="Total 5 4" xfId="56066" xr:uid="{00000000-0005-0000-0000-00009BDA0000}"/>
    <cellStyle name="Total 5 4 2" xfId="56067" xr:uid="{00000000-0005-0000-0000-00009CDA0000}"/>
    <cellStyle name="Total 5 5" xfId="56068" xr:uid="{00000000-0005-0000-0000-00009DDA0000}"/>
    <cellStyle name="Total 6" xfId="3534" xr:uid="{00000000-0005-0000-0000-00009EDA0000}"/>
    <cellStyle name="Total 6 2" xfId="56069" xr:uid="{00000000-0005-0000-0000-00009FDA0000}"/>
    <cellStyle name="Total 6 2 2" xfId="56070" xr:uid="{00000000-0005-0000-0000-0000A0DA0000}"/>
    <cellStyle name="Total 6 3" xfId="56071" xr:uid="{00000000-0005-0000-0000-0000A1DA0000}"/>
    <cellStyle name="Total 6 3 2" xfId="56072" xr:uid="{00000000-0005-0000-0000-0000A2DA0000}"/>
    <cellStyle name="Total 6 4" xfId="56073" xr:uid="{00000000-0005-0000-0000-0000A3DA0000}"/>
    <cellStyle name="Total 6 4 2" xfId="56074" xr:uid="{00000000-0005-0000-0000-0000A4DA0000}"/>
    <cellStyle name="Total 6 5" xfId="56075" xr:uid="{00000000-0005-0000-0000-0000A5DA0000}"/>
    <cellStyle name="Total 6 6" xfId="56076" xr:uid="{00000000-0005-0000-0000-0000A6DA0000}"/>
    <cellStyle name="Total 7" xfId="56077" xr:uid="{00000000-0005-0000-0000-0000A7DA0000}"/>
    <cellStyle name="Total 7 2" xfId="56078" xr:uid="{00000000-0005-0000-0000-0000A8DA0000}"/>
    <cellStyle name="Total 7 2 2" xfId="56079" xr:uid="{00000000-0005-0000-0000-0000A9DA0000}"/>
    <cellStyle name="Total 7 3" xfId="56080" xr:uid="{00000000-0005-0000-0000-0000AADA0000}"/>
    <cellStyle name="Total 7 3 2" xfId="56081" xr:uid="{00000000-0005-0000-0000-0000ABDA0000}"/>
    <cellStyle name="Total 7 4" xfId="56082" xr:uid="{00000000-0005-0000-0000-0000ACDA0000}"/>
    <cellStyle name="Total 7 4 2" xfId="56083" xr:uid="{00000000-0005-0000-0000-0000ADDA0000}"/>
    <cellStyle name="Total 7 5" xfId="56084" xr:uid="{00000000-0005-0000-0000-0000AEDA0000}"/>
    <cellStyle name="Total 7 6" xfId="56085" xr:uid="{00000000-0005-0000-0000-0000AFDA0000}"/>
    <cellStyle name="Total 8" xfId="56086" xr:uid="{00000000-0005-0000-0000-0000B0DA0000}"/>
    <cellStyle name="Total 8 2" xfId="56087" xr:uid="{00000000-0005-0000-0000-0000B1DA0000}"/>
    <cellStyle name="Total 8 2 2" xfId="56088" xr:uid="{00000000-0005-0000-0000-0000B2DA0000}"/>
    <cellStyle name="Total 8 3" xfId="56089" xr:uid="{00000000-0005-0000-0000-0000B3DA0000}"/>
    <cellStyle name="Total 8 3 2" xfId="56090" xr:uid="{00000000-0005-0000-0000-0000B4DA0000}"/>
    <cellStyle name="Total 8 4" xfId="56091" xr:uid="{00000000-0005-0000-0000-0000B5DA0000}"/>
    <cellStyle name="Total 9" xfId="56092" xr:uid="{00000000-0005-0000-0000-0000B6DA0000}"/>
    <cellStyle name="Total 9 2" xfId="56093" xr:uid="{00000000-0005-0000-0000-0000B7DA0000}"/>
    <cellStyle name="Total 9 2 2" xfId="56094" xr:uid="{00000000-0005-0000-0000-0000B8DA0000}"/>
    <cellStyle name="Total 9 3" xfId="56095" xr:uid="{00000000-0005-0000-0000-0000B9DA0000}"/>
    <cellStyle name="Total 9 3 2" xfId="56096" xr:uid="{00000000-0005-0000-0000-0000BADA0000}"/>
    <cellStyle name="Total 9 4" xfId="56097" xr:uid="{00000000-0005-0000-0000-0000BBDA0000}"/>
    <cellStyle name="Totals" xfId="95" xr:uid="{00000000-0005-0000-0000-000099000000}"/>
    <cellStyle name="Totals [0]" xfId="96" xr:uid="{00000000-0005-0000-0000-00009A000000}"/>
    <cellStyle name="Totals [2]" xfId="97" xr:uid="{00000000-0005-0000-0000-00009B000000}"/>
    <cellStyle name="Unprot" xfId="3535" xr:uid="{00000000-0005-0000-0000-0000BFDA0000}"/>
    <cellStyle name="Unprot$" xfId="3536" xr:uid="{00000000-0005-0000-0000-0000C0DA0000}"/>
    <cellStyle name="Unprotect" xfId="3537" xr:uid="{00000000-0005-0000-0000-0000C1DA0000}"/>
    <cellStyle name="Warning Text" xfId="115" builtinId="11" customBuiltin="1"/>
    <cellStyle name="Warning Text 10" xfId="3538" xr:uid="{00000000-0005-0000-0000-0000C2DA0000}"/>
    <cellStyle name="Warning Text 10 2" xfId="56098" xr:uid="{00000000-0005-0000-0000-0000C3DA0000}"/>
    <cellStyle name="Warning Text 10 2 2" xfId="56099" xr:uid="{00000000-0005-0000-0000-0000C4DA0000}"/>
    <cellStyle name="Warning Text 10 3" xfId="56100" xr:uid="{00000000-0005-0000-0000-0000C5DA0000}"/>
    <cellStyle name="Warning Text 10 3 2" xfId="56101" xr:uid="{00000000-0005-0000-0000-0000C6DA0000}"/>
    <cellStyle name="Warning Text 10 4" xfId="56102" xr:uid="{00000000-0005-0000-0000-0000C7DA0000}"/>
    <cellStyle name="Warning Text 10 4 2" xfId="56103" xr:uid="{00000000-0005-0000-0000-0000C8DA0000}"/>
    <cellStyle name="Warning Text 10 5" xfId="56104" xr:uid="{00000000-0005-0000-0000-0000C9DA0000}"/>
    <cellStyle name="Warning Text 10 5 2" xfId="56105" xr:uid="{00000000-0005-0000-0000-0000CADA0000}"/>
    <cellStyle name="Warning Text 10 6" xfId="56106" xr:uid="{00000000-0005-0000-0000-0000CBDA0000}"/>
    <cellStyle name="Warning Text 10 6 2" xfId="56107" xr:uid="{00000000-0005-0000-0000-0000CCDA0000}"/>
    <cellStyle name="Warning Text 10 7" xfId="56108" xr:uid="{00000000-0005-0000-0000-0000CDDA0000}"/>
    <cellStyle name="Warning Text 10 7 2" xfId="56109" xr:uid="{00000000-0005-0000-0000-0000CEDA0000}"/>
    <cellStyle name="Warning Text 10 8" xfId="56110" xr:uid="{00000000-0005-0000-0000-0000CFDA0000}"/>
    <cellStyle name="Warning Text 10 8 2" xfId="56111" xr:uid="{00000000-0005-0000-0000-0000D0DA0000}"/>
    <cellStyle name="Warning Text 10 9" xfId="56112" xr:uid="{00000000-0005-0000-0000-0000D1DA0000}"/>
    <cellStyle name="Warning Text 11" xfId="3539" xr:uid="{00000000-0005-0000-0000-0000D2DA0000}"/>
    <cellStyle name="Warning Text 11 2" xfId="56113" xr:uid="{00000000-0005-0000-0000-0000D3DA0000}"/>
    <cellStyle name="Warning Text 11 2 2" xfId="56114" xr:uid="{00000000-0005-0000-0000-0000D4DA0000}"/>
    <cellStyle name="Warning Text 11 3" xfId="56115" xr:uid="{00000000-0005-0000-0000-0000D5DA0000}"/>
    <cellStyle name="Warning Text 12" xfId="3540" xr:uid="{00000000-0005-0000-0000-0000D6DA0000}"/>
    <cellStyle name="Warning Text 12 2" xfId="56116" xr:uid="{00000000-0005-0000-0000-0000D7DA0000}"/>
    <cellStyle name="Warning Text 13" xfId="3541" xr:uid="{00000000-0005-0000-0000-0000D8DA0000}"/>
    <cellStyle name="Warning Text 13 2" xfId="56117" xr:uid="{00000000-0005-0000-0000-0000D9DA0000}"/>
    <cellStyle name="Warning Text 14" xfId="3542" xr:uid="{00000000-0005-0000-0000-0000DADA0000}"/>
    <cellStyle name="Warning Text 14 2" xfId="56118" xr:uid="{00000000-0005-0000-0000-0000DBDA0000}"/>
    <cellStyle name="Warning Text 15" xfId="3543" xr:uid="{00000000-0005-0000-0000-0000DCDA0000}"/>
    <cellStyle name="Warning Text 15 2" xfId="56119" xr:uid="{00000000-0005-0000-0000-0000DDDA0000}"/>
    <cellStyle name="Warning Text 16" xfId="3544" xr:uid="{00000000-0005-0000-0000-0000DEDA0000}"/>
    <cellStyle name="Warning Text 16 2" xfId="56120" xr:uid="{00000000-0005-0000-0000-0000DFDA0000}"/>
    <cellStyle name="Warning Text 17" xfId="3545" xr:uid="{00000000-0005-0000-0000-0000E0DA0000}"/>
    <cellStyle name="Warning Text 17 2" xfId="56121" xr:uid="{00000000-0005-0000-0000-0000E1DA0000}"/>
    <cellStyle name="Warning Text 18" xfId="3546" xr:uid="{00000000-0005-0000-0000-0000E2DA0000}"/>
    <cellStyle name="Warning Text 18 2" xfId="56122" xr:uid="{00000000-0005-0000-0000-0000E3DA0000}"/>
    <cellStyle name="Warning Text 19" xfId="3547" xr:uid="{00000000-0005-0000-0000-0000E4DA0000}"/>
    <cellStyle name="Warning Text 19 2" xfId="56123" xr:uid="{00000000-0005-0000-0000-0000E5DA0000}"/>
    <cellStyle name="Warning Text 2" xfId="3548" xr:uid="{00000000-0005-0000-0000-0000E6DA0000}"/>
    <cellStyle name="Warning Text 2 10" xfId="56124" xr:uid="{00000000-0005-0000-0000-0000E7DA0000}"/>
    <cellStyle name="Warning Text 2 10 2" xfId="56125" xr:uid="{00000000-0005-0000-0000-0000E8DA0000}"/>
    <cellStyle name="Warning Text 2 11" xfId="56126" xr:uid="{00000000-0005-0000-0000-0000E9DA0000}"/>
    <cellStyle name="Warning Text 2 12" xfId="56127" xr:uid="{00000000-0005-0000-0000-0000EADA0000}"/>
    <cellStyle name="Warning Text 2 2" xfId="3549" xr:uid="{00000000-0005-0000-0000-0000EBDA0000}"/>
    <cellStyle name="Warning Text 2 2 2" xfId="56128" xr:uid="{00000000-0005-0000-0000-0000ECDA0000}"/>
    <cellStyle name="Warning Text 2 2 2 2" xfId="56129" xr:uid="{00000000-0005-0000-0000-0000EDDA0000}"/>
    <cellStyle name="Warning Text 2 2 3" xfId="56130" xr:uid="{00000000-0005-0000-0000-0000EEDA0000}"/>
    <cellStyle name="Warning Text 2 2 3 2" xfId="56131" xr:uid="{00000000-0005-0000-0000-0000EFDA0000}"/>
    <cellStyle name="Warning Text 2 2 4" xfId="56132" xr:uid="{00000000-0005-0000-0000-0000F0DA0000}"/>
    <cellStyle name="Warning Text 2 2 4 2" xfId="56133" xr:uid="{00000000-0005-0000-0000-0000F1DA0000}"/>
    <cellStyle name="Warning Text 2 2 5" xfId="56134" xr:uid="{00000000-0005-0000-0000-0000F2DA0000}"/>
    <cellStyle name="Warning Text 2 2 5 2" xfId="56135" xr:uid="{00000000-0005-0000-0000-0000F3DA0000}"/>
    <cellStyle name="Warning Text 2 2 6" xfId="56136" xr:uid="{00000000-0005-0000-0000-0000F4DA0000}"/>
    <cellStyle name="Warning Text 2 2 6 2" xfId="56137" xr:uid="{00000000-0005-0000-0000-0000F5DA0000}"/>
    <cellStyle name="Warning Text 2 2 7" xfId="56138" xr:uid="{00000000-0005-0000-0000-0000F6DA0000}"/>
    <cellStyle name="Warning Text 2 2 7 2" xfId="56139" xr:uid="{00000000-0005-0000-0000-0000F7DA0000}"/>
    <cellStyle name="Warning Text 2 2 8" xfId="56140" xr:uid="{00000000-0005-0000-0000-0000F8DA0000}"/>
    <cellStyle name="Warning Text 2 2 8 2" xfId="56141" xr:uid="{00000000-0005-0000-0000-0000F9DA0000}"/>
    <cellStyle name="Warning Text 2 2 9" xfId="56142" xr:uid="{00000000-0005-0000-0000-0000FADA0000}"/>
    <cellStyle name="Warning Text 2 3" xfId="3550" xr:uid="{00000000-0005-0000-0000-0000FBDA0000}"/>
    <cellStyle name="Warning Text 2 3 2" xfId="56143" xr:uid="{00000000-0005-0000-0000-0000FCDA0000}"/>
    <cellStyle name="Warning Text 2 4" xfId="3551" xr:uid="{00000000-0005-0000-0000-0000FDDA0000}"/>
    <cellStyle name="Warning Text 2 4 2" xfId="56144" xr:uid="{00000000-0005-0000-0000-0000FEDA0000}"/>
    <cellStyle name="Warning Text 2 4 2 2" xfId="56145" xr:uid="{00000000-0005-0000-0000-0000FFDA0000}"/>
    <cellStyle name="Warning Text 2 4 3" xfId="56146" xr:uid="{00000000-0005-0000-0000-000000DB0000}"/>
    <cellStyle name="Warning Text 2 5" xfId="56147" xr:uid="{00000000-0005-0000-0000-000001DB0000}"/>
    <cellStyle name="Warning Text 2 5 2" xfId="56148" xr:uid="{00000000-0005-0000-0000-000002DB0000}"/>
    <cellStyle name="Warning Text 2 6" xfId="56149" xr:uid="{00000000-0005-0000-0000-000003DB0000}"/>
    <cellStyle name="Warning Text 2 6 2" xfId="56150" xr:uid="{00000000-0005-0000-0000-000004DB0000}"/>
    <cellStyle name="Warning Text 2 7" xfId="56151" xr:uid="{00000000-0005-0000-0000-000005DB0000}"/>
    <cellStyle name="Warning Text 2 7 2" xfId="56152" xr:uid="{00000000-0005-0000-0000-000006DB0000}"/>
    <cellStyle name="Warning Text 2 8" xfId="56153" xr:uid="{00000000-0005-0000-0000-000007DB0000}"/>
    <cellStyle name="Warning Text 2 8 2" xfId="56154" xr:uid="{00000000-0005-0000-0000-000008DB0000}"/>
    <cellStyle name="Warning Text 2 9" xfId="56155" xr:uid="{00000000-0005-0000-0000-000009DB0000}"/>
    <cellStyle name="Warning Text 2 9 2" xfId="56156" xr:uid="{00000000-0005-0000-0000-00000ADB0000}"/>
    <cellStyle name="Warning Text 20" xfId="3552" xr:uid="{00000000-0005-0000-0000-00000BDB0000}"/>
    <cellStyle name="Warning Text 20 2" xfId="56157" xr:uid="{00000000-0005-0000-0000-00000CDB0000}"/>
    <cellStyle name="Warning Text 21" xfId="3553" xr:uid="{00000000-0005-0000-0000-00000DDB0000}"/>
    <cellStyle name="Warning Text 21 2" xfId="56158" xr:uid="{00000000-0005-0000-0000-00000EDB0000}"/>
    <cellStyle name="Warning Text 22" xfId="3554" xr:uid="{00000000-0005-0000-0000-00000FDB0000}"/>
    <cellStyle name="Warning Text 22 2" xfId="56159" xr:uid="{00000000-0005-0000-0000-000010DB0000}"/>
    <cellStyle name="Warning Text 23" xfId="3555" xr:uid="{00000000-0005-0000-0000-000011DB0000}"/>
    <cellStyle name="Warning Text 23 2" xfId="56160" xr:uid="{00000000-0005-0000-0000-000012DB0000}"/>
    <cellStyle name="Warning Text 24" xfId="3556" xr:uid="{00000000-0005-0000-0000-000013DB0000}"/>
    <cellStyle name="Warning Text 24 2" xfId="3557" xr:uid="{00000000-0005-0000-0000-000014DB0000}"/>
    <cellStyle name="Warning Text 24 2 2" xfId="56161" xr:uid="{00000000-0005-0000-0000-000015DB0000}"/>
    <cellStyle name="Warning Text 24 3" xfId="56162" xr:uid="{00000000-0005-0000-0000-000016DB0000}"/>
    <cellStyle name="Warning Text 25" xfId="3558" xr:uid="{00000000-0005-0000-0000-000017DB0000}"/>
    <cellStyle name="Warning Text 25 2" xfId="56163" xr:uid="{00000000-0005-0000-0000-000018DB0000}"/>
    <cellStyle name="Warning Text 26" xfId="56164" xr:uid="{00000000-0005-0000-0000-000019DB0000}"/>
    <cellStyle name="Warning Text 26 2" xfId="56165" xr:uid="{00000000-0005-0000-0000-00001ADB0000}"/>
    <cellStyle name="Warning Text 27" xfId="56166" xr:uid="{00000000-0005-0000-0000-00001BDB0000}"/>
    <cellStyle name="Warning Text 27 2" xfId="56167" xr:uid="{00000000-0005-0000-0000-00001CDB0000}"/>
    <cellStyle name="Warning Text 28" xfId="56168" xr:uid="{00000000-0005-0000-0000-00001DDB0000}"/>
    <cellStyle name="Warning Text 29" xfId="56169" xr:uid="{00000000-0005-0000-0000-00001EDB0000}"/>
    <cellStyle name="Warning Text 29 2" xfId="56170" xr:uid="{00000000-0005-0000-0000-00001FDB0000}"/>
    <cellStyle name="Warning Text 3" xfId="3559" xr:uid="{00000000-0005-0000-0000-000020DB0000}"/>
    <cellStyle name="Warning Text 3 10" xfId="56171" xr:uid="{00000000-0005-0000-0000-000021DB0000}"/>
    <cellStyle name="Warning Text 3 11" xfId="56172" xr:uid="{00000000-0005-0000-0000-000022DB0000}"/>
    <cellStyle name="Warning Text 3 2" xfId="3560" xr:uid="{00000000-0005-0000-0000-000023DB0000}"/>
    <cellStyle name="Warning Text 3 2 2" xfId="56173" xr:uid="{00000000-0005-0000-0000-000024DB0000}"/>
    <cellStyle name="Warning Text 3 2 2 2" xfId="56174" xr:uid="{00000000-0005-0000-0000-000025DB0000}"/>
    <cellStyle name="Warning Text 3 2 3" xfId="56175" xr:uid="{00000000-0005-0000-0000-000026DB0000}"/>
    <cellStyle name="Warning Text 3 2 3 2" xfId="56176" xr:uid="{00000000-0005-0000-0000-000027DB0000}"/>
    <cellStyle name="Warning Text 3 2 4" xfId="56177" xr:uid="{00000000-0005-0000-0000-000028DB0000}"/>
    <cellStyle name="Warning Text 3 2 4 2" xfId="56178" xr:uid="{00000000-0005-0000-0000-000029DB0000}"/>
    <cellStyle name="Warning Text 3 2 5" xfId="56179" xr:uid="{00000000-0005-0000-0000-00002ADB0000}"/>
    <cellStyle name="Warning Text 3 2 5 2" xfId="56180" xr:uid="{00000000-0005-0000-0000-00002BDB0000}"/>
    <cellStyle name="Warning Text 3 2 6" xfId="56181" xr:uid="{00000000-0005-0000-0000-00002CDB0000}"/>
    <cellStyle name="Warning Text 3 2 6 2" xfId="56182" xr:uid="{00000000-0005-0000-0000-00002DDB0000}"/>
    <cellStyle name="Warning Text 3 2 7" xfId="56183" xr:uid="{00000000-0005-0000-0000-00002EDB0000}"/>
    <cellStyle name="Warning Text 3 2 7 2" xfId="56184" xr:uid="{00000000-0005-0000-0000-00002FDB0000}"/>
    <cellStyle name="Warning Text 3 2 8" xfId="56185" xr:uid="{00000000-0005-0000-0000-000030DB0000}"/>
    <cellStyle name="Warning Text 3 2 8 2" xfId="56186" xr:uid="{00000000-0005-0000-0000-000031DB0000}"/>
    <cellStyle name="Warning Text 3 2 9" xfId="56187" xr:uid="{00000000-0005-0000-0000-000032DB0000}"/>
    <cellStyle name="Warning Text 3 3" xfId="56188" xr:uid="{00000000-0005-0000-0000-000033DB0000}"/>
    <cellStyle name="Warning Text 3 3 2" xfId="56189" xr:uid="{00000000-0005-0000-0000-000034DB0000}"/>
    <cellStyle name="Warning Text 3 4" xfId="56190" xr:uid="{00000000-0005-0000-0000-000035DB0000}"/>
    <cellStyle name="Warning Text 3 4 2" xfId="56191" xr:uid="{00000000-0005-0000-0000-000036DB0000}"/>
    <cellStyle name="Warning Text 3 5" xfId="56192" xr:uid="{00000000-0005-0000-0000-000037DB0000}"/>
    <cellStyle name="Warning Text 3 5 2" xfId="56193" xr:uid="{00000000-0005-0000-0000-000038DB0000}"/>
    <cellStyle name="Warning Text 3 6" xfId="56194" xr:uid="{00000000-0005-0000-0000-000039DB0000}"/>
    <cellStyle name="Warning Text 3 6 2" xfId="56195" xr:uid="{00000000-0005-0000-0000-00003ADB0000}"/>
    <cellStyle name="Warning Text 3 7" xfId="56196" xr:uid="{00000000-0005-0000-0000-00003BDB0000}"/>
    <cellStyle name="Warning Text 3 7 2" xfId="56197" xr:uid="{00000000-0005-0000-0000-00003CDB0000}"/>
    <cellStyle name="Warning Text 3 8" xfId="56198" xr:uid="{00000000-0005-0000-0000-00003DDB0000}"/>
    <cellStyle name="Warning Text 3 8 2" xfId="56199" xr:uid="{00000000-0005-0000-0000-00003EDB0000}"/>
    <cellStyle name="Warning Text 3 9" xfId="56200" xr:uid="{00000000-0005-0000-0000-00003FDB0000}"/>
    <cellStyle name="Warning Text 3 9 2" xfId="56201" xr:uid="{00000000-0005-0000-0000-000040DB0000}"/>
    <cellStyle name="Warning Text 4" xfId="3561" xr:uid="{00000000-0005-0000-0000-000041DB0000}"/>
    <cellStyle name="Warning Text 4 10" xfId="56202" xr:uid="{00000000-0005-0000-0000-000042DB0000}"/>
    <cellStyle name="Warning Text 4 2" xfId="56203" xr:uid="{00000000-0005-0000-0000-000043DB0000}"/>
    <cellStyle name="Warning Text 4 2 2" xfId="56204" xr:uid="{00000000-0005-0000-0000-000044DB0000}"/>
    <cellStyle name="Warning Text 4 2 2 2" xfId="56205" xr:uid="{00000000-0005-0000-0000-000045DB0000}"/>
    <cellStyle name="Warning Text 4 2 3" xfId="56206" xr:uid="{00000000-0005-0000-0000-000046DB0000}"/>
    <cellStyle name="Warning Text 4 2 3 2" xfId="56207" xr:uid="{00000000-0005-0000-0000-000047DB0000}"/>
    <cellStyle name="Warning Text 4 2 4" xfId="56208" xr:uid="{00000000-0005-0000-0000-000048DB0000}"/>
    <cellStyle name="Warning Text 4 2 4 2" xfId="56209" xr:uid="{00000000-0005-0000-0000-000049DB0000}"/>
    <cellStyle name="Warning Text 4 2 5" xfId="56210" xr:uid="{00000000-0005-0000-0000-00004ADB0000}"/>
    <cellStyle name="Warning Text 4 2 5 2" xfId="56211" xr:uid="{00000000-0005-0000-0000-00004BDB0000}"/>
    <cellStyle name="Warning Text 4 2 6" xfId="56212" xr:uid="{00000000-0005-0000-0000-00004CDB0000}"/>
    <cellStyle name="Warning Text 4 2 6 2" xfId="56213" xr:uid="{00000000-0005-0000-0000-00004DDB0000}"/>
    <cellStyle name="Warning Text 4 2 7" xfId="56214" xr:uid="{00000000-0005-0000-0000-00004EDB0000}"/>
    <cellStyle name="Warning Text 4 2 7 2" xfId="56215" xr:uid="{00000000-0005-0000-0000-00004FDB0000}"/>
    <cellStyle name="Warning Text 4 2 8" xfId="56216" xr:uid="{00000000-0005-0000-0000-000050DB0000}"/>
    <cellStyle name="Warning Text 4 2 8 2" xfId="56217" xr:uid="{00000000-0005-0000-0000-000051DB0000}"/>
    <cellStyle name="Warning Text 4 2 9" xfId="56218" xr:uid="{00000000-0005-0000-0000-000052DB0000}"/>
    <cellStyle name="Warning Text 4 3" xfId="56219" xr:uid="{00000000-0005-0000-0000-000053DB0000}"/>
    <cellStyle name="Warning Text 4 3 2" xfId="56220" xr:uid="{00000000-0005-0000-0000-000054DB0000}"/>
    <cellStyle name="Warning Text 4 4" xfId="56221" xr:uid="{00000000-0005-0000-0000-000055DB0000}"/>
    <cellStyle name="Warning Text 4 4 2" xfId="56222" xr:uid="{00000000-0005-0000-0000-000056DB0000}"/>
    <cellStyle name="Warning Text 4 5" xfId="56223" xr:uid="{00000000-0005-0000-0000-000057DB0000}"/>
    <cellStyle name="Warning Text 4 5 2" xfId="56224" xr:uid="{00000000-0005-0000-0000-000058DB0000}"/>
    <cellStyle name="Warning Text 4 6" xfId="56225" xr:uid="{00000000-0005-0000-0000-000059DB0000}"/>
    <cellStyle name="Warning Text 4 6 2" xfId="56226" xr:uid="{00000000-0005-0000-0000-00005ADB0000}"/>
    <cellStyle name="Warning Text 4 7" xfId="56227" xr:uid="{00000000-0005-0000-0000-00005BDB0000}"/>
    <cellStyle name="Warning Text 4 7 2" xfId="56228" xr:uid="{00000000-0005-0000-0000-00005CDB0000}"/>
    <cellStyle name="Warning Text 4 8" xfId="56229" xr:uid="{00000000-0005-0000-0000-00005DDB0000}"/>
    <cellStyle name="Warning Text 4 8 2" xfId="56230" xr:uid="{00000000-0005-0000-0000-00005EDB0000}"/>
    <cellStyle name="Warning Text 4 9" xfId="56231" xr:uid="{00000000-0005-0000-0000-00005FDB0000}"/>
    <cellStyle name="Warning Text 4 9 2" xfId="56232" xr:uid="{00000000-0005-0000-0000-000060DB0000}"/>
    <cellStyle name="Warning Text 5" xfId="3562" xr:uid="{00000000-0005-0000-0000-000061DB0000}"/>
    <cellStyle name="Warning Text 5 10" xfId="56233" xr:uid="{00000000-0005-0000-0000-000062DB0000}"/>
    <cellStyle name="Warning Text 5 2" xfId="56234" xr:uid="{00000000-0005-0000-0000-000063DB0000}"/>
    <cellStyle name="Warning Text 5 2 2" xfId="56235" xr:uid="{00000000-0005-0000-0000-000064DB0000}"/>
    <cellStyle name="Warning Text 5 2 2 2" xfId="56236" xr:uid="{00000000-0005-0000-0000-000065DB0000}"/>
    <cellStyle name="Warning Text 5 2 3" xfId="56237" xr:uid="{00000000-0005-0000-0000-000066DB0000}"/>
    <cellStyle name="Warning Text 5 2 3 2" xfId="56238" xr:uid="{00000000-0005-0000-0000-000067DB0000}"/>
    <cellStyle name="Warning Text 5 2 4" xfId="56239" xr:uid="{00000000-0005-0000-0000-000068DB0000}"/>
    <cellStyle name="Warning Text 5 2 4 2" xfId="56240" xr:uid="{00000000-0005-0000-0000-000069DB0000}"/>
    <cellStyle name="Warning Text 5 2 5" xfId="56241" xr:uid="{00000000-0005-0000-0000-00006ADB0000}"/>
    <cellStyle name="Warning Text 5 2 5 2" xfId="56242" xr:uid="{00000000-0005-0000-0000-00006BDB0000}"/>
    <cellStyle name="Warning Text 5 2 6" xfId="56243" xr:uid="{00000000-0005-0000-0000-00006CDB0000}"/>
    <cellStyle name="Warning Text 5 2 6 2" xfId="56244" xr:uid="{00000000-0005-0000-0000-00006DDB0000}"/>
    <cellStyle name="Warning Text 5 2 7" xfId="56245" xr:uid="{00000000-0005-0000-0000-00006EDB0000}"/>
    <cellStyle name="Warning Text 5 2 7 2" xfId="56246" xr:uid="{00000000-0005-0000-0000-00006FDB0000}"/>
    <cellStyle name="Warning Text 5 2 8" xfId="56247" xr:uid="{00000000-0005-0000-0000-000070DB0000}"/>
    <cellStyle name="Warning Text 5 2 8 2" xfId="56248" xr:uid="{00000000-0005-0000-0000-000071DB0000}"/>
    <cellStyle name="Warning Text 5 2 9" xfId="56249" xr:uid="{00000000-0005-0000-0000-000072DB0000}"/>
    <cellStyle name="Warning Text 5 3" xfId="56250" xr:uid="{00000000-0005-0000-0000-000073DB0000}"/>
    <cellStyle name="Warning Text 5 3 2" xfId="56251" xr:uid="{00000000-0005-0000-0000-000074DB0000}"/>
    <cellStyle name="Warning Text 5 4" xfId="56252" xr:uid="{00000000-0005-0000-0000-000075DB0000}"/>
    <cellStyle name="Warning Text 5 4 2" xfId="56253" xr:uid="{00000000-0005-0000-0000-000076DB0000}"/>
    <cellStyle name="Warning Text 5 5" xfId="56254" xr:uid="{00000000-0005-0000-0000-000077DB0000}"/>
    <cellStyle name="Warning Text 5 5 2" xfId="56255" xr:uid="{00000000-0005-0000-0000-000078DB0000}"/>
    <cellStyle name="Warning Text 5 6" xfId="56256" xr:uid="{00000000-0005-0000-0000-000079DB0000}"/>
    <cellStyle name="Warning Text 5 6 2" xfId="56257" xr:uid="{00000000-0005-0000-0000-00007ADB0000}"/>
    <cellStyle name="Warning Text 5 7" xfId="56258" xr:uid="{00000000-0005-0000-0000-00007BDB0000}"/>
    <cellStyle name="Warning Text 5 7 2" xfId="56259" xr:uid="{00000000-0005-0000-0000-00007CDB0000}"/>
    <cellStyle name="Warning Text 5 8" xfId="56260" xr:uid="{00000000-0005-0000-0000-00007DDB0000}"/>
    <cellStyle name="Warning Text 5 8 2" xfId="56261" xr:uid="{00000000-0005-0000-0000-00007EDB0000}"/>
    <cellStyle name="Warning Text 5 9" xfId="56262" xr:uid="{00000000-0005-0000-0000-00007FDB0000}"/>
    <cellStyle name="Warning Text 5 9 2" xfId="56263" xr:uid="{00000000-0005-0000-0000-000080DB0000}"/>
    <cellStyle name="Warning Text 6" xfId="3563" xr:uid="{00000000-0005-0000-0000-000081DB0000}"/>
    <cellStyle name="Warning Text 6 10" xfId="56264" xr:uid="{00000000-0005-0000-0000-000082DB0000}"/>
    <cellStyle name="Warning Text 6 2" xfId="56265" xr:uid="{00000000-0005-0000-0000-000083DB0000}"/>
    <cellStyle name="Warning Text 6 2 2" xfId="56266" xr:uid="{00000000-0005-0000-0000-000084DB0000}"/>
    <cellStyle name="Warning Text 6 2 2 2" xfId="56267" xr:uid="{00000000-0005-0000-0000-000085DB0000}"/>
    <cellStyle name="Warning Text 6 2 3" xfId="56268" xr:uid="{00000000-0005-0000-0000-000086DB0000}"/>
    <cellStyle name="Warning Text 6 2 3 2" xfId="56269" xr:uid="{00000000-0005-0000-0000-000087DB0000}"/>
    <cellStyle name="Warning Text 6 2 4" xfId="56270" xr:uid="{00000000-0005-0000-0000-000088DB0000}"/>
    <cellStyle name="Warning Text 6 2 4 2" xfId="56271" xr:uid="{00000000-0005-0000-0000-000089DB0000}"/>
    <cellStyle name="Warning Text 6 2 5" xfId="56272" xr:uid="{00000000-0005-0000-0000-00008ADB0000}"/>
    <cellStyle name="Warning Text 6 2 5 2" xfId="56273" xr:uid="{00000000-0005-0000-0000-00008BDB0000}"/>
    <cellStyle name="Warning Text 6 2 6" xfId="56274" xr:uid="{00000000-0005-0000-0000-00008CDB0000}"/>
    <cellStyle name="Warning Text 6 2 6 2" xfId="56275" xr:uid="{00000000-0005-0000-0000-00008DDB0000}"/>
    <cellStyle name="Warning Text 6 2 7" xfId="56276" xr:uid="{00000000-0005-0000-0000-00008EDB0000}"/>
    <cellStyle name="Warning Text 6 2 7 2" xfId="56277" xr:uid="{00000000-0005-0000-0000-00008FDB0000}"/>
    <cellStyle name="Warning Text 6 2 8" xfId="56278" xr:uid="{00000000-0005-0000-0000-000090DB0000}"/>
    <cellStyle name="Warning Text 6 2 8 2" xfId="56279" xr:uid="{00000000-0005-0000-0000-000091DB0000}"/>
    <cellStyle name="Warning Text 6 2 9" xfId="56280" xr:uid="{00000000-0005-0000-0000-000092DB0000}"/>
    <cellStyle name="Warning Text 6 3" xfId="56281" xr:uid="{00000000-0005-0000-0000-000093DB0000}"/>
    <cellStyle name="Warning Text 6 3 2" xfId="56282" xr:uid="{00000000-0005-0000-0000-000094DB0000}"/>
    <cellStyle name="Warning Text 6 4" xfId="56283" xr:uid="{00000000-0005-0000-0000-000095DB0000}"/>
    <cellStyle name="Warning Text 6 4 2" xfId="56284" xr:uid="{00000000-0005-0000-0000-000096DB0000}"/>
    <cellStyle name="Warning Text 6 5" xfId="56285" xr:uid="{00000000-0005-0000-0000-000097DB0000}"/>
    <cellStyle name="Warning Text 6 5 2" xfId="56286" xr:uid="{00000000-0005-0000-0000-000098DB0000}"/>
    <cellStyle name="Warning Text 6 6" xfId="56287" xr:uid="{00000000-0005-0000-0000-000099DB0000}"/>
    <cellStyle name="Warning Text 6 6 2" xfId="56288" xr:uid="{00000000-0005-0000-0000-00009ADB0000}"/>
    <cellStyle name="Warning Text 6 7" xfId="56289" xr:uid="{00000000-0005-0000-0000-00009BDB0000}"/>
    <cellStyle name="Warning Text 6 7 2" xfId="56290" xr:uid="{00000000-0005-0000-0000-00009CDB0000}"/>
    <cellStyle name="Warning Text 6 8" xfId="56291" xr:uid="{00000000-0005-0000-0000-00009DDB0000}"/>
    <cellStyle name="Warning Text 6 8 2" xfId="56292" xr:uid="{00000000-0005-0000-0000-00009EDB0000}"/>
    <cellStyle name="Warning Text 6 9" xfId="56293" xr:uid="{00000000-0005-0000-0000-00009FDB0000}"/>
    <cellStyle name="Warning Text 6 9 2" xfId="56294" xr:uid="{00000000-0005-0000-0000-0000A0DB0000}"/>
    <cellStyle name="Warning Text 7" xfId="3564" xr:uid="{00000000-0005-0000-0000-0000A1DB0000}"/>
    <cellStyle name="Warning Text 7 10" xfId="56295" xr:uid="{00000000-0005-0000-0000-0000A2DB0000}"/>
    <cellStyle name="Warning Text 7 2" xfId="56296" xr:uid="{00000000-0005-0000-0000-0000A3DB0000}"/>
    <cellStyle name="Warning Text 7 2 2" xfId="56297" xr:uid="{00000000-0005-0000-0000-0000A4DB0000}"/>
    <cellStyle name="Warning Text 7 2 2 2" xfId="56298" xr:uid="{00000000-0005-0000-0000-0000A5DB0000}"/>
    <cellStyle name="Warning Text 7 2 3" xfId="56299" xr:uid="{00000000-0005-0000-0000-0000A6DB0000}"/>
    <cellStyle name="Warning Text 7 2 3 2" xfId="56300" xr:uid="{00000000-0005-0000-0000-0000A7DB0000}"/>
    <cellStyle name="Warning Text 7 2 4" xfId="56301" xr:uid="{00000000-0005-0000-0000-0000A8DB0000}"/>
    <cellStyle name="Warning Text 7 2 4 2" xfId="56302" xr:uid="{00000000-0005-0000-0000-0000A9DB0000}"/>
    <cellStyle name="Warning Text 7 2 5" xfId="56303" xr:uid="{00000000-0005-0000-0000-0000AADB0000}"/>
    <cellStyle name="Warning Text 7 2 5 2" xfId="56304" xr:uid="{00000000-0005-0000-0000-0000ABDB0000}"/>
    <cellStyle name="Warning Text 7 2 6" xfId="56305" xr:uid="{00000000-0005-0000-0000-0000ACDB0000}"/>
    <cellStyle name="Warning Text 7 2 6 2" xfId="56306" xr:uid="{00000000-0005-0000-0000-0000ADDB0000}"/>
    <cellStyle name="Warning Text 7 2 7" xfId="56307" xr:uid="{00000000-0005-0000-0000-0000AEDB0000}"/>
    <cellStyle name="Warning Text 7 2 7 2" xfId="56308" xr:uid="{00000000-0005-0000-0000-0000AFDB0000}"/>
    <cellStyle name="Warning Text 7 2 8" xfId="56309" xr:uid="{00000000-0005-0000-0000-0000B0DB0000}"/>
    <cellStyle name="Warning Text 7 2 8 2" xfId="56310" xr:uid="{00000000-0005-0000-0000-0000B1DB0000}"/>
    <cellStyle name="Warning Text 7 2 9" xfId="56311" xr:uid="{00000000-0005-0000-0000-0000B2DB0000}"/>
    <cellStyle name="Warning Text 7 3" xfId="56312" xr:uid="{00000000-0005-0000-0000-0000B3DB0000}"/>
    <cellStyle name="Warning Text 7 3 2" xfId="56313" xr:uid="{00000000-0005-0000-0000-0000B4DB0000}"/>
    <cellStyle name="Warning Text 7 4" xfId="56314" xr:uid="{00000000-0005-0000-0000-0000B5DB0000}"/>
    <cellStyle name="Warning Text 7 4 2" xfId="56315" xr:uid="{00000000-0005-0000-0000-0000B6DB0000}"/>
    <cellStyle name="Warning Text 7 5" xfId="56316" xr:uid="{00000000-0005-0000-0000-0000B7DB0000}"/>
    <cellStyle name="Warning Text 7 5 2" xfId="56317" xr:uid="{00000000-0005-0000-0000-0000B8DB0000}"/>
    <cellStyle name="Warning Text 7 6" xfId="56318" xr:uid="{00000000-0005-0000-0000-0000B9DB0000}"/>
    <cellStyle name="Warning Text 7 6 2" xfId="56319" xr:uid="{00000000-0005-0000-0000-0000BADB0000}"/>
    <cellStyle name="Warning Text 7 7" xfId="56320" xr:uid="{00000000-0005-0000-0000-0000BBDB0000}"/>
    <cellStyle name="Warning Text 7 7 2" xfId="56321" xr:uid="{00000000-0005-0000-0000-0000BCDB0000}"/>
    <cellStyle name="Warning Text 7 8" xfId="56322" xr:uid="{00000000-0005-0000-0000-0000BDDB0000}"/>
    <cellStyle name="Warning Text 7 8 2" xfId="56323" xr:uid="{00000000-0005-0000-0000-0000BEDB0000}"/>
    <cellStyle name="Warning Text 7 9" xfId="56324" xr:uid="{00000000-0005-0000-0000-0000BFDB0000}"/>
    <cellStyle name="Warning Text 7 9 2" xfId="56325" xr:uid="{00000000-0005-0000-0000-0000C0DB0000}"/>
    <cellStyle name="Warning Text 8" xfId="3565" xr:uid="{00000000-0005-0000-0000-0000C1DB0000}"/>
    <cellStyle name="Warning Text 8 2" xfId="56326" xr:uid="{00000000-0005-0000-0000-0000C2DB0000}"/>
    <cellStyle name="Warning Text 8 2 2" xfId="56327" xr:uid="{00000000-0005-0000-0000-0000C3DB0000}"/>
    <cellStyle name="Warning Text 8 3" xfId="56328" xr:uid="{00000000-0005-0000-0000-0000C4DB0000}"/>
    <cellStyle name="Warning Text 8 3 2" xfId="56329" xr:uid="{00000000-0005-0000-0000-0000C5DB0000}"/>
    <cellStyle name="Warning Text 8 4" xfId="56330" xr:uid="{00000000-0005-0000-0000-0000C6DB0000}"/>
    <cellStyle name="Warning Text 8 4 2" xfId="56331" xr:uid="{00000000-0005-0000-0000-0000C7DB0000}"/>
    <cellStyle name="Warning Text 8 5" xfId="56332" xr:uid="{00000000-0005-0000-0000-0000C8DB0000}"/>
    <cellStyle name="Warning Text 8 5 2" xfId="56333" xr:uid="{00000000-0005-0000-0000-0000C9DB0000}"/>
    <cellStyle name="Warning Text 8 6" xfId="56334" xr:uid="{00000000-0005-0000-0000-0000CADB0000}"/>
    <cellStyle name="Warning Text 8 6 2" xfId="56335" xr:uid="{00000000-0005-0000-0000-0000CBDB0000}"/>
    <cellStyle name="Warning Text 8 7" xfId="56336" xr:uid="{00000000-0005-0000-0000-0000CCDB0000}"/>
    <cellStyle name="Warning Text 8 7 2" xfId="56337" xr:uid="{00000000-0005-0000-0000-0000CDDB0000}"/>
    <cellStyle name="Warning Text 8 8" xfId="56338" xr:uid="{00000000-0005-0000-0000-0000CEDB0000}"/>
    <cellStyle name="Warning Text 8 8 2" xfId="56339" xr:uid="{00000000-0005-0000-0000-0000CFDB0000}"/>
    <cellStyle name="Warning Text 8 9" xfId="56340" xr:uid="{00000000-0005-0000-0000-0000D0DB0000}"/>
    <cellStyle name="Warning Text 9" xfId="3566" xr:uid="{00000000-0005-0000-0000-0000D1DB0000}"/>
    <cellStyle name="Warning Text 9 2" xfId="56341" xr:uid="{00000000-0005-0000-0000-0000D2DB0000}"/>
    <cellStyle name="Warning Text 9 2 2" xfId="56342" xr:uid="{00000000-0005-0000-0000-0000D3DB0000}"/>
    <cellStyle name="Warning Text 9 3" xfId="56343" xr:uid="{00000000-0005-0000-0000-0000D4DB0000}"/>
    <cellStyle name="Warning Text 9 3 2" xfId="56344" xr:uid="{00000000-0005-0000-0000-0000D5DB0000}"/>
    <cellStyle name="Warning Text 9 4" xfId="56345" xr:uid="{00000000-0005-0000-0000-0000D6DB0000}"/>
    <cellStyle name="Warning Text 9 4 2" xfId="56346" xr:uid="{00000000-0005-0000-0000-0000D7DB0000}"/>
    <cellStyle name="Warning Text 9 5" xfId="56347" xr:uid="{00000000-0005-0000-0000-0000D8DB0000}"/>
    <cellStyle name="Warning Text 9 5 2" xfId="56348" xr:uid="{00000000-0005-0000-0000-0000D9DB0000}"/>
    <cellStyle name="Warning Text 9 6" xfId="56349" xr:uid="{00000000-0005-0000-0000-0000DADB0000}"/>
    <cellStyle name="Warning Text 9 6 2" xfId="56350" xr:uid="{00000000-0005-0000-0000-0000DBDB0000}"/>
    <cellStyle name="Warning Text 9 7" xfId="56351" xr:uid="{00000000-0005-0000-0000-0000DCDB0000}"/>
    <cellStyle name="Warning Text 9 7 2" xfId="56352" xr:uid="{00000000-0005-0000-0000-0000DDDB0000}"/>
    <cellStyle name="Warning Text 9 8" xfId="56353" xr:uid="{00000000-0005-0000-0000-0000DEDB0000}"/>
    <cellStyle name="Warning Text 9 8 2" xfId="56354" xr:uid="{00000000-0005-0000-0000-0000DFDB0000}"/>
    <cellStyle name="Warning Text 9 9" xfId="56355" xr:uid="{00000000-0005-0000-0000-0000E0DB0000}"/>
    <cellStyle name="Year" xfId="98" xr:uid="{00000000-0005-0000-0000-00009D000000}"/>
    <cellStyle name="Year 2" xfId="56356" xr:uid="{00000000-0005-0000-0000-0000E2DB0000}"/>
    <cellStyle name="Year 3" xfId="56357" xr:uid="{00000000-0005-0000-0000-0000E3DB0000}"/>
    <cellStyle name="Year 4" xfId="56358" xr:uid="{00000000-0005-0000-0000-0000E4DB0000}"/>
    <cellStyle name="Year 5" xfId="56359" xr:uid="{00000000-0005-0000-0000-0000E5DB0000}"/>
    <cellStyle name="Yellow_Backgrd" xfId="3567" xr:uid="{00000000-0005-0000-0000-0000E6DB0000}"/>
  </cellStyles>
  <dxfs count="0"/>
  <tableStyles count="0" defaultTableStyle="TableStyleMedium9" defaultPivotStyle="PivotStyleLight16"/>
  <colors>
    <mruColors>
      <color rgb="FFFFFFCC"/>
      <color rgb="FFFFCCCC"/>
      <color rgb="FFCCFF66"/>
      <color rgb="FFCCFFCC"/>
      <color rgb="FFFF99FF"/>
      <color rgb="FF00FF00"/>
      <color rgb="FF0000FF"/>
      <color rgb="FFE9CDE3"/>
      <color rgb="FFFFCC99"/>
      <color rgb="FFFFE2C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546098</xdr:colOff>
      <xdr:row>50</xdr:row>
      <xdr:rowOff>148355</xdr:rowOff>
    </xdr:from>
    <xdr:to>
      <xdr:col>8</xdr:col>
      <xdr:colOff>409574</xdr:colOff>
      <xdr:row>59</xdr:row>
      <xdr:rowOff>44542</xdr:rowOff>
    </xdr:to>
    <xdr:pic>
      <xdr:nvPicPr>
        <xdr:cNvPr id="3" name="Picture 2">
          <a:extLst>
            <a:ext uri="{FF2B5EF4-FFF2-40B4-BE49-F238E27FC236}">
              <a16:creationId xmlns:a16="http://schemas.microsoft.com/office/drawing/2014/main" id="{FE131D9E-D545-4ABA-890F-524BF91BDCDC}"/>
            </a:ext>
          </a:extLst>
        </xdr:cNvPr>
        <xdr:cNvPicPr>
          <a:picLocks noChangeAspect="1"/>
        </xdr:cNvPicPr>
      </xdr:nvPicPr>
      <xdr:blipFill>
        <a:blip xmlns:r="http://schemas.openxmlformats.org/officeDocument/2006/relationships" r:embed="rId1"/>
        <a:stretch>
          <a:fillRect/>
        </a:stretch>
      </xdr:blipFill>
      <xdr:spPr>
        <a:xfrm>
          <a:off x="4356098" y="8424522"/>
          <a:ext cx="4858809" cy="1324937"/>
        </a:xfrm>
        <a:prstGeom prst="rect">
          <a:avLst/>
        </a:prstGeom>
        <a:ln>
          <a:solidFill>
            <a:schemeClr val="accent1"/>
          </a:solidFill>
        </a:ln>
      </xdr:spPr>
    </xdr:pic>
    <xdr:clientData/>
  </xdr:twoCellAnchor>
  <xdr:twoCellAnchor editAs="oneCell">
    <xdr:from>
      <xdr:col>9</xdr:col>
      <xdr:colOff>49742</xdr:colOff>
      <xdr:row>50</xdr:row>
      <xdr:rowOff>4709</xdr:rowOff>
    </xdr:from>
    <xdr:to>
      <xdr:col>14</xdr:col>
      <xdr:colOff>25400</xdr:colOff>
      <xdr:row>60</xdr:row>
      <xdr:rowOff>135597</xdr:rowOff>
    </xdr:to>
    <xdr:pic>
      <xdr:nvPicPr>
        <xdr:cNvPr id="4" name="Picture 3">
          <a:extLst>
            <a:ext uri="{FF2B5EF4-FFF2-40B4-BE49-F238E27FC236}">
              <a16:creationId xmlns:a16="http://schemas.microsoft.com/office/drawing/2014/main" id="{C217BE62-89BF-445D-AB86-3E3E7496C544}"/>
            </a:ext>
          </a:extLst>
        </xdr:cNvPr>
        <xdr:cNvPicPr>
          <a:picLocks noChangeAspect="1"/>
        </xdr:cNvPicPr>
      </xdr:nvPicPr>
      <xdr:blipFill>
        <a:blip xmlns:r="http://schemas.openxmlformats.org/officeDocument/2006/relationships" r:embed="rId2"/>
        <a:stretch>
          <a:fillRect/>
        </a:stretch>
      </xdr:blipFill>
      <xdr:spPr>
        <a:xfrm>
          <a:off x="9765242" y="8280876"/>
          <a:ext cx="4532841" cy="1718388"/>
        </a:xfrm>
        <a:prstGeom prst="rect">
          <a:avLst/>
        </a:prstGeom>
        <a:ln>
          <a:solidFill>
            <a:schemeClr val="accent1"/>
          </a:solidFill>
        </a:ln>
      </xdr:spPr>
    </xdr:pic>
    <xdr:clientData/>
  </xdr:twoCellAnchor>
  <xdr:twoCellAnchor editAs="oneCell">
    <xdr:from>
      <xdr:col>3</xdr:col>
      <xdr:colOff>613834</xdr:colOff>
      <xdr:row>107</xdr:row>
      <xdr:rowOff>10584</xdr:rowOff>
    </xdr:from>
    <xdr:to>
      <xdr:col>8</xdr:col>
      <xdr:colOff>254001</xdr:colOff>
      <xdr:row>114</xdr:row>
      <xdr:rowOff>124734</xdr:rowOff>
    </xdr:to>
    <xdr:pic>
      <xdr:nvPicPr>
        <xdr:cNvPr id="5" name="Picture 4">
          <a:extLst>
            <a:ext uri="{FF2B5EF4-FFF2-40B4-BE49-F238E27FC236}">
              <a16:creationId xmlns:a16="http://schemas.microsoft.com/office/drawing/2014/main" id="{BFE28EF4-CED6-48EC-9DF5-E16F49C09AAB}"/>
            </a:ext>
          </a:extLst>
        </xdr:cNvPr>
        <xdr:cNvPicPr>
          <a:picLocks noChangeAspect="1"/>
        </xdr:cNvPicPr>
      </xdr:nvPicPr>
      <xdr:blipFill>
        <a:blip xmlns:r="http://schemas.openxmlformats.org/officeDocument/2006/relationships" r:embed="rId3"/>
        <a:stretch>
          <a:fillRect/>
        </a:stretch>
      </xdr:blipFill>
      <xdr:spPr>
        <a:xfrm>
          <a:off x="4423834" y="17335501"/>
          <a:ext cx="4635500" cy="1225400"/>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977900</xdr:colOff>
      <xdr:row>1</xdr:row>
      <xdr:rowOff>101600</xdr:rowOff>
    </xdr:from>
    <xdr:to>
      <xdr:col>6</xdr:col>
      <xdr:colOff>428625</xdr:colOff>
      <xdr:row>5</xdr:row>
      <xdr:rowOff>28576</xdr:rowOff>
    </xdr:to>
    <xdr:sp macro="" textlink="">
      <xdr:nvSpPr>
        <xdr:cNvPr id="2" name="TextBox 1">
          <a:extLst>
            <a:ext uri="{FF2B5EF4-FFF2-40B4-BE49-F238E27FC236}">
              <a16:creationId xmlns:a16="http://schemas.microsoft.com/office/drawing/2014/main" id="{196E1574-7816-454A-A849-7BEC2533523D}"/>
            </a:ext>
          </a:extLst>
        </xdr:cNvPr>
        <xdr:cNvSpPr txBox="1"/>
      </xdr:nvSpPr>
      <xdr:spPr>
        <a:xfrm>
          <a:off x="2892425" y="263525"/>
          <a:ext cx="2355850" cy="5746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9526</xdr:colOff>
      <xdr:row>0</xdr:row>
      <xdr:rowOff>161925</xdr:rowOff>
    </xdr:from>
    <xdr:to>
      <xdr:col>7</xdr:col>
      <xdr:colOff>781051</xdr:colOff>
      <xdr:row>4</xdr:row>
      <xdr:rowOff>76200</xdr:rowOff>
    </xdr:to>
    <xdr:sp macro="" textlink="">
      <xdr:nvSpPr>
        <xdr:cNvPr id="2" name="TextBox 1">
          <a:extLst>
            <a:ext uri="{FF2B5EF4-FFF2-40B4-BE49-F238E27FC236}">
              <a16:creationId xmlns:a16="http://schemas.microsoft.com/office/drawing/2014/main" id="{F7A1FA74-110F-4163-99DD-DF8C53053AD4}"/>
            </a:ext>
          </a:extLst>
        </xdr:cNvPr>
        <xdr:cNvSpPr txBox="1"/>
      </xdr:nvSpPr>
      <xdr:spPr>
        <a:xfrm>
          <a:off x="3486151" y="161925"/>
          <a:ext cx="2209800"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rPr>
            <a:t>THIS TAB DOES NOT APPLY</a:t>
          </a:r>
          <a:r>
            <a:rPr lang="en-US" sz="1100" baseline="0">
              <a:solidFill>
                <a:srgbClr val="FF0000"/>
              </a:solidFill>
            </a:rPr>
            <a:t> TO THE WA RATE SPREAD PROPOSAL.</a:t>
          </a:r>
        </a:p>
        <a:p>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Startup" Target="JV'S/DEC_JV9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J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psnt01\groups\Regulatory_Affairs\PGA%20-%20OREGON\2016\September%20Filing\Rate%20Development\NWN%20Oregon%20PGA%20Rate%20Development%20Fil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data\EGNB%20-\Corporate%20Affairs\Regulatory\2000%20Board%20Review\Dec00elpS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data\Documents%20and%20Settings\jzs\Local%20Settings\Temporary%20Internet%20Files\OLK17C\Income%20Statement%20Budget%20-%20Version%2005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intranet/GLMonthlyFiles/2007-09/Balance%20Sheet%20-%20Sept%2020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Marginal%20Model\Distribution%20Marginal%20Cost%20Study-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NB%20USOA%20(EGNB)%20-%20Regulation%2099-62-%20Mar%2019%20JT-V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data\Branch\Rudden\Departments\Dept-4261\Private\Central\Clients\Active\NWNatural%20Data\LRIC%20Study%20Files\Revenue%20and%20Gas%20Cost%20-%20Oregon%202011%20Rate%20Case.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na\data\Budget\Forecasts\2008\3+9%20F\Capital\3+9%20F%20Capital%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na\data\Accounting\Theresa\Operating%20Reports\Deferred%20Accounts\2007\Deferred%20Accounts%20200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mpire%20Datav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a\data\Corp_Taxation\My_Documents\1120_98\101plant98.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asco.com\share\Regulatory_Affairs\PGA%20-%20OREGON\2016\September%20Filing\Rate%20Development\NWN%20Oregon%20PGA%20Rate%20Development%20File.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na\data\TEMP\APR99CG.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na\data\TEMP\Sep00el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4-Walker-WP1-12-18-2020.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gulatory_Affairs/2020%20Washington%20General%20Rate%20Case/Revenue%20Requirement/Work%20Papers/20XXXX-NWN-Exh-KTW-2-Walker-WP1-12-18-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ata\Regulatory%20and%20Gas%20Supply\Regulatory\2009\Cost%20of%20Service\COS%20Model\Enbridge%20COS%20Modelv10\Model\E%20Schedule%20Revenue%20-%2020%20yr%20nor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ergy%20West\2010%20Embedded%20Model\EnergyWest-v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psnt01\groups\Users\a1s\Desktop\UG%20221\NW%20Natural%2020Long-Run%20Incremental%20Cost%20Study.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a\data\Documents%20and%20Settings\pat65791\Local%20Settings\Temporary%20Internet%20Files\Content.Outlook\JX83FEWN\People%20Gas%20COS%20Model-vFinal-DesignDa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a\data\Documents%20and%20Settings\tra44864\My%20Documents\clients\Enbridge\2010%20Study\Enbridge\Enbridge\2010%20Budget%20Datasheet%20V10%20FINAL%20-mature%20utility-JTv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psnt01\groups\Quarterly%20Report%20-%20WA\other%20rev%2001qtr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a\data\Volumes\working%20file%20volumes%20by%20rate%20and%20block%20master%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ARY"/>
      <sheetName val="OH DISTB"/>
      <sheetName val="JV 92"/>
      <sheetName val="ESTIMATE"/>
      <sheetName val="DEPR"/>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Sheet1"/>
      <sheetName val="Oracle vs. USOA (LP) 2007"/>
      <sheetName val="Summary of Accounts - USOA"/>
      <sheetName val="Index of Accounts - USOA"/>
      <sheetName val="Trial Balance - December 2007"/>
      <sheetName val="Trial Balance - December 2008"/>
    </sheetNames>
    <sheetDataSet>
      <sheetData sheetId="0"/>
      <sheetData sheetId="1">
        <row r="1">
          <cell r="J1">
            <v>100</v>
          </cell>
          <cell r="K1" t="str">
            <v>Gas Distributor Plant in Service</v>
          </cell>
        </row>
        <row r="2">
          <cell r="J2">
            <v>101</v>
          </cell>
          <cell r="K2" t="str">
            <v>Gas Distributor Plant Leased to Others</v>
          </cell>
        </row>
        <row r="3">
          <cell r="J3">
            <v>102</v>
          </cell>
          <cell r="K3" t="str">
            <v>Gas Distributor Plant Held for Future Use</v>
          </cell>
        </row>
        <row r="4">
          <cell r="J4">
            <v>103</v>
          </cell>
          <cell r="K4" t="str">
            <v>Retirement Work in Progress</v>
          </cell>
        </row>
        <row r="5">
          <cell r="J5">
            <v>104</v>
          </cell>
          <cell r="K5" t="str">
            <v>Gas Distributor Plant Acquisition Adjustments</v>
          </cell>
        </row>
        <row r="6">
          <cell r="J6">
            <v>105</v>
          </cell>
          <cell r="K6" t="str">
            <v>Accumulated Depreciation – Gas Distributor Plant</v>
          </cell>
        </row>
        <row r="7">
          <cell r="J7">
            <v>106</v>
          </cell>
          <cell r="K7" t="str">
            <v>Accumulated Amortization – Gas Distributor Plant</v>
          </cell>
        </row>
        <row r="8">
          <cell r="J8">
            <v>108</v>
          </cell>
          <cell r="K8" t="str">
            <v>Accumulated Amortization – Gas Distributor Plant – Acquisition Adjustments</v>
          </cell>
        </row>
        <row r="9">
          <cell r="J9">
            <v>110</v>
          </cell>
          <cell r="K9" t="str">
            <v>Other Gas Distributor Plant</v>
          </cell>
        </row>
        <row r="10">
          <cell r="J10">
            <v>111</v>
          </cell>
          <cell r="K10" t="str">
            <v>Accumulated Depreciation and Amortization – Other Gas Distributor Plant</v>
          </cell>
        </row>
        <row r="11">
          <cell r="J11">
            <v>115</v>
          </cell>
          <cell r="K11" t="str">
            <v>Construction Work in Progress – Gas Distributor Plant</v>
          </cell>
        </row>
        <row r="12">
          <cell r="J12">
            <v>116</v>
          </cell>
          <cell r="K12" t="str">
            <v>Other Gas Distributor Plant Under Construction</v>
          </cell>
        </row>
        <row r="13">
          <cell r="J13">
            <v>120</v>
          </cell>
          <cell r="K13" t="str">
            <v>Investment in Associates and Affiliates</v>
          </cell>
        </row>
        <row r="14">
          <cell r="J14">
            <v>121</v>
          </cell>
          <cell r="K14" t="str">
            <v>Portfolio Investments</v>
          </cell>
        </row>
        <row r="15">
          <cell r="J15">
            <v>123</v>
          </cell>
          <cell r="K15" t="str">
            <v>Miscellaneous Special Funds</v>
          </cell>
        </row>
        <row r="16">
          <cell r="J16">
            <v>130</v>
          </cell>
          <cell r="K16" t="str">
            <v>Cash</v>
          </cell>
        </row>
        <row r="17">
          <cell r="J17">
            <v>131</v>
          </cell>
          <cell r="K17" t="str">
            <v>Special Deposits</v>
          </cell>
        </row>
        <row r="18">
          <cell r="J18">
            <v>132</v>
          </cell>
          <cell r="K18" t="str">
            <v>Short Term Investments</v>
          </cell>
        </row>
        <row r="19">
          <cell r="J19">
            <v>140</v>
          </cell>
          <cell r="K19" t="str">
            <v>Accounts Receivable – Customers</v>
          </cell>
        </row>
        <row r="20">
          <cell r="J20">
            <v>141</v>
          </cell>
          <cell r="K20" t="str">
            <v>Accounts Receivable – Associates and Affiliates</v>
          </cell>
        </row>
        <row r="21">
          <cell r="J21">
            <v>142</v>
          </cell>
          <cell r="K21" t="str">
            <v>Accounts Receivable – Other</v>
          </cell>
        </row>
        <row r="22">
          <cell r="J22">
            <v>145</v>
          </cell>
          <cell r="K22" t="str">
            <v>Allowance for Doubtful Accounts</v>
          </cell>
        </row>
        <row r="23">
          <cell r="J23">
            <v>147</v>
          </cell>
          <cell r="K23" t="str">
            <v>Interest and Dividends Receivable</v>
          </cell>
        </row>
        <row r="24">
          <cell r="J24">
            <v>150</v>
          </cell>
          <cell r="K24" t="str">
            <v>Materials and Supplies</v>
          </cell>
        </row>
        <row r="25">
          <cell r="J25">
            <v>151</v>
          </cell>
          <cell r="K25" t="str">
            <v>Materials and Supplies – Other</v>
          </cell>
        </row>
        <row r="26">
          <cell r="J26">
            <v>152</v>
          </cell>
          <cell r="K26" t="str">
            <v>Gas in Storage – Available for Sale</v>
          </cell>
        </row>
        <row r="27">
          <cell r="J27">
            <v>153</v>
          </cell>
          <cell r="K27" t="str">
            <v>Line Pack Gas</v>
          </cell>
        </row>
        <row r="28">
          <cell r="J28">
            <v>160</v>
          </cell>
          <cell r="K28" t="str">
            <v>Prepayments</v>
          </cell>
        </row>
        <row r="29">
          <cell r="J29">
            <v>162</v>
          </cell>
          <cell r="K29" t="str">
            <v>Other Current Assets</v>
          </cell>
        </row>
        <row r="30">
          <cell r="J30">
            <v>163</v>
          </cell>
          <cell r="K30" t="str">
            <v>Current Future Income Tax Assets</v>
          </cell>
        </row>
        <row r="31">
          <cell r="J31">
            <v>170</v>
          </cell>
          <cell r="K31" t="str">
            <v>Unamortized Debt Discount and Expense</v>
          </cell>
        </row>
        <row r="32">
          <cell r="J32">
            <v>171</v>
          </cell>
          <cell r="K32" t="str">
            <v>Extraordinary Plant Losses</v>
          </cell>
        </row>
        <row r="33">
          <cell r="J33">
            <v>172</v>
          </cell>
          <cell r="K33" t="str">
            <v>Preliminary Survey and Investigation Charges</v>
          </cell>
        </row>
        <row r="34">
          <cell r="J34">
            <v>177</v>
          </cell>
          <cell r="K34" t="str">
            <v>Share Capital Expense</v>
          </cell>
        </row>
        <row r="35">
          <cell r="J35">
            <v>179</v>
          </cell>
          <cell r="K35" t="str">
            <v>Other Deferred Charges</v>
          </cell>
        </row>
        <row r="36">
          <cell r="J36">
            <v>180</v>
          </cell>
          <cell r="K36" t="str">
            <v>Intangible Assets</v>
          </cell>
        </row>
        <row r="37">
          <cell r="J37">
            <v>181</v>
          </cell>
          <cell r="K37" t="str">
            <v>Unamortized Deferred Gains and Losses from Translation of Foreign Currency</v>
          </cell>
        </row>
        <row r="38">
          <cell r="J38">
            <v>182</v>
          </cell>
          <cell r="K38" t="str">
            <v>Deferred Development Costs</v>
          </cell>
        </row>
        <row r="39">
          <cell r="J39">
            <v>183</v>
          </cell>
          <cell r="K39" t="str">
            <v>Future Income Tax Assets</v>
          </cell>
        </row>
        <row r="40">
          <cell r="J40">
            <v>200</v>
          </cell>
          <cell r="K40" t="str">
            <v>Preference Shares</v>
          </cell>
        </row>
        <row r="41">
          <cell r="J41">
            <v>205</v>
          </cell>
          <cell r="K41" t="str">
            <v>Common Shares</v>
          </cell>
        </row>
        <row r="42">
          <cell r="J42">
            <v>210</v>
          </cell>
          <cell r="K42" t="str">
            <v>Contributed Surplus</v>
          </cell>
        </row>
        <row r="43">
          <cell r="J43">
            <v>212</v>
          </cell>
          <cell r="K43" t="str">
            <v>Retained Earnings</v>
          </cell>
        </row>
        <row r="44">
          <cell r="J44">
            <v>215</v>
          </cell>
          <cell r="K44" t="str">
            <v>Appropriations of Retained Earnings</v>
          </cell>
        </row>
        <row r="45">
          <cell r="J45">
            <v>216</v>
          </cell>
          <cell r="K45" t="str">
            <v>Appraisal Increase Credits</v>
          </cell>
        </row>
        <row r="46">
          <cell r="J46">
            <v>220</v>
          </cell>
          <cell r="K46" t="str">
            <v>Long-Term Debt</v>
          </cell>
        </row>
        <row r="47">
          <cell r="J47">
            <v>225</v>
          </cell>
          <cell r="K47" t="str">
            <v>Long-Term Lease Obligations</v>
          </cell>
        </row>
        <row r="48">
          <cell r="J48">
            <v>248</v>
          </cell>
          <cell r="K48" t="str">
            <v>Long-Term Advances from Associates and Affiliates</v>
          </cell>
        </row>
        <row r="49">
          <cell r="J49">
            <v>249</v>
          </cell>
          <cell r="K49" t="str">
            <v>Other Long-Term Debt</v>
          </cell>
        </row>
        <row r="50">
          <cell r="J50">
            <v>250</v>
          </cell>
          <cell r="K50" t="str">
            <v>Loans and Notes Payable</v>
          </cell>
        </row>
        <row r="51">
          <cell r="J51">
            <v>251</v>
          </cell>
          <cell r="K51" t="str">
            <v>Accounts Payable and Accrued Liabilities</v>
          </cell>
        </row>
        <row r="52">
          <cell r="J52">
            <v>252</v>
          </cell>
          <cell r="K52" t="str">
            <v>Accounts Payable and Accrued Liabilities – Associates and Affiliates</v>
          </cell>
        </row>
        <row r="53">
          <cell r="J53">
            <v>253</v>
          </cell>
          <cell r="K53" t="str">
            <v>Dividends Payable</v>
          </cell>
        </row>
        <row r="54">
          <cell r="J54">
            <v>254</v>
          </cell>
          <cell r="K54" t="str">
            <v>Customers’ Security Deposits</v>
          </cell>
        </row>
        <row r="55">
          <cell r="J55">
            <v>255</v>
          </cell>
          <cell r="K55" t="str">
            <v>Customers’ Advances for Construction</v>
          </cell>
        </row>
        <row r="56">
          <cell r="J56">
            <v>256</v>
          </cell>
          <cell r="K56" t="str">
            <v>Taxes Payable – Current</v>
          </cell>
        </row>
        <row r="57">
          <cell r="J57">
            <v>257</v>
          </cell>
          <cell r="K57" t="str">
            <v>Interest Payable and Accrued</v>
          </cell>
        </row>
        <row r="58">
          <cell r="J58">
            <v>258</v>
          </cell>
          <cell r="K58" t="str">
            <v>Current Portion of Long Term Debt</v>
          </cell>
        </row>
        <row r="59">
          <cell r="J59">
            <v>259</v>
          </cell>
          <cell r="K59" t="str">
            <v>Other Current and Accrued Liabilities</v>
          </cell>
        </row>
        <row r="60">
          <cell r="J60">
            <v>260</v>
          </cell>
          <cell r="K60" t="str">
            <v>Current Future Income Tax Liabilities</v>
          </cell>
        </row>
        <row r="61">
          <cell r="J61">
            <v>262</v>
          </cell>
          <cell r="K61" t="str">
            <v>Current Portion of Long-Term Lease Obligations</v>
          </cell>
        </row>
        <row r="62">
          <cell r="J62">
            <v>263</v>
          </cell>
          <cell r="K62" t="str">
            <v>Deferred Revenues</v>
          </cell>
        </row>
        <row r="63">
          <cell r="J63">
            <v>270</v>
          </cell>
          <cell r="K63" t="str">
            <v>Unamortized Debt Premium</v>
          </cell>
        </row>
        <row r="64">
          <cell r="J64">
            <v>271</v>
          </cell>
          <cell r="K64" t="str">
            <v>Unearned Finance Charges on Customers’ Accounts Receivable</v>
          </cell>
        </row>
        <row r="65">
          <cell r="J65">
            <v>276</v>
          </cell>
          <cell r="K65" t="str">
            <v>Future Income Tax Liabilities</v>
          </cell>
        </row>
        <row r="66">
          <cell r="J66">
            <v>278</v>
          </cell>
          <cell r="K66" t="str">
            <v>Contributions and Grants</v>
          </cell>
        </row>
        <row r="67">
          <cell r="J67">
            <v>279</v>
          </cell>
          <cell r="K67" t="str">
            <v>Other Long-Term Liabilities and Deferred Credits</v>
          </cell>
        </row>
        <row r="68">
          <cell r="J68">
            <v>280</v>
          </cell>
          <cell r="K68" t="str">
            <v>Deferred Pension Costs</v>
          </cell>
        </row>
        <row r="69">
          <cell r="J69">
            <v>290</v>
          </cell>
          <cell r="K69" t="str">
            <v>Insurance Provisions</v>
          </cell>
        </row>
        <row r="70">
          <cell r="J70">
            <v>300</v>
          </cell>
          <cell r="K70" t="str">
            <v>Operating Revenues</v>
          </cell>
        </row>
        <row r="71">
          <cell r="J71">
            <v>301</v>
          </cell>
          <cell r="K71" t="str">
            <v>Operating Expenses</v>
          </cell>
        </row>
        <row r="72">
          <cell r="J72">
            <v>302</v>
          </cell>
          <cell r="K72" t="str">
            <v>Maintenance Expenses</v>
          </cell>
        </row>
        <row r="73">
          <cell r="J73">
            <v>303</v>
          </cell>
          <cell r="K73" t="str">
            <v>Depreciation</v>
          </cell>
        </row>
        <row r="74">
          <cell r="J74">
            <v>304</v>
          </cell>
          <cell r="K74" t="str">
            <v>Amortization</v>
          </cell>
        </row>
        <row r="75">
          <cell r="J75">
            <v>305</v>
          </cell>
          <cell r="K75" t="str">
            <v>Municipal and Other Taxes</v>
          </cell>
        </row>
        <row r="76">
          <cell r="J76">
            <v>306</v>
          </cell>
          <cell r="K76" t="str">
            <v>Income Taxes</v>
          </cell>
        </row>
        <row r="77">
          <cell r="J77">
            <v>307</v>
          </cell>
          <cell r="K77" t="str">
            <v>Revenue from Gas Distributor Plant Leased to Others</v>
          </cell>
        </row>
        <row r="78">
          <cell r="J78">
            <v>308</v>
          </cell>
          <cell r="K78" t="str">
            <v>Rent for Gas Distributor Plant Leased From Others</v>
          </cell>
        </row>
        <row r="79">
          <cell r="J79">
            <v>310</v>
          </cell>
          <cell r="K79" t="str">
            <v>Revenue from Other Plant</v>
          </cell>
        </row>
        <row r="80">
          <cell r="J80">
            <v>311</v>
          </cell>
          <cell r="K80" t="str">
            <v>Expense of Other Plant</v>
          </cell>
        </row>
        <row r="81">
          <cell r="J81">
            <v>312</v>
          </cell>
          <cell r="K81" t="str">
            <v>Non-Gas Operating Revenue</v>
          </cell>
        </row>
        <row r="82">
          <cell r="J82">
            <v>313</v>
          </cell>
          <cell r="K82" t="str">
            <v>Non-Gas Operating Expense</v>
          </cell>
        </row>
        <row r="83">
          <cell r="J83">
            <v>314</v>
          </cell>
          <cell r="K83" t="str">
            <v>Income from Investments</v>
          </cell>
        </row>
        <row r="84">
          <cell r="J84">
            <v>315</v>
          </cell>
          <cell r="K84" t="str">
            <v>Income from Investment in Associates and Affiliates</v>
          </cell>
        </row>
        <row r="85">
          <cell r="J85">
            <v>316</v>
          </cell>
          <cell r="K85" t="str">
            <v>Income from Sinking and Other Funds</v>
          </cell>
        </row>
        <row r="86">
          <cell r="J86">
            <v>319</v>
          </cell>
          <cell r="K86" t="str">
            <v>Other Income</v>
          </cell>
        </row>
        <row r="87">
          <cell r="J87">
            <v>320</v>
          </cell>
          <cell r="K87" t="str">
            <v>Interest on Long Term Debt</v>
          </cell>
        </row>
        <row r="88">
          <cell r="J88">
            <v>321</v>
          </cell>
          <cell r="K88" t="str">
            <v>Amortization of Debt Discount, Premium and Expense</v>
          </cell>
        </row>
        <row r="89">
          <cell r="J89">
            <v>322</v>
          </cell>
          <cell r="K89" t="str">
            <v>Interest on Amounts Due to Associates and Affiliates</v>
          </cell>
        </row>
        <row r="90">
          <cell r="J90">
            <v>323</v>
          </cell>
          <cell r="K90" t="str">
            <v>Other Interest Expense</v>
          </cell>
        </row>
        <row r="91">
          <cell r="J91">
            <v>324</v>
          </cell>
          <cell r="K91" t="str">
            <v>Allowance for Funds Used During Construction – Credit</v>
          </cell>
        </row>
        <row r="92">
          <cell r="J92">
            <v>325</v>
          </cell>
          <cell r="K92" t="str">
            <v>Gains or Losses on Foreign Exchange, including Amortization</v>
          </cell>
        </row>
        <row r="93">
          <cell r="J93">
            <v>326</v>
          </cell>
          <cell r="K93" t="str">
            <v>Amortization of Other Deferred Charges</v>
          </cell>
        </row>
        <row r="94">
          <cell r="J94">
            <v>327</v>
          </cell>
          <cell r="K94" t="str">
            <v>Interest Expense on Capital Lease Obligations</v>
          </cell>
        </row>
        <row r="95">
          <cell r="J95">
            <v>328</v>
          </cell>
          <cell r="K95" t="str">
            <v>Amortization of Other Intangible Assets</v>
          </cell>
        </row>
        <row r="96">
          <cell r="J96">
            <v>329</v>
          </cell>
          <cell r="K96" t="str">
            <v>Government Assistance Directly Credited to Income</v>
          </cell>
        </row>
        <row r="97">
          <cell r="J97">
            <v>330</v>
          </cell>
          <cell r="K97" t="str">
            <v>Research and Development Costs</v>
          </cell>
        </row>
        <row r="98">
          <cell r="J98">
            <v>331</v>
          </cell>
          <cell r="K98" t="str">
            <v>Amortization of Deferred Development Costs</v>
          </cell>
        </row>
        <row r="99">
          <cell r="J99">
            <v>333</v>
          </cell>
          <cell r="K99" t="str">
            <v>Other Income Deductions</v>
          </cell>
        </row>
        <row r="100">
          <cell r="J100">
            <v>338</v>
          </cell>
          <cell r="K100" t="str">
            <v>Extraordinary Items</v>
          </cell>
        </row>
        <row r="101">
          <cell r="J101">
            <v>339</v>
          </cell>
          <cell r="K101" t="str">
            <v>Extraordinary Items – Tax Effect</v>
          </cell>
        </row>
        <row r="102">
          <cell r="J102">
            <v>401</v>
          </cell>
          <cell r="K102" t="str">
            <v>Franchises and Consents</v>
          </cell>
        </row>
        <row r="103">
          <cell r="J103">
            <v>402</v>
          </cell>
          <cell r="K103" t="str">
            <v>Other Intangible Plant</v>
          </cell>
        </row>
        <row r="104">
          <cell r="J104">
            <v>403</v>
          </cell>
          <cell r="K104" t="str">
            <v>Gas Lands</v>
          </cell>
        </row>
        <row r="105">
          <cell r="J105">
            <v>404</v>
          </cell>
          <cell r="K105" t="str">
            <v>Gas Leaseholds</v>
          </cell>
        </row>
        <row r="106">
          <cell r="J106">
            <v>405</v>
          </cell>
          <cell r="K106" t="str">
            <v>Gas Rights</v>
          </cell>
        </row>
        <row r="107">
          <cell r="J107">
            <v>406</v>
          </cell>
          <cell r="K107" t="str">
            <v>Gas Wells – Well Drilling</v>
          </cell>
        </row>
        <row r="108">
          <cell r="J108">
            <v>407</v>
          </cell>
          <cell r="K108" t="str">
            <v>Gas Wells – Well Equipment</v>
          </cell>
        </row>
        <row r="109">
          <cell r="J109">
            <v>408</v>
          </cell>
          <cell r="K109" t="str">
            <v>Gas Wells – Well Structures</v>
          </cell>
        </row>
        <row r="110">
          <cell r="J110">
            <v>409</v>
          </cell>
          <cell r="K110" t="str">
            <v>Other Natural Gas Production Equipment</v>
          </cell>
        </row>
        <row r="111">
          <cell r="J111">
            <v>410</v>
          </cell>
          <cell r="K111" t="str">
            <v>Land</v>
          </cell>
        </row>
        <row r="112">
          <cell r="J112">
            <v>411</v>
          </cell>
          <cell r="K112" t="str">
            <v>Land Rights</v>
          </cell>
        </row>
        <row r="113">
          <cell r="J113">
            <v>412</v>
          </cell>
          <cell r="K113" t="str">
            <v>Compressor Structures and Improvements</v>
          </cell>
        </row>
        <row r="114">
          <cell r="J114">
            <v>413</v>
          </cell>
          <cell r="K114" t="str">
            <v>Measuring and Regulating Structures and Improvements</v>
          </cell>
        </row>
        <row r="115">
          <cell r="J115">
            <v>414</v>
          </cell>
          <cell r="K115" t="str">
            <v>Other Structures and Improvements</v>
          </cell>
        </row>
        <row r="116">
          <cell r="J116">
            <v>415</v>
          </cell>
          <cell r="K116" t="str">
            <v>Gathering Lines</v>
          </cell>
        </row>
        <row r="117">
          <cell r="J117">
            <v>416</v>
          </cell>
          <cell r="K117" t="str">
            <v>Compressor Equipment</v>
          </cell>
        </row>
        <row r="118">
          <cell r="J118">
            <v>417</v>
          </cell>
          <cell r="K118" t="str">
            <v>Measuring and Regulating Equipment</v>
          </cell>
        </row>
        <row r="119">
          <cell r="J119">
            <v>418</v>
          </cell>
          <cell r="K119" t="str">
            <v>Purification Equipment</v>
          </cell>
        </row>
        <row r="120">
          <cell r="J120">
            <v>419</v>
          </cell>
          <cell r="K120" t="str">
            <v>Other Natural Gas Gathering Equipment</v>
          </cell>
        </row>
        <row r="121">
          <cell r="J121">
            <v>440</v>
          </cell>
          <cell r="K121" t="str">
            <v>Land</v>
          </cell>
        </row>
        <row r="122">
          <cell r="J122">
            <v>441</v>
          </cell>
          <cell r="K122" t="str">
            <v>Land Rights</v>
          </cell>
        </row>
        <row r="123">
          <cell r="J123">
            <v>442</v>
          </cell>
          <cell r="K123" t="str">
            <v>Structures and Improvements</v>
          </cell>
        </row>
        <row r="124">
          <cell r="J124">
            <v>443</v>
          </cell>
          <cell r="K124" t="str">
            <v>Gas Holders – Storage</v>
          </cell>
        </row>
        <row r="125">
          <cell r="J125">
            <v>444</v>
          </cell>
          <cell r="K125" t="str">
            <v>Other Local Storage Equipment</v>
          </cell>
        </row>
        <row r="126">
          <cell r="J126">
            <v>450</v>
          </cell>
          <cell r="K126" t="str">
            <v>Land</v>
          </cell>
        </row>
        <row r="127">
          <cell r="J127">
            <v>451</v>
          </cell>
          <cell r="K127" t="str">
            <v>Land Rights</v>
          </cell>
        </row>
        <row r="128">
          <cell r="J128">
            <v>452</v>
          </cell>
          <cell r="K128" t="str">
            <v>Structures and Improvements</v>
          </cell>
        </row>
        <row r="129">
          <cell r="J129">
            <v>453</v>
          </cell>
          <cell r="K129" t="str">
            <v>Wells</v>
          </cell>
        </row>
        <row r="130">
          <cell r="J130">
            <v>454</v>
          </cell>
          <cell r="K130" t="str">
            <v>Well Equipment</v>
          </cell>
        </row>
        <row r="131">
          <cell r="J131">
            <v>455</v>
          </cell>
          <cell r="K131" t="str">
            <v>Field Lines</v>
          </cell>
        </row>
        <row r="132">
          <cell r="J132">
            <v>456</v>
          </cell>
          <cell r="K132" t="str">
            <v>Compressor Equipment</v>
          </cell>
        </row>
        <row r="133">
          <cell r="J133">
            <v>457</v>
          </cell>
          <cell r="K133" t="str">
            <v>Measuring and Regulating Equipment</v>
          </cell>
        </row>
        <row r="134">
          <cell r="J134">
            <v>458</v>
          </cell>
          <cell r="K134" t="str">
            <v>Base Pressure Gas</v>
          </cell>
        </row>
        <row r="135">
          <cell r="J135">
            <v>459</v>
          </cell>
          <cell r="K135" t="str">
            <v>Other Underground Storage Equipment</v>
          </cell>
        </row>
        <row r="136">
          <cell r="J136">
            <v>460</v>
          </cell>
          <cell r="K136" t="str">
            <v>Land</v>
          </cell>
        </row>
        <row r="137">
          <cell r="J137">
            <v>461</v>
          </cell>
          <cell r="K137" t="str">
            <v>Land Rights</v>
          </cell>
        </row>
        <row r="138">
          <cell r="J138">
            <v>462</v>
          </cell>
          <cell r="K138" t="str">
            <v>Compressor Structures and Improvements</v>
          </cell>
        </row>
        <row r="139">
          <cell r="J139">
            <v>463</v>
          </cell>
          <cell r="K139" t="str">
            <v>Measuring and Regulating Structures and Improvements</v>
          </cell>
        </row>
        <row r="140">
          <cell r="J140">
            <v>464</v>
          </cell>
          <cell r="K140" t="str">
            <v>Other Structures and Improvements</v>
          </cell>
        </row>
        <row r="141">
          <cell r="J141">
            <v>465</v>
          </cell>
          <cell r="K141" t="str">
            <v>Mains</v>
          </cell>
        </row>
        <row r="142">
          <cell r="J142">
            <v>466</v>
          </cell>
          <cell r="K142" t="str">
            <v>Compressor Equipment</v>
          </cell>
        </row>
        <row r="143">
          <cell r="J143">
            <v>467</v>
          </cell>
          <cell r="K143" t="str">
            <v>Measuring and Regulating Equipment</v>
          </cell>
        </row>
        <row r="144">
          <cell r="J144">
            <v>468</v>
          </cell>
          <cell r="K144" t="str">
            <v>Communication Structures and Equipment</v>
          </cell>
        </row>
        <row r="145">
          <cell r="J145">
            <v>469</v>
          </cell>
          <cell r="K145" t="str">
            <v>Other Transmission Equipment</v>
          </cell>
        </row>
        <row r="146">
          <cell r="J146">
            <v>470</v>
          </cell>
          <cell r="K146" t="str">
            <v>Land</v>
          </cell>
        </row>
        <row r="147">
          <cell r="J147">
            <v>471</v>
          </cell>
          <cell r="K147" t="str">
            <v>Land Rights</v>
          </cell>
        </row>
        <row r="148">
          <cell r="J148">
            <v>472</v>
          </cell>
          <cell r="K148" t="str">
            <v>Structures and Improvements</v>
          </cell>
        </row>
        <row r="149">
          <cell r="J149">
            <v>473</v>
          </cell>
          <cell r="K149" t="str">
            <v>Services</v>
          </cell>
        </row>
        <row r="150">
          <cell r="J150">
            <v>474</v>
          </cell>
          <cell r="K150" t="str">
            <v>Regulators and Meter Installations</v>
          </cell>
        </row>
        <row r="151">
          <cell r="J151">
            <v>475</v>
          </cell>
          <cell r="K151" t="str">
            <v>Mains</v>
          </cell>
        </row>
        <row r="152">
          <cell r="J152">
            <v>476</v>
          </cell>
          <cell r="K152" t="str">
            <v>Compressor Equipment</v>
          </cell>
        </row>
        <row r="153">
          <cell r="J153">
            <v>477</v>
          </cell>
          <cell r="K153" t="str">
            <v>Measuring and Regulating Equipment</v>
          </cell>
        </row>
        <row r="154">
          <cell r="J154">
            <v>478</v>
          </cell>
          <cell r="K154" t="str">
            <v>Meters</v>
          </cell>
        </row>
        <row r="155">
          <cell r="J155">
            <v>479</v>
          </cell>
          <cell r="K155" t="str">
            <v>Other Distribution Equipment</v>
          </cell>
        </row>
        <row r="156">
          <cell r="J156">
            <v>480</v>
          </cell>
          <cell r="K156" t="str">
            <v>Land</v>
          </cell>
        </row>
        <row r="157">
          <cell r="J157">
            <v>481</v>
          </cell>
          <cell r="K157" t="str">
            <v>Land Rights</v>
          </cell>
        </row>
        <row r="158">
          <cell r="J158">
            <v>482</v>
          </cell>
          <cell r="K158" t="str">
            <v>Structures and Improvements</v>
          </cell>
        </row>
        <row r="159">
          <cell r="J159">
            <v>483</v>
          </cell>
          <cell r="K159" t="str">
            <v>Office Furniture and Equipment</v>
          </cell>
        </row>
        <row r="160">
          <cell r="J160">
            <v>484</v>
          </cell>
          <cell r="K160" t="str">
            <v>Transportation Equipment</v>
          </cell>
        </row>
        <row r="161">
          <cell r="J161">
            <v>485</v>
          </cell>
          <cell r="K161" t="str">
            <v>Heavy Work Equipment</v>
          </cell>
        </row>
        <row r="162">
          <cell r="J162">
            <v>486</v>
          </cell>
          <cell r="K162" t="str">
            <v>Tools and Work Equipment</v>
          </cell>
        </row>
        <row r="163">
          <cell r="J163">
            <v>487</v>
          </cell>
          <cell r="K163" t="str">
            <v>Equipment on Customers’ Premises</v>
          </cell>
        </row>
        <row r="164">
          <cell r="J164">
            <v>488</v>
          </cell>
          <cell r="K164" t="str">
            <v>Communication Structures and Equipment</v>
          </cell>
        </row>
        <row r="165">
          <cell r="J165">
            <v>489</v>
          </cell>
          <cell r="K165" t="str">
            <v>Other General Equipment</v>
          </cell>
        </row>
        <row r="166">
          <cell r="J166">
            <v>490</v>
          </cell>
          <cell r="K166" t="str">
            <v>Computer Hardware</v>
          </cell>
        </row>
        <row r="167">
          <cell r="J167">
            <v>491</v>
          </cell>
          <cell r="K167" t="str">
            <v>Computer Application Software</v>
          </cell>
        </row>
        <row r="168">
          <cell r="J168">
            <v>496</v>
          </cell>
          <cell r="K168" t="str">
            <v>Unclassified Plant</v>
          </cell>
        </row>
        <row r="169">
          <cell r="J169">
            <v>499</v>
          </cell>
          <cell r="K169" t="str">
            <v>Contributions and Grants</v>
          </cell>
        </row>
        <row r="170">
          <cell r="J170">
            <v>500</v>
          </cell>
          <cell r="K170" t="str">
            <v>Out-of-Franchise Sales</v>
          </cell>
        </row>
        <row r="171">
          <cell r="J171">
            <v>520</v>
          </cell>
          <cell r="K171" t="str">
            <v>Residential Sales</v>
          </cell>
        </row>
        <row r="172">
          <cell r="J172">
            <v>521</v>
          </cell>
          <cell r="K172" t="str">
            <v>Commercial Sales</v>
          </cell>
        </row>
        <row r="173">
          <cell r="J173">
            <v>522</v>
          </cell>
          <cell r="K173" t="str">
            <v>Industrial Sales</v>
          </cell>
        </row>
        <row r="174">
          <cell r="J174">
            <v>524</v>
          </cell>
          <cell r="K174" t="str">
            <v>Sales to Associates and Affiliates</v>
          </cell>
        </row>
        <row r="175">
          <cell r="J175">
            <v>529</v>
          </cell>
          <cell r="K175" t="str">
            <v>Other Sales</v>
          </cell>
        </row>
        <row r="176">
          <cell r="J176">
            <v>560</v>
          </cell>
          <cell r="K176" t="str">
            <v>Late Payment Penalties</v>
          </cell>
        </row>
        <row r="177">
          <cell r="J177">
            <v>561</v>
          </cell>
          <cell r="K177" t="str">
            <v>Revenue from Service Work</v>
          </cell>
        </row>
        <row r="178">
          <cell r="J178">
            <v>570</v>
          </cell>
          <cell r="K178" t="str">
            <v>Transportation Revenue</v>
          </cell>
        </row>
        <row r="179">
          <cell r="J179">
            <v>571</v>
          </cell>
          <cell r="K179" t="str">
            <v>Storage Revenue</v>
          </cell>
        </row>
        <row r="180">
          <cell r="J180">
            <v>575</v>
          </cell>
          <cell r="K180" t="str">
            <v>Rent from Gas Plant</v>
          </cell>
        </row>
        <row r="181">
          <cell r="J181">
            <v>576</v>
          </cell>
          <cell r="K181" t="str">
            <v>Rent from Gas Distributor Equipment on Customers’ Premises</v>
          </cell>
        </row>
        <row r="182">
          <cell r="J182">
            <v>579</v>
          </cell>
          <cell r="K182" t="str">
            <v>Miscellaneous Operating Revenue</v>
          </cell>
        </row>
        <row r="183">
          <cell r="J183">
            <v>600</v>
          </cell>
          <cell r="K183" t="str">
            <v>Supervision</v>
          </cell>
        </row>
        <row r="184">
          <cell r="J184">
            <v>602</v>
          </cell>
          <cell r="K184" t="str">
            <v>Delay Rentals</v>
          </cell>
        </row>
        <row r="185">
          <cell r="J185">
            <v>603</v>
          </cell>
          <cell r="K185" t="str">
            <v>Non-productive Well Drilling</v>
          </cell>
        </row>
        <row r="186">
          <cell r="J186">
            <v>604</v>
          </cell>
          <cell r="K186" t="str">
            <v>Abandoned Leases</v>
          </cell>
        </row>
        <row r="187">
          <cell r="J187">
            <v>609</v>
          </cell>
          <cell r="K187" t="str">
            <v>Other Exploration and Development Operation</v>
          </cell>
        </row>
        <row r="188">
          <cell r="J188">
            <v>610</v>
          </cell>
          <cell r="K188" t="str">
            <v>Supervision</v>
          </cell>
        </row>
        <row r="189">
          <cell r="J189">
            <v>611</v>
          </cell>
          <cell r="K189" t="str">
            <v>Royalties</v>
          </cell>
        </row>
        <row r="190">
          <cell r="J190">
            <v>612</v>
          </cell>
          <cell r="K190" t="str">
            <v>Gathering of Gas by Others</v>
          </cell>
        </row>
        <row r="191">
          <cell r="J191">
            <v>614</v>
          </cell>
          <cell r="K191" t="str">
            <v>Gas Wells</v>
          </cell>
        </row>
        <row r="192">
          <cell r="J192">
            <v>615</v>
          </cell>
          <cell r="K192" t="str">
            <v>Pipelines</v>
          </cell>
        </row>
        <row r="193">
          <cell r="J193">
            <v>616</v>
          </cell>
          <cell r="K193" t="str">
            <v>Compressor</v>
          </cell>
        </row>
        <row r="194">
          <cell r="J194">
            <v>617</v>
          </cell>
          <cell r="K194" t="str">
            <v>Measuring and Regulating</v>
          </cell>
        </row>
        <row r="195">
          <cell r="J195">
            <v>618</v>
          </cell>
          <cell r="K195" t="str">
            <v>Purification</v>
          </cell>
        </row>
        <row r="196">
          <cell r="J196">
            <v>619</v>
          </cell>
          <cell r="K196" t="str">
            <v>Other Gas Production and Gathering</v>
          </cell>
        </row>
        <row r="197">
          <cell r="J197">
            <v>623</v>
          </cell>
          <cell r="K197" t="str">
            <v>Cost of Gas</v>
          </cell>
        </row>
        <row r="198">
          <cell r="J198">
            <v>624</v>
          </cell>
          <cell r="K198" t="str">
            <v>Gas Supply – Operation</v>
          </cell>
        </row>
        <row r="199">
          <cell r="J199">
            <v>626</v>
          </cell>
          <cell r="K199" t="str">
            <v>Exchange Gas</v>
          </cell>
        </row>
        <row r="200">
          <cell r="J200">
            <v>627</v>
          </cell>
          <cell r="K200" t="str">
            <v>Gas Withdrawn From Storage</v>
          </cell>
        </row>
        <row r="201">
          <cell r="J201">
            <v>628</v>
          </cell>
          <cell r="K201" t="str">
            <v>Gas Delivered to Storage – Credit</v>
          </cell>
        </row>
        <row r="202">
          <cell r="J202">
            <v>629</v>
          </cell>
          <cell r="K202" t="str">
            <v>Gas Used – Credit</v>
          </cell>
        </row>
        <row r="203">
          <cell r="J203">
            <v>640</v>
          </cell>
          <cell r="K203" t="str">
            <v>Supervision</v>
          </cell>
        </row>
        <row r="204">
          <cell r="J204">
            <v>644</v>
          </cell>
          <cell r="K204" t="str">
            <v>Gas Holders – Storage</v>
          </cell>
        </row>
        <row r="205">
          <cell r="J205">
            <v>649</v>
          </cell>
          <cell r="K205" t="str">
            <v>Other Local Storage</v>
          </cell>
        </row>
        <row r="206">
          <cell r="J206">
            <v>650</v>
          </cell>
          <cell r="K206" t="str">
            <v>Supervision</v>
          </cell>
        </row>
        <row r="207">
          <cell r="J207">
            <v>651</v>
          </cell>
          <cell r="K207" t="str">
            <v>Non-Feasible Underground Storage Project Costs</v>
          </cell>
        </row>
        <row r="208">
          <cell r="J208">
            <v>652</v>
          </cell>
          <cell r="K208" t="str">
            <v>Lease Costs</v>
          </cell>
        </row>
        <row r="209">
          <cell r="J209">
            <v>653</v>
          </cell>
          <cell r="K209" t="str">
            <v>Wells</v>
          </cell>
        </row>
        <row r="210">
          <cell r="J210">
            <v>654</v>
          </cell>
          <cell r="K210" t="str">
            <v>Gas Losses</v>
          </cell>
        </row>
        <row r="211">
          <cell r="J211">
            <v>655</v>
          </cell>
          <cell r="K211" t="str">
            <v>Field Lines</v>
          </cell>
        </row>
        <row r="212">
          <cell r="J212">
            <v>656</v>
          </cell>
          <cell r="K212" t="str">
            <v>Compressor</v>
          </cell>
        </row>
        <row r="213">
          <cell r="J213">
            <v>657</v>
          </cell>
          <cell r="K213" t="str">
            <v>Measuring and Regulating</v>
          </cell>
        </row>
        <row r="214">
          <cell r="J214">
            <v>658</v>
          </cell>
          <cell r="K214" t="str">
            <v>Purification</v>
          </cell>
        </row>
        <row r="215">
          <cell r="J215">
            <v>659</v>
          </cell>
          <cell r="K215" t="str">
            <v>Other Underground Storage</v>
          </cell>
        </row>
        <row r="216">
          <cell r="J216">
            <v>660</v>
          </cell>
          <cell r="K216" t="str">
            <v>Supervision</v>
          </cell>
        </row>
        <row r="217">
          <cell r="J217">
            <v>663</v>
          </cell>
          <cell r="K217" t="str">
            <v>Transportation of Gas by Others</v>
          </cell>
        </row>
        <row r="218">
          <cell r="J218">
            <v>664</v>
          </cell>
          <cell r="K218" t="str">
            <v>Communication</v>
          </cell>
        </row>
        <row r="219">
          <cell r="J219">
            <v>665</v>
          </cell>
          <cell r="K219" t="str">
            <v>Pipelines</v>
          </cell>
        </row>
        <row r="220">
          <cell r="J220">
            <v>666</v>
          </cell>
          <cell r="K220" t="str">
            <v>Compressor</v>
          </cell>
        </row>
        <row r="221">
          <cell r="J221">
            <v>667</v>
          </cell>
          <cell r="K221" t="str">
            <v>Measuring and Regulating</v>
          </cell>
        </row>
        <row r="222">
          <cell r="J222">
            <v>669</v>
          </cell>
          <cell r="K222" t="str">
            <v>Other Transmission</v>
          </cell>
        </row>
        <row r="223">
          <cell r="J223">
            <v>670</v>
          </cell>
          <cell r="K223" t="str">
            <v>Supervision</v>
          </cell>
        </row>
        <row r="224">
          <cell r="J224">
            <v>671</v>
          </cell>
          <cell r="K224" t="str">
            <v>Load Dispatching</v>
          </cell>
        </row>
        <row r="225">
          <cell r="J225">
            <v>673</v>
          </cell>
          <cell r="K225" t="str">
            <v>Meter and Regulator Work</v>
          </cell>
        </row>
        <row r="226">
          <cell r="J226">
            <v>674</v>
          </cell>
          <cell r="K226" t="str">
            <v>Service Work</v>
          </cell>
        </row>
        <row r="227">
          <cell r="J227">
            <v>675</v>
          </cell>
          <cell r="K227" t="str">
            <v>Mains and Services</v>
          </cell>
        </row>
        <row r="228">
          <cell r="J228">
            <v>676</v>
          </cell>
          <cell r="K228" t="str">
            <v>Compressor</v>
          </cell>
        </row>
        <row r="229">
          <cell r="J229">
            <v>677</v>
          </cell>
          <cell r="K229" t="str">
            <v>Measuring and Regulating</v>
          </cell>
        </row>
        <row r="230">
          <cell r="J230">
            <v>679</v>
          </cell>
          <cell r="K230" t="str">
            <v>Other Distribution</v>
          </cell>
        </row>
        <row r="231">
          <cell r="J231">
            <v>684</v>
          </cell>
          <cell r="K231" t="str">
            <v>Communication</v>
          </cell>
        </row>
        <row r="232">
          <cell r="J232">
            <v>685</v>
          </cell>
          <cell r="K232" t="str">
            <v>System Operation and Engineering</v>
          </cell>
        </row>
        <row r="233">
          <cell r="J233">
            <v>688</v>
          </cell>
          <cell r="K233" t="str">
            <v>Other General Gas Distributor Operations</v>
          </cell>
        </row>
        <row r="234">
          <cell r="J234">
            <v>689</v>
          </cell>
          <cell r="K234" t="str">
            <v>General Gas Distributor Operations Transferred – Credit</v>
          </cell>
        </row>
        <row r="235">
          <cell r="J235">
            <v>700</v>
          </cell>
          <cell r="K235" t="str">
            <v>Supervision</v>
          </cell>
        </row>
        <row r="236">
          <cell r="J236">
            <v>701</v>
          </cell>
          <cell r="K236" t="str">
            <v>Advertising - Natural Gas Promotion</v>
          </cell>
        </row>
        <row r="237">
          <cell r="J237">
            <v>702</v>
          </cell>
          <cell r="K237" t="str">
            <v>Demonstration and Selling Expenses</v>
          </cell>
        </row>
        <row r="238">
          <cell r="J238">
            <v>703</v>
          </cell>
          <cell r="K238" t="str">
            <v>Revenue From Merchandising, Jobbing and Contract Work</v>
          </cell>
        </row>
        <row r="239">
          <cell r="J239">
            <v>704</v>
          </cell>
          <cell r="K239" t="str">
            <v>Expense of Merchandising, Jobbing and Contract Work</v>
          </cell>
        </row>
        <row r="240">
          <cell r="J240">
            <v>705</v>
          </cell>
          <cell r="K240" t="str">
            <v>Advertising – Other</v>
          </cell>
        </row>
        <row r="241">
          <cell r="J241">
            <v>709</v>
          </cell>
          <cell r="K241" t="str">
            <v>Other Sales Promotion</v>
          </cell>
        </row>
        <row r="242">
          <cell r="J242">
            <v>710</v>
          </cell>
          <cell r="K242" t="str">
            <v>Supervision</v>
          </cell>
        </row>
        <row r="243">
          <cell r="J243">
            <v>711</v>
          </cell>
          <cell r="K243" t="str">
            <v>Customers’ Contracts and Orders</v>
          </cell>
        </row>
        <row r="244">
          <cell r="J244">
            <v>712</v>
          </cell>
          <cell r="K244" t="str">
            <v>Meter Reading</v>
          </cell>
        </row>
        <row r="245">
          <cell r="J245">
            <v>713</v>
          </cell>
          <cell r="K245" t="str">
            <v>Customers’ Billing and Accounting</v>
          </cell>
        </row>
        <row r="246">
          <cell r="J246">
            <v>714</v>
          </cell>
          <cell r="K246" t="str">
            <v>Credit and Collection</v>
          </cell>
        </row>
        <row r="247">
          <cell r="J247">
            <v>718</v>
          </cell>
          <cell r="K247" t="str">
            <v>Uncollectable Accounts</v>
          </cell>
        </row>
        <row r="248">
          <cell r="J248">
            <v>719</v>
          </cell>
          <cell r="K248" t="str">
            <v>Other Customer Accounting</v>
          </cell>
        </row>
        <row r="249">
          <cell r="J249">
            <v>721</v>
          </cell>
          <cell r="K249" t="str">
            <v>Administrative Expenses</v>
          </cell>
        </row>
        <row r="250">
          <cell r="J250">
            <v>722</v>
          </cell>
          <cell r="K250" t="str">
            <v>Special Services</v>
          </cell>
        </row>
        <row r="251">
          <cell r="J251">
            <v>723</v>
          </cell>
          <cell r="K251" t="str">
            <v>Insurance</v>
          </cell>
        </row>
        <row r="252">
          <cell r="J252">
            <v>724</v>
          </cell>
          <cell r="K252" t="str">
            <v>Injuries and Damages</v>
          </cell>
        </row>
        <row r="253">
          <cell r="J253">
            <v>725</v>
          </cell>
          <cell r="K253" t="str">
            <v>Employee Benefits</v>
          </cell>
        </row>
        <row r="254">
          <cell r="J254">
            <v>728</v>
          </cell>
          <cell r="K254" t="str">
            <v>Other Administrative and General Expenses</v>
          </cell>
        </row>
        <row r="255">
          <cell r="J255">
            <v>729</v>
          </cell>
          <cell r="K255" t="str">
            <v>Administrative and General Expenses Transferred – Credit</v>
          </cell>
        </row>
        <row r="256">
          <cell r="J256">
            <v>810</v>
          </cell>
          <cell r="K256" t="str">
            <v>Supervision</v>
          </cell>
        </row>
        <row r="257">
          <cell r="J257">
            <v>814</v>
          </cell>
          <cell r="K257" t="str">
            <v>Gas Production</v>
          </cell>
        </row>
        <row r="258">
          <cell r="J258">
            <v>815</v>
          </cell>
          <cell r="K258" t="str">
            <v>Pipelines</v>
          </cell>
        </row>
        <row r="259">
          <cell r="J259">
            <v>816</v>
          </cell>
          <cell r="K259" t="str">
            <v>Compressor</v>
          </cell>
        </row>
        <row r="260">
          <cell r="J260">
            <v>817</v>
          </cell>
          <cell r="K260" t="str">
            <v>Measuring and Regulating</v>
          </cell>
        </row>
        <row r="261">
          <cell r="J261">
            <v>818</v>
          </cell>
          <cell r="K261" t="str">
            <v>Purification</v>
          </cell>
        </row>
        <row r="262">
          <cell r="J262">
            <v>819</v>
          </cell>
          <cell r="K262" t="str">
            <v>Other Natural Gas Production and Gathering</v>
          </cell>
        </row>
        <row r="263">
          <cell r="J263">
            <v>840</v>
          </cell>
          <cell r="K263" t="str">
            <v>Supervision</v>
          </cell>
        </row>
        <row r="264">
          <cell r="J264">
            <v>842</v>
          </cell>
          <cell r="K264" t="str">
            <v>Structures and Improvements</v>
          </cell>
        </row>
        <row r="265">
          <cell r="J265">
            <v>844</v>
          </cell>
          <cell r="K265" t="str">
            <v>Gas Holders - Storage</v>
          </cell>
        </row>
        <row r="266">
          <cell r="J266">
            <v>849</v>
          </cell>
          <cell r="K266" t="str">
            <v>Other Local Storage</v>
          </cell>
        </row>
        <row r="267">
          <cell r="J267">
            <v>850</v>
          </cell>
          <cell r="K267" t="str">
            <v>Supervision</v>
          </cell>
        </row>
        <row r="268">
          <cell r="J268">
            <v>853</v>
          </cell>
          <cell r="K268" t="str">
            <v>Wells</v>
          </cell>
        </row>
        <row r="269">
          <cell r="J269">
            <v>855</v>
          </cell>
          <cell r="K269" t="str">
            <v>Field Lines</v>
          </cell>
        </row>
        <row r="270">
          <cell r="J270">
            <v>856</v>
          </cell>
          <cell r="K270" t="str">
            <v>Compressor</v>
          </cell>
        </row>
        <row r="271">
          <cell r="J271">
            <v>857</v>
          </cell>
          <cell r="K271" t="str">
            <v>Measuring and Regulating</v>
          </cell>
        </row>
        <row r="272">
          <cell r="J272">
            <v>858</v>
          </cell>
          <cell r="K272" t="str">
            <v>Purification</v>
          </cell>
        </row>
        <row r="273">
          <cell r="J273">
            <v>859</v>
          </cell>
          <cell r="K273" t="str">
            <v>Other Underground Storage</v>
          </cell>
        </row>
        <row r="274">
          <cell r="J274">
            <v>860</v>
          </cell>
          <cell r="K274" t="str">
            <v>Supervision</v>
          </cell>
        </row>
        <row r="275">
          <cell r="J275">
            <v>864</v>
          </cell>
          <cell r="K275" t="str">
            <v>Communication</v>
          </cell>
        </row>
        <row r="276">
          <cell r="J276">
            <v>865</v>
          </cell>
          <cell r="K276" t="str">
            <v>Pipelines</v>
          </cell>
        </row>
        <row r="277">
          <cell r="J277">
            <v>866</v>
          </cell>
          <cell r="K277" t="str">
            <v>Compressor</v>
          </cell>
        </row>
        <row r="278">
          <cell r="J278">
            <v>867</v>
          </cell>
          <cell r="K278" t="str">
            <v>Measuring and Regulating</v>
          </cell>
        </row>
        <row r="279">
          <cell r="J279">
            <v>869</v>
          </cell>
          <cell r="K279" t="str">
            <v>Other Transmission</v>
          </cell>
        </row>
        <row r="280">
          <cell r="J280">
            <v>870</v>
          </cell>
          <cell r="K280" t="str">
            <v>Supervision</v>
          </cell>
        </row>
        <row r="281">
          <cell r="J281">
            <v>872</v>
          </cell>
          <cell r="K281" t="str">
            <v>Structures and Improvements</v>
          </cell>
        </row>
        <row r="282">
          <cell r="J282">
            <v>873</v>
          </cell>
          <cell r="K282" t="str">
            <v>Maintenance of Equipment on Customers’ Premises</v>
          </cell>
        </row>
        <row r="283">
          <cell r="J283">
            <v>875</v>
          </cell>
          <cell r="K283" t="str">
            <v>Mains and Services</v>
          </cell>
        </row>
        <row r="284">
          <cell r="J284">
            <v>876</v>
          </cell>
          <cell r="K284" t="str">
            <v>Compressor</v>
          </cell>
        </row>
        <row r="285">
          <cell r="J285">
            <v>877</v>
          </cell>
          <cell r="K285" t="str">
            <v>Measuring and Regulating</v>
          </cell>
        </row>
        <row r="286">
          <cell r="J286">
            <v>878</v>
          </cell>
          <cell r="K286" t="str">
            <v>Meters</v>
          </cell>
        </row>
        <row r="287">
          <cell r="J287">
            <v>879</v>
          </cell>
          <cell r="K287" t="str">
            <v>Other Distribution</v>
          </cell>
        </row>
        <row r="288">
          <cell r="J288">
            <v>884</v>
          </cell>
          <cell r="K288" t="str">
            <v>Communication</v>
          </cell>
        </row>
        <row r="289">
          <cell r="J289">
            <v>885</v>
          </cell>
          <cell r="K289" t="str">
            <v>System Maintenance and Engineering</v>
          </cell>
        </row>
        <row r="290">
          <cell r="J290">
            <v>888</v>
          </cell>
          <cell r="K290" t="str">
            <v>Other General Maintenance</v>
          </cell>
        </row>
        <row r="291">
          <cell r="J291">
            <v>889</v>
          </cell>
          <cell r="K291" t="str">
            <v>General Maintenance Transferred – Credit</v>
          </cell>
        </row>
        <row r="292">
          <cell r="J292">
            <v>900</v>
          </cell>
          <cell r="K292" t="str">
            <v>Warehouse Expenses</v>
          </cell>
        </row>
        <row r="293">
          <cell r="J293">
            <v>901</v>
          </cell>
          <cell r="K293" t="str">
            <v>Transportation Equipment Expenses</v>
          </cell>
        </row>
        <row r="294">
          <cell r="J294">
            <v>902</v>
          </cell>
          <cell r="K294" t="str">
            <v>Heavy Work Equipment Expenses</v>
          </cell>
        </row>
        <row r="295">
          <cell r="J295">
            <v>903</v>
          </cell>
          <cell r="K295" t="str">
            <v>Aircraft Expenses</v>
          </cell>
        </row>
        <row r="296">
          <cell r="J296">
            <v>904</v>
          </cell>
          <cell r="K296" t="str">
            <v>Printing and Reproduction Expenses</v>
          </cell>
        </row>
        <row r="297">
          <cell r="J297">
            <v>905</v>
          </cell>
          <cell r="K297" t="str">
            <v>Information Service Expenses</v>
          </cell>
        </row>
        <row r="298">
          <cell r="J298">
            <v>906</v>
          </cell>
          <cell r="K298" t="str">
            <v>Communication System Expenses</v>
          </cell>
        </row>
      </sheetData>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row r="82">
          <cell r="B82">
            <v>42309</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Balance Sheet"/>
      <sheetName val="Income statement"/>
      <sheetName val="Stmt. of cashflows"/>
      <sheetName val="Corporate Management"/>
      <sheetName val="Corporate Management CEX"/>
      <sheetName val="Corporate Services"/>
      <sheetName val="Corporate Services CEX"/>
      <sheetName val="Distribution"/>
      <sheetName val="Distribution CEX"/>
      <sheetName val="Sales and Marketing"/>
      <sheetName val="Sales and Marketing CEX"/>
      <sheetName val="Human Resources"/>
      <sheetName val="Human Resources CEX"/>
      <sheetName val="Cash Flow WP"/>
      <sheetName val="sch4data"/>
      <sheetName val="sch5data"/>
      <sheetName val="sch6data"/>
      <sheetName val="sch7data"/>
      <sheetName val="sch8data"/>
      <sheetName val="General_data"/>
      <sheetName val="ELP_ACTUAL"/>
      <sheetName val="ELP_ESTIMATE"/>
      <sheetName val="ELP_PREV_YR"/>
      <sheetName val="Curr_Date"/>
      <sheetName val="Manual Input"/>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3" refreshError="1">
        <row r="2">
          <cell r="A2" t="str">
            <v>21110000000000</v>
          </cell>
          <cell r="B2">
            <v>70.489999999999995</v>
          </cell>
        </row>
        <row r="3">
          <cell r="A3" t="str">
            <v>21110010000000</v>
          </cell>
          <cell r="B3">
            <v>659990.31999999995</v>
          </cell>
        </row>
        <row r="4">
          <cell r="A4" t="str">
            <v>211101201SUPL1</v>
          </cell>
          <cell r="B4">
            <v>640.1</v>
          </cell>
        </row>
        <row r="5">
          <cell r="A5" t="str">
            <v>21110530000000</v>
          </cell>
          <cell r="B5">
            <v>78861.7</v>
          </cell>
        </row>
        <row r="6">
          <cell r="A6" t="str">
            <v>211105301LEGAL</v>
          </cell>
          <cell r="B6">
            <v>2385.75</v>
          </cell>
        </row>
        <row r="7">
          <cell r="A7" t="str">
            <v>211105302PUBRL</v>
          </cell>
          <cell r="B7">
            <v>78637.289999999994</v>
          </cell>
        </row>
        <row r="8">
          <cell r="A8" t="str">
            <v>21110530LHRXXX</v>
          </cell>
          <cell r="B8">
            <v>31696.43</v>
          </cell>
        </row>
        <row r="9">
          <cell r="A9" t="str">
            <v>211105401MEMBR</v>
          </cell>
          <cell r="B9">
            <v>21595.57</v>
          </cell>
        </row>
        <row r="10">
          <cell r="A10" t="str">
            <v>21110550000000</v>
          </cell>
          <cell r="B10">
            <v>10500</v>
          </cell>
        </row>
        <row r="11">
          <cell r="A11" t="str">
            <v>21110550LHRXXX</v>
          </cell>
          <cell r="B11">
            <v>108014.43</v>
          </cell>
        </row>
        <row r="12">
          <cell r="A12" t="str">
            <v>21110600000000</v>
          </cell>
          <cell r="B12">
            <v>164183.69</v>
          </cell>
        </row>
        <row r="13">
          <cell r="A13" t="str">
            <v>211106001ACOM1</v>
          </cell>
          <cell r="B13">
            <v>15920.72</v>
          </cell>
        </row>
        <row r="14">
          <cell r="A14" t="str">
            <v>21110610000000</v>
          </cell>
          <cell r="B14">
            <v>24365.99</v>
          </cell>
        </row>
        <row r="15">
          <cell r="A15" t="str">
            <v>211106101ACOM1</v>
          </cell>
          <cell r="B15">
            <v>30453.68</v>
          </cell>
        </row>
        <row r="16">
          <cell r="A16" t="str">
            <v>21110630000000</v>
          </cell>
          <cell r="B16">
            <v>9243.5300000000007</v>
          </cell>
        </row>
        <row r="17">
          <cell r="A17" t="str">
            <v>211106301ACOM1</v>
          </cell>
          <cell r="B17">
            <v>419</v>
          </cell>
        </row>
        <row r="18">
          <cell r="A18" t="str">
            <v>21110640000000</v>
          </cell>
          <cell r="B18">
            <v>26524.19</v>
          </cell>
        </row>
        <row r="19">
          <cell r="A19" t="str">
            <v>211106401ACOM1</v>
          </cell>
          <cell r="B19">
            <v>1420.54</v>
          </cell>
        </row>
        <row r="20">
          <cell r="A20" t="str">
            <v>21110690000000</v>
          </cell>
          <cell r="B20">
            <v>9876.57</v>
          </cell>
        </row>
        <row r="21">
          <cell r="A21" t="str">
            <v>211106901ACOM1</v>
          </cell>
          <cell r="B21">
            <v>1823.2</v>
          </cell>
        </row>
        <row r="22">
          <cell r="A22" t="str">
            <v>21110710000000</v>
          </cell>
          <cell r="B22">
            <v>3556.5</v>
          </cell>
        </row>
        <row r="23">
          <cell r="A23" t="str">
            <v>21110800000000</v>
          </cell>
          <cell r="B23">
            <v>-1238605.7</v>
          </cell>
        </row>
        <row r="24">
          <cell r="A24" t="str">
            <v>21120000000000</v>
          </cell>
          <cell r="B24">
            <v>0</v>
          </cell>
        </row>
        <row r="25">
          <cell r="A25" t="str">
            <v>211201201SUPL1</v>
          </cell>
          <cell r="B25">
            <v>191</v>
          </cell>
        </row>
        <row r="26">
          <cell r="A26" t="str">
            <v>21120800000000</v>
          </cell>
          <cell r="B26">
            <v>-191</v>
          </cell>
        </row>
        <row r="27">
          <cell r="A27" t="str">
            <v>21210000000000</v>
          </cell>
          <cell r="B27">
            <v>0</v>
          </cell>
        </row>
        <row r="28">
          <cell r="A28" t="str">
            <v>21210010000000</v>
          </cell>
          <cell r="B28">
            <v>55262.37</v>
          </cell>
        </row>
        <row r="29">
          <cell r="A29" t="str">
            <v>212101201PRNTE</v>
          </cell>
          <cell r="B29">
            <v>20391.21</v>
          </cell>
        </row>
        <row r="30">
          <cell r="A30" t="str">
            <v>21210530000000</v>
          </cell>
          <cell r="B30">
            <v>43744</v>
          </cell>
        </row>
        <row r="31">
          <cell r="A31" t="str">
            <v>212105301LEGAL</v>
          </cell>
          <cell r="B31">
            <v>1326232.07</v>
          </cell>
        </row>
        <row r="32">
          <cell r="A32" t="str">
            <v>212105302PUBRL</v>
          </cell>
          <cell r="B32">
            <v>26023.98</v>
          </cell>
        </row>
        <row r="33">
          <cell r="A33" t="str">
            <v>21210530SREGTY</v>
          </cell>
          <cell r="B33">
            <v>1421019.2</v>
          </cell>
        </row>
        <row r="34">
          <cell r="A34" t="str">
            <v>212105501456BF</v>
          </cell>
          <cell r="B34">
            <v>157911</v>
          </cell>
        </row>
        <row r="35">
          <cell r="A35" t="str">
            <v>21210550R72128</v>
          </cell>
          <cell r="B35">
            <v>150491</v>
          </cell>
        </row>
        <row r="36">
          <cell r="A36" t="str">
            <v>21210560000000</v>
          </cell>
          <cell r="B36">
            <v>1933.41</v>
          </cell>
        </row>
        <row r="37">
          <cell r="A37" t="str">
            <v>21210600000000</v>
          </cell>
          <cell r="B37">
            <v>3761.08</v>
          </cell>
        </row>
        <row r="38">
          <cell r="A38" t="str">
            <v>212106001ACOM1</v>
          </cell>
          <cell r="B38">
            <v>9926.5499999999993</v>
          </cell>
        </row>
        <row r="39">
          <cell r="A39" t="str">
            <v>21210610000000</v>
          </cell>
          <cell r="B39">
            <v>1671.31</v>
          </cell>
        </row>
        <row r="40">
          <cell r="A40" t="str">
            <v>212106101ACOM1</v>
          </cell>
          <cell r="B40">
            <v>11482.33</v>
          </cell>
        </row>
        <row r="41">
          <cell r="A41" t="str">
            <v>21210640000000</v>
          </cell>
          <cell r="B41">
            <v>798.49</v>
          </cell>
        </row>
        <row r="42">
          <cell r="A42" t="str">
            <v>212106401ACOM1</v>
          </cell>
          <cell r="B42">
            <v>5754.69</v>
          </cell>
        </row>
        <row r="43">
          <cell r="A43" t="str">
            <v>21210690000000</v>
          </cell>
          <cell r="B43">
            <v>1015.06</v>
          </cell>
        </row>
        <row r="44">
          <cell r="A44" t="str">
            <v>212106901ACOM1</v>
          </cell>
          <cell r="B44">
            <v>880.33</v>
          </cell>
        </row>
        <row r="45">
          <cell r="A45" t="str">
            <v>21210710000000</v>
          </cell>
          <cell r="B45">
            <v>529.91999999999996</v>
          </cell>
        </row>
        <row r="46">
          <cell r="A46" t="str">
            <v>21210800000000</v>
          </cell>
          <cell r="B46">
            <v>-3192142</v>
          </cell>
        </row>
        <row r="47">
          <cell r="A47" t="str">
            <v>21220000000000</v>
          </cell>
          <cell r="B47">
            <v>0</v>
          </cell>
        </row>
        <row r="48">
          <cell r="A48" t="str">
            <v>21220010000000</v>
          </cell>
          <cell r="B48">
            <v>101707.8</v>
          </cell>
        </row>
        <row r="49">
          <cell r="A49" t="str">
            <v>21220120000000</v>
          </cell>
          <cell r="B49">
            <v>244</v>
          </cell>
        </row>
        <row r="50">
          <cell r="A50" t="str">
            <v>212205301424AS</v>
          </cell>
          <cell r="B50">
            <v>20000</v>
          </cell>
        </row>
        <row r="51">
          <cell r="A51" t="str">
            <v>212205301LEGAL</v>
          </cell>
          <cell r="B51">
            <v>1931.52</v>
          </cell>
        </row>
        <row r="52">
          <cell r="A52" t="str">
            <v>21220530LHRXXX</v>
          </cell>
          <cell r="B52">
            <v>3000</v>
          </cell>
        </row>
        <row r="53">
          <cell r="A53" t="str">
            <v>21220550000000</v>
          </cell>
          <cell r="B53">
            <v>92230</v>
          </cell>
        </row>
        <row r="54">
          <cell r="A54" t="str">
            <v>212205501426TX</v>
          </cell>
          <cell r="B54">
            <v>855</v>
          </cell>
        </row>
        <row r="55">
          <cell r="A55" t="str">
            <v>212205501456BF</v>
          </cell>
          <cell r="B55">
            <v>17405</v>
          </cell>
        </row>
        <row r="56">
          <cell r="A56" t="str">
            <v>21220560000000</v>
          </cell>
          <cell r="B56">
            <v>324.72000000000003</v>
          </cell>
        </row>
        <row r="57">
          <cell r="A57" t="str">
            <v>21220600000000</v>
          </cell>
          <cell r="B57">
            <v>1914.21</v>
          </cell>
        </row>
        <row r="58">
          <cell r="A58" t="str">
            <v>21220610000000</v>
          </cell>
          <cell r="B58">
            <v>642</v>
          </cell>
        </row>
        <row r="59">
          <cell r="A59" t="str">
            <v>21220630000000</v>
          </cell>
          <cell r="B59">
            <v>198.1</v>
          </cell>
        </row>
        <row r="60">
          <cell r="A60" t="str">
            <v>21220640000000</v>
          </cell>
          <cell r="B60">
            <v>368.04</v>
          </cell>
        </row>
        <row r="61">
          <cell r="A61" t="str">
            <v>21220690000000</v>
          </cell>
          <cell r="B61">
            <v>2.92</v>
          </cell>
        </row>
        <row r="62">
          <cell r="A62" t="str">
            <v>21220710000000</v>
          </cell>
          <cell r="B62">
            <v>3651.7</v>
          </cell>
        </row>
        <row r="63">
          <cell r="A63" t="str">
            <v>21220800000000</v>
          </cell>
          <cell r="B63">
            <v>-233209.06</v>
          </cell>
        </row>
        <row r="64">
          <cell r="A64" t="str">
            <v>21230000000000</v>
          </cell>
          <cell r="B64">
            <v>0</v>
          </cell>
        </row>
        <row r="65">
          <cell r="A65" t="str">
            <v>21230010000000</v>
          </cell>
          <cell r="B65">
            <v>3750</v>
          </cell>
        </row>
        <row r="66">
          <cell r="A66" t="str">
            <v>212305301LEGAL</v>
          </cell>
          <cell r="B66">
            <v>297.31</v>
          </cell>
        </row>
        <row r="67">
          <cell r="A67" t="str">
            <v>21230550000000</v>
          </cell>
          <cell r="B67">
            <v>46311</v>
          </cell>
        </row>
        <row r="68">
          <cell r="A68" t="str">
            <v>21230560000000</v>
          </cell>
          <cell r="B68">
            <v>526</v>
          </cell>
        </row>
        <row r="69">
          <cell r="A69" t="str">
            <v>212306001ACOM1</v>
          </cell>
          <cell r="B69">
            <v>8401.92</v>
          </cell>
        </row>
        <row r="70">
          <cell r="A70" t="str">
            <v>212306101ACOM1</v>
          </cell>
          <cell r="B70">
            <v>10930</v>
          </cell>
        </row>
        <row r="71">
          <cell r="A71" t="str">
            <v>212306301ACOM1</v>
          </cell>
          <cell r="B71">
            <v>240</v>
          </cell>
        </row>
        <row r="72">
          <cell r="A72" t="str">
            <v>212306401ACOM1</v>
          </cell>
          <cell r="B72">
            <v>1848.98</v>
          </cell>
        </row>
        <row r="73">
          <cell r="A73" t="str">
            <v>212306901ACOM1</v>
          </cell>
          <cell r="B73">
            <v>153.78</v>
          </cell>
        </row>
        <row r="74">
          <cell r="A74" t="str">
            <v>21230800000000</v>
          </cell>
          <cell r="B74">
            <v>-62196</v>
          </cell>
        </row>
        <row r="75">
          <cell r="A75" t="str">
            <v>21240000000000</v>
          </cell>
          <cell r="B75">
            <v>0</v>
          </cell>
        </row>
        <row r="76">
          <cell r="A76" t="str">
            <v>21240010000000</v>
          </cell>
          <cell r="B76">
            <v>20367.3</v>
          </cell>
        </row>
        <row r="77">
          <cell r="A77" t="str">
            <v>212401201SUPL1</v>
          </cell>
          <cell r="B77">
            <v>71523.8</v>
          </cell>
        </row>
        <row r="78">
          <cell r="A78" t="str">
            <v>21240500000000</v>
          </cell>
          <cell r="B78">
            <v>4394</v>
          </cell>
        </row>
        <row r="79">
          <cell r="A79" t="str">
            <v>21240530000000</v>
          </cell>
          <cell r="B79">
            <v>5810.91</v>
          </cell>
        </row>
        <row r="80">
          <cell r="A80" t="str">
            <v>212405301LEGAL</v>
          </cell>
          <cell r="B80">
            <v>51969.79</v>
          </cell>
        </row>
        <row r="81">
          <cell r="A81" t="str">
            <v>212405302CONSL</v>
          </cell>
          <cell r="B81">
            <v>110065.76</v>
          </cell>
        </row>
        <row r="82">
          <cell r="A82" t="str">
            <v>212405302PUBRL</v>
          </cell>
          <cell r="B82">
            <v>43804.87</v>
          </cell>
        </row>
        <row r="83">
          <cell r="A83" t="str">
            <v>212405401MEMBR</v>
          </cell>
          <cell r="B83">
            <v>4543.3</v>
          </cell>
        </row>
        <row r="84">
          <cell r="A84" t="str">
            <v>21240550000000</v>
          </cell>
          <cell r="B84">
            <v>4512</v>
          </cell>
        </row>
        <row r="85">
          <cell r="A85" t="str">
            <v>212405501456BF</v>
          </cell>
          <cell r="B85">
            <v>97152</v>
          </cell>
        </row>
        <row r="86">
          <cell r="A86" t="str">
            <v>212405501LEGAL</v>
          </cell>
          <cell r="B86">
            <v>25315</v>
          </cell>
        </row>
        <row r="87">
          <cell r="A87" t="str">
            <v>212405501MGTFE</v>
          </cell>
          <cell r="B87">
            <v>0</v>
          </cell>
        </row>
        <row r="88">
          <cell r="A88" t="str">
            <v>21240550721520</v>
          </cell>
          <cell r="B88">
            <v>12504</v>
          </cell>
        </row>
        <row r="89">
          <cell r="A89" t="str">
            <v>21240550BINSCE</v>
          </cell>
          <cell r="B89">
            <v>17501</v>
          </cell>
        </row>
        <row r="90">
          <cell r="A90" t="str">
            <v>21240560000000</v>
          </cell>
          <cell r="B90">
            <v>42353.34</v>
          </cell>
        </row>
        <row r="91">
          <cell r="A91" t="str">
            <v>212406001ACOM1</v>
          </cell>
          <cell r="B91">
            <v>880.57</v>
          </cell>
        </row>
        <row r="92">
          <cell r="A92" t="str">
            <v>212406101ACOM1</v>
          </cell>
          <cell r="B92">
            <v>240.08</v>
          </cell>
        </row>
        <row r="93">
          <cell r="A93" t="str">
            <v>212406301ACOM1</v>
          </cell>
          <cell r="B93">
            <v>35</v>
          </cell>
        </row>
        <row r="94">
          <cell r="A94" t="str">
            <v>212406401ACOM1</v>
          </cell>
          <cell r="B94">
            <v>149.38999999999999</v>
          </cell>
        </row>
        <row r="95">
          <cell r="A95" t="str">
            <v>21240650000000</v>
          </cell>
          <cell r="B95">
            <v>18700</v>
          </cell>
        </row>
        <row r="96">
          <cell r="A96" t="str">
            <v>21240690000000</v>
          </cell>
          <cell r="B96">
            <v>173.9</v>
          </cell>
        </row>
        <row r="97">
          <cell r="A97" t="str">
            <v>21240710000000</v>
          </cell>
          <cell r="B97">
            <v>500</v>
          </cell>
        </row>
        <row r="98">
          <cell r="A98" t="str">
            <v>21240800000000</v>
          </cell>
          <cell r="B98">
            <v>-508260</v>
          </cell>
        </row>
        <row r="99">
          <cell r="A99" t="str">
            <v>21250000000000</v>
          </cell>
          <cell r="B99">
            <v>0</v>
          </cell>
        </row>
        <row r="100">
          <cell r="A100" t="str">
            <v>21250530R72132</v>
          </cell>
          <cell r="B100">
            <v>149239.93</v>
          </cell>
        </row>
        <row r="101">
          <cell r="A101" t="str">
            <v>21250540SUBSCR</v>
          </cell>
          <cell r="B101">
            <v>501</v>
          </cell>
        </row>
        <row r="102">
          <cell r="A102" t="str">
            <v>21250550000000</v>
          </cell>
          <cell r="B102">
            <v>86454</v>
          </cell>
        </row>
        <row r="103">
          <cell r="A103" t="str">
            <v>21250600R72132</v>
          </cell>
          <cell r="B103">
            <v>21500</v>
          </cell>
        </row>
        <row r="104">
          <cell r="A104" t="str">
            <v>21250610R72132</v>
          </cell>
          <cell r="B104">
            <v>1600</v>
          </cell>
        </row>
        <row r="105">
          <cell r="A105" t="str">
            <v>21250800000000</v>
          </cell>
          <cell r="B105">
            <v>-227420.43</v>
          </cell>
        </row>
        <row r="106">
          <cell r="A106" t="str">
            <v>21260000000000</v>
          </cell>
          <cell r="B106">
            <v>0</v>
          </cell>
        </row>
        <row r="107">
          <cell r="A107" t="str">
            <v>21260010000000</v>
          </cell>
          <cell r="B107">
            <v>16236</v>
          </cell>
        </row>
        <row r="108">
          <cell r="A108" t="str">
            <v>212601201SUPL1</v>
          </cell>
          <cell r="B108">
            <v>4994</v>
          </cell>
        </row>
        <row r="109">
          <cell r="A109" t="str">
            <v>21260300000000</v>
          </cell>
          <cell r="B109">
            <v>47375</v>
          </cell>
        </row>
        <row r="110">
          <cell r="A110" t="str">
            <v>21260300ICELLR</v>
          </cell>
          <cell r="B110">
            <v>5126</v>
          </cell>
        </row>
        <row r="111">
          <cell r="A111" t="str">
            <v>21260300ILDIST</v>
          </cell>
          <cell r="B111">
            <v>19433</v>
          </cell>
        </row>
        <row r="112">
          <cell r="A112" t="str">
            <v>21260300IPAGER</v>
          </cell>
          <cell r="B112">
            <v>3035</v>
          </cell>
        </row>
        <row r="113">
          <cell r="A113" t="str">
            <v>21260500000000</v>
          </cell>
          <cell r="B113">
            <v>27871</v>
          </cell>
        </row>
        <row r="114">
          <cell r="A114" t="str">
            <v>21260500IFAXMT</v>
          </cell>
          <cell r="B114">
            <v>14500</v>
          </cell>
        </row>
        <row r="115">
          <cell r="A115" t="str">
            <v>21260500XISREP</v>
          </cell>
          <cell r="B115">
            <v>1090</v>
          </cell>
        </row>
        <row r="116">
          <cell r="A116" t="str">
            <v>21260550000000</v>
          </cell>
          <cell r="B116">
            <v>272262</v>
          </cell>
        </row>
        <row r="117">
          <cell r="A117" t="str">
            <v>21260600000000</v>
          </cell>
          <cell r="B117">
            <v>4126</v>
          </cell>
        </row>
        <row r="118">
          <cell r="A118" t="str">
            <v>21260610000000</v>
          </cell>
          <cell r="B118">
            <v>209</v>
          </cell>
        </row>
        <row r="119">
          <cell r="A119" t="str">
            <v>21260630000000</v>
          </cell>
          <cell r="B119">
            <v>39</v>
          </cell>
        </row>
        <row r="120">
          <cell r="A120" t="str">
            <v>21260640000000</v>
          </cell>
          <cell r="B120">
            <v>429</v>
          </cell>
        </row>
        <row r="121">
          <cell r="A121" t="str">
            <v>21260800000000</v>
          </cell>
          <cell r="B121">
            <v>-401278</v>
          </cell>
        </row>
        <row r="122">
          <cell r="A122" t="str">
            <v>21310000000000</v>
          </cell>
          <cell r="B122">
            <v>0</v>
          </cell>
        </row>
        <row r="123">
          <cell r="A123" t="str">
            <v>21310010000000</v>
          </cell>
          <cell r="B123">
            <v>652102.99</v>
          </cell>
        </row>
        <row r="124">
          <cell r="A124" t="str">
            <v>213101201SUPL1</v>
          </cell>
          <cell r="B124">
            <v>88126.86</v>
          </cell>
        </row>
        <row r="125">
          <cell r="A125" t="str">
            <v>21310200000000</v>
          </cell>
          <cell r="B125">
            <v>209348</v>
          </cell>
        </row>
        <row r="126">
          <cell r="A126" t="str">
            <v>21310520000000</v>
          </cell>
          <cell r="B126">
            <v>164933.43</v>
          </cell>
        </row>
        <row r="127">
          <cell r="A127" t="str">
            <v>21310530000000</v>
          </cell>
          <cell r="B127">
            <v>118207.56</v>
          </cell>
        </row>
        <row r="128">
          <cell r="A128" t="str">
            <v>213105302PUBRL</v>
          </cell>
          <cell r="B128">
            <v>1277</v>
          </cell>
        </row>
        <row r="129">
          <cell r="A129" t="str">
            <v>213105401MEMBR</v>
          </cell>
          <cell r="B129">
            <v>1300</v>
          </cell>
        </row>
        <row r="130">
          <cell r="A130" t="str">
            <v>21310550000000</v>
          </cell>
          <cell r="B130">
            <v>91042</v>
          </cell>
        </row>
        <row r="131">
          <cell r="A131" t="str">
            <v>213105501LEGAL</v>
          </cell>
          <cell r="B131">
            <v>19109.5</v>
          </cell>
        </row>
        <row r="132">
          <cell r="A132" t="str">
            <v>21310600000000</v>
          </cell>
          <cell r="B132">
            <v>112452.17</v>
          </cell>
        </row>
        <row r="133">
          <cell r="A133" t="str">
            <v>213106001ACOM1</v>
          </cell>
          <cell r="B133">
            <v>4494.3500000000004</v>
          </cell>
        </row>
        <row r="134">
          <cell r="A134" t="str">
            <v>21310610000000</v>
          </cell>
          <cell r="B134">
            <v>15574.56</v>
          </cell>
        </row>
        <row r="135">
          <cell r="A135" t="str">
            <v>213106101ACOM1</v>
          </cell>
          <cell r="B135">
            <v>15359</v>
          </cell>
        </row>
        <row r="136">
          <cell r="A136" t="str">
            <v>21310630000000</v>
          </cell>
          <cell r="B136">
            <v>0</v>
          </cell>
        </row>
        <row r="137">
          <cell r="A137" t="str">
            <v>21310640000000</v>
          </cell>
          <cell r="B137">
            <v>13286.14</v>
          </cell>
        </row>
        <row r="138">
          <cell r="A138" t="str">
            <v>213106401ACOM1</v>
          </cell>
          <cell r="B138">
            <v>1398.65</v>
          </cell>
        </row>
        <row r="139">
          <cell r="A139" t="str">
            <v>21310690000000</v>
          </cell>
          <cell r="B139">
            <v>6624.18</v>
          </cell>
        </row>
        <row r="140">
          <cell r="A140" t="str">
            <v>21310710000000</v>
          </cell>
          <cell r="B140">
            <v>1845</v>
          </cell>
        </row>
        <row r="141">
          <cell r="A141" t="str">
            <v>21310800000000</v>
          </cell>
          <cell r="B141">
            <v>-1453061</v>
          </cell>
        </row>
        <row r="142">
          <cell r="A142" t="str">
            <v>21320000000000</v>
          </cell>
          <cell r="B142">
            <v>0</v>
          </cell>
        </row>
        <row r="143">
          <cell r="A143" t="str">
            <v>21320010000000</v>
          </cell>
          <cell r="B143">
            <v>57769.68</v>
          </cell>
        </row>
        <row r="144">
          <cell r="A144" t="str">
            <v>213201201SUPL1</v>
          </cell>
          <cell r="B144">
            <v>4000</v>
          </cell>
        </row>
        <row r="145">
          <cell r="A145" t="str">
            <v>21320630000000</v>
          </cell>
          <cell r="B145">
            <v>3400</v>
          </cell>
        </row>
        <row r="146">
          <cell r="A146" t="str">
            <v>21320800000000</v>
          </cell>
          <cell r="B146">
            <v>-55444.18</v>
          </cell>
        </row>
        <row r="147">
          <cell r="A147" t="str">
            <v>21410000000000</v>
          </cell>
          <cell r="B147">
            <v>0</v>
          </cell>
        </row>
        <row r="148">
          <cell r="A148" t="str">
            <v>21410010000000</v>
          </cell>
          <cell r="B148">
            <v>214807</v>
          </cell>
        </row>
        <row r="149">
          <cell r="A149" t="str">
            <v>214101201PRNTE</v>
          </cell>
          <cell r="B149">
            <v>14711</v>
          </cell>
        </row>
        <row r="150">
          <cell r="A150" t="str">
            <v>21410530000000</v>
          </cell>
          <cell r="B150">
            <v>56847</v>
          </cell>
        </row>
        <row r="151">
          <cell r="A151" t="str">
            <v>214105301LEGAL</v>
          </cell>
          <cell r="B151">
            <v>480</v>
          </cell>
        </row>
        <row r="152">
          <cell r="A152" t="str">
            <v>214105302PUBRL</v>
          </cell>
          <cell r="B152">
            <v>480383</v>
          </cell>
        </row>
        <row r="153">
          <cell r="A153" t="str">
            <v>214105401MEMBR</v>
          </cell>
          <cell r="B153">
            <v>12131</v>
          </cell>
        </row>
        <row r="154">
          <cell r="A154" t="str">
            <v>21410550000000</v>
          </cell>
          <cell r="B154">
            <v>164038</v>
          </cell>
        </row>
        <row r="155">
          <cell r="A155" t="str">
            <v>21410550MINBDV</v>
          </cell>
          <cell r="B155">
            <v>34400</v>
          </cell>
        </row>
        <row r="156">
          <cell r="A156" t="str">
            <v>21410560000000</v>
          </cell>
          <cell r="B156">
            <v>634</v>
          </cell>
        </row>
        <row r="157">
          <cell r="A157" t="str">
            <v>21410600000000</v>
          </cell>
          <cell r="B157">
            <v>9550</v>
          </cell>
        </row>
        <row r="158">
          <cell r="A158" t="str">
            <v>214106001ACOM1</v>
          </cell>
          <cell r="B158">
            <v>22856</v>
          </cell>
        </row>
        <row r="159">
          <cell r="A159" t="str">
            <v>21410610000000</v>
          </cell>
          <cell r="B159">
            <v>4247</v>
          </cell>
        </row>
        <row r="160">
          <cell r="A160" t="str">
            <v>214106101ACOM1</v>
          </cell>
          <cell r="B160">
            <v>15942</v>
          </cell>
        </row>
        <row r="161">
          <cell r="A161" t="str">
            <v>21410630000000</v>
          </cell>
          <cell r="B161">
            <v>10361</v>
          </cell>
        </row>
        <row r="162">
          <cell r="A162" t="str">
            <v>214106301ACOM1</v>
          </cell>
          <cell r="B162">
            <v>1193</v>
          </cell>
        </row>
        <row r="163">
          <cell r="A163" t="str">
            <v>21410640000000</v>
          </cell>
          <cell r="B163">
            <v>3045</v>
          </cell>
        </row>
        <row r="164">
          <cell r="A164" t="str">
            <v>214106401ACOM1</v>
          </cell>
          <cell r="B164">
            <v>6117</v>
          </cell>
        </row>
        <row r="165">
          <cell r="A165" t="str">
            <v>21410690000000</v>
          </cell>
          <cell r="B165">
            <v>591</v>
          </cell>
        </row>
        <row r="166">
          <cell r="A166" t="str">
            <v>214106901ACOM1</v>
          </cell>
          <cell r="B166">
            <v>1416</v>
          </cell>
        </row>
        <row r="167">
          <cell r="A167" t="str">
            <v>21410700000000</v>
          </cell>
          <cell r="B167">
            <v>6000</v>
          </cell>
        </row>
        <row r="168">
          <cell r="A168" t="str">
            <v>21410710000000</v>
          </cell>
          <cell r="B168">
            <v>10883</v>
          </cell>
        </row>
        <row r="169">
          <cell r="A169" t="str">
            <v>21410800000000</v>
          </cell>
          <cell r="B169">
            <v>-1049692.3899999999</v>
          </cell>
        </row>
        <row r="170">
          <cell r="A170" t="str">
            <v>21420000000000</v>
          </cell>
          <cell r="B170">
            <v>372.8</v>
          </cell>
        </row>
        <row r="171">
          <cell r="A171" t="str">
            <v>21420010000000</v>
          </cell>
          <cell r="B171">
            <v>56223.4</v>
          </cell>
        </row>
        <row r="172">
          <cell r="A172" t="str">
            <v>214205302PUBRL</v>
          </cell>
          <cell r="B172">
            <v>7839.05</v>
          </cell>
        </row>
        <row r="173">
          <cell r="A173" t="str">
            <v>21420550000000</v>
          </cell>
          <cell r="B173">
            <v>7252.42</v>
          </cell>
        </row>
        <row r="174">
          <cell r="A174" t="str">
            <v>21420600000000</v>
          </cell>
          <cell r="B174">
            <v>1973.16</v>
          </cell>
        </row>
        <row r="175">
          <cell r="A175" t="str">
            <v>21420610000000</v>
          </cell>
          <cell r="B175">
            <v>2681.54</v>
          </cell>
        </row>
        <row r="176">
          <cell r="A176" t="str">
            <v>21420630000000</v>
          </cell>
          <cell r="B176">
            <v>2873.6</v>
          </cell>
        </row>
        <row r="177">
          <cell r="A177" t="str">
            <v>21420640000000</v>
          </cell>
          <cell r="B177">
            <v>948.89</v>
          </cell>
        </row>
        <row r="178">
          <cell r="A178" t="str">
            <v>214206502SPONS</v>
          </cell>
          <cell r="B178">
            <v>59290</v>
          </cell>
        </row>
        <row r="179">
          <cell r="A179" t="str">
            <v>21420690000000</v>
          </cell>
          <cell r="B179">
            <v>2229.09</v>
          </cell>
        </row>
        <row r="180">
          <cell r="A180" t="str">
            <v>21420700000000</v>
          </cell>
          <cell r="B180">
            <v>500</v>
          </cell>
        </row>
        <row r="181">
          <cell r="A181" t="str">
            <v>21420800000000</v>
          </cell>
          <cell r="B181">
            <v>-139969.03</v>
          </cell>
        </row>
        <row r="182">
          <cell r="A182" t="str">
            <v>21510000000000</v>
          </cell>
          <cell r="B182">
            <v>0</v>
          </cell>
        </row>
        <row r="183">
          <cell r="A183" t="str">
            <v>21510010000000</v>
          </cell>
          <cell r="B183">
            <v>233424</v>
          </cell>
        </row>
        <row r="184">
          <cell r="A184" t="str">
            <v>215101201SUPL1</v>
          </cell>
          <cell r="B184">
            <v>46</v>
          </cell>
        </row>
        <row r="185">
          <cell r="A185" t="str">
            <v>215106901ACOM2</v>
          </cell>
          <cell r="B185">
            <v>1134644</v>
          </cell>
        </row>
        <row r="186">
          <cell r="A186" t="str">
            <v>21510700HSUCSH</v>
          </cell>
          <cell r="B186">
            <v>202716</v>
          </cell>
        </row>
        <row r="187">
          <cell r="A187" t="str">
            <v>21510800000000</v>
          </cell>
          <cell r="B187">
            <v>-1536850</v>
          </cell>
        </row>
        <row r="188">
          <cell r="A188" t="str">
            <v>21520000000000</v>
          </cell>
          <cell r="B188">
            <v>0</v>
          </cell>
        </row>
        <row r="189">
          <cell r="A189" t="str">
            <v>21520010000000</v>
          </cell>
          <cell r="B189">
            <v>15620.01</v>
          </cell>
        </row>
        <row r="190">
          <cell r="A190" t="str">
            <v>215201201SUPL1</v>
          </cell>
          <cell r="B190">
            <v>760.5</v>
          </cell>
        </row>
        <row r="191">
          <cell r="A191" t="str">
            <v>21520530000000</v>
          </cell>
          <cell r="B191">
            <v>403</v>
          </cell>
        </row>
        <row r="192">
          <cell r="A192" t="str">
            <v>21520530LHRXXX</v>
          </cell>
          <cell r="B192">
            <v>58512.51</v>
          </cell>
        </row>
        <row r="193">
          <cell r="A193" t="str">
            <v>215205501LEGAL</v>
          </cell>
          <cell r="B193">
            <v>555</v>
          </cell>
        </row>
        <row r="194">
          <cell r="A194" t="str">
            <v>21520550LHRXXX</v>
          </cell>
          <cell r="B194">
            <v>6202</v>
          </cell>
        </row>
        <row r="195">
          <cell r="A195" t="str">
            <v>21520600000000</v>
          </cell>
          <cell r="B195">
            <v>1175.97</v>
          </cell>
        </row>
        <row r="196">
          <cell r="A196" t="str">
            <v>21520710000000</v>
          </cell>
          <cell r="B196">
            <v>1359.44</v>
          </cell>
        </row>
        <row r="197">
          <cell r="A197" t="str">
            <v>21520800000000</v>
          </cell>
          <cell r="B197">
            <v>-82613.679999999993</v>
          </cell>
        </row>
        <row r="198">
          <cell r="A198" t="str">
            <v>26260000000000</v>
          </cell>
          <cell r="B198">
            <v>52172</v>
          </cell>
        </row>
      </sheetData>
      <sheetData sheetId="24" refreshError="1">
        <row r="2">
          <cell r="A2" t="str">
            <v>21110000000000</v>
          </cell>
          <cell r="B2">
            <v>1467.39</v>
          </cell>
        </row>
        <row r="3">
          <cell r="A3" t="str">
            <v>21110010000000</v>
          </cell>
          <cell r="B3">
            <v>626997.72</v>
          </cell>
        </row>
        <row r="4">
          <cell r="A4" t="str">
            <v>21110060000000</v>
          </cell>
          <cell r="B4">
            <v>14796.2</v>
          </cell>
        </row>
        <row r="5">
          <cell r="A5" t="str">
            <v>21110200000000</v>
          </cell>
          <cell r="B5">
            <v>267.49</v>
          </cell>
        </row>
        <row r="6">
          <cell r="A6" t="str">
            <v>21110500000000</v>
          </cell>
          <cell r="B6">
            <v>7180.68</v>
          </cell>
        </row>
        <row r="7">
          <cell r="A7" t="str">
            <v>21110530000000</v>
          </cell>
          <cell r="B7">
            <v>58472.66</v>
          </cell>
        </row>
        <row r="8">
          <cell r="A8" t="str">
            <v>211105302PUBRL</v>
          </cell>
          <cell r="B8">
            <v>98197.71</v>
          </cell>
        </row>
        <row r="9">
          <cell r="A9" t="str">
            <v>21110530LHRXXX</v>
          </cell>
          <cell r="B9">
            <v>35347.199999999997</v>
          </cell>
        </row>
        <row r="10">
          <cell r="A10" t="str">
            <v>21110540000000</v>
          </cell>
          <cell r="B10">
            <v>131.22999999999999</v>
          </cell>
        </row>
        <row r="11">
          <cell r="A11" t="str">
            <v>211105401MEMBR</v>
          </cell>
          <cell r="B11">
            <v>20240</v>
          </cell>
        </row>
        <row r="12">
          <cell r="A12" t="str">
            <v>21110540SUBSCR</v>
          </cell>
          <cell r="B12">
            <v>297.17</v>
          </cell>
        </row>
        <row r="13">
          <cell r="A13" t="str">
            <v>21110550000000</v>
          </cell>
          <cell r="B13">
            <v>29713.87</v>
          </cell>
        </row>
        <row r="14">
          <cell r="A14" t="str">
            <v>21110550LHRXXX</v>
          </cell>
          <cell r="B14">
            <v>91865</v>
          </cell>
        </row>
        <row r="15">
          <cell r="A15" t="str">
            <v>21110570000000</v>
          </cell>
          <cell r="B15">
            <v>70.489999999999995</v>
          </cell>
        </row>
        <row r="16">
          <cell r="A16" t="str">
            <v>21110600000000</v>
          </cell>
          <cell r="B16">
            <v>164234.21</v>
          </cell>
        </row>
        <row r="17">
          <cell r="A17" t="str">
            <v>211106001ACOM1</v>
          </cell>
          <cell r="B17">
            <v>12857.18</v>
          </cell>
        </row>
        <row r="18">
          <cell r="A18" t="str">
            <v>21110610000000</v>
          </cell>
          <cell r="B18">
            <v>23150.85</v>
          </cell>
        </row>
        <row r="19">
          <cell r="A19" t="str">
            <v>211106101ACOM1</v>
          </cell>
          <cell r="B19">
            <v>25653.68</v>
          </cell>
        </row>
        <row r="20">
          <cell r="A20" t="str">
            <v>211106101ACOM2</v>
          </cell>
          <cell r="B20">
            <v>1600</v>
          </cell>
        </row>
        <row r="21">
          <cell r="A21" t="str">
            <v>211106101ACOM3</v>
          </cell>
          <cell r="B21">
            <v>0</v>
          </cell>
        </row>
        <row r="22">
          <cell r="A22" t="str">
            <v>21110630000000</v>
          </cell>
          <cell r="B22">
            <v>8558.17</v>
          </cell>
        </row>
        <row r="23">
          <cell r="A23" t="str">
            <v>21110640000000</v>
          </cell>
          <cell r="B23">
            <v>27965.58</v>
          </cell>
        </row>
        <row r="24">
          <cell r="A24" t="str">
            <v>211106401ACOM1</v>
          </cell>
          <cell r="B24">
            <v>1420.54</v>
          </cell>
        </row>
        <row r="25">
          <cell r="A25" t="str">
            <v>211106502SPONS</v>
          </cell>
          <cell r="B25">
            <v>1000</v>
          </cell>
        </row>
        <row r="26">
          <cell r="A26" t="str">
            <v>21110690000000</v>
          </cell>
          <cell r="B26">
            <v>11222.11</v>
          </cell>
        </row>
        <row r="27">
          <cell r="A27" t="str">
            <v>211106901ACOM1</v>
          </cell>
          <cell r="B27">
            <v>1823.2</v>
          </cell>
        </row>
        <row r="28">
          <cell r="A28" t="str">
            <v>21110710000000</v>
          </cell>
          <cell r="B28">
            <v>3101.54</v>
          </cell>
        </row>
        <row r="29">
          <cell r="A29" t="str">
            <v>21110800000000</v>
          </cell>
          <cell r="B29">
            <v>-1267927.8700000001</v>
          </cell>
        </row>
        <row r="30">
          <cell r="A30" t="str">
            <v>211201201SUPL1</v>
          </cell>
          <cell r="B30">
            <v>191</v>
          </cell>
        </row>
        <row r="31">
          <cell r="A31" t="str">
            <v>211205501LEGAL</v>
          </cell>
          <cell r="B31">
            <v>105</v>
          </cell>
        </row>
        <row r="32">
          <cell r="A32" t="str">
            <v>21210010000000</v>
          </cell>
          <cell r="B32">
            <v>55577.64</v>
          </cell>
        </row>
        <row r="33">
          <cell r="A33" t="str">
            <v>212101201PRNTE</v>
          </cell>
          <cell r="B33">
            <v>13412.88</v>
          </cell>
        </row>
        <row r="34">
          <cell r="A34" t="str">
            <v>21210530000000</v>
          </cell>
          <cell r="B34">
            <v>29308.48</v>
          </cell>
        </row>
        <row r="35">
          <cell r="A35" t="str">
            <v>212105301LEGAL</v>
          </cell>
          <cell r="B35">
            <v>967466.97</v>
          </cell>
        </row>
        <row r="36">
          <cell r="A36" t="str">
            <v>212105302PUBRL</v>
          </cell>
          <cell r="B36">
            <v>26024.45</v>
          </cell>
        </row>
        <row r="37">
          <cell r="A37" t="str">
            <v>21210530SREGTY</v>
          </cell>
          <cell r="B37">
            <v>748675.32</v>
          </cell>
        </row>
        <row r="38">
          <cell r="A38" t="str">
            <v>21210550000000</v>
          </cell>
          <cell r="B38">
            <v>118026.3</v>
          </cell>
        </row>
        <row r="39">
          <cell r="A39" t="str">
            <v>212105501456BF</v>
          </cell>
          <cell r="B39">
            <v>158630.56</v>
          </cell>
        </row>
        <row r="40">
          <cell r="A40" t="str">
            <v>212105501LEGAL</v>
          </cell>
          <cell r="B40">
            <v>1524.38</v>
          </cell>
        </row>
        <row r="41">
          <cell r="A41" t="str">
            <v>21210550R72128</v>
          </cell>
          <cell r="B41">
            <v>23017.68</v>
          </cell>
        </row>
        <row r="42">
          <cell r="A42" t="str">
            <v>21210560000000</v>
          </cell>
          <cell r="B42">
            <v>823.41</v>
          </cell>
        </row>
        <row r="43">
          <cell r="A43" t="str">
            <v>21210600000000</v>
          </cell>
          <cell r="B43">
            <v>3610.49</v>
          </cell>
        </row>
        <row r="44">
          <cell r="A44" t="str">
            <v>212106001ACOM1</v>
          </cell>
          <cell r="B44">
            <v>10415.129999999999</v>
          </cell>
        </row>
        <row r="45">
          <cell r="A45" t="str">
            <v>21210610000000</v>
          </cell>
          <cell r="B45">
            <v>1671.31</v>
          </cell>
        </row>
        <row r="46">
          <cell r="A46" t="str">
            <v>212106101ACOM1</v>
          </cell>
          <cell r="B46">
            <v>13082.19</v>
          </cell>
        </row>
        <row r="47">
          <cell r="A47" t="str">
            <v>212106101ACOM2</v>
          </cell>
          <cell r="B47">
            <v>0</v>
          </cell>
        </row>
        <row r="48">
          <cell r="A48" t="str">
            <v>21210640000000</v>
          </cell>
          <cell r="B48">
            <v>333.68</v>
          </cell>
        </row>
        <row r="49">
          <cell r="A49" t="str">
            <v>212106401ACOM1</v>
          </cell>
          <cell r="B49">
            <v>5964.29</v>
          </cell>
        </row>
        <row r="50">
          <cell r="A50" t="str">
            <v>212106401ACOM2</v>
          </cell>
          <cell r="B50">
            <v>0</v>
          </cell>
        </row>
        <row r="51">
          <cell r="A51" t="str">
            <v>21210690000000</v>
          </cell>
          <cell r="B51">
            <v>1084.04</v>
          </cell>
        </row>
        <row r="52">
          <cell r="A52" t="str">
            <v>212106901ACOM1</v>
          </cell>
          <cell r="B52">
            <v>919.23</v>
          </cell>
        </row>
        <row r="53">
          <cell r="A53" t="str">
            <v>21210800000000</v>
          </cell>
          <cell r="B53">
            <v>-2179568.4300000002</v>
          </cell>
        </row>
        <row r="54">
          <cell r="A54" t="str">
            <v>21220000000000</v>
          </cell>
          <cell r="B54">
            <v>1452.57</v>
          </cell>
        </row>
        <row r="55">
          <cell r="A55" t="str">
            <v>21220010000000</v>
          </cell>
          <cell r="B55">
            <v>104030.65</v>
          </cell>
        </row>
        <row r="56">
          <cell r="A56" t="str">
            <v>21220060000000</v>
          </cell>
          <cell r="B56">
            <v>2296.67</v>
          </cell>
        </row>
        <row r="57">
          <cell r="A57" t="str">
            <v>212205301424AS</v>
          </cell>
          <cell r="B57">
            <v>34100</v>
          </cell>
        </row>
        <row r="58">
          <cell r="A58" t="str">
            <v>212205301LEGAL</v>
          </cell>
          <cell r="B58">
            <v>1887.12</v>
          </cell>
        </row>
        <row r="59">
          <cell r="A59" t="str">
            <v>21220530LHRXXX</v>
          </cell>
          <cell r="B59">
            <v>3000</v>
          </cell>
        </row>
        <row r="60">
          <cell r="A60" t="str">
            <v>21220550000000</v>
          </cell>
          <cell r="B60">
            <v>70491.5</v>
          </cell>
        </row>
        <row r="61">
          <cell r="A61" t="str">
            <v>212205501424AS</v>
          </cell>
          <cell r="B61">
            <v>24000</v>
          </cell>
        </row>
        <row r="62">
          <cell r="A62" t="str">
            <v>212205501426TX</v>
          </cell>
          <cell r="B62">
            <v>10855</v>
          </cell>
        </row>
        <row r="63">
          <cell r="A63" t="str">
            <v>212205501456BF</v>
          </cell>
          <cell r="B63">
            <v>17404.900000000001</v>
          </cell>
        </row>
        <row r="64">
          <cell r="A64" t="str">
            <v>212205501LEGAL</v>
          </cell>
          <cell r="B64">
            <v>18173.16</v>
          </cell>
        </row>
        <row r="65">
          <cell r="A65" t="str">
            <v>21220560000000</v>
          </cell>
          <cell r="B65">
            <v>324.72000000000003</v>
          </cell>
        </row>
        <row r="66">
          <cell r="A66" t="str">
            <v>21220600000000</v>
          </cell>
          <cell r="B66">
            <v>1914.15</v>
          </cell>
        </row>
        <row r="67">
          <cell r="A67" t="str">
            <v>21220610000000</v>
          </cell>
          <cell r="B67">
            <v>642</v>
          </cell>
        </row>
        <row r="68">
          <cell r="A68" t="str">
            <v>21220630000000</v>
          </cell>
          <cell r="B68">
            <v>198.1</v>
          </cell>
        </row>
        <row r="69">
          <cell r="A69" t="str">
            <v>21220640000000</v>
          </cell>
          <cell r="B69">
            <v>502.35</v>
          </cell>
        </row>
        <row r="70">
          <cell r="A70" t="str">
            <v>21220690000000</v>
          </cell>
          <cell r="B70">
            <v>2.92</v>
          </cell>
        </row>
        <row r="71">
          <cell r="A71" t="str">
            <v>21220710000000</v>
          </cell>
          <cell r="B71">
            <v>5110.6000000000004</v>
          </cell>
        </row>
        <row r="72">
          <cell r="A72" t="str">
            <v>21220800000000</v>
          </cell>
          <cell r="B72">
            <v>-296386.40999999997</v>
          </cell>
        </row>
        <row r="73">
          <cell r="A73" t="str">
            <v>21230060000000</v>
          </cell>
          <cell r="B73">
            <v>4846</v>
          </cell>
        </row>
        <row r="74">
          <cell r="A74" t="str">
            <v>21230120000000</v>
          </cell>
          <cell r="B74">
            <v>50</v>
          </cell>
        </row>
        <row r="75">
          <cell r="A75" t="str">
            <v>212301201SUPL1</v>
          </cell>
          <cell r="B75">
            <v>0</v>
          </cell>
        </row>
        <row r="76">
          <cell r="A76" t="str">
            <v>212305301LEGAL</v>
          </cell>
          <cell r="B76">
            <v>297.31</v>
          </cell>
        </row>
        <row r="77">
          <cell r="A77" t="str">
            <v>21230550000000</v>
          </cell>
          <cell r="B77">
            <v>36417</v>
          </cell>
        </row>
        <row r="78">
          <cell r="A78" t="str">
            <v>21230600000000</v>
          </cell>
          <cell r="B78">
            <v>0</v>
          </cell>
        </row>
        <row r="79">
          <cell r="A79" t="str">
            <v>212306001ACOM1</v>
          </cell>
          <cell r="B79">
            <v>7700.53</v>
          </cell>
        </row>
        <row r="80">
          <cell r="A80" t="str">
            <v>212306101ACOM1</v>
          </cell>
          <cell r="B80">
            <v>6521.4</v>
          </cell>
        </row>
        <row r="81">
          <cell r="A81" t="str">
            <v>21230640000000</v>
          </cell>
          <cell r="B81">
            <v>0</v>
          </cell>
        </row>
        <row r="82">
          <cell r="A82" t="str">
            <v>212306401ACOM1</v>
          </cell>
          <cell r="B82">
            <v>1817.01</v>
          </cell>
        </row>
        <row r="83">
          <cell r="A83" t="str">
            <v>21230690000000</v>
          </cell>
          <cell r="B83">
            <v>0</v>
          </cell>
        </row>
        <row r="84">
          <cell r="A84" t="str">
            <v>212306901ACOM1</v>
          </cell>
          <cell r="B84">
            <v>17.16</v>
          </cell>
        </row>
        <row r="85">
          <cell r="A85" t="str">
            <v>21230800000000</v>
          </cell>
          <cell r="B85">
            <v>-57666.41</v>
          </cell>
        </row>
        <row r="86">
          <cell r="A86" t="str">
            <v>21240000000000</v>
          </cell>
          <cell r="B86">
            <v>24448.68</v>
          </cell>
        </row>
        <row r="87">
          <cell r="A87" t="str">
            <v>21240000SUBSCR</v>
          </cell>
          <cell r="B87">
            <v>245.18</v>
          </cell>
        </row>
        <row r="88">
          <cell r="A88" t="str">
            <v>21240010000000</v>
          </cell>
          <cell r="B88">
            <v>20369.34</v>
          </cell>
        </row>
        <row r="89">
          <cell r="A89" t="str">
            <v>21240060000000</v>
          </cell>
          <cell r="B89">
            <v>6361.61</v>
          </cell>
        </row>
        <row r="90">
          <cell r="A90" t="str">
            <v>21240120000000</v>
          </cell>
          <cell r="B90">
            <v>5605.28</v>
          </cell>
        </row>
        <row r="91">
          <cell r="A91" t="str">
            <v>212401201PRNTE</v>
          </cell>
          <cell r="B91">
            <v>12246.68</v>
          </cell>
        </row>
        <row r="92">
          <cell r="A92" t="str">
            <v>212401201SUPL1</v>
          </cell>
          <cell r="B92">
            <v>67465.53</v>
          </cell>
        </row>
        <row r="93">
          <cell r="A93" t="str">
            <v>212401201SUPL2</v>
          </cell>
          <cell r="B93">
            <v>0</v>
          </cell>
        </row>
        <row r="94">
          <cell r="A94" t="str">
            <v>21240500000000</v>
          </cell>
          <cell r="B94">
            <v>7001.9</v>
          </cell>
        </row>
        <row r="95">
          <cell r="A95" t="str">
            <v>21240500IFAXMT</v>
          </cell>
          <cell r="B95">
            <v>1421.9</v>
          </cell>
        </row>
        <row r="96">
          <cell r="A96" t="str">
            <v>21240500XISREP</v>
          </cell>
          <cell r="B96">
            <v>218</v>
          </cell>
        </row>
        <row r="97">
          <cell r="A97" t="str">
            <v>21240530000000</v>
          </cell>
          <cell r="B97">
            <v>402.5</v>
          </cell>
        </row>
        <row r="98">
          <cell r="A98" t="str">
            <v>212405301456BF</v>
          </cell>
          <cell r="B98">
            <v>0</v>
          </cell>
        </row>
        <row r="99">
          <cell r="A99" t="str">
            <v>212405301LEGAL</v>
          </cell>
          <cell r="B99">
            <v>15617.68</v>
          </cell>
        </row>
        <row r="100">
          <cell r="A100" t="str">
            <v>212405302CONSL</v>
          </cell>
          <cell r="B100">
            <v>93928.98</v>
          </cell>
        </row>
        <row r="101">
          <cell r="A101" t="str">
            <v>212405302PUBRL</v>
          </cell>
          <cell r="B101">
            <v>400</v>
          </cell>
        </row>
        <row r="102">
          <cell r="A102" t="str">
            <v>212405401MEMBR</v>
          </cell>
          <cell r="B102">
            <v>5872.74</v>
          </cell>
        </row>
        <row r="103">
          <cell r="A103" t="str">
            <v>21240540SUBSCR</v>
          </cell>
          <cell r="B103">
            <v>396</v>
          </cell>
        </row>
        <row r="104">
          <cell r="A104" t="str">
            <v>21240550000000</v>
          </cell>
          <cell r="B104">
            <v>5578.74</v>
          </cell>
        </row>
        <row r="105">
          <cell r="A105" t="str">
            <v>212405501456BF</v>
          </cell>
          <cell r="B105">
            <v>95722.47</v>
          </cell>
        </row>
        <row r="106">
          <cell r="A106" t="str">
            <v>212405501LEGAL</v>
          </cell>
          <cell r="B106">
            <v>27636.400000000001</v>
          </cell>
        </row>
        <row r="107">
          <cell r="A107" t="str">
            <v>212405501MGTFE</v>
          </cell>
          <cell r="B107">
            <v>0</v>
          </cell>
        </row>
        <row r="108">
          <cell r="A108" t="str">
            <v>21240550721520</v>
          </cell>
          <cell r="B108">
            <v>12500</v>
          </cell>
        </row>
        <row r="109">
          <cell r="A109" t="str">
            <v>21240550BINSCE</v>
          </cell>
          <cell r="B109">
            <v>17500</v>
          </cell>
        </row>
        <row r="110">
          <cell r="A110" t="str">
            <v>21240560000000</v>
          </cell>
          <cell r="B110">
            <v>33761.03</v>
          </cell>
        </row>
        <row r="111">
          <cell r="A111" t="str">
            <v>21240570000000</v>
          </cell>
          <cell r="B111">
            <v>3230</v>
          </cell>
        </row>
        <row r="112">
          <cell r="A112" t="str">
            <v>212406001ACOM1</v>
          </cell>
          <cell r="B112">
            <v>880.57</v>
          </cell>
        </row>
        <row r="113">
          <cell r="A113" t="str">
            <v>212406101ACOM1</v>
          </cell>
          <cell r="B113">
            <v>240.08</v>
          </cell>
        </row>
        <row r="114">
          <cell r="A114" t="str">
            <v>212406301ACOM1</v>
          </cell>
          <cell r="B114">
            <v>35</v>
          </cell>
        </row>
        <row r="115">
          <cell r="A115" t="str">
            <v>21240640000000</v>
          </cell>
          <cell r="B115">
            <v>6.94</v>
          </cell>
        </row>
        <row r="116">
          <cell r="A116" t="str">
            <v>212406401ACOM1</v>
          </cell>
          <cell r="B116">
            <v>149.38999999999999</v>
          </cell>
        </row>
        <row r="117">
          <cell r="A117" t="str">
            <v>21240650000000</v>
          </cell>
          <cell r="B117">
            <v>5350</v>
          </cell>
        </row>
        <row r="118">
          <cell r="A118" t="str">
            <v>212406502SPONS</v>
          </cell>
          <cell r="B118">
            <v>500</v>
          </cell>
        </row>
        <row r="119">
          <cell r="A119" t="str">
            <v>21240690000000</v>
          </cell>
          <cell r="B119">
            <v>173.9</v>
          </cell>
        </row>
        <row r="120">
          <cell r="A120" t="str">
            <v>21240800000000</v>
          </cell>
          <cell r="B120">
            <v>-465266.52</v>
          </cell>
        </row>
        <row r="121">
          <cell r="A121" t="str">
            <v>212501201SUPL1</v>
          </cell>
          <cell r="B121">
            <v>761.04</v>
          </cell>
        </row>
        <row r="122">
          <cell r="A122" t="str">
            <v>21250530000000</v>
          </cell>
          <cell r="B122">
            <v>147973.78</v>
          </cell>
        </row>
        <row r="123">
          <cell r="A123" t="str">
            <v>21250530R72132</v>
          </cell>
          <cell r="B123">
            <v>24305.63</v>
          </cell>
        </row>
        <row r="124">
          <cell r="A124" t="str">
            <v>212505401SUBSC</v>
          </cell>
          <cell r="B124">
            <v>2245.5</v>
          </cell>
        </row>
        <row r="125">
          <cell r="A125" t="str">
            <v>21250540SUBSCR</v>
          </cell>
          <cell r="B125">
            <v>2845.5</v>
          </cell>
        </row>
        <row r="126">
          <cell r="A126" t="str">
            <v>21250550000000</v>
          </cell>
          <cell r="B126">
            <v>15535.92</v>
          </cell>
        </row>
        <row r="127">
          <cell r="A127" t="str">
            <v>212505501LEGAL</v>
          </cell>
          <cell r="B127">
            <v>1012.8</v>
          </cell>
        </row>
        <row r="128">
          <cell r="A128" t="str">
            <v>21250600000000</v>
          </cell>
          <cell r="B128">
            <v>1218.18</v>
          </cell>
        </row>
        <row r="129">
          <cell r="A129" t="str">
            <v>21250610000000</v>
          </cell>
          <cell r="B129">
            <v>260.26</v>
          </cell>
        </row>
        <row r="130">
          <cell r="A130" t="str">
            <v>212506101ACOM1</v>
          </cell>
          <cell r="B130">
            <v>0</v>
          </cell>
        </row>
        <row r="131">
          <cell r="A131" t="str">
            <v>21250640000000</v>
          </cell>
          <cell r="B131">
            <v>86.27</v>
          </cell>
        </row>
        <row r="132">
          <cell r="A132" t="str">
            <v>21250690000000</v>
          </cell>
          <cell r="B132">
            <v>4.72</v>
          </cell>
        </row>
        <row r="133">
          <cell r="A133" t="str">
            <v>21250800000000</v>
          </cell>
          <cell r="B133">
            <v>-196249.60000000001</v>
          </cell>
        </row>
        <row r="134">
          <cell r="A134" t="str">
            <v>21260000000000</v>
          </cell>
          <cell r="B134">
            <v>1107.23</v>
          </cell>
        </row>
        <row r="135">
          <cell r="A135" t="str">
            <v>21260010000000</v>
          </cell>
          <cell r="B135">
            <v>16237.22</v>
          </cell>
        </row>
        <row r="136">
          <cell r="A136" t="str">
            <v>21260120000000</v>
          </cell>
          <cell r="B136">
            <v>1510.71</v>
          </cell>
        </row>
        <row r="137">
          <cell r="A137" t="str">
            <v>212601201SUPL1</v>
          </cell>
          <cell r="B137">
            <v>4438.8900000000003</v>
          </cell>
        </row>
        <row r="138">
          <cell r="A138" t="str">
            <v>21260300000000</v>
          </cell>
          <cell r="B138">
            <v>50888.92</v>
          </cell>
        </row>
        <row r="139">
          <cell r="A139" t="str">
            <v>21260300ICELLR</v>
          </cell>
          <cell r="B139">
            <v>11744.24</v>
          </cell>
        </row>
        <row r="140">
          <cell r="A140" t="str">
            <v>21260300ILDIST</v>
          </cell>
          <cell r="B140">
            <v>21905.75</v>
          </cell>
        </row>
        <row r="141">
          <cell r="A141" t="str">
            <v>21260300IPAGER</v>
          </cell>
          <cell r="B141">
            <v>4647.68</v>
          </cell>
        </row>
        <row r="142">
          <cell r="A142" t="str">
            <v>21260500000000</v>
          </cell>
          <cell r="B142">
            <v>46005</v>
          </cell>
        </row>
        <row r="143">
          <cell r="A143" t="str">
            <v>21260500XISREP</v>
          </cell>
          <cell r="B143">
            <v>929.68</v>
          </cell>
        </row>
        <row r="144">
          <cell r="A144" t="str">
            <v>21260550000000</v>
          </cell>
          <cell r="B144">
            <v>91540.14</v>
          </cell>
        </row>
        <row r="145">
          <cell r="A145" t="str">
            <v>21260570000000</v>
          </cell>
          <cell r="B145">
            <v>385</v>
          </cell>
        </row>
        <row r="146">
          <cell r="A146" t="str">
            <v>21260600000000</v>
          </cell>
          <cell r="B146">
            <v>1125.1500000000001</v>
          </cell>
        </row>
        <row r="147">
          <cell r="A147" t="str">
            <v>21260610000000</v>
          </cell>
          <cell r="B147">
            <v>209.2</v>
          </cell>
        </row>
        <row r="148">
          <cell r="A148" t="str">
            <v>21260640000000</v>
          </cell>
          <cell r="B148">
            <v>39.159999999999997</v>
          </cell>
        </row>
        <row r="149">
          <cell r="A149" t="str">
            <v>21260690000000</v>
          </cell>
          <cell r="B149">
            <v>429.48</v>
          </cell>
        </row>
        <row r="150">
          <cell r="A150" t="str">
            <v>21260800000000</v>
          </cell>
          <cell r="B150">
            <v>-253143.45</v>
          </cell>
        </row>
        <row r="151">
          <cell r="A151" t="str">
            <v>21310000000000</v>
          </cell>
          <cell r="B151">
            <v>6835.99</v>
          </cell>
        </row>
        <row r="152">
          <cell r="A152" t="str">
            <v>21310010000000</v>
          </cell>
          <cell r="B152">
            <v>657589.69999999995</v>
          </cell>
        </row>
        <row r="153">
          <cell r="A153" t="str">
            <v>21310060000000</v>
          </cell>
          <cell r="B153">
            <v>33578.94</v>
          </cell>
        </row>
        <row r="154">
          <cell r="A154" t="str">
            <v>21310110000000</v>
          </cell>
          <cell r="B154">
            <v>33.6</v>
          </cell>
        </row>
        <row r="155">
          <cell r="A155" t="str">
            <v>21310120000000</v>
          </cell>
          <cell r="B155">
            <v>20342.2</v>
          </cell>
        </row>
        <row r="156">
          <cell r="A156" t="str">
            <v>213101201PRNTE</v>
          </cell>
          <cell r="B156">
            <v>10909.36</v>
          </cell>
        </row>
        <row r="157">
          <cell r="A157" t="str">
            <v>213101201SUPL1</v>
          </cell>
          <cell r="B157">
            <v>82394.66</v>
          </cell>
        </row>
        <row r="158">
          <cell r="A158" t="str">
            <v>21310200000000</v>
          </cell>
          <cell r="B158">
            <v>208664.19</v>
          </cell>
        </row>
        <row r="159">
          <cell r="A159" t="str">
            <v>21310410000000</v>
          </cell>
          <cell r="B159">
            <v>5670.65</v>
          </cell>
        </row>
        <row r="160">
          <cell r="A160" t="str">
            <v>21310500000000</v>
          </cell>
          <cell r="B160">
            <v>95</v>
          </cell>
        </row>
        <row r="161">
          <cell r="A161" t="str">
            <v>21310520000000</v>
          </cell>
          <cell r="B161">
            <v>183833.07</v>
          </cell>
        </row>
        <row r="162">
          <cell r="A162" t="str">
            <v>21310530000000</v>
          </cell>
          <cell r="B162">
            <v>61246.28</v>
          </cell>
        </row>
        <row r="163">
          <cell r="A163" t="str">
            <v>213105301LEGAL</v>
          </cell>
          <cell r="B163">
            <v>6910.19</v>
          </cell>
        </row>
        <row r="164">
          <cell r="A164" t="str">
            <v>213105302PUBRL</v>
          </cell>
          <cell r="B164">
            <v>1277</v>
          </cell>
        </row>
        <row r="165">
          <cell r="A165" t="str">
            <v>213105401MEMBR</v>
          </cell>
          <cell r="B165">
            <v>1768.5</v>
          </cell>
        </row>
        <row r="166">
          <cell r="A166" t="str">
            <v>21310550000000</v>
          </cell>
          <cell r="B166">
            <v>157853.07999999999</v>
          </cell>
        </row>
        <row r="167">
          <cell r="A167" t="str">
            <v>213105501ACOM1</v>
          </cell>
          <cell r="B167">
            <v>1448.12</v>
          </cell>
        </row>
        <row r="168">
          <cell r="A168" t="str">
            <v>213105501LEGAL</v>
          </cell>
          <cell r="B168">
            <v>21062.5</v>
          </cell>
        </row>
        <row r="169">
          <cell r="A169" t="str">
            <v>21310570000000</v>
          </cell>
          <cell r="B169">
            <v>225</v>
          </cell>
        </row>
        <row r="170">
          <cell r="A170" t="str">
            <v>213105701ACOM2</v>
          </cell>
          <cell r="B170">
            <v>0</v>
          </cell>
        </row>
        <row r="171">
          <cell r="A171" t="str">
            <v>21310600000000</v>
          </cell>
          <cell r="B171">
            <v>91036.85</v>
          </cell>
        </row>
        <row r="172">
          <cell r="A172" t="str">
            <v>213106001ACOM1</v>
          </cell>
          <cell r="B172">
            <v>6822.66</v>
          </cell>
        </row>
        <row r="173">
          <cell r="A173" t="str">
            <v>21310610000000</v>
          </cell>
          <cell r="B173">
            <v>13781.33</v>
          </cell>
        </row>
        <row r="174">
          <cell r="A174" t="str">
            <v>213106101ACOM1</v>
          </cell>
          <cell r="B174">
            <v>15359</v>
          </cell>
        </row>
        <row r="175">
          <cell r="A175" t="str">
            <v>21310630000000</v>
          </cell>
          <cell r="B175">
            <v>3478.31</v>
          </cell>
        </row>
        <row r="176">
          <cell r="A176" t="str">
            <v>21310640000000</v>
          </cell>
          <cell r="B176">
            <v>16684.79</v>
          </cell>
        </row>
        <row r="177">
          <cell r="A177" t="str">
            <v>213106401ACOM1</v>
          </cell>
          <cell r="B177">
            <v>1946.84</v>
          </cell>
        </row>
        <row r="178">
          <cell r="A178" t="str">
            <v>213106502SPONS</v>
          </cell>
          <cell r="B178">
            <v>500</v>
          </cell>
        </row>
        <row r="179">
          <cell r="A179" t="str">
            <v>21310690000000</v>
          </cell>
          <cell r="B179">
            <v>8134.14</v>
          </cell>
        </row>
        <row r="180">
          <cell r="A180" t="str">
            <v>213106901ACOM1</v>
          </cell>
          <cell r="B180">
            <v>242.1</v>
          </cell>
        </row>
        <row r="181">
          <cell r="A181" t="str">
            <v>21310710000000</v>
          </cell>
          <cell r="B181">
            <v>3329.34</v>
          </cell>
        </row>
        <row r="182">
          <cell r="A182" t="str">
            <v>21310800000000</v>
          </cell>
          <cell r="B182">
            <v>-1623053.39</v>
          </cell>
        </row>
        <row r="183">
          <cell r="A183" t="str">
            <v>21320000000000</v>
          </cell>
          <cell r="B183">
            <v>0</v>
          </cell>
        </row>
        <row r="184">
          <cell r="A184" t="str">
            <v>21320010000000</v>
          </cell>
          <cell r="B184">
            <v>46757.5</v>
          </cell>
        </row>
        <row r="185">
          <cell r="A185" t="str">
            <v>21320800000000</v>
          </cell>
          <cell r="B185">
            <v>-46757.5</v>
          </cell>
        </row>
        <row r="186">
          <cell r="A186" t="str">
            <v>21340000000000</v>
          </cell>
          <cell r="B186">
            <v>0</v>
          </cell>
        </row>
        <row r="187">
          <cell r="A187" t="str">
            <v>21410000000000</v>
          </cell>
          <cell r="B187">
            <v>-699.5</v>
          </cell>
        </row>
        <row r="188">
          <cell r="A188" t="str">
            <v>21410010000000</v>
          </cell>
          <cell r="B188">
            <v>184662.59</v>
          </cell>
        </row>
        <row r="189">
          <cell r="A189" t="str">
            <v>21410060000000</v>
          </cell>
          <cell r="B189">
            <v>13653.31</v>
          </cell>
        </row>
        <row r="190">
          <cell r="A190" t="str">
            <v>21410120000000</v>
          </cell>
          <cell r="B190">
            <v>507</v>
          </cell>
        </row>
        <row r="191">
          <cell r="A191" t="str">
            <v>214101201PRNTE</v>
          </cell>
          <cell r="B191">
            <v>10364.51</v>
          </cell>
        </row>
        <row r="192">
          <cell r="A192" t="str">
            <v>214101201SUPL1</v>
          </cell>
          <cell r="B192">
            <v>1078.3</v>
          </cell>
        </row>
        <row r="193">
          <cell r="A193" t="str">
            <v>21410500000000</v>
          </cell>
          <cell r="B193">
            <v>380</v>
          </cell>
        </row>
        <row r="194">
          <cell r="A194" t="str">
            <v>21410530000000</v>
          </cell>
          <cell r="B194">
            <v>41870.75</v>
          </cell>
        </row>
        <row r="195">
          <cell r="A195" t="str">
            <v>214105302ADVTZ</v>
          </cell>
          <cell r="B195">
            <v>220305.5</v>
          </cell>
        </row>
        <row r="196">
          <cell r="A196" t="str">
            <v>214105302PUBRL</v>
          </cell>
          <cell r="B196">
            <v>351182.77</v>
          </cell>
        </row>
        <row r="197">
          <cell r="A197" t="str">
            <v>21410540000000</v>
          </cell>
          <cell r="B197">
            <v>356.24</v>
          </cell>
        </row>
        <row r="198">
          <cell r="A198" t="str">
            <v>214105401MEMBR</v>
          </cell>
          <cell r="B198">
            <v>1220</v>
          </cell>
        </row>
        <row r="199">
          <cell r="A199" t="str">
            <v>21410550000000</v>
          </cell>
          <cell r="B199">
            <v>223143.35</v>
          </cell>
        </row>
        <row r="200">
          <cell r="A200" t="str">
            <v>214105501LEGAL</v>
          </cell>
          <cell r="B200">
            <v>630</v>
          </cell>
        </row>
        <row r="201">
          <cell r="A201" t="str">
            <v>21410560000000</v>
          </cell>
          <cell r="B201">
            <v>634.13</v>
          </cell>
        </row>
        <row r="202">
          <cell r="A202" t="str">
            <v>21410570000000</v>
          </cell>
          <cell r="B202">
            <v>1053.5</v>
          </cell>
        </row>
        <row r="203">
          <cell r="A203" t="str">
            <v>21410600000000</v>
          </cell>
          <cell r="B203">
            <v>15825.92</v>
          </cell>
        </row>
        <row r="204">
          <cell r="A204" t="str">
            <v>214106001ACOM1</v>
          </cell>
          <cell r="B204">
            <v>22857.11</v>
          </cell>
        </row>
        <row r="205">
          <cell r="A205" t="str">
            <v>21410610000000</v>
          </cell>
          <cell r="B205">
            <v>5110.93</v>
          </cell>
        </row>
        <row r="206">
          <cell r="A206" t="str">
            <v>214106101ACOM1</v>
          </cell>
          <cell r="B206">
            <v>15943.11</v>
          </cell>
        </row>
        <row r="207">
          <cell r="A207" t="str">
            <v>21410630000000</v>
          </cell>
          <cell r="B207">
            <v>7127.33</v>
          </cell>
        </row>
        <row r="208">
          <cell r="A208" t="str">
            <v>214106301ACOM1</v>
          </cell>
          <cell r="B208">
            <v>1192.29</v>
          </cell>
        </row>
        <row r="209">
          <cell r="A209" t="str">
            <v>21410640000000</v>
          </cell>
          <cell r="B209">
            <v>4209.53</v>
          </cell>
        </row>
        <row r="210">
          <cell r="A210" t="str">
            <v>214106401ACOM1</v>
          </cell>
          <cell r="B210">
            <v>6110.72</v>
          </cell>
        </row>
        <row r="211">
          <cell r="A211" t="str">
            <v>21410650000000</v>
          </cell>
          <cell r="B211">
            <v>3480</v>
          </cell>
        </row>
        <row r="212">
          <cell r="A212" t="str">
            <v>214106502SPONS</v>
          </cell>
          <cell r="B212">
            <v>11125</v>
          </cell>
        </row>
        <row r="213">
          <cell r="A213" t="str">
            <v>21410690000000</v>
          </cell>
          <cell r="B213">
            <v>863.07</v>
          </cell>
        </row>
        <row r="214">
          <cell r="A214" t="str">
            <v>214106901ACOM1</v>
          </cell>
          <cell r="B214">
            <v>1416.03</v>
          </cell>
        </row>
        <row r="215">
          <cell r="A215" t="str">
            <v>21410800000000</v>
          </cell>
          <cell r="B215">
            <v>-1145603.49</v>
          </cell>
        </row>
        <row r="216">
          <cell r="A216" t="str">
            <v>21420000000000</v>
          </cell>
          <cell r="B216">
            <v>5731.84</v>
          </cell>
        </row>
        <row r="217">
          <cell r="A217" t="str">
            <v>21420010000000</v>
          </cell>
          <cell r="B217">
            <v>56224.42</v>
          </cell>
        </row>
        <row r="218">
          <cell r="A218" t="str">
            <v>214201201PRNTE</v>
          </cell>
          <cell r="B218">
            <v>34.200000000000003</v>
          </cell>
        </row>
        <row r="219">
          <cell r="A219" t="str">
            <v>21420550000000</v>
          </cell>
          <cell r="B219">
            <v>7252.42</v>
          </cell>
        </row>
        <row r="220">
          <cell r="A220" t="str">
            <v>21420570000000</v>
          </cell>
          <cell r="B220">
            <v>100</v>
          </cell>
        </row>
        <row r="221">
          <cell r="A221" t="str">
            <v>21420600000000</v>
          </cell>
          <cell r="B221">
            <v>1975.79</v>
          </cell>
        </row>
        <row r="222">
          <cell r="A222" t="str">
            <v>21420610000000</v>
          </cell>
          <cell r="B222">
            <v>2796.84</v>
          </cell>
        </row>
        <row r="223">
          <cell r="A223" t="str">
            <v>21420630000000</v>
          </cell>
          <cell r="B223">
            <v>3486.75</v>
          </cell>
        </row>
        <row r="224">
          <cell r="A224" t="str">
            <v>21420640000000</v>
          </cell>
          <cell r="B224">
            <v>1428.1</v>
          </cell>
        </row>
        <row r="225">
          <cell r="A225" t="str">
            <v>214206502SPONS</v>
          </cell>
          <cell r="B225">
            <v>65215</v>
          </cell>
        </row>
        <row r="226">
          <cell r="A226" t="str">
            <v>21420690000000</v>
          </cell>
          <cell r="B226">
            <v>2287.88</v>
          </cell>
        </row>
        <row r="227">
          <cell r="A227" t="str">
            <v>21420800000000</v>
          </cell>
          <cell r="B227">
            <v>-146533.24</v>
          </cell>
        </row>
        <row r="228">
          <cell r="A228" t="str">
            <v>21510000000000</v>
          </cell>
          <cell r="B228">
            <v>192341.22</v>
          </cell>
        </row>
        <row r="229">
          <cell r="A229" t="str">
            <v>21510000LHRXXX</v>
          </cell>
          <cell r="B229">
            <v>9416.23</v>
          </cell>
        </row>
        <row r="230">
          <cell r="A230" t="str">
            <v>215105701ACOM1</v>
          </cell>
          <cell r="B230">
            <v>22609.34</v>
          </cell>
        </row>
        <row r="231">
          <cell r="A231" t="str">
            <v>215105701ACOM2</v>
          </cell>
          <cell r="B231">
            <v>889301.02</v>
          </cell>
        </row>
        <row r="232">
          <cell r="A232" t="str">
            <v>21510700HSUCSH</v>
          </cell>
          <cell r="B232">
            <v>202716</v>
          </cell>
        </row>
        <row r="233">
          <cell r="A233" t="str">
            <v>21510800000000</v>
          </cell>
          <cell r="B233">
            <v>-1316383.81</v>
          </cell>
        </row>
        <row r="234">
          <cell r="A234" t="str">
            <v>21520000000000</v>
          </cell>
          <cell r="B234">
            <v>760.5</v>
          </cell>
        </row>
        <row r="235">
          <cell r="A235" t="str">
            <v>21520010000000</v>
          </cell>
          <cell r="B235">
            <v>15620.01</v>
          </cell>
        </row>
        <row r="236">
          <cell r="A236" t="str">
            <v>21520060000000</v>
          </cell>
          <cell r="B236">
            <v>0</v>
          </cell>
        </row>
        <row r="237">
          <cell r="A237" t="str">
            <v>21520530000000</v>
          </cell>
          <cell r="B237">
            <v>0</v>
          </cell>
        </row>
        <row r="238">
          <cell r="A238" t="str">
            <v>21520530LHRXXX</v>
          </cell>
          <cell r="B238">
            <v>50578.7</v>
          </cell>
        </row>
        <row r="239">
          <cell r="A239" t="str">
            <v>21520550000000</v>
          </cell>
          <cell r="B239">
            <v>814.86</v>
          </cell>
        </row>
        <row r="240">
          <cell r="A240" t="str">
            <v>215205501LEGAL</v>
          </cell>
          <cell r="B240">
            <v>555</v>
          </cell>
        </row>
        <row r="241">
          <cell r="A241" t="str">
            <v>21520550LHRXXX</v>
          </cell>
          <cell r="B241">
            <v>9562.92</v>
          </cell>
        </row>
        <row r="242">
          <cell r="A242" t="str">
            <v>21520600000000</v>
          </cell>
          <cell r="B242">
            <v>725.97</v>
          </cell>
        </row>
        <row r="243">
          <cell r="A243" t="str">
            <v>215206101ACOM1</v>
          </cell>
          <cell r="B243">
            <v>1600</v>
          </cell>
        </row>
        <row r="244">
          <cell r="A244" t="str">
            <v>21520710000000</v>
          </cell>
          <cell r="B244">
            <v>1359.44</v>
          </cell>
        </row>
        <row r="245">
          <cell r="A245" t="str">
            <v>21520800000000</v>
          </cell>
          <cell r="B245">
            <v>-81577.399999999994</v>
          </cell>
        </row>
        <row r="246">
          <cell r="A246" t="str">
            <v>26260000000000</v>
          </cell>
          <cell r="B246">
            <v>162630.04</v>
          </cell>
        </row>
      </sheetData>
      <sheetData sheetId="25" refreshError="1"/>
      <sheetData sheetId="26" refreshError="1"/>
      <sheetData sheetId="27" refreshError="1"/>
      <sheetData sheetId="28"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Version 2-10"/>
      <sheetName val="Budget Version 2-14"/>
      <sheetName val="Bud. Ver. 2-10 to 2-14"/>
      <sheetName val="Budget Version 2-21"/>
      <sheetName val="Bud. Ver. 2-14 to 2-21"/>
      <sheetName val="Budget Version 4-19"/>
      <sheetName val="Bud. Ver. 2-21 to 4-19"/>
      <sheetName val="Budget Version 5-2"/>
      <sheetName val="Bud. Ver. 4-19 to 5-2"/>
      <sheetName val="Budget Version 5-31"/>
      <sheetName val="Bud. Ver. 5-2 to 5-31"/>
      <sheetName val="Data"/>
      <sheetName val="YT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sheetData sheetId="10" refreshError="1"/>
      <sheetData sheetId="11">
        <row r="4">
          <cell r="G4" t="str">
            <v>Jan</v>
          </cell>
        </row>
      </sheetData>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t 2007 Balance Sheet"/>
      <sheetName val="123104 vs 93004"/>
      <sheetName val="Sept07vsJune07"/>
      <sheetName val="Essbase"/>
      <sheetName val="Def'd Debits"/>
      <sheetName val="Recon to Lawson"/>
      <sheetName val="Recon to 2006"/>
      <sheetName val="ALL ACCOUNTS"/>
      <sheetName val="Util Plant"/>
      <sheetName val="Accum Depr"/>
      <sheetName val="Gas Stored"/>
      <sheetName val="Non Util Prop"/>
      <sheetName val="Inv in Subs"/>
      <sheetName val="Other Inv"/>
      <sheetName val="Cash"/>
      <sheetName val="Acct Rec"/>
      <sheetName val="Allow Uncoll Acct"/>
      <sheetName val="Accrued Rev"/>
      <sheetName val="Inv of Gas"/>
      <sheetName val="Prepaid Prop"/>
      <sheetName val="Unamt Debt Disc"/>
      <sheetName val="Def Reg and Other"/>
      <sheetName val="Comm Stock"/>
      <sheetName val="Prem on Stock"/>
      <sheetName val="Retain Earn"/>
      <sheetName val="Pref Stock"/>
      <sheetName val="Long Term Debt"/>
      <sheetName val="Acct Pay"/>
      <sheetName val="Note Pay"/>
      <sheetName val="Curr Por LT Debt"/>
      <sheetName val="Cust Depos"/>
      <sheetName val="Taxes Accrued"/>
      <sheetName val="Interest Accrued"/>
      <sheetName val="Oth Current Liab"/>
      <sheetName val="Def Taxes Inv Credit"/>
      <sheetName val="Other Liabilities"/>
    </sheetNames>
    <sheetDataSet>
      <sheetData sheetId="0" refreshError="1"/>
      <sheetData sheetId="1" refreshError="1"/>
      <sheetData sheetId="2" refreshError="1"/>
      <sheetData sheetId="3">
        <row r="6">
          <cell r="D6" t="str">
            <v>Y-T-D(Sep)</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lation Template"/>
      <sheetName val="Handy Whitman Index"/>
      <sheetName val="Allocators"/>
      <sheetName val="Plant"/>
      <sheetName val="OtherTax"/>
      <sheetName val="OM-Rates"/>
      <sheetName val="ECCR"/>
      <sheetName val="Meters"/>
      <sheetName val="HEO-Sch3"/>
      <sheetName val="HEO-Sch4"/>
      <sheetName val="HEO-Sch5"/>
      <sheetName val="HEO-Sch6"/>
      <sheetName val="6L LP Inch GLM  "/>
      <sheetName val="6&quot; H LP GLM "/>
      <sheetName val="HEO-Sch7"/>
      <sheetName val="End of Workpapers"/>
      <sheetName val="Mains"/>
      <sheetName val="Meters1"/>
      <sheetName val="4 Inch LP GLM high "/>
      <sheetName val="x230 2000"/>
    </sheetNames>
    <sheetDataSet>
      <sheetData sheetId="0"/>
      <sheetData sheetId="1"/>
      <sheetData sheetId="2"/>
      <sheetData sheetId="3"/>
      <sheetData sheetId="4"/>
      <sheetData sheetId="5"/>
      <sheetData sheetId="6"/>
      <sheetData sheetId="7"/>
      <sheetData sheetId="8"/>
      <sheetData sheetId="9"/>
      <sheetData sheetId="10"/>
      <sheetData sheetId="11">
        <row r="12">
          <cell r="O12">
            <v>179.6661378317672</v>
          </cell>
        </row>
      </sheetData>
      <sheetData sheetId="12"/>
      <sheetData sheetId="13"/>
      <sheetData sheetId="14"/>
      <sheetData sheetId="15"/>
      <sheetData sheetId="16"/>
      <sheetData sheetId="17"/>
      <sheetData sheetId="18"/>
      <sheetData sheetId="1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acle vs. USOA (LP) 2008"/>
      <sheetName val="Oracle vs. USOA (LP) 2007"/>
      <sheetName val="Summary of Accounts - USOA"/>
      <sheetName val="Index of Accounts - USOA"/>
      <sheetName val="Trial Balance - December 2007"/>
      <sheetName val="Index"/>
      <sheetName val="Trial Balance - December 2008"/>
    </sheetNames>
    <sheetDataSet>
      <sheetData sheetId="0" refreshError="1"/>
      <sheetData sheetId="1" refreshError="1"/>
      <sheetData sheetId="2" refreshError="1"/>
      <sheetData sheetId="3" refreshError="1"/>
      <sheetData sheetId="4" refreshError="1"/>
      <sheetData sheetId="5" refreshError="1">
        <row r="2">
          <cell r="A2" t="str">
            <v>25322.000.00000.10003.000000.00000</v>
          </cell>
          <cell r="B2">
            <v>130</v>
          </cell>
          <cell r="C2" t="str">
            <v>B-Cash</v>
          </cell>
        </row>
        <row r="3">
          <cell r="A3" t="str">
            <v>25322.000.00000.10003.APPYMT.00000</v>
          </cell>
          <cell r="B3">
            <v>130</v>
          </cell>
          <cell r="C3" t="str">
            <v>B-Cash</v>
          </cell>
        </row>
        <row r="4">
          <cell r="A4" t="str">
            <v>25322.000.00000.10025.000000.00000</v>
          </cell>
          <cell r="B4">
            <v>130</v>
          </cell>
          <cell r="C4" t="str">
            <v>B-Cash</v>
          </cell>
        </row>
        <row r="5">
          <cell r="A5" t="str">
            <v>25322.000.00000.10025.PS0304.00000</v>
          </cell>
          <cell r="B5">
            <v>130</v>
          </cell>
          <cell r="C5" t="str">
            <v>B-Cash</v>
          </cell>
        </row>
        <row r="6">
          <cell r="A6" t="str">
            <v>25322.000.00000.10061.000000.00000</v>
          </cell>
          <cell r="B6">
            <v>131</v>
          </cell>
          <cell r="C6" t="str">
            <v>B-Special Deposits</v>
          </cell>
        </row>
        <row r="7">
          <cell r="A7" t="str">
            <v>25322.000.00000.10451.000000.00000</v>
          </cell>
          <cell r="B7">
            <v>130</v>
          </cell>
          <cell r="C7" t="str">
            <v>B-Cash</v>
          </cell>
        </row>
        <row r="8">
          <cell r="A8" t="str">
            <v>25322.000.00000.10463.000000.00000</v>
          </cell>
          <cell r="B8">
            <v>130</v>
          </cell>
          <cell r="C8" t="str">
            <v>B-Cash</v>
          </cell>
        </row>
        <row r="9">
          <cell r="A9" t="str">
            <v>25322.000.00000.10501.000000.00000</v>
          </cell>
          <cell r="B9">
            <v>140</v>
          </cell>
          <cell r="C9" t="str">
            <v>B-Accounts Receivable – Customers</v>
          </cell>
        </row>
        <row r="10">
          <cell r="A10" t="str">
            <v>25322.000.00000.10501.ARUNID.00000</v>
          </cell>
          <cell r="B10">
            <v>140</v>
          </cell>
          <cell r="C10" t="str">
            <v>B-Accounts Receivable – Customers</v>
          </cell>
        </row>
        <row r="11">
          <cell r="A11" t="str">
            <v>25322.000.00000.10501.MCCORP.00000</v>
          </cell>
          <cell r="B11">
            <v>140</v>
          </cell>
          <cell r="C11" t="str">
            <v>B-Accounts Receivable – Customers</v>
          </cell>
        </row>
        <row r="12">
          <cell r="A12" t="str">
            <v>25322.000.00000.10505.000000.00000</v>
          </cell>
          <cell r="B12">
            <v>145</v>
          </cell>
          <cell r="C12" t="str">
            <v>B-Allowance for Doubtful Accounts</v>
          </cell>
        </row>
        <row r="13">
          <cell r="A13" t="str">
            <v>25322.000.00000.10508.000000.00000</v>
          </cell>
          <cell r="B13">
            <v>140</v>
          </cell>
          <cell r="C13" t="str">
            <v>B-Accounts Receivable – Customers</v>
          </cell>
        </row>
        <row r="14">
          <cell r="A14" t="str">
            <v>25322.000.00000.10805.000000.00000</v>
          </cell>
          <cell r="B14">
            <v>140</v>
          </cell>
          <cell r="C14" t="str">
            <v>B-Accounts Receivable – Customers</v>
          </cell>
        </row>
        <row r="15">
          <cell r="A15" t="str">
            <v>25322.000.00000.10809.000000.00000</v>
          </cell>
          <cell r="B15">
            <v>140</v>
          </cell>
          <cell r="C15" t="str">
            <v>B-Accounts Receivable – Customers</v>
          </cell>
        </row>
        <row r="16">
          <cell r="A16" t="str">
            <v>25322.000.00000.10809.FG7150.00000</v>
          </cell>
          <cell r="B16">
            <v>140</v>
          </cell>
          <cell r="C16" t="str">
            <v>B-Accounts Receivable – Customers</v>
          </cell>
        </row>
        <row r="17">
          <cell r="A17" t="str">
            <v>25322.000.00000.10809.MCCOCI.00000</v>
          </cell>
          <cell r="B17">
            <v>140</v>
          </cell>
          <cell r="C17" t="str">
            <v>B-Accounts Receivable – Customers</v>
          </cell>
        </row>
        <row r="18">
          <cell r="A18" t="str">
            <v>25322.000.00000.10811.000000.00000</v>
          </cell>
          <cell r="B18">
            <v>142</v>
          </cell>
          <cell r="C18" t="str">
            <v>B-Accounts Receivable – Other</v>
          </cell>
        </row>
        <row r="19">
          <cell r="A19" t="str">
            <v>25322.000.00000.10901.000000.00000</v>
          </cell>
          <cell r="B19">
            <v>160</v>
          </cell>
          <cell r="C19" t="str">
            <v>B-Prepayments</v>
          </cell>
        </row>
        <row r="20">
          <cell r="A20" t="str">
            <v>25322.000.00000.10909.000000.00000</v>
          </cell>
          <cell r="B20">
            <v>160</v>
          </cell>
          <cell r="C20" t="str">
            <v>B-Prepayments</v>
          </cell>
        </row>
        <row r="21">
          <cell r="A21" t="str">
            <v>25322.000.00000.10911.000000.00000</v>
          </cell>
          <cell r="B21">
            <v>160</v>
          </cell>
          <cell r="C21" t="str">
            <v>B-Prepayments</v>
          </cell>
        </row>
        <row r="22">
          <cell r="A22" t="str">
            <v>25322.000.00000.10913.000000.00000</v>
          </cell>
          <cell r="B22">
            <v>160</v>
          </cell>
          <cell r="C22" t="str">
            <v>B-Prepayments</v>
          </cell>
        </row>
        <row r="23">
          <cell r="A23" t="str">
            <v>25322.000.00000.10950.000000.00000</v>
          </cell>
          <cell r="B23">
            <v>160</v>
          </cell>
          <cell r="C23" t="str">
            <v>B-Prepayments</v>
          </cell>
        </row>
        <row r="24">
          <cell r="A24" t="str">
            <v>25322.000.00000.10950.ARPOTH.00000</v>
          </cell>
          <cell r="B24">
            <v>160</v>
          </cell>
          <cell r="C24" t="str">
            <v>B-Prepayments</v>
          </cell>
        </row>
        <row r="25">
          <cell r="A25" t="str">
            <v>25322.000.00000.11001.000000.00000</v>
          </cell>
          <cell r="B25">
            <v>160</v>
          </cell>
          <cell r="C25" t="str">
            <v>B-Prepayments</v>
          </cell>
        </row>
        <row r="26">
          <cell r="A26" t="str">
            <v>25322.000.00000.12001.000000.00000</v>
          </cell>
          <cell r="B26">
            <v>150</v>
          </cell>
          <cell r="C26" t="str">
            <v>B-Materials and Supplies</v>
          </cell>
        </row>
        <row r="27">
          <cell r="A27" t="str">
            <v>25322.000.00000.12001.MCCORP.00000</v>
          </cell>
          <cell r="B27">
            <v>150</v>
          </cell>
          <cell r="C27" t="str">
            <v>B-Materials and Supplies</v>
          </cell>
        </row>
        <row r="28">
          <cell r="A28" t="str">
            <v>25322.000.00000.12009.000000.00000</v>
          </cell>
          <cell r="B28">
            <v>150</v>
          </cell>
          <cell r="C28" t="str">
            <v>B-Materials and Supplies</v>
          </cell>
        </row>
        <row r="29">
          <cell r="A29" t="str">
            <v>25322.000.00000.12907.000000.00000</v>
          </cell>
          <cell r="B29">
            <v>153</v>
          </cell>
          <cell r="C29" t="str">
            <v>B-Line Pack Gas</v>
          </cell>
        </row>
        <row r="30">
          <cell r="A30" t="str">
            <v>25322.000.00000.15001.000000.00000</v>
          </cell>
          <cell r="B30">
            <v>100</v>
          </cell>
          <cell r="C30" t="str">
            <v>B-Gas Distributor Plant in Service</v>
          </cell>
        </row>
        <row r="31">
          <cell r="A31" t="str">
            <v>25322.000.00000.15002.000000.00000</v>
          </cell>
          <cell r="B31">
            <v>100</v>
          </cell>
          <cell r="C31" t="str">
            <v>B-Gas Distributor Plant in Service</v>
          </cell>
        </row>
        <row r="32">
          <cell r="A32" t="str">
            <v>25322.000.00000.15002.MCACCR.00000</v>
          </cell>
          <cell r="B32">
            <v>115</v>
          </cell>
          <cell r="C32" t="str">
            <v>B-Construction Work in Progress – Gas Distributor Plant</v>
          </cell>
        </row>
        <row r="33">
          <cell r="A33" t="str">
            <v>25322.000.00000.15003.000000.00000</v>
          </cell>
          <cell r="B33">
            <v>115</v>
          </cell>
          <cell r="C33" t="str">
            <v>B-Construction Work in Progress – Gas Distributor Plant</v>
          </cell>
        </row>
        <row r="34">
          <cell r="A34" t="str">
            <v>25322.000.00000.15011.000000.00000</v>
          </cell>
          <cell r="B34">
            <v>100</v>
          </cell>
          <cell r="C34" t="str">
            <v>B-Gas Distributor Plant in Service</v>
          </cell>
        </row>
        <row r="35">
          <cell r="A35" t="str">
            <v>25322.000.00000.15101.000000.00000</v>
          </cell>
          <cell r="B35">
            <v>105</v>
          </cell>
          <cell r="C35" t="str">
            <v>B-Accumulated Depreciation – Gas Distributor Plant</v>
          </cell>
        </row>
        <row r="36">
          <cell r="A36" t="str">
            <v>25322.000.00000.15102.000000.00000</v>
          </cell>
          <cell r="B36">
            <v>105</v>
          </cell>
          <cell r="C36" t="str">
            <v>B-Accumulated Depreciation – Gas Distributor Plant</v>
          </cell>
        </row>
        <row r="37">
          <cell r="A37" t="str">
            <v>25322.000.00000.15103.000000.00000</v>
          </cell>
          <cell r="B37">
            <v>105</v>
          </cell>
          <cell r="C37" t="str">
            <v>B-Accumulated Depreciation – Gas Distributor Plant</v>
          </cell>
        </row>
        <row r="38">
          <cell r="A38" t="str">
            <v>25322.000.00000.15105.000000.00000</v>
          </cell>
          <cell r="B38">
            <v>105</v>
          </cell>
          <cell r="C38" t="str">
            <v>B-Accumulated Depreciation – Gas Distributor Plant</v>
          </cell>
        </row>
        <row r="39">
          <cell r="A39" t="str">
            <v>25322.000.00000.15111.000000.00000</v>
          </cell>
          <cell r="B39">
            <v>105</v>
          </cell>
          <cell r="C39" t="str">
            <v>B-Accumulated Depreciation – Gas Distributor Plant</v>
          </cell>
        </row>
        <row r="40">
          <cell r="A40" t="str">
            <v>25322.000.00000.19109.RDOTHR.00000</v>
          </cell>
          <cell r="B40">
            <v>160</v>
          </cell>
          <cell r="C40" t="str">
            <v>B-Prepayments</v>
          </cell>
        </row>
        <row r="41">
          <cell r="A41" t="str">
            <v>25322.000.00000.19111.RDOTHR.00000</v>
          </cell>
          <cell r="B41">
            <v>106</v>
          </cell>
          <cell r="C41" t="str">
            <v>B-Accumulated Amortization – Gas Distributor Plant</v>
          </cell>
        </row>
        <row r="42">
          <cell r="A42" t="str">
            <v>25322.000.00000.19209.000000.00000</v>
          </cell>
          <cell r="B42">
            <v>179</v>
          </cell>
          <cell r="C42" t="str">
            <v>B-Other Deferred Charges</v>
          </cell>
        </row>
        <row r="43">
          <cell r="A43" t="str">
            <v>25322.000.00000.19217.MCDEFC.00000</v>
          </cell>
          <cell r="B43">
            <v>182</v>
          </cell>
          <cell r="C43" t="str">
            <v>B-Deferred Development Costs</v>
          </cell>
        </row>
        <row r="44">
          <cell r="A44" t="str">
            <v>25322.000.00000.19217.MCDEFD.00000</v>
          </cell>
          <cell r="B44">
            <v>182</v>
          </cell>
          <cell r="C44" t="str">
            <v>B-Deferred Development Costs</v>
          </cell>
        </row>
        <row r="45">
          <cell r="A45" t="str">
            <v>25322.000.00000.19217.MCFRAN.00000</v>
          </cell>
          <cell r="B45">
            <v>182</v>
          </cell>
          <cell r="C45" t="str">
            <v>B-Deferred Development Costs</v>
          </cell>
        </row>
        <row r="46">
          <cell r="A46" t="str">
            <v>25322.000.00000.19217.MCGOWL.00000</v>
          </cell>
          <cell r="B46">
            <v>182</v>
          </cell>
          <cell r="C46" t="str">
            <v>B-Deferred Development Costs</v>
          </cell>
        </row>
        <row r="47">
          <cell r="A47" t="str">
            <v>25322.000.00000.19219.000000.00000</v>
          </cell>
          <cell r="B47">
            <v>182</v>
          </cell>
          <cell r="C47" t="str">
            <v>B-Deferred Development Costs</v>
          </cell>
        </row>
        <row r="48">
          <cell r="A48" t="str">
            <v>25322.000.00000.19219.MCGOWL.00000</v>
          </cell>
          <cell r="B48">
            <v>182</v>
          </cell>
          <cell r="C48" t="str">
            <v>B-Deferred Development Costs</v>
          </cell>
        </row>
        <row r="49">
          <cell r="A49" t="str">
            <v>25322.000.00000.19555.000000.00000</v>
          </cell>
          <cell r="B49">
            <v>162</v>
          </cell>
          <cell r="C49" t="str">
            <v>B-Other Current Assets</v>
          </cell>
        </row>
        <row r="50">
          <cell r="A50" t="str">
            <v>25322.000.00000.19901.000000.00000</v>
          </cell>
          <cell r="B50">
            <v>140</v>
          </cell>
          <cell r="C50" t="str">
            <v>B-Accounts Receivable – Customers</v>
          </cell>
        </row>
        <row r="51">
          <cell r="A51" t="str">
            <v>25322.000.00000.19903.MCBILL.00000</v>
          </cell>
          <cell r="B51">
            <v>140</v>
          </cell>
          <cell r="C51" t="str">
            <v>B-Accounts Receivable – Customers</v>
          </cell>
        </row>
        <row r="52">
          <cell r="A52" t="str">
            <v>25322.000.00000.20110.000000.25321</v>
          </cell>
          <cell r="B52">
            <v>252</v>
          </cell>
          <cell r="C52" t="str">
            <v>B-Accounts Payable and Accrued Liabilities – Associates and Affiliates</v>
          </cell>
        </row>
        <row r="53">
          <cell r="A53" t="str">
            <v>25322.000.00000.21001.000000.00000</v>
          </cell>
          <cell r="B53">
            <v>251</v>
          </cell>
          <cell r="C53" t="str">
            <v>B-Accounts Payable and Accrued Liabilities</v>
          </cell>
        </row>
        <row r="54">
          <cell r="A54" t="str">
            <v>25322.000.00000.21003.000000.00000</v>
          </cell>
          <cell r="B54">
            <v>251</v>
          </cell>
          <cell r="C54" t="str">
            <v>B-Accounts Payable and Accrued Liabilities</v>
          </cell>
        </row>
        <row r="55">
          <cell r="A55" t="str">
            <v>25322.000.00000.21006.000000.00000</v>
          </cell>
          <cell r="B55">
            <v>251</v>
          </cell>
          <cell r="C55" t="str">
            <v>B-Accounts Payable and Accrued Liabilities</v>
          </cell>
        </row>
        <row r="56">
          <cell r="A56" t="str">
            <v>25322.000.00000.21101.000000.00000</v>
          </cell>
          <cell r="B56">
            <v>251</v>
          </cell>
          <cell r="C56" t="str">
            <v>B-Accounts Payable and Accrued Liabilities</v>
          </cell>
        </row>
        <row r="57">
          <cell r="A57" t="str">
            <v>25322.000.00000.21101.MCCORP.00000</v>
          </cell>
          <cell r="B57">
            <v>251</v>
          </cell>
          <cell r="C57" t="str">
            <v>B-Accounts Payable and Accrued Liabilities</v>
          </cell>
        </row>
        <row r="58">
          <cell r="A58" t="str">
            <v>25322.000.00000.21106.000000.00000</v>
          </cell>
          <cell r="B58">
            <v>251</v>
          </cell>
          <cell r="C58" t="str">
            <v>B-Accounts Payable and Accrued Liabilities</v>
          </cell>
        </row>
        <row r="59">
          <cell r="A59" t="str">
            <v>25322.000.00000.21113.000000.00000</v>
          </cell>
          <cell r="B59">
            <v>259</v>
          </cell>
          <cell r="C59" t="str">
            <v>B-Other Current and Accrued Liabilities</v>
          </cell>
        </row>
        <row r="60">
          <cell r="A60" t="str">
            <v>25322.000.00000.21301.000000.10001</v>
          </cell>
          <cell r="B60">
            <v>248</v>
          </cell>
          <cell r="C60" t="str">
            <v>B-Long-Term Advances from Associates and Affiliates</v>
          </cell>
        </row>
        <row r="61">
          <cell r="A61" t="str">
            <v>25322.000.00000.21301.000000.10098</v>
          </cell>
          <cell r="B61">
            <v>248</v>
          </cell>
          <cell r="C61" t="str">
            <v>B-Long-Term Advances from Associates and Affiliates</v>
          </cell>
        </row>
        <row r="62">
          <cell r="A62" t="str">
            <v>25322.000.00000.21301.000000.25022</v>
          </cell>
          <cell r="B62">
            <v>248</v>
          </cell>
          <cell r="C62" t="str">
            <v>B-Long-Term Advances from Associates and Affiliates</v>
          </cell>
        </row>
        <row r="63">
          <cell r="A63" t="str">
            <v>25322.000.00000.21301.000000.25102</v>
          </cell>
          <cell r="B63">
            <v>248</v>
          </cell>
          <cell r="C63" t="str">
            <v>B-Long-Term Advances from Associates and Affiliates</v>
          </cell>
        </row>
        <row r="64">
          <cell r="A64" t="str">
            <v>25322.000.00000.21301.000000.25312</v>
          </cell>
          <cell r="B64">
            <v>248</v>
          </cell>
          <cell r="C64" t="str">
            <v>B-Long-Term Advances from Associates and Affiliates</v>
          </cell>
        </row>
        <row r="65">
          <cell r="A65" t="str">
            <v>25322.000.00000.21301.000000.26222</v>
          </cell>
          <cell r="B65">
            <v>248</v>
          </cell>
          <cell r="C65" t="str">
            <v>B-Long-Term Advances from Associates and Affiliates</v>
          </cell>
        </row>
        <row r="66">
          <cell r="A66" t="str">
            <v>25322.000.00000.21301.000000.40002</v>
          </cell>
          <cell r="B66">
            <v>248</v>
          </cell>
          <cell r="C66" t="str">
            <v>B-Long-Term Advances from Associates and Affiliates</v>
          </cell>
        </row>
        <row r="67">
          <cell r="A67" t="str">
            <v>25322.000.00000.21301.000000.40121</v>
          </cell>
          <cell r="B67">
            <v>248</v>
          </cell>
          <cell r="C67" t="str">
            <v>B-Long-Term Advances from Associates and Affiliates</v>
          </cell>
        </row>
        <row r="68">
          <cell r="A68" t="str">
            <v>25322.000.00000.21302.000000.25502</v>
          </cell>
          <cell r="B68">
            <v>248</v>
          </cell>
          <cell r="C68" t="str">
            <v>B-Long-Term Advances from Associates and Affiliates</v>
          </cell>
        </row>
        <row r="69">
          <cell r="A69" t="str">
            <v>25322.000.00000.21303.000000.25102</v>
          </cell>
          <cell r="B69">
            <v>248</v>
          </cell>
          <cell r="C69" t="str">
            <v>B-Long-Term Advances from Associates and Affiliates</v>
          </cell>
        </row>
        <row r="70">
          <cell r="A70" t="str">
            <v>25322.000.00000.21402.000000.00000</v>
          </cell>
          <cell r="B70">
            <v>251</v>
          </cell>
          <cell r="C70" t="str">
            <v>B-Accounts Payable and Accrued Liabilities</v>
          </cell>
        </row>
        <row r="71">
          <cell r="A71" t="str">
            <v>25322.000.00000.22043.000000.00000</v>
          </cell>
          <cell r="B71">
            <v>256</v>
          </cell>
          <cell r="C71" t="str">
            <v>B-Taxes Payable – Current</v>
          </cell>
        </row>
        <row r="72">
          <cell r="A72" t="str">
            <v>25322.000.00000.22301.000000.00000</v>
          </cell>
          <cell r="B72">
            <v>256</v>
          </cell>
          <cell r="C72" t="str">
            <v>B-Taxes Payable – Current</v>
          </cell>
        </row>
        <row r="73">
          <cell r="A73" t="str">
            <v>25322.000.00000.22303.000000.00000</v>
          </cell>
          <cell r="B73">
            <v>256</v>
          </cell>
          <cell r="C73" t="str">
            <v>B-Taxes Payable – Current</v>
          </cell>
        </row>
        <row r="74">
          <cell r="A74" t="str">
            <v>25322.000.00000.22313.000000.00000</v>
          </cell>
          <cell r="B74">
            <v>256</v>
          </cell>
          <cell r="C74" t="str">
            <v>B-Taxes Payable – Current</v>
          </cell>
        </row>
        <row r="75">
          <cell r="A75" t="str">
            <v>25322.000.00000.22329.MCHOLD.00000</v>
          </cell>
          <cell r="B75">
            <v>256</v>
          </cell>
          <cell r="C75" t="str">
            <v>B-Taxes Payable – Current</v>
          </cell>
        </row>
        <row r="76">
          <cell r="A76" t="str">
            <v>25322.000.00000.23003.000000.00000</v>
          </cell>
          <cell r="B76">
            <v>251</v>
          </cell>
          <cell r="C76" t="str">
            <v>B-Accounts Payable and Accrued Liabilities</v>
          </cell>
        </row>
        <row r="77">
          <cell r="A77" t="str">
            <v>25322.000.00000.23005.000000.00000</v>
          </cell>
          <cell r="B77">
            <v>263</v>
          </cell>
          <cell r="C77" t="str">
            <v>B-Deferred Revenues</v>
          </cell>
        </row>
        <row r="78">
          <cell r="A78" t="str">
            <v>25322.000.00000.23009.000000.00000</v>
          </cell>
          <cell r="B78">
            <v>259</v>
          </cell>
          <cell r="C78" t="str">
            <v>B-Other Current and Accrued Liabilities</v>
          </cell>
        </row>
        <row r="79">
          <cell r="A79" t="str">
            <v>25322.000.00000.23009.FG2420.00000</v>
          </cell>
          <cell r="B79">
            <v>259</v>
          </cell>
          <cell r="C79" t="str">
            <v>B-Other Current and Accrued Liabilities</v>
          </cell>
        </row>
        <row r="80">
          <cell r="A80" t="str">
            <v>25322.000.00000.23021.000000.00000</v>
          </cell>
          <cell r="B80">
            <v>254</v>
          </cell>
          <cell r="C80" t="str">
            <v>B-Customers’ Security Deposits</v>
          </cell>
        </row>
        <row r="81">
          <cell r="A81" t="str">
            <v>25322.000.00000.23203.000000.00000</v>
          </cell>
          <cell r="B81">
            <v>257</v>
          </cell>
          <cell r="C81" t="str">
            <v>B-Interest Payable and Accrued</v>
          </cell>
        </row>
        <row r="82">
          <cell r="A82" t="str">
            <v>25322.000.00000.23313.000000.25321</v>
          </cell>
          <cell r="B82">
            <v>147</v>
          </cell>
          <cell r="C82" t="str">
            <v>B-Interest and Dividends Receivable</v>
          </cell>
        </row>
        <row r="83">
          <cell r="A83" t="str">
            <v>25322.000.00000.25105.000000.25321</v>
          </cell>
          <cell r="B83">
            <v>248</v>
          </cell>
          <cell r="C83" t="str">
            <v>B-Long-Term Advances from Associates and Affiliates</v>
          </cell>
        </row>
        <row r="84">
          <cell r="A84" t="str">
            <v>25322.000.00000.26001.000000.00000</v>
          </cell>
          <cell r="B84">
            <v>280</v>
          </cell>
          <cell r="C84" t="str">
            <v>B-Deferred Pension Costs</v>
          </cell>
        </row>
        <row r="85">
          <cell r="A85" t="str">
            <v>25322.000.00000.26002.000000.00000</v>
          </cell>
          <cell r="B85">
            <v>280</v>
          </cell>
          <cell r="C85" t="str">
            <v>B-Deferred Pension Costs</v>
          </cell>
        </row>
        <row r="86">
          <cell r="A86" t="str">
            <v>25322.000.00000.26003.000000.00000</v>
          </cell>
          <cell r="B86">
            <v>280</v>
          </cell>
          <cell r="C86" t="str">
            <v>B-Deferred Pension Costs</v>
          </cell>
        </row>
        <row r="87">
          <cell r="A87" t="str">
            <v>25322.000.00000.26004.000000.00000</v>
          </cell>
          <cell r="B87">
            <v>280</v>
          </cell>
          <cell r="C87" t="str">
            <v>B-Deferred Pension Costs</v>
          </cell>
        </row>
        <row r="88">
          <cell r="A88" t="str">
            <v>25322.000.00000.29905.000000.00000</v>
          </cell>
          <cell r="B88">
            <v>205</v>
          </cell>
          <cell r="C88" t="str">
            <v>B-Common Shares</v>
          </cell>
        </row>
        <row r="89">
          <cell r="A89" t="str">
            <v>25322.000.00000.29916.000000.25321</v>
          </cell>
          <cell r="B89">
            <v>205</v>
          </cell>
          <cell r="C89" t="str">
            <v>B-Common Shares</v>
          </cell>
        </row>
        <row r="90">
          <cell r="A90" t="str">
            <v>25322.000.00000.29921.000000.00000</v>
          </cell>
          <cell r="B90">
            <v>212</v>
          </cell>
          <cell r="C90" t="str">
            <v>B-Retained Earnings</v>
          </cell>
        </row>
        <row r="91">
          <cell r="A91" t="str">
            <v>25322.000.00000.29938.000000.00000</v>
          </cell>
          <cell r="B91">
            <v>212</v>
          </cell>
          <cell r="C91" t="str">
            <v>B-Retained Earnings</v>
          </cell>
        </row>
        <row r="92">
          <cell r="A92" t="str">
            <v>25322.000.00000.29951.000000.25321</v>
          </cell>
          <cell r="B92">
            <v>212</v>
          </cell>
          <cell r="C92" t="str">
            <v>B-Retained Earnings</v>
          </cell>
        </row>
        <row r="94">
          <cell r="A94" t="str">
            <v>25322.000.00000.31001.PS0151.00000</v>
          </cell>
          <cell r="B94">
            <v>520</v>
          </cell>
          <cell r="C94" t="str">
            <v>I-Residential Sales</v>
          </cell>
        </row>
        <row r="95">
          <cell r="A95" t="str">
            <v>25322.000.00000.31001.PS0152.00000</v>
          </cell>
          <cell r="B95">
            <v>520</v>
          </cell>
          <cell r="C95" t="str">
            <v>I-Residential Sales</v>
          </cell>
        </row>
        <row r="96">
          <cell r="A96" t="str">
            <v>25322.000.00000.31001.PS0153.00000</v>
          </cell>
          <cell r="B96">
            <v>521</v>
          </cell>
          <cell r="C96" t="str">
            <v>I-Commercial Sales</v>
          </cell>
        </row>
        <row r="97">
          <cell r="A97" t="str">
            <v>25322.000.00000.31001.PS0154.00000</v>
          </cell>
          <cell r="B97">
            <v>522</v>
          </cell>
          <cell r="C97" t="str">
            <v>I-Industrial Sales</v>
          </cell>
        </row>
        <row r="98">
          <cell r="A98" t="str">
            <v>25322.000.00000.31001.PS0156.00000</v>
          </cell>
          <cell r="B98">
            <v>522</v>
          </cell>
          <cell r="C98" t="str">
            <v>I-Industrial Sales</v>
          </cell>
        </row>
        <row r="99">
          <cell r="A99" t="str">
            <v>25322.000.00000.31001.PS0157.00000</v>
          </cell>
          <cell r="B99">
            <v>522</v>
          </cell>
          <cell r="C99" t="str">
            <v>I-Industrial Sales</v>
          </cell>
        </row>
        <row r="100">
          <cell r="A100" t="str">
            <v>25322.000.00000.31101.PS0151.00000</v>
          </cell>
          <cell r="B100">
            <v>520</v>
          </cell>
          <cell r="C100" t="str">
            <v>I-Residential Sales</v>
          </cell>
        </row>
        <row r="101">
          <cell r="A101" t="str">
            <v>25322.000.00000.31101.PS0153.00000</v>
          </cell>
          <cell r="B101">
            <v>521</v>
          </cell>
          <cell r="C101" t="str">
            <v>I-Commercial Sales</v>
          </cell>
        </row>
        <row r="102">
          <cell r="A102" t="str">
            <v>25322.000.00000.31101.PS0154.00000</v>
          </cell>
          <cell r="B102">
            <v>522</v>
          </cell>
          <cell r="C102" t="str">
            <v>I-Industrial Sales</v>
          </cell>
        </row>
        <row r="103">
          <cell r="A103" t="str">
            <v>25322.000.00000.31101.PS0156.00000</v>
          </cell>
          <cell r="B103">
            <v>522</v>
          </cell>
          <cell r="C103" t="str">
            <v>I-Industrial Sales</v>
          </cell>
        </row>
        <row r="104">
          <cell r="A104" t="str">
            <v>25322.000.00000.31501.000000.00000</v>
          </cell>
          <cell r="B104">
            <v>529</v>
          </cell>
          <cell r="C104" t="str">
            <v>I-Other Sales</v>
          </cell>
        </row>
        <row r="105">
          <cell r="A105" t="str">
            <v>25322.000.00000.31551.000000.00000</v>
          </cell>
          <cell r="B105">
            <v>561</v>
          </cell>
          <cell r="C105" t="str">
            <v>I-Revenue from Service Work</v>
          </cell>
        </row>
        <row r="106">
          <cell r="A106" t="str">
            <v>25322.000.00000.31552.MCACCR.00000</v>
          </cell>
          <cell r="B106">
            <v>561</v>
          </cell>
          <cell r="C106" t="str">
            <v>I-Revenue from Service Work</v>
          </cell>
        </row>
        <row r="107">
          <cell r="A107" t="str">
            <v>25322.000.00000.31552.PS0100.00000</v>
          </cell>
          <cell r="B107">
            <v>561</v>
          </cell>
          <cell r="C107" t="str">
            <v>I-Revenue from Service Work</v>
          </cell>
        </row>
        <row r="108">
          <cell r="A108" t="str">
            <v>25322.000.00000.31552.PS0101.00000</v>
          </cell>
          <cell r="B108">
            <v>561</v>
          </cell>
          <cell r="C108" t="str">
            <v>I-Revenue from Service Work</v>
          </cell>
        </row>
        <row r="109">
          <cell r="A109" t="str">
            <v>25322.000.00000.31552.PS0508.00000</v>
          </cell>
          <cell r="B109">
            <v>561</v>
          </cell>
          <cell r="C109" t="str">
            <v>I-Revenue from Service Work</v>
          </cell>
        </row>
        <row r="110">
          <cell r="A110" t="str">
            <v>25322.000.00000.31552.PS0509.00000</v>
          </cell>
          <cell r="B110">
            <v>561</v>
          </cell>
          <cell r="C110" t="str">
            <v>I-Revenue from Service Work</v>
          </cell>
        </row>
        <row r="111">
          <cell r="A111" t="str">
            <v>25322.000.00000.31552.PS0515.00000</v>
          </cell>
          <cell r="B111">
            <v>561</v>
          </cell>
          <cell r="C111" t="str">
            <v>I-Revenue from Service Work</v>
          </cell>
        </row>
        <row r="112">
          <cell r="A112" t="str">
            <v>25322.000.00000.31556.000000.00000</v>
          </cell>
          <cell r="B112">
            <v>561</v>
          </cell>
          <cell r="C112" t="str">
            <v>I-Revenue from Service Work</v>
          </cell>
        </row>
        <row r="113">
          <cell r="A113" t="str">
            <v>25322.000.00000.31557.000000.00000</v>
          </cell>
          <cell r="B113">
            <v>561</v>
          </cell>
          <cell r="C113" t="str">
            <v>I-Revenue from Service Work</v>
          </cell>
        </row>
        <row r="114">
          <cell r="A114" t="str">
            <v>25322.000.00000.35223.000000.00000</v>
          </cell>
          <cell r="B114">
            <v>560</v>
          </cell>
          <cell r="C114" t="str">
            <v>I-Late Payment Penalties</v>
          </cell>
        </row>
        <row r="115">
          <cell r="A115" t="str">
            <v>25322.000.00000.35225.000000.00000</v>
          </cell>
          <cell r="B115">
            <v>529</v>
          </cell>
          <cell r="C115" t="str">
            <v>I-Other Sales</v>
          </cell>
        </row>
        <row r="116">
          <cell r="A116" t="str">
            <v>25322.000.00000.35225.MCSTUP.00000</v>
          </cell>
          <cell r="B116">
            <v>529</v>
          </cell>
          <cell r="C116" t="str">
            <v>I-Other Sales</v>
          </cell>
        </row>
        <row r="117">
          <cell r="A117" t="str">
            <v>25322.000.00000.35233.PS0151.00000</v>
          </cell>
          <cell r="B117">
            <v>570</v>
          </cell>
          <cell r="C117" t="str">
            <v>I-Transportation Revenue</v>
          </cell>
        </row>
        <row r="118">
          <cell r="A118" t="str">
            <v>25322.000.00000.35233.PS0152.00000</v>
          </cell>
          <cell r="B118">
            <v>570</v>
          </cell>
          <cell r="C118" t="str">
            <v>I-Transportation Revenue</v>
          </cell>
        </row>
        <row r="119">
          <cell r="A119" t="str">
            <v>25322.000.00000.35233.PS0153.00000</v>
          </cell>
          <cell r="B119">
            <v>570</v>
          </cell>
          <cell r="C119" t="str">
            <v>I-Transportation Revenue</v>
          </cell>
        </row>
        <row r="120">
          <cell r="A120" t="str">
            <v>25322.000.00000.35233.PS0154.00000</v>
          </cell>
          <cell r="B120">
            <v>570</v>
          </cell>
          <cell r="C120" t="str">
            <v>I-Transportation Revenue</v>
          </cell>
        </row>
        <row r="121">
          <cell r="A121" t="str">
            <v>25322.000.00000.35233.PS0155.00000</v>
          </cell>
          <cell r="B121">
            <v>570</v>
          </cell>
          <cell r="C121" t="str">
            <v>I-Transportation Revenue</v>
          </cell>
        </row>
        <row r="122">
          <cell r="A122" t="str">
            <v>25322.000.00000.35233.PS0156.00000</v>
          </cell>
          <cell r="B122">
            <v>570</v>
          </cell>
          <cell r="C122" t="str">
            <v>I-Transportation Revenue</v>
          </cell>
        </row>
        <row r="123">
          <cell r="A123" t="str">
            <v>25322.000.00000.35233.PS0157.00000</v>
          </cell>
          <cell r="B123">
            <v>570</v>
          </cell>
          <cell r="C123" t="str">
            <v>I-Transportation Revenue</v>
          </cell>
        </row>
        <row r="124">
          <cell r="A124" t="str">
            <v>25322.000.00000.35233.PS0251.00000</v>
          </cell>
          <cell r="B124">
            <v>570</v>
          </cell>
          <cell r="C124" t="str">
            <v>I-Transportation Revenue</v>
          </cell>
        </row>
        <row r="125">
          <cell r="A125" t="str">
            <v>25322.000.00000.35233.PS0351.00000</v>
          </cell>
          <cell r="B125">
            <v>570</v>
          </cell>
          <cell r="C125" t="str">
            <v>I-Transportation Revenue</v>
          </cell>
        </row>
        <row r="126">
          <cell r="A126" t="str">
            <v>25322.000.00000.35233.PS0451.00000</v>
          </cell>
          <cell r="B126">
            <v>570</v>
          </cell>
          <cell r="C126" t="str">
            <v>I-Transportation Revenue</v>
          </cell>
        </row>
        <row r="127">
          <cell r="A127" t="str">
            <v>25322.000.00000.35299.000000.00000</v>
          </cell>
          <cell r="B127">
            <v>579</v>
          </cell>
          <cell r="C127" t="str">
            <v>I-Miscellaneous Operating Revenue</v>
          </cell>
        </row>
        <row r="128">
          <cell r="A128" t="str">
            <v>25322.000.00000.35999.RDINCO.00000</v>
          </cell>
          <cell r="B128">
            <v>579</v>
          </cell>
          <cell r="C128" t="str">
            <v>I-Miscellaneous Operating Revenue</v>
          </cell>
        </row>
        <row r="129">
          <cell r="A129" t="str">
            <v>25322.000.00000.40201.000000.00000</v>
          </cell>
          <cell r="B129">
            <v>663</v>
          </cell>
          <cell r="C129" t="str">
            <v>I-Transportation of Gas by Others</v>
          </cell>
        </row>
        <row r="130">
          <cell r="A130" t="str">
            <v>25322.000.00000.41001.FG7020.00000</v>
          </cell>
          <cell r="B130">
            <v>623</v>
          </cell>
          <cell r="C130" t="str">
            <v>I-Cost of Gas</v>
          </cell>
        </row>
        <row r="131">
          <cell r="A131" t="str">
            <v>25322.000.00000.41001.FG7030.00000</v>
          </cell>
          <cell r="B131">
            <v>623</v>
          </cell>
          <cell r="C131" t="str">
            <v>I-Cost of Gas</v>
          </cell>
        </row>
        <row r="132">
          <cell r="A132" t="str">
            <v>25322.000.00000.41001.FG7040.00000</v>
          </cell>
          <cell r="B132">
            <v>623</v>
          </cell>
          <cell r="C132" t="str">
            <v>I-Cost of Gas</v>
          </cell>
        </row>
        <row r="133">
          <cell r="A133" t="str">
            <v>25322.000.00000.41001.FG7110.00000</v>
          </cell>
          <cell r="B133">
            <v>623</v>
          </cell>
          <cell r="C133" t="str">
            <v>I-Cost of Gas</v>
          </cell>
        </row>
        <row r="134">
          <cell r="A134" t="str">
            <v>25322.000.00000.41001.FG7140.00000</v>
          </cell>
          <cell r="B134">
            <v>623</v>
          </cell>
          <cell r="C134" t="str">
            <v>I-Cost of Gas</v>
          </cell>
        </row>
        <row r="135">
          <cell r="A135" t="str">
            <v>25322.000.00000.41001.FG7150.00000</v>
          </cell>
          <cell r="B135">
            <v>623</v>
          </cell>
          <cell r="C135" t="str">
            <v>I-Cost of Gas</v>
          </cell>
        </row>
        <row r="136">
          <cell r="A136" t="str">
            <v>25322.000.00000.41001.FG7160.00000</v>
          </cell>
          <cell r="B136">
            <v>623</v>
          </cell>
          <cell r="C136" t="str">
            <v>I-Cost of Gas</v>
          </cell>
        </row>
        <row r="137">
          <cell r="A137" t="str">
            <v>25322.000.00000.41001.FG7170.00000</v>
          </cell>
          <cell r="B137">
            <v>623</v>
          </cell>
          <cell r="C137" t="str">
            <v>I-Cost of Gas</v>
          </cell>
        </row>
        <row r="138">
          <cell r="A138" t="str">
            <v>25322.000.00000.41001.FG7180.00000</v>
          </cell>
          <cell r="B138">
            <v>623</v>
          </cell>
          <cell r="C138" t="str">
            <v>I-Cost of Gas</v>
          </cell>
        </row>
        <row r="139">
          <cell r="A139" t="str">
            <v>25322.000.00000.41001.FG7200.00000</v>
          </cell>
          <cell r="B139">
            <v>623</v>
          </cell>
          <cell r="C139" t="str">
            <v>I-Cost of Gas</v>
          </cell>
        </row>
        <row r="140">
          <cell r="A140" t="str">
            <v>25322.000.00000.41001.FG8020.00000</v>
          </cell>
          <cell r="B140">
            <v>623</v>
          </cell>
          <cell r="C140" t="str">
            <v>I-Cost of Gas</v>
          </cell>
        </row>
        <row r="141">
          <cell r="A141" t="str">
            <v>25322.000.00000.41001.FG8040.00000</v>
          </cell>
          <cell r="B141">
            <v>623</v>
          </cell>
          <cell r="C141" t="str">
            <v>I-Cost of Gas</v>
          </cell>
        </row>
        <row r="142">
          <cell r="A142" t="str">
            <v>25322.000.00000.41001.FG8140.00000</v>
          </cell>
          <cell r="B142">
            <v>623</v>
          </cell>
          <cell r="C142" t="str">
            <v>I-Cost of Gas</v>
          </cell>
        </row>
        <row r="143">
          <cell r="A143" t="str">
            <v>25322.000.00000.41001.FG8170.00000</v>
          </cell>
          <cell r="B143">
            <v>623</v>
          </cell>
          <cell r="C143" t="str">
            <v>I-Cost of Gas</v>
          </cell>
        </row>
        <row r="144">
          <cell r="A144" t="str">
            <v>25322.000.00000.41001.FG8180.00000</v>
          </cell>
          <cell r="B144">
            <v>623</v>
          </cell>
          <cell r="C144" t="str">
            <v>I-Cost of Gas</v>
          </cell>
        </row>
        <row r="145">
          <cell r="A145" t="str">
            <v>25322.000.25334.41001.FG7160.00000</v>
          </cell>
          <cell r="B145">
            <v>623</v>
          </cell>
          <cell r="C145" t="str">
            <v>I-Cost of Gas</v>
          </cell>
        </row>
        <row r="146">
          <cell r="A146" t="str">
            <v>25322.000.00000.41553.PS0501.00000</v>
          </cell>
          <cell r="B146">
            <v>561</v>
          </cell>
          <cell r="C146" t="str">
            <v>I-Revenue from Service Work</v>
          </cell>
        </row>
        <row r="147">
          <cell r="A147" t="str">
            <v>25322.000.00000.41553.PS0502.00000</v>
          </cell>
          <cell r="B147">
            <v>561</v>
          </cell>
          <cell r="C147" t="str">
            <v>I-Revenue from Service Work</v>
          </cell>
        </row>
        <row r="148">
          <cell r="A148" t="str">
            <v>25322.000.00000.41553.PS0503.00000</v>
          </cell>
          <cell r="B148">
            <v>561</v>
          </cell>
          <cell r="C148" t="str">
            <v>I-Revenue from Service Work</v>
          </cell>
        </row>
        <row r="149">
          <cell r="A149" t="str">
            <v>25322.000.00000.41553.PS0505.00000</v>
          </cell>
          <cell r="B149">
            <v>561</v>
          </cell>
          <cell r="C149" t="str">
            <v>I-Revenue from Service Work</v>
          </cell>
        </row>
        <row r="150">
          <cell r="A150" t="str">
            <v>25322.000.00000.41553.PS0507.00000</v>
          </cell>
          <cell r="B150">
            <v>561</v>
          </cell>
          <cell r="C150" t="str">
            <v>I-Revenue from Service Work</v>
          </cell>
        </row>
        <row r="151">
          <cell r="A151" t="str">
            <v>25322.000.00000.41553.PS0513.00000</v>
          </cell>
          <cell r="B151">
            <v>561</v>
          </cell>
          <cell r="C151" t="str">
            <v>I-Revenue from Service Work</v>
          </cell>
        </row>
        <row r="152">
          <cell r="A152" t="str">
            <v>25322.000.00000.41553.PS0514.00000</v>
          </cell>
          <cell r="B152">
            <v>561</v>
          </cell>
          <cell r="C152" t="str">
            <v>I-Revenue from Service Work</v>
          </cell>
        </row>
        <row r="153">
          <cell r="A153" t="str">
            <v>25322.000.00000.41558.000000.00000</v>
          </cell>
          <cell r="B153">
            <v>561</v>
          </cell>
          <cell r="C153" t="str">
            <v>I-Revenue from Service Work</v>
          </cell>
        </row>
        <row r="154">
          <cell r="A154" t="str">
            <v>25322.000.00000.41559.000000.00000</v>
          </cell>
          <cell r="B154">
            <v>561</v>
          </cell>
          <cell r="C154" t="str">
            <v>I-Revenue from Service Work</v>
          </cell>
        </row>
        <row r="155">
          <cell r="A155" t="str">
            <v>25322.000.00000.41559.PS0515.00000</v>
          </cell>
          <cell r="B155">
            <v>561</v>
          </cell>
          <cell r="C155" t="str">
            <v>I-Revenue from Service Work</v>
          </cell>
        </row>
        <row r="156">
          <cell r="A156" t="str">
            <v>25322.000.00000.41560.000000.00000</v>
          </cell>
          <cell r="B156">
            <v>561</v>
          </cell>
          <cell r="C156" t="str">
            <v>I-Revenue from Service Work</v>
          </cell>
        </row>
        <row r="157">
          <cell r="A157" t="str">
            <v>25322.000.00000.41560.PS0511.00000</v>
          </cell>
          <cell r="B157">
            <v>561</v>
          </cell>
          <cell r="C157" t="str">
            <v>I-Revenue from Service Work</v>
          </cell>
        </row>
        <row r="158">
          <cell r="A158" t="str">
            <v>25322.000.00000.41561.000000.00000</v>
          </cell>
          <cell r="B158">
            <v>561</v>
          </cell>
          <cell r="C158" t="str">
            <v>I-Revenue from Service Work</v>
          </cell>
        </row>
        <row r="159">
          <cell r="A159" t="str">
            <v>25322.000.00000.41561.PS0511.00000</v>
          </cell>
          <cell r="B159">
            <v>561</v>
          </cell>
          <cell r="C159" t="str">
            <v>I-Revenue from Service Work</v>
          </cell>
        </row>
        <row r="160">
          <cell r="A160" t="str">
            <v>25322.000.00000.41561.PS0513.00000</v>
          </cell>
          <cell r="B160">
            <v>561</v>
          </cell>
          <cell r="C160" t="str">
            <v>I-Revenue from Service Work</v>
          </cell>
        </row>
        <row r="161">
          <cell r="A161" t="str">
            <v>25322.000.00000.41562.000000.00000</v>
          </cell>
          <cell r="B161">
            <v>561</v>
          </cell>
          <cell r="C161" t="str">
            <v>I-Revenue from Service Work</v>
          </cell>
        </row>
        <row r="162">
          <cell r="A162" t="str">
            <v>25322.000.25300.60101.000000.00000</v>
          </cell>
          <cell r="B162">
            <v>728</v>
          </cell>
          <cell r="C162" t="str">
            <v>I-Other Administrative and General Expenses</v>
          </cell>
        </row>
        <row r="163">
          <cell r="A163" t="str">
            <v>25322.000.25311.60101.000000.00000</v>
          </cell>
          <cell r="B163">
            <v>728</v>
          </cell>
          <cell r="C163" t="str">
            <v>I-Other Administrative and General Expenses</v>
          </cell>
        </row>
        <row r="164">
          <cell r="A164" t="str">
            <v>25322.000.25312.60101.000000.00000</v>
          </cell>
          <cell r="B164">
            <v>728</v>
          </cell>
          <cell r="C164" t="str">
            <v>I-Other Administrative and General Expenses</v>
          </cell>
        </row>
        <row r="165">
          <cell r="A165" t="str">
            <v>25322.000.25330.60101.000000.00000</v>
          </cell>
          <cell r="B165">
            <v>700</v>
          </cell>
          <cell r="C165" t="str">
            <v>I-Supervision</v>
          </cell>
        </row>
        <row r="166">
          <cell r="A166" t="str">
            <v>25322.000.25332.60101.000000.00000</v>
          </cell>
          <cell r="B166">
            <v>700</v>
          </cell>
          <cell r="C166" t="str">
            <v>I-Supervision</v>
          </cell>
        </row>
        <row r="167">
          <cell r="A167" t="str">
            <v>25322.000.25333.60101.000000.00000</v>
          </cell>
          <cell r="B167">
            <v>561</v>
          </cell>
          <cell r="C167" t="str">
            <v>I-Revenue from Service Work</v>
          </cell>
        </row>
        <row r="168">
          <cell r="A168" t="str">
            <v>25322.000.25334.60101.FG7000.00000</v>
          </cell>
          <cell r="B168">
            <v>623</v>
          </cell>
          <cell r="C168" t="str">
            <v>I-Cost of Gas</v>
          </cell>
        </row>
        <row r="169">
          <cell r="A169" t="str">
            <v>25322.000.25334.60101.FG8000.00000</v>
          </cell>
          <cell r="B169">
            <v>623</v>
          </cell>
          <cell r="C169" t="str">
            <v>I-Cost of Gas</v>
          </cell>
        </row>
        <row r="170">
          <cell r="A170" t="str">
            <v>25322.000.25336.60101.000000.00000</v>
          </cell>
          <cell r="B170">
            <v>688</v>
          </cell>
          <cell r="C170" t="str">
            <v>I-Other General Gas Distributor Operations</v>
          </cell>
        </row>
        <row r="171">
          <cell r="A171" t="str">
            <v>25322.000.25338.60101.000000.00000</v>
          </cell>
          <cell r="B171">
            <v>675</v>
          </cell>
          <cell r="C171" t="str">
            <v>I-Mains and Services</v>
          </cell>
        </row>
        <row r="172">
          <cell r="A172" t="str">
            <v>25322.000.25350.60101.000000.00000</v>
          </cell>
          <cell r="B172">
            <v>688</v>
          </cell>
          <cell r="C172" t="str">
            <v>I-Other General Gas Distributor Operations</v>
          </cell>
        </row>
        <row r="173">
          <cell r="A173" t="str">
            <v>25322.000.25351.60101.000000.00000</v>
          </cell>
          <cell r="B173">
            <v>670</v>
          </cell>
          <cell r="C173" t="str">
            <v>I-Supervision</v>
          </cell>
        </row>
        <row r="174">
          <cell r="A174" t="str">
            <v>25322.000.25352.60101.000000.00000</v>
          </cell>
          <cell r="B174">
            <v>685</v>
          </cell>
          <cell r="C174" t="str">
            <v>I-System Operation and Engineering</v>
          </cell>
        </row>
        <row r="175">
          <cell r="A175" t="str">
            <v>25322.000.25353.60101.000000.00000</v>
          </cell>
          <cell r="B175">
            <v>561</v>
          </cell>
          <cell r="C175" t="str">
            <v>I-Revenue from Service Work</v>
          </cell>
        </row>
        <row r="176">
          <cell r="A176" t="str">
            <v>25322.000.25354.60101.000000.00000</v>
          </cell>
          <cell r="B176">
            <v>685</v>
          </cell>
          <cell r="C176" t="str">
            <v>I-System Operation and Engineering</v>
          </cell>
        </row>
        <row r="177">
          <cell r="A177" t="str">
            <v>25322.000.25361.60101.000000.00000</v>
          </cell>
          <cell r="B177">
            <v>728</v>
          </cell>
          <cell r="C177" t="str">
            <v>I-Other Administrative and General Expenses</v>
          </cell>
        </row>
        <row r="178">
          <cell r="A178" t="str">
            <v>25322.000.25362.60101.000000.00000</v>
          </cell>
          <cell r="B178">
            <v>710</v>
          </cell>
          <cell r="C178" t="str">
            <v>I-Supervision</v>
          </cell>
        </row>
        <row r="179">
          <cell r="A179" t="str">
            <v>25322.000.25300.60109.000000.00000</v>
          </cell>
          <cell r="B179">
            <v>728</v>
          </cell>
          <cell r="C179" t="str">
            <v>I-Other Administrative and General Expenses</v>
          </cell>
        </row>
        <row r="180">
          <cell r="A180" t="str">
            <v>25322.000.25311.60109.000000.00000</v>
          </cell>
          <cell r="B180">
            <v>728</v>
          </cell>
          <cell r="C180" t="str">
            <v>I-Other Administrative and General Expenses</v>
          </cell>
        </row>
        <row r="181">
          <cell r="A181" t="str">
            <v>25322.000.25332.60109.000000.00000</v>
          </cell>
          <cell r="B181">
            <v>700</v>
          </cell>
          <cell r="C181" t="str">
            <v>I-Supervision</v>
          </cell>
        </row>
        <row r="182">
          <cell r="A182" t="str">
            <v>25322.000.25333.60109.000000.00000</v>
          </cell>
          <cell r="B182">
            <v>561</v>
          </cell>
          <cell r="C182" t="str">
            <v>I-Revenue from Service Work</v>
          </cell>
        </row>
        <row r="183">
          <cell r="A183" t="str">
            <v>25322.000.25336.60109.000000.00000</v>
          </cell>
          <cell r="B183">
            <v>688</v>
          </cell>
          <cell r="C183" t="str">
            <v>I-Other General Gas Distributor Operations</v>
          </cell>
        </row>
        <row r="184">
          <cell r="A184" t="str">
            <v>25322.000.25338.60109.000000.00000</v>
          </cell>
          <cell r="B184">
            <v>675</v>
          </cell>
          <cell r="C184" t="str">
            <v>I-Mains and Services</v>
          </cell>
        </row>
        <row r="185">
          <cell r="A185" t="str">
            <v>25322.000.25350.60109.000000.00000</v>
          </cell>
          <cell r="B185">
            <v>688</v>
          </cell>
          <cell r="C185" t="str">
            <v>I-Other General Gas Distributor Operations</v>
          </cell>
        </row>
        <row r="186">
          <cell r="A186" t="str">
            <v>25322.000.25351.60109.PP1670.00000</v>
          </cell>
          <cell r="B186">
            <v>670</v>
          </cell>
          <cell r="C186" t="str">
            <v>I-Supervision</v>
          </cell>
        </row>
        <row r="187">
          <cell r="A187" t="str">
            <v>25322.000.25351.60109.PP2670.00000</v>
          </cell>
          <cell r="B187">
            <v>670</v>
          </cell>
          <cell r="C187" t="str">
            <v>I-Supervision</v>
          </cell>
        </row>
        <row r="188">
          <cell r="A188" t="str">
            <v>25322.000.25351.60109.PP3670.00000</v>
          </cell>
          <cell r="B188">
            <v>670</v>
          </cell>
          <cell r="C188" t="str">
            <v>I-Supervision</v>
          </cell>
        </row>
        <row r="189">
          <cell r="A189" t="str">
            <v>25322.000.25352.60109.000000.00000</v>
          </cell>
          <cell r="B189">
            <v>685</v>
          </cell>
          <cell r="C189" t="str">
            <v>I-System Operation and Engineering</v>
          </cell>
        </row>
        <row r="190">
          <cell r="A190" t="str">
            <v>25322.000.25353.60109.000000.00000</v>
          </cell>
          <cell r="B190">
            <v>561</v>
          </cell>
          <cell r="C190" t="str">
            <v>I-Revenue from Service Work</v>
          </cell>
        </row>
        <row r="191">
          <cell r="A191" t="str">
            <v>25322.000.25354.60109.000000.00000</v>
          </cell>
          <cell r="B191">
            <v>685</v>
          </cell>
          <cell r="C191" t="str">
            <v>I-System Operation and Engineering</v>
          </cell>
        </row>
        <row r="192">
          <cell r="A192" t="str">
            <v>25322.000.25362.60109.000000.00000</v>
          </cell>
          <cell r="B192">
            <v>712</v>
          </cell>
          <cell r="C192" t="str">
            <v>I-Meter Reading</v>
          </cell>
        </row>
        <row r="193">
          <cell r="A193" t="str">
            <v>25322.000.25300.60117.000000.00000</v>
          </cell>
          <cell r="B193">
            <v>728</v>
          </cell>
          <cell r="C193" t="str">
            <v>I-Other Administrative and General Expenses</v>
          </cell>
        </row>
        <row r="194">
          <cell r="A194" t="str">
            <v>25322.000.25311.60117.000000.00000</v>
          </cell>
          <cell r="B194">
            <v>728</v>
          </cell>
          <cell r="C194" t="str">
            <v>I-Other Administrative and General Expenses</v>
          </cell>
        </row>
        <row r="195">
          <cell r="A195" t="str">
            <v>25322.000.25312.60117.000000.00000</v>
          </cell>
          <cell r="B195">
            <v>728</v>
          </cell>
          <cell r="C195" t="str">
            <v>I-Other Administrative and General Expenses</v>
          </cell>
        </row>
        <row r="196">
          <cell r="A196" t="str">
            <v>25322.000.25330.60117.000000.00000</v>
          </cell>
          <cell r="B196">
            <v>700</v>
          </cell>
          <cell r="C196" t="str">
            <v>I-Supervision</v>
          </cell>
        </row>
        <row r="197">
          <cell r="A197" t="str">
            <v>25322.000.25332.60117.000000.00000</v>
          </cell>
          <cell r="B197">
            <v>700</v>
          </cell>
          <cell r="C197" t="str">
            <v>I-Supervision</v>
          </cell>
        </row>
        <row r="198">
          <cell r="A198" t="str">
            <v>25322.000.25333.60117.000000.00000</v>
          </cell>
          <cell r="B198">
            <v>561</v>
          </cell>
          <cell r="C198" t="str">
            <v>I-Revenue from Service Work</v>
          </cell>
        </row>
        <row r="199">
          <cell r="A199" t="str">
            <v>25322.000.25336.60117.000000.00000</v>
          </cell>
          <cell r="B199">
            <v>688</v>
          </cell>
          <cell r="C199" t="str">
            <v>I-Other General Gas Distributor Operations</v>
          </cell>
        </row>
        <row r="200">
          <cell r="A200" t="str">
            <v>25322.000.25338.60117.000000.00000</v>
          </cell>
          <cell r="B200">
            <v>675</v>
          </cell>
          <cell r="C200" t="str">
            <v>I-Mains and Services</v>
          </cell>
        </row>
        <row r="201">
          <cell r="A201" t="str">
            <v>25322.000.25350.60117.000000.00000</v>
          </cell>
          <cell r="B201">
            <v>688</v>
          </cell>
          <cell r="C201" t="str">
            <v>I-Other General Gas Distributor Operations</v>
          </cell>
        </row>
        <row r="202">
          <cell r="A202" t="str">
            <v>25322.000.25351.60117.000000.00000</v>
          </cell>
          <cell r="B202">
            <v>670</v>
          </cell>
          <cell r="C202" t="str">
            <v>I-Supervision</v>
          </cell>
        </row>
        <row r="203">
          <cell r="A203" t="str">
            <v>25322.000.25351.60117.PP1670.00000</v>
          </cell>
          <cell r="B203">
            <v>670</v>
          </cell>
          <cell r="C203" t="str">
            <v>I-Supervision</v>
          </cell>
        </row>
        <row r="204">
          <cell r="A204" t="str">
            <v>25322.000.25351.60117.PP2670.00000</v>
          </cell>
          <cell r="B204">
            <v>670</v>
          </cell>
          <cell r="C204" t="str">
            <v>I-Supervision</v>
          </cell>
        </row>
        <row r="205">
          <cell r="A205" t="str">
            <v>25322.000.25351.60117.PP3670.00000</v>
          </cell>
          <cell r="B205">
            <v>670</v>
          </cell>
          <cell r="C205" t="str">
            <v>I-Supervision</v>
          </cell>
        </row>
        <row r="206">
          <cell r="A206" t="str">
            <v>25322.000.25352.60117.000000.00000</v>
          </cell>
          <cell r="B206">
            <v>685</v>
          </cell>
          <cell r="C206" t="str">
            <v>I-System Operation and Engineering</v>
          </cell>
        </row>
        <row r="207">
          <cell r="A207" t="str">
            <v>25322.000.25353.60117.000000.00000</v>
          </cell>
          <cell r="B207">
            <v>561</v>
          </cell>
          <cell r="C207" t="str">
            <v>I-Revenue from Service Work</v>
          </cell>
        </row>
        <row r="208">
          <cell r="A208" t="str">
            <v>25322.000.25354.60117.000000.00000</v>
          </cell>
          <cell r="B208">
            <v>685</v>
          </cell>
          <cell r="C208" t="str">
            <v>I-System Operation and Engineering</v>
          </cell>
        </row>
        <row r="209">
          <cell r="A209" t="str">
            <v>25322.000.25361.60117.000000.00000</v>
          </cell>
          <cell r="B209">
            <v>728</v>
          </cell>
          <cell r="C209" t="str">
            <v>I-Other Administrative and General Expenses</v>
          </cell>
        </row>
        <row r="210">
          <cell r="A210" t="str">
            <v>25322.000.25362.60117.000000.00000</v>
          </cell>
          <cell r="B210">
            <v>710</v>
          </cell>
          <cell r="C210" t="str">
            <v>I-Supervision</v>
          </cell>
        </row>
        <row r="211">
          <cell r="A211" t="str">
            <v>25322.000.25333.60119.000000.00000</v>
          </cell>
          <cell r="B211">
            <v>561</v>
          </cell>
          <cell r="C211" t="str">
            <v>I-Revenue from Service Work</v>
          </cell>
        </row>
        <row r="212">
          <cell r="A212" t="str">
            <v>25322.000.25362.60119.000000.00000</v>
          </cell>
          <cell r="B212">
            <v>710</v>
          </cell>
          <cell r="C212" t="str">
            <v>I-Supervision</v>
          </cell>
        </row>
        <row r="213">
          <cell r="A213" t="str">
            <v>25322.000.25333.60129.000000.00000</v>
          </cell>
          <cell r="B213">
            <v>561</v>
          </cell>
          <cell r="C213" t="str">
            <v>I-Revenue from Service Work</v>
          </cell>
        </row>
        <row r="214">
          <cell r="A214" t="str">
            <v>25322.000.25336.60129.000000.00000</v>
          </cell>
          <cell r="B214">
            <v>688</v>
          </cell>
          <cell r="C214" t="str">
            <v>I-Other General Gas Distributor Operations</v>
          </cell>
        </row>
        <row r="215">
          <cell r="A215" t="str">
            <v>25322.000.25351.60129.000000.00000</v>
          </cell>
          <cell r="B215">
            <v>670</v>
          </cell>
          <cell r="C215" t="str">
            <v>I-Supervision</v>
          </cell>
        </row>
        <row r="216">
          <cell r="A216" t="str">
            <v>25322.000.25351.60129.PP3670.00000</v>
          </cell>
          <cell r="B216">
            <v>670</v>
          </cell>
          <cell r="C216" t="str">
            <v>I-Supervision</v>
          </cell>
        </row>
        <row r="217">
          <cell r="A217" t="str">
            <v>25322.000.25352.60129.000000.00000</v>
          </cell>
          <cell r="B217">
            <v>685</v>
          </cell>
          <cell r="C217" t="str">
            <v>I-System Operation and Engineering</v>
          </cell>
        </row>
        <row r="218">
          <cell r="A218" t="str">
            <v>25322.000.25353.60129.000000.00000</v>
          </cell>
          <cell r="B218">
            <v>561</v>
          </cell>
          <cell r="C218" t="str">
            <v>I-Revenue from Service Work</v>
          </cell>
        </row>
        <row r="219">
          <cell r="A219" t="str">
            <v>25322.000.25362.60129.000000.00000</v>
          </cell>
          <cell r="B219">
            <v>710</v>
          </cell>
          <cell r="C219" t="str">
            <v>I-Supervision</v>
          </cell>
        </row>
        <row r="220">
          <cell r="A220" t="str">
            <v>25322.000.25300.60131.000000.00000</v>
          </cell>
          <cell r="B220">
            <v>728</v>
          </cell>
          <cell r="C220" t="str">
            <v>I-Other Administrative and General Expenses</v>
          </cell>
        </row>
        <row r="221">
          <cell r="A221" t="str">
            <v>25322.000.25311.60131.000000.00000</v>
          </cell>
          <cell r="B221">
            <v>728</v>
          </cell>
          <cell r="C221" t="str">
            <v>I-Other Administrative and General Expenses</v>
          </cell>
        </row>
        <row r="222">
          <cell r="A222" t="str">
            <v>25322.000.25312.60131.000000.00000</v>
          </cell>
          <cell r="B222">
            <v>728</v>
          </cell>
          <cell r="C222" t="str">
            <v>I-Other Administrative and General Expenses</v>
          </cell>
        </row>
        <row r="223">
          <cell r="A223" t="str">
            <v>25322.000.25330.60131.000000.00000</v>
          </cell>
          <cell r="B223">
            <v>700</v>
          </cell>
          <cell r="C223" t="str">
            <v>I-Supervision</v>
          </cell>
        </row>
        <row r="224">
          <cell r="A224" t="str">
            <v>25322.000.25332.60131.000000.00000</v>
          </cell>
          <cell r="B224">
            <v>700</v>
          </cell>
          <cell r="C224" t="str">
            <v>I-Supervision</v>
          </cell>
        </row>
        <row r="225">
          <cell r="A225" t="str">
            <v>25322.000.25333.60131.000000.00000</v>
          </cell>
          <cell r="B225">
            <v>561</v>
          </cell>
          <cell r="C225" t="str">
            <v>I-Revenue from Service Work</v>
          </cell>
        </row>
        <row r="226">
          <cell r="A226" t="str">
            <v>25322.000.25336.60131.000000.00000</v>
          </cell>
          <cell r="B226">
            <v>688</v>
          </cell>
          <cell r="C226" t="str">
            <v>I-Other General Gas Distributor Operations</v>
          </cell>
        </row>
        <row r="227">
          <cell r="A227" t="str">
            <v>25322.000.25338.60131.000000.00000</v>
          </cell>
          <cell r="B227">
            <v>675</v>
          </cell>
          <cell r="C227" t="str">
            <v>I-Mains and Services</v>
          </cell>
        </row>
        <row r="228">
          <cell r="A228" t="str">
            <v>25322.000.25350.60131.000000.00000</v>
          </cell>
          <cell r="B228">
            <v>688</v>
          </cell>
          <cell r="C228" t="str">
            <v>I-Other General Gas Distributor Operations</v>
          </cell>
        </row>
        <row r="229">
          <cell r="A229" t="str">
            <v>25322.000.25351.60131.000000.00000</v>
          </cell>
          <cell r="B229">
            <v>670</v>
          </cell>
          <cell r="C229" t="str">
            <v>I-Supervision</v>
          </cell>
        </row>
        <row r="230">
          <cell r="A230" t="str">
            <v>25322.000.25351.60131.PP1670.00000</v>
          </cell>
          <cell r="B230">
            <v>670</v>
          </cell>
          <cell r="C230" t="str">
            <v>I-Supervision</v>
          </cell>
        </row>
        <row r="231">
          <cell r="A231" t="str">
            <v>25322.000.25351.60131.PP2670.00000</v>
          </cell>
          <cell r="B231">
            <v>670</v>
          </cell>
          <cell r="C231" t="str">
            <v>I-Supervision</v>
          </cell>
        </row>
        <row r="232">
          <cell r="A232" t="str">
            <v>25322.000.25351.60131.PP3670.00000</v>
          </cell>
          <cell r="B232">
            <v>670</v>
          </cell>
          <cell r="C232" t="str">
            <v>I-Supervision</v>
          </cell>
        </row>
        <row r="233">
          <cell r="A233" t="str">
            <v>25322.000.25352.60131.000000.00000</v>
          </cell>
          <cell r="B233">
            <v>685</v>
          </cell>
          <cell r="C233" t="str">
            <v>I-System Operation and Engineering</v>
          </cell>
        </row>
        <row r="234">
          <cell r="A234" t="str">
            <v>25322.000.25353.60131.000000.00000</v>
          </cell>
          <cell r="B234">
            <v>561</v>
          </cell>
          <cell r="C234" t="str">
            <v>I-Revenue from Service Work</v>
          </cell>
        </row>
        <row r="235">
          <cell r="A235" t="str">
            <v>25322.000.25354.60131.000000.00000</v>
          </cell>
          <cell r="B235">
            <v>685</v>
          </cell>
          <cell r="C235" t="str">
            <v>I-System Operation and Engineering</v>
          </cell>
        </row>
        <row r="236">
          <cell r="A236" t="str">
            <v>25322.000.25361.60131.000000.00000</v>
          </cell>
          <cell r="B236">
            <v>728</v>
          </cell>
          <cell r="C236" t="str">
            <v>I-Other Administrative and General Expenses</v>
          </cell>
        </row>
        <row r="237">
          <cell r="A237" t="str">
            <v>25322.000.25362.60131.000000.00000</v>
          </cell>
          <cell r="B237">
            <v>710</v>
          </cell>
          <cell r="C237" t="str">
            <v>I-Supervision</v>
          </cell>
        </row>
        <row r="238">
          <cell r="A238" t="str">
            <v>25322.000.25300.60133.000000.00000</v>
          </cell>
          <cell r="B238">
            <v>728</v>
          </cell>
          <cell r="C238" t="str">
            <v>I-Other Administrative and General Expenses</v>
          </cell>
        </row>
        <row r="239">
          <cell r="A239" t="str">
            <v>25322.000.25311.60133.000000.00000</v>
          </cell>
          <cell r="B239">
            <v>728</v>
          </cell>
          <cell r="C239" t="str">
            <v>I-Other Administrative and General Expenses</v>
          </cell>
        </row>
        <row r="240">
          <cell r="A240" t="str">
            <v>25322.000.25312.60133.000000.00000</v>
          </cell>
          <cell r="B240">
            <v>728</v>
          </cell>
          <cell r="C240" t="str">
            <v>I-Other Administrative and General Expenses</v>
          </cell>
        </row>
        <row r="241">
          <cell r="A241" t="str">
            <v>25322.000.25330.60133.000000.00000</v>
          </cell>
          <cell r="B241">
            <v>700</v>
          </cell>
          <cell r="C241" t="str">
            <v>I-Supervision</v>
          </cell>
        </row>
        <row r="242">
          <cell r="A242" t="str">
            <v>25322.000.25332.60133.000000.00000</v>
          </cell>
          <cell r="B242">
            <v>700</v>
          </cell>
          <cell r="C242" t="str">
            <v>I-Supervision</v>
          </cell>
        </row>
        <row r="243">
          <cell r="A243" t="str">
            <v>25322.000.25333.60133.000000.00000</v>
          </cell>
          <cell r="B243">
            <v>561</v>
          </cell>
          <cell r="C243" t="str">
            <v>I-Revenue from Service Work</v>
          </cell>
        </row>
        <row r="244">
          <cell r="A244" t="str">
            <v>25322.000.25336.60133.000000.00000</v>
          </cell>
          <cell r="B244">
            <v>688</v>
          </cell>
          <cell r="C244" t="str">
            <v>I-Other General Gas Distributor Operations</v>
          </cell>
        </row>
        <row r="245">
          <cell r="A245" t="str">
            <v>25322.000.25338.60133.000000.00000</v>
          </cell>
          <cell r="B245">
            <v>675</v>
          </cell>
          <cell r="C245" t="str">
            <v>I-Mains and Services</v>
          </cell>
        </row>
        <row r="246">
          <cell r="A246" t="str">
            <v>25322.000.25350.60133.000000.00000</v>
          </cell>
          <cell r="B246">
            <v>688</v>
          </cell>
          <cell r="C246" t="str">
            <v>I-Other General Gas Distributor Operations</v>
          </cell>
        </row>
        <row r="247">
          <cell r="A247" t="str">
            <v>25322.000.25351.60133.000000.00000</v>
          </cell>
          <cell r="B247">
            <v>670</v>
          </cell>
          <cell r="C247" t="str">
            <v>I-Supervision</v>
          </cell>
        </row>
        <row r="248">
          <cell r="A248" t="str">
            <v>25322.000.25352.60133.000000.00000</v>
          </cell>
          <cell r="B248">
            <v>685</v>
          </cell>
          <cell r="C248" t="str">
            <v>I-System Operation and Engineering</v>
          </cell>
        </row>
        <row r="249">
          <cell r="A249" t="str">
            <v>25322.000.25353.60133.000000.00000</v>
          </cell>
          <cell r="B249">
            <v>561</v>
          </cell>
          <cell r="C249" t="str">
            <v>I-Revenue from Service Work</v>
          </cell>
        </row>
        <row r="250">
          <cell r="A250" t="str">
            <v>25322.000.25354.60133.000000.00000</v>
          </cell>
          <cell r="B250">
            <v>685</v>
          </cell>
          <cell r="C250" t="str">
            <v>I-System Operation and Engineering</v>
          </cell>
        </row>
        <row r="251">
          <cell r="A251" t="str">
            <v>25322.000.25361.60133.000000.00000</v>
          </cell>
          <cell r="B251">
            <v>728</v>
          </cell>
          <cell r="C251" t="str">
            <v>I-Other Administrative and General Expenses</v>
          </cell>
        </row>
        <row r="252">
          <cell r="A252" t="str">
            <v>25322.000.25362.60133.000000.00000</v>
          </cell>
          <cell r="B252">
            <v>710</v>
          </cell>
          <cell r="C252" t="str">
            <v>I-Supervision</v>
          </cell>
        </row>
        <row r="253">
          <cell r="A253" t="str">
            <v>25322.000.25320.60137.000000.00000</v>
          </cell>
          <cell r="B253">
            <v>725</v>
          </cell>
          <cell r="C253" t="str">
            <v>I-Employee Benefits</v>
          </cell>
        </row>
        <row r="254">
          <cell r="A254" t="str">
            <v>25322.000.25312.60139.000000.00000</v>
          </cell>
          <cell r="B254">
            <v>728</v>
          </cell>
          <cell r="C254" t="str">
            <v>I-Other Administrative and General Expenses</v>
          </cell>
        </row>
        <row r="255">
          <cell r="A255" t="str">
            <v>25322.000.25330.60139.000000.00000</v>
          </cell>
          <cell r="B255">
            <v>700</v>
          </cell>
          <cell r="C255" t="str">
            <v>I-Supervision</v>
          </cell>
        </row>
        <row r="256">
          <cell r="A256" t="str">
            <v>25322.000.25332.60139.000000.00000</v>
          </cell>
          <cell r="B256">
            <v>700</v>
          </cell>
          <cell r="C256" t="str">
            <v>I-Supervision</v>
          </cell>
        </row>
        <row r="257">
          <cell r="A257" t="str">
            <v>25322.000.25333.60139.000000.00000</v>
          </cell>
          <cell r="B257">
            <v>561</v>
          </cell>
          <cell r="C257" t="str">
            <v>I-Revenue from Service Work</v>
          </cell>
        </row>
        <row r="258">
          <cell r="A258" t="str">
            <v>25322.000.25336.60139.000000.00000</v>
          </cell>
          <cell r="B258">
            <v>688</v>
          </cell>
          <cell r="C258" t="str">
            <v>I-Other General Gas Distributor Operations</v>
          </cell>
        </row>
        <row r="259">
          <cell r="A259" t="str">
            <v>25322.000.25338.60139.000000.00000</v>
          </cell>
          <cell r="B259">
            <v>675</v>
          </cell>
          <cell r="C259" t="str">
            <v>I-Mains and Services</v>
          </cell>
        </row>
        <row r="260">
          <cell r="A260" t="str">
            <v>25322.000.25353.60139.000000.00000</v>
          </cell>
          <cell r="B260">
            <v>561</v>
          </cell>
          <cell r="C260" t="str">
            <v>I-Revenue from Service Work</v>
          </cell>
        </row>
        <row r="261">
          <cell r="A261" t="str">
            <v>25322.000.25362.60139.000000.00000</v>
          </cell>
          <cell r="B261">
            <v>710</v>
          </cell>
          <cell r="C261" t="str">
            <v>I-Supervision</v>
          </cell>
        </row>
        <row r="262">
          <cell r="A262" t="str">
            <v>25322.000.25320.60148.000000.00000</v>
          </cell>
          <cell r="B262">
            <v>725</v>
          </cell>
          <cell r="C262" t="str">
            <v>I-Employee Benefits</v>
          </cell>
        </row>
        <row r="263">
          <cell r="A263" t="str">
            <v>25322.000.25320.60201.000000.00000</v>
          </cell>
          <cell r="B263">
            <v>725</v>
          </cell>
          <cell r="C263" t="str">
            <v>I-Employee Benefits</v>
          </cell>
        </row>
        <row r="264">
          <cell r="A264" t="str">
            <v>25322.000.25320.60205.000000.00000</v>
          </cell>
          <cell r="B264">
            <v>725</v>
          </cell>
          <cell r="C264" t="str">
            <v>I-Employee Benefits</v>
          </cell>
        </row>
        <row r="265">
          <cell r="A265" t="str">
            <v>25322.000.25320.60207.000000.00000</v>
          </cell>
          <cell r="B265">
            <v>725</v>
          </cell>
          <cell r="C265" t="str">
            <v>I-Employee Benefits</v>
          </cell>
        </row>
        <row r="266">
          <cell r="A266" t="str">
            <v>25322.000.25320.60227.000000.00000</v>
          </cell>
          <cell r="B266">
            <v>725</v>
          </cell>
          <cell r="C266" t="str">
            <v>I-Employee Benefits</v>
          </cell>
        </row>
        <row r="267">
          <cell r="A267" t="str">
            <v>25322.000.25320.60228.000000.00000</v>
          </cell>
          <cell r="B267">
            <v>725</v>
          </cell>
          <cell r="C267" t="str">
            <v>I-Employee Benefits</v>
          </cell>
        </row>
        <row r="268">
          <cell r="A268" t="str">
            <v>25322.000.25320.60257.000000.00000</v>
          </cell>
          <cell r="B268">
            <v>725</v>
          </cell>
          <cell r="C268" t="str">
            <v>I-Employee Benefits</v>
          </cell>
        </row>
        <row r="269">
          <cell r="A269" t="str">
            <v>25322.000.25333.60201.000000.00000</v>
          </cell>
          <cell r="B269">
            <v>561</v>
          </cell>
          <cell r="C269" t="str">
            <v>I-Revenue from Service Work</v>
          </cell>
        </row>
        <row r="270">
          <cell r="A270" t="str">
            <v>25322.000.25333.60205.000000.00000</v>
          </cell>
          <cell r="B270">
            <v>561</v>
          </cell>
          <cell r="C270" t="str">
            <v>I-Revenue from Service Work</v>
          </cell>
        </row>
        <row r="271">
          <cell r="A271" t="str">
            <v>25322.000.25333.60207.000000.00000</v>
          </cell>
          <cell r="B271">
            <v>561</v>
          </cell>
          <cell r="C271" t="str">
            <v>I-Revenue from Service Work</v>
          </cell>
        </row>
        <row r="272">
          <cell r="A272" t="str">
            <v>25322.000.25333.60227.000000.00000</v>
          </cell>
          <cell r="B272">
            <v>561</v>
          </cell>
          <cell r="C272" t="str">
            <v>I-Revenue from Service Work</v>
          </cell>
        </row>
        <row r="273">
          <cell r="A273" t="str">
            <v>25322.000.25333.60228.000000.00000</v>
          </cell>
          <cell r="B273">
            <v>561</v>
          </cell>
          <cell r="C273" t="str">
            <v>I-Revenue from Service Work</v>
          </cell>
        </row>
        <row r="274">
          <cell r="A274" t="str">
            <v>25322.000.25333.60257.000000.00000</v>
          </cell>
          <cell r="B274">
            <v>561</v>
          </cell>
          <cell r="C274" t="str">
            <v>I-Revenue from Service Work</v>
          </cell>
        </row>
        <row r="275">
          <cell r="A275" t="str">
            <v>25322.000.25300.60261.000000.00000</v>
          </cell>
          <cell r="B275">
            <v>725</v>
          </cell>
          <cell r="C275" t="str">
            <v>I-Employee Benefits</v>
          </cell>
        </row>
        <row r="276">
          <cell r="A276" t="str">
            <v>25322.000.25312.60401.000000.00000</v>
          </cell>
          <cell r="B276">
            <v>728</v>
          </cell>
          <cell r="C276" t="str">
            <v>I-Other Administrative and General Expenses</v>
          </cell>
        </row>
        <row r="277">
          <cell r="A277" t="str">
            <v>25322.000.25320.60401.000000.00000</v>
          </cell>
          <cell r="B277">
            <v>725</v>
          </cell>
          <cell r="C277" t="str">
            <v>I-Employee Benefits</v>
          </cell>
        </row>
        <row r="278">
          <cell r="A278" t="str">
            <v>25322.000.25330.60401.000000.00000</v>
          </cell>
          <cell r="B278">
            <v>702</v>
          </cell>
          <cell r="C278" t="str">
            <v>I-Demonstration and Selling Expenses</v>
          </cell>
        </row>
        <row r="279">
          <cell r="A279" t="str">
            <v>25322.000.25336.60401.000000.00000</v>
          </cell>
          <cell r="B279">
            <v>688</v>
          </cell>
          <cell r="C279" t="str">
            <v>I-Other General Gas Distributor Operations</v>
          </cell>
        </row>
        <row r="280">
          <cell r="A280" t="str">
            <v>25322.000.25350.60401.000000.00000</v>
          </cell>
          <cell r="B280">
            <v>688</v>
          </cell>
          <cell r="C280" t="str">
            <v>I-Other General Gas Distributor Operations</v>
          </cell>
        </row>
        <row r="281">
          <cell r="A281" t="str">
            <v>25322.000.25351.60401.000000.00000</v>
          </cell>
          <cell r="B281">
            <v>670</v>
          </cell>
          <cell r="C281" t="str">
            <v>I-Supervision</v>
          </cell>
        </row>
        <row r="282">
          <cell r="A282" t="str">
            <v>25322.000.25353.60401.000000.00000</v>
          </cell>
          <cell r="B282">
            <v>561</v>
          </cell>
          <cell r="C282" t="str">
            <v>I-Revenue from Service Work</v>
          </cell>
        </row>
        <row r="283">
          <cell r="A283" t="str">
            <v>25322.000.25354.60401.000000.00000</v>
          </cell>
          <cell r="B283">
            <v>685</v>
          </cell>
          <cell r="C283" t="str">
            <v>I-System Operation and Engineering</v>
          </cell>
        </row>
        <row r="284">
          <cell r="A284" t="str">
            <v>25322.000.25320.60405.000000.00000</v>
          </cell>
          <cell r="B284">
            <v>728</v>
          </cell>
          <cell r="C284" t="str">
            <v>I-Other Administrative and General Expenses</v>
          </cell>
        </row>
        <row r="285">
          <cell r="A285" t="str">
            <v>25322.000.25300.60411.000000.00000</v>
          </cell>
          <cell r="B285">
            <v>728</v>
          </cell>
          <cell r="C285" t="str">
            <v>I-Other Administrative and General Expenses</v>
          </cell>
        </row>
        <row r="286">
          <cell r="A286" t="str">
            <v>25322.000.25320.60411.000000.00000</v>
          </cell>
          <cell r="B286">
            <v>725</v>
          </cell>
          <cell r="C286" t="str">
            <v>I-Employee Benefits</v>
          </cell>
        </row>
        <row r="287">
          <cell r="A287" t="str">
            <v>25322.000.25320.60412.000000.00000</v>
          </cell>
          <cell r="B287">
            <v>725</v>
          </cell>
          <cell r="C287" t="str">
            <v>I-Employee Benefits</v>
          </cell>
        </row>
        <row r="288">
          <cell r="A288" t="str">
            <v>25322.000.25320.60501.000000.00000</v>
          </cell>
          <cell r="B288">
            <v>725</v>
          </cell>
          <cell r="C288" t="str">
            <v>I-Employee Benefits</v>
          </cell>
        </row>
        <row r="289">
          <cell r="A289" t="str">
            <v>25322.000.25333.61001.000000.00000</v>
          </cell>
          <cell r="B289">
            <v>561</v>
          </cell>
          <cell r="C289" t="str">
            <v>I-Revenue from Service Work</v>
          </cell>
        </row>
        <row r="290">
          <cell r="A290" t="str">
            <v>25322.000.25336.61001.000000.00000</v>
          </cell>
          <cell r="B290">
            <v>688</v>
          </cell>
          <cell r="C290" t="str">
            <v>I-Other General Gas Distributor Operations</v>
          </cell>
        </row>
        <row r="291">
          <cell r="A291" t="str">
            <v>25322.000.25350.61001.000000.00000</v>
          </cell>
          <cell r="B291">
            <v>688</v>
          </cell>
          <cell r="C291" t="str">
            <v>I-Other General Gas Distributor Operations</v>
          </cell>
        </row>
        <row r="292">
          <cell r="A292" t="str">
            <v>25322.000.25351.61001.000000.00000</v>
          </cell>
          <cell r="B292">
            <v>677</v>
          </cell>
          <cell r="C292" t="str">
            <v>I-Measuring and Regulating</v>
          </cell>
        </row>
        <row r="293">
          <cell r="A293" t="str">
            <v>25322.000.25352.61001.000000.00000</v>
          </cell>
          <cell r="B293">
            <v>685</v>
          </cell>
          <cell r="C293" t="str">
            <v>I-System Operation and Engineering</v>
          </cell>
        </row>
        <row r="294">
          <cell r="A294" t="str">
            <v>25322.000.25353.61001.000000.00000</v>
          </cell>
          <cell r="B294">
            <v>561</v>
          </cell>
          <cell r="C294" t="str">
            <v>I-Revenue from Service Work</v>
          </cell>
        </row>
        <row r="295">
          <cell r="A295" t="str">
            <v>25322.000.25354.61001.000000.00000</v>
          </cell>
          <cell r="B295">
            <v>685</v>
          </cell>
          <cell r="C295" t="str">
            <v>I-System Operation and Engineering</v>
          </cell>
        </row>
        <row r="296">
          <cell r="A296" t="str">
            <v>25322.000.25333.61009.000000.00000</v>
          </cell>
          <cell r="B296">
            <v>561</v>
          </cell>
          <cell r="C296" t="str">
            <v>I-Revenue from Service Work</v>
          </cell>
        </row>
        <row r="297">
          <cell r="A297" t="str">
            <v>25322.000.25336.61009.000000.00000</v>
          </cell>
          <cell r="B297">
            <v>688</v>
          </cell>
          <cell r="C297" t="str">
            <v>I-Other General Gas Distributor Operations</v>
          </cell>
        </row>
        <row r="298">
          <cell r="A298" t="str">
            <v>25322.000.25350.61009.000000.00000</v>
          </cell>
          <cell r="B298">
            <v>688</v>
          </cell>
          <cell r="C298" t="str">
            <v>I-Other General Gas Distributor Operations</v>
          </cell>
        </row>
        <row r="299">
          <cell r="A299" t="str">
            <v>25322.000.25351.61009.000000.00000</v>
          </cell>
          <cell r="B299">
            <v>677</v>
          </cell>
          <cell r="C299" t="str">
            <v>I-Measuring and Regulating</v>
          </cell>
        </row>
        <row r="300">
          <cell r="A300" t="str">
            <v>25322.000.25352.61009.000000.00000</v>
          </cell>
          <cell r="B300">
            <v>685</v>
          </cell>
          <cell r="C300" t="str">
            <v>I-System Operation and Engineering</v>
          </cell>
        </row>
        <row r="301">
          <cell r="A301" t="str">
            <v>25322.000.25353.61009.000000.00000</v>
          </cell>
          <cell r="B301">
            <v>561</v>
          </cell>
          <cell r="C301" t="str">
            <v>I-Revenue from Service Work</v>
          </cell>
        </row>
        <row r="302">
          <cell r="A302" t="str">
            <v>25322.000.25354.61009.000000.00000</v>
          </cell>
          <cell r="B302">
            <v>685</v>
          </cell>
          <cell r="C302" t="str">
            <v>I-System Operation and Engineering</v>
          </cell>
        </row>
        <row r="303">
          <cell r="A303" t="str">
            <v>25322.000.25362.61009.000000.00000</v>
          </cell>
          <cell r="B303">
            <v>712</v>
          </cell>
          <cell r="C303" t="str">
            <v>I-Meter Reading</v>
          </cell>
        </row>
        <row r="304">
          <cell r="A304" t="str">
            <v>25322.000.25330.61011.000000.00000</v>
          </cell>
          <cell r="B304">
            <v>702</v>
          </cell>
          <cell r="C304" t="str">
            <v>I-Demonstration and Selling Expenses</v>
          </cell>
        </row>
        <row r="305">
          <cell r="A305" t="str">
            <v>25322.000.25333.61011.000000.00000</v>
          </cell>
          <cell r="B305">
            <v>561</v>
          </cell>
          <cell r="C305" t="str">
            <v>I-Revenue from Service Work</v>
          </cell>
        </row>
        <row r="306">
          <cell r="A306" t="str">
            <v>25322.000.25336.61011.000000.00000</v>
          </cell>
          <cell r="B306">
            <v>688</v>
          </cell>
          <cell r="C306" t="str">
            <v>I-Other General Gas Distributor Operations</v>
          </cell>
        </row>
        <row r="307">
          <cell r="A307" t="str">
            <v>25322.000.25350.61011.000000.00000</v>
          </cell>
          <cell r="B307">
            <v>688</v>
          </cell>
          <cell r="C307" t="str">
            <v>I-Other General Gas Distributor Operations</v>
          </cell>
        </row>
        <row r="308">
          <cell r="A308" t="str">
            <v>25322.000.25351.61011.000000.00000</v>
          </cell>
          <cell r="B308">
            <v>685</v>
          </cell>
          <cell r="C308" t="str">
            <v>I-System Operation and Engineering</v>
          </cell>
        </row>
        <row r="309">
          <cell r="A309" t="str">
            <v>25322.000.25352.61011.000000.00000</v>
          </cell>
          <cell r="B309">
            <v>685</v>
          </cell>
          <cell r="C309" t="str">
            <v>I-System Operation and Engineering</v>
          </cell>
        </row>
        <row r="310">
          <cell r="A310" t="str">
            <v>25322.000.25353.61011.000000.00000</v>
          </cell>
          <cell r="B310">
            <v>561</v>
          </cell>
          <cell r="C310" t="str">
            <v>I-Revenue from Service Work</v>
          </cell>
        </row>
        <row r="311">
          <cell r="A311" t="str">
            <v>25322.000.25362.61011.000000.00000</v>
          </cell>
          <cell r="B311">
            <v>712</v>
          </cell>
          <cell r="C311" t="str">
            <v>I-Meter Reading</v>
          </cell>
        </row>
        <row r="312">
          <cell r="A312" t="str">
            <v>25322.000.25350.61101.000000.00000</v>
          </cell>
          <cell r="B312">
            <v>688</v>
          </cell>
          <cell r="C312" t="str">
            <v>I-Other General Gas Distributor Operations</v>
          </cell>
        </row>
        <row r="313">
          <cell r="A313" t="str">
            <v>25322.000.25351.61101.000000.00000</v>
          </cell>
          <cell r="B313">
            <v>685</v>
          </cell>
          <cell r="C313" t="str">
            <v>I-System Operation and Engineering</v>
          </cell>
        </row>
        <row r="314">
          <cell r="A314" t="str">
            <v>25322.000.25352.61101.000000.00000</v>
          </cell>
          <cell r="B314">
            <v>685</v>
          </cell>
          <cell r="C314" t="str">
            <v>I-System Operation and Engineering</v>
          </cell>
        </row>
        <row r="315">
          <cell r="A315" t="str">
            <v>25322.000.25300.61103.000000.00000</v>
          </cell>
          <cell r="B315">
            <v>728</v>
          </cell>
          <cell r="C315" t="str">
            <v>I-Other Administrative and General Expenses</v>
          </cell>
        </row>
        <row r="316">
          <cell r="A316" t="str">
            <v>25322.000.25313.61103.000000.00000</v>
          </cell>
          <cell r="B316">
            <v>728</v>
          </cell>
          <cell r="C316" t="str">
            <v>I-Other Administrative and General Expenses</v>
          </cell>
        </row>
        <row r="317">
          <cell r="A317" t="str">
            <v>25322.000.25330.61103.000000.00000</v>
          </cell>
          <cell r="B317">
            <v>702</v>
          </cell>
          <cell r="C317" t="str">
            <v>I-Demonstration and Selling Expenses</v>
          </cell>
        </row>
        <row r="318">
          <cell r="A318" t="str">
            <v>25322.000.25332.61103.000000.00000</v>
          </cell>
          <cell r="B318">
            <v>705</v>
          </cell>
          <cell r="C318" t="str">
            <v>I-Advertising – Other</v>
          </cell>
        </row>
        <row r="319">
          <cell r="A319" t="str">
            <v>25322.000.25334.61103.000000.00000</v>
          </cell>
          <cell r="B319">
            <v>623</v>
          </cell>
          <cell r="C319" t="str">
            <v>I-Cost of Gas</v>
          </cell>
        </row>
        <row r="320">
          <cell r="A320" t="str">
            <v>25322.000.25336.61103.000000.00000</v>
          </cell>
          <cell r="B320">
            <v>688</v>
          </cell>
          <cell r="C320" t="str">
            <v>I-Other General Gas Distributor Operations</v>
          </cell>
        </row>
        <row r="321">
          <cell r="A321" t="str">
            <v>25322.000.25352.61103.000000.00000</v>
          </cell>
          <cell r="B321">
            <v>685</v>
          </cell>
          <cell r="C321" t="str">
            <v>I-System Operation and Engineering</v>
          </cell>
        </row>
        <row r="322">
          <cell r="A322" t="str">
            <v>25322.000.25353.61103.000000.00000</v>
          </cell>
          <cell r="B322">
            <v>561</v>
          </cell>
          <cell r="C322" t="str">
            <v>I-Revenue from Service Work</v>
          </cell>
        </row>
        <row r="323">
          <cell r="A323" t="str">
            <v>25322.000.25361.61103.000000.00000</v>
          </cell>
          <cell r="B323">
            <v>728</v>
          </cell>
          <cell r="C323" t="str">
            <v>I-Other Administrative and General Expenses</v>
          </cell>
        </row>
        <row r="324">
          <cell r="A324" t="str">
            <v>25322.000.25300.61105.000000.00000</v>
          </cell>
          <cell r="B324">
            <v>728</v>
          </cell>
          <cell r="C324" t="str">
            <v>I-Other Administrative and General Expenses</v>
          </cell>
        </row>
        <row r="325">
          <cell r="A325" t="str">
            <v>25322.000.25311.61105.000000.00000</v>
          </cell>
          <cell r="B325">
            <v>728</v>
          </cell>
          <cell r="C325" t="str">
            <v>I-Other Administrative and General Expenses</v>
          </cell>
        </row>
        <row r="326">
          <cell r="A326" t="str">
            <v>25322.000.25312.61105.000000.00000</v>
          </cell>
          <cell r="B326">
            <v>728</v>
          </cell>
          <cell r="C326" t="str">
            <v>I-Other Administrative and General Expenses</v>
          </cell>
        </row>
        <row r="327">
          <cell r="A327" t="str">
            <v>25322.000.25313.61105.000000.00000</v>
          </cell>
          <cell r="B327">
            <v>728</v>
          </cell>
          <cell r="C327" t="str">
            <v>I-Other Administrative and General Expenses</v>
          </cell>
        </row>
        <row r="328">
          <cell r="A328" t="str">
            <v>25322.000.25330.61105.000000.00000</v>
          </cell>
          <cell r="B328">
            <v>702</v>
          </cell>
          <cell r="C328" t="str">
            <v>I-Demonstration and Selling Expenses</v>
          </cell>
        </row>
        <row r="329">
          <cell r="A329" t="str">
            <v>25322.000.25332.61105.000000.00000</v>
          </cell>
          <cell r="B329">
            <v>705</v>
          </cell>
          <cell r="C329" t="str">
            <v>I-Advertising – Other</v>
          </cell>
        </row>
        <row r="330">
          <cell r="A330" t="str">
            <v>25322.000.25333.61105.000000.00000</v>
          </cell>
          <cell r="B330">
            <v>561</v>
          </cell>
          <cell r="C330" t="str">
            <v>I-Revenue from Service Work</v>
          </cell>
        </row>
        <row r="331">
          <cell r="A331" t="str">
            <v>25322.000.25336.61105.000000.00000</v>
          </cell>
          <cell r="B331">
            <v>688</v>
          </cell>
          <cell r="C331" t="str">
            <v>I-Other General Gas Distributor Operations</v>
          </cell>
        </row>
        <row r="332">
          <cell r="A332" t="str">
            <v>25322.000.25338.61105.000000.00000</v>
          </cell>
          <cell r="B332">
            <v>675</v>
          </cell>
          <cell r="C332" t="str">
            <v>I-Mains and Services</v>
          </cell>
        </row>
        <row r="333">
          <cell r="A333" t="str">
            <v>25322.000.25350.61105.000000.00000</v>
          </cell>
          <cell r="B333">
            <v>688</v>
          </cell>
          <cell r="C333" t="str">
            <v>I-Other General Gas Distributor Operations</v>
          </cell>
        </row>
        <row r="334">
          <cell r="A334" t="str">
            <v>25322.000.25351.61105.000000.00000</v>
          </cell>
          <cell r="B334">
            <v>685</v>
          </cell>
          <cell r="C334" t="str">
            <v>I-System Operation and Engineering</v>
          </cell>
        </row>
        <row r="335">
          <cell r="A335" t="str">
            <v>25322.000.25352.61105.000000.00000</v>
          </cell>
          <cell r="B335">
            <v>685</v>
          </cell>
          <cell r="C335" t="str">
            <v>I-System Operation and Engineering</v>
          </cell>
        </row>
        <row r="336">
          <cell r="A336" t="str">
            <v>25322.000.25353.61105.000000.00000</v>
          </cell>
          <cell r="B336">
            <v>561</v>
          </cell>
          <cell r="C336" t="str">
            <v>I-Revenue from Service Work</v>
          </cell>
        </row>
        <row r="337">
          <cell r="A337" t="str">
            <v>25322.000.25354.61105.000000.00000</v>
          </cell>
          <cell r="B337">
            <v>685</v>
          </cell>
          <cell r="C337" t="str">
            <v>I-System Operation and Engineering</v>
          </cell>
        </row>
        <row r="338">
          <cell r="A338" t="str">
            <v>25322.000.25361.61105.000000.00000</v>
          </cell>
          <cell r="B338">
            <v>728</v>
          </cell>
          <cell r="C338" t="str">
            <v>I-Other Administrative and General Expenses</v>
          </cell>
        </row>
        <row r="339">
          <cell r="A339" t="str">
            <v>25322.000.25362.61105.000000.00000</v>
          </cell>
          <cell r="B339">
            <v>713</v>
          </cell>
          <cell r="C339" t="str">
            <v>I-Customers’ Billing and Accounting</v>
          </cell>
        </row>
        <row r="340">
          <cell r="A340" t="str">
            <v>25322.000.25300.61109.000000.00000</v>
          </cell>
          <cell r="B340">
            <v>728</v>
          </cell>
          <cell r="C340" t="str">
            <v>I-Other Administrative and General Expenses</v>
          </cell>
        </row>
        <row r="341">
          <cell r="A341" t="str">
            <v>25322.000.25312.61109.000000.00000</v>
          </cell>
          <cell r="B341">
            <v>728</v>
          </cell>
          <cell r="C341" t="str">
            <v>I-Other Administrative and General Expenses</v>
          </cell>
        </row>
        <row r="342">
          <cell r="A342" t="str">
            <v>25322.000.25313.61109.000000.00000</v>
          </cell>
          <cell r="B342">
            <v>728</v>
          </cell>
          <cell r="C342" t="str">
            <v>I-Other Administrative and General Expenses</v>
          </cell>
        </row>
        <row r="343">
          <cell r="A343" t="str">
            <v>25322.000.25332.61109.000000.00000</v>
          </cell>
          <cell r="B343">
            <v>705</v>
          </cell>
          <cell r="C343" t="str">
            <v>I-Advertising – Other</v>
          </cell>
        </row>
        <row r="344">
          <cell r="A344" t="str">
            <v>25322.000.25334.61109.000000.00000</v>
          </cell>
          <cell r="B344">
            <v>623</v>
          </cell>
          <cell r="C344" t="str">
            <v>I-Cost of Gas</v>
          </cell>
        </row>
        <row r="345">
          <cell r="A345" t="str">
            <v>25322.000.25336.61109.000000.00000</v>
          </cell>
          <cell r="B345">
            <v>688</v>
          </cell>
          <cell r="C345" t="str">
            <v>I-Other General Gas Distributor Operations</v>
          </cell>
        </row>
        <row r="346">
          <cell r="A346" t="str">
            <v>25322.000.25351.61109.000000.00000</v>
          </cell>
          <cell r="B346">
            <v>685</v>
          </cell>
          <cell r="C346" t="str">
            <v>I-System Operation and Engineering</v>
          </cell>
        </row>
        <row r="347">
          <cell r="A347" t="str">
            <v>25322.000.25312.61111.000000.00000</v>
          </cell>
          <cell r="B347">
            <v>728</v>
          </cell>
          <cell r="C347" t="str">
            <v>I-Other Administrative and General Expenses</v>
          </cell>
        </row>
        <row r="348">
          <cell r="A348" t="str">
            <v>25322.000.25300.61113.000000.00000</v>
          </cell>
          <cell r="B348">
            <v>728</v>
          </cell>
          <cell r="C348" t="str">
            <v>I-Other Administrative and General Expenses</v>
          </cell>
        </row>
        <row r="349">
          <cell r="A349" t="str">
            <v>25322.000.25312.61113.000000.00000</v>
          </cell>
          <cell r="B349">
            <v>728</v>
          </cell>
          <cell r="C349" t="str">
            <v>I-Other Administrative and General Expenses</v>
          </cell>
        </row>
        <row r="350">
          <cell r="A350" t="str">
            <v>25322.000.25336.61113.000000.00000</v>
          </cell>
          <cell r="B350">
            <v>688</v>
          </cell>
          <cell r="C350" t="str">
            <v>I-Other General Gas Distributor Operations</v>
          </cell>
        </row>
        <row r="351">
          <cell r="A351" t="str">
            <v>25322.000.25351.61113.000000.00000</v>
          </cell>
          <cell r="B351">
            <v>685</v>
          </cell>
          <cell r="C351" t="str">
            <v>I-System Operation and Engineering</v>
          </cell>
        </row>
        <row r="352">
          <cell r="A352" t="str">
            <v>25322.000.25312.61115.000000.00000</v>
          </cell>
          <cell r="B352">
            <v>728</v>
          </cell>
          <cell r="C352" t="str">
            <v>I-Other Administrative and General Expenses</v>
          </cell>
        </row>
        <row r="353">
          <cell r="A353" t="str">
            <v>25322.000.25332.61201.000000.00000</v>
          </cell>
          <cell r="B353">
            <v>701</v>
          </cell>
          <cell r="C353" t="str">
            <v>I-Advertising - Natural Gas Promotion</v>
          </cell>
        </row>
        <row r="354">
          <cell r="A354" t="str">
            <v>25322.000.25351.61201.000000.00000</v>
          </cell>
          <cell r="B354">
            <v>685</v>
          </cell>
          <cell r="C354" t="str">
            <v>I-System Operation and Engineering</v>
          </cell>
        </row>
        <row r="355">
          <cell r="A355" t="str">
            <v>25322.000.25353.61201.000000.00000</v>
          </cell>
          <cell r="B355">
            <v>561</v>
          </cell>
          <cell r="C355" t="str">
            <v>I-Revenue from Service Work</v>
          </cell>
        </row>
        <row r="356">
          <cell r="A356" t="str">
            <v>25322.000.25300.61299.000000.00000</v>
          </cell>
          <cell r="B356">
            <v>728</v>
          </cell>
          <cell r="C356" t="str">
            <v>I-Other Administrative and General Expenses</v>
          </cell>
        </row>
        <row r="357">
          <cell r="A357" t="str">
            <v>25322.000.25312.61299.000000.00000</v>
          </cell>
          <cell r="B357">
            <v>728</v>
          </cell>
          <cell r="C357" t="str">
            <v>I-Other Administrative and General Expenses</v>
          </cell>
        </row>
        <row r="358">
          <cell r="A358" t="str">
            <v>25322.000.25313.61299.000000.00000</v>
          </cell>
          <cell r="B358">
            <v>728</v>
          </cell>
          <cell r="C358" t="str">
            <v>I-Other Administrative and General Expenses</v>
          </cell>
        </row>
        <row r="359">
          <cell r="A359" t="str">
            <v>25322.000.25330.61299.000000.00000</v>
          </cell>
          <cell r="B359">
            <v>702</v>
          </cell>
          <cell r="C359" t="str">
            <v>I-Demonstration and Selling Expenses</v>
          </cell>
        </row>
        <row r="360">
          <cell r="A360" t="str">
            <v>25322.000.25332.61299.000000.00000</v>
          </cell>
          <cell r="B360">
            <v>701</v>
          </cell>
          <cell r="C360" t="str">
            <v>I-Advertising - Natural Gas Promotion</v>
          </cell>
        </row>
        <row r="361">
          <cell r="A361" t="str">
            <v>25322.000.25333.61299.000000.00000</v>
          </cell>
          <cell r="B361">
            <v>561</v>
          </cell>
          <cell r="C361" t="str">
            <v>I-Revenue from Service Work</v>
          </cell>
        </row>
        <row r="362">
          <cell r="A362" t="str">
            <v>25322.000.25336.61299.000000.00000</v>
          </cell>
          <cell r="B362">
            <v>688</v>
          </cell>
          <cell r="C362" t="str">
            <v>I-Other General Gas Distributor Operations</v>
          </cell>
        </row>
        <row r="363">
          <cell r="A363" t="str">
            <v>25322.000.25338.61299.000000.00000</v>
          </cell>
          <cell r="B363">
            <v>675</v>
          </cell>
          <cell r="C363" t="str">
            <v>I-Mains and Services</v>
          </cell>
        </row>
        <row r="364">
          <cell r="A364" t="str">
            <v>25322.000.25350.61299.000000.00000</v>
          </cell>
          <cell r="B364">
            <v>688</v>
          </cell>
          <cell r="C364" t="str">
            <v>I-Other General Gas Distributor Operations</v>
          </cell>
        </row>
        <row r="365">
          <cell r="A365" t="str">
            <v>25322.000.25351.61299.000000.00000</v>
          </cell>
          <cell r="B365">
            <v>685</v>
          </cell>
          <cell r="C365" t="str">
            <v>I-System Operation and Engineering</v>
          </cell>
        </row>
        <row r="366">
          <cell r="A366" t="str">
            <v>25322.000.25352.61299.000000.00000</v>
          </cell>
          <cell r="B366">
            <v>685</v>
          </cell>
          <cell r="C366" t="str">
            <v>I-System Operation and Engineering</v>
          </cell>
        </row>
        <row r="367">
          <cell r="A367" t="str">
            <v>25322.000.25353.61299.000000.00000</v>
          </cell>
          <cell r="B367">
            <v>561</v>
          </cell>
          <cell r="C367" t="str">
            <v>I-Revenue from Service Work</v>
          </cell>
        </row>
        <row r="368">
          <cell r="A368" t="str">
            <v>25322.000.25354.61299.000000.00000</v>
          </cell>
          <cell r="B368">
            <v>685</v>
          </cell>
          <cell r="C368" t="str">
            <v>I-System Operation and Engineering</v>
          </cell>
        </row>
        <row r="369">
          <cell r="A369" t="str">
            <v>25322.000.25362.61299.000000.00000</v>
          </cell>
          <cell r="B369">
            <v>713</v>
          </cell>
          <cell r="C369" t="str">
            <v>I-Customers’ Billing and Accounting</v>
          </cell>
        </row>
        <row r="370">
          <cell r="A370" t="str">
            <v>25322.000.25311.61501.000000.00000</v>
          </cell>
          <cell r="B370">
            <v>722</v>
          </cell>
          <cell r="C370" t="str">
            <v>I-Special Services</v>
          </cell>
        </row>
        <row r="371">
          <cell r="A371" t="str">
            <v>25322.000.25300.61503.000000.00000</v>
          </cell>
          <cell r="B371">
            <v>722</v>
          </cell>
          <cell r="C371" t="str">
            <v>I-Special Services</v>
          </cell>
        </row>
        <row r="372">
          <cell r="A372" t="str">
            <v>25322.000.25311.61503.000000.00000</v>
          </cell>
          <cell r="B372">
            <v>722</v>
          </cell>
          <cell r="C372" t="str">
            <v>I-Special Services</v>
          </cell>
        </row>
        <row r="373">
          <cell r="A373" t="str">
            <v>25322.000.25312.61503.000000.00000</v>
          </cell>
          <cell r="B373">
            <v>722</v>
          </cell>
          <cell r="C373" t="str">
            <v>I-Special Services</v>
          </cell>
        </row>
        <row r="374">
          <cell r="A374" t="str">
            <v>25322.000.25320.61503.000000.00000</v>
          </cell>
          <cell r="B374">
            <v>722</v>
          </cell>
          <cell r="C374" t="str">
            <v>I-Special Services</v>
          </cell>
        </row>
        <row r="375">
          <cell r="A375" t="str">
            <v>25322.000.25330.61503.000000.00000</v>
          </cell>
          <cell r="B375">
            <v>722</v>
          </cell>
          <cell r="C375" t="str">
            <v>I-Special Services</v>
          </cell>
        </row>
        <row r="376">
          <cell r="A376" t="str">
            <v>25322.000.25333.61503.000000.00000</v>
          </cell>
          <cell r="B376">
            <v>561</v>
          </cell>
          <cell r="C376" t="str">
            <v>I-Revenue from Service Work</v>
          </cell>
        </row>
        <row r="377">
          <cell r="A377" t="str">
            <v>25322.000.25334.61503.000000.00000</v>
          </cell>
          <cell r="B377">
            <v>623</v>
          </cell>
          <cell r="C377" t="str">
            <v>I-Cost of Gas</v>
          </cell>
        </row>
        <row r="378">
          <cell r="A378" t="str">
            <v>25322.000.25350.61503.000000.00000</v>
          </cell>
          <cell r="B378">
            <v>688</v>
          </cell>
          <cell r="C378" t="str">
            <v>I-Other General Gas Distributor Operations</v>
          </cell>
        </row>
        <row r="379">
          <cell r="A379" t="str">
            <v>25322.000.25352.61503.000000.00000</v>
          </cell>
          <cell r="B379">
            <v>722</v>
          </cell>
          <cell r="C379" t="str">
            <v>I-Special Services</v>
          </cell>
        </row>
        <row r="380">
          <cell r="A380" t="str">
            <v>25322.000.25353.61503.000000.00000</v>
          </cell>
          <cell r="B380">
            <v>561</v>
          </cell>
          <cell r="C380" t="str">
            <v>I-Revenue from Service Work</v>
          </cell>
        </row>
        <row r="381">
          <cell r="A381" t="str">
            <v>25322.000.25361.61503.000000.00000</v>
          </cell>
          <cell r="B381">
            <v>722</v>
          </cell>
          <cell r="C381" t="str">
            <v>I-Special Services</v>
          </cell>
        </row>
        <row r="382">
          <cell r="A382" t="str">
            <v>25322.000.25362.61503.000000.00000</v>
          </cell>
          <cell r="B382">
            <v>713</v>
          </cell>
          <cell r="C382" t="str">
            <v>I-Customers’ Billing and Accounting</v>
          </cell>
        </row>
        <row r="383">
          <cell r="A383" t="str">
            <v>25322.000.25361.61507.000000.00000</v>
          </cell>
          <cell r="B383">
            <v>722</v>
          </cell>
          <cell r="C383" t="str">
            <v>I-Special Services</v>
          </cell>
        </row>
        <row r="384">
          <cell r="A384" t="str">
            <v>25322.000.25300.61511.000000.00000</v>
          </cell>
          <cell r="B384">
            <v>722</v>
          </cell>
          <cell r="C384" t="str">
            <v>I-Special Services</v>
          </cell>
        </row>
        <row r="385">
          <cell r="A385" t="str">
            <v>25322.000.25312.61511.000000.00000</v>
          </cell>
          <cell r="B385">
            <v>722</v>
          </cell>
          <cell r="C385" t="str">
            <v>I-Special Services</v>
          </cell>
        </row>
        <row r="386">
          <cell r="A386" t="str">
            <v>25322.000.25320.61511.000000.00000</v>
          </cell>
          <cell r="B386">
            <v>722</v>
          </cell>
          <cell r="C386" t="str">
            <v>I-Special Services</v>
          </cell>
        </row>
        <row r="387">
          <cell r="A387" t="str">
            <v>25322.000.25332.61511.000000.00000</v>
          </cell>
          <cell r="B387">
            <v>701</v>
          </cell>
          <cell r="C387" t="str">
            <v>I-Advertising - Natural Gas Promotion</v>
          </cell>
        </row>
        <row r="388">
          <cell r="A388" t="str">
            <v>25322.000.25361.61511.000000.00000</v>
          </cell>
          <cell r="B388">
            <v>722</v>
          </cell>
          <cell r="C388" t="str">
            <v>I-Special Services</v>
          </cell>
        </row>
        <row r="389">
          <cell r="A389" t="str">
            <v>25322.000.25362.61511.000000.00000</v>
          </cell>
          <cell r="B389">
            <v>713</v>
          </cell>
          <cell r="C389" t="str">
            <v>I-Customers’ Billing and Accounting</v>
          </cell>
        </row>
        <row r="390">
          <cell r="A390" t="str">
            <v>25322.000.25362.61511.IC0024.00000</v>
          </cell>
          <cell r="B390">
            <v>713</v>
          </cell>
          <cell r="C390" t="str">
            <v>I-Customers’ Billing and Accounting</v>
          </cell>
        </row>
        <row r="391">
          <cell r="A391" t="str">
            <v>25322.000.25362.61511.IC0035.00000</v>
          </cell>
          <cell r="B391">
            <v>713</v>
          </cell>
          <cell r="C391" t="str">
            <v>I-Customers’ Billing and Accounting</v>
          </cell>
        </row>
        <row r="392">
          <cell r="A392" t="str">
            <v>25322.000.25362.61511.IC0037.00000</v>
          </cell>
          <cell r="B392">
            <v>713</v>
          </cell>
          <cell r="C392" t="str">
            <v>I-Customers’ Billing and Accounting</v>
          </cell>
        </row>
        <row r="393">
          <cell r="A393" t="str">
            <v>25322.000.25312.61559.000000.00000</v>
          </cell>
          <cell r="B393">
            <v>728</v>
          </cell>
          <cell r="C393" t="str">
            <v>I-Other Administrative and General Expenses</v>
          </cell>
        </row>
        <row r="394">
          <cell r="A394" t="str">
            <v>25322.000.25330.61559.FG1560.00000</v>
          </cell>
          <cell r="B394">
            <v>709</v>
          </cell>
          <cell r="C394" t="str">
            <v>I-Other Sales Promotion</v>
          </cell>
        </row>
        <row r="395">
          <cell r="A395" t="str">
            <v>25322.000.25330.61559.FG9160.00000</v>
          </cell>
          <cell r="B395">
            <v>709</v>
          </cell>
          <cell r="C395" t="str">
            <v>I-Other Sales Promotion</v>
          </cell>
        </row>
        <row r="396">
          <cell r="A396" t="str">
            <v>25322.000.25330.61559.PS0112.00000</v>
          </cell>
          <cell r="B396">
            <v>709</v>
          </cell>
          <cell r="C396" t="str">
            <v>I-Other Sales Promotion</v>
          </cell>
        </row>
        <row r="397">
          <cell r="A397" t="str">
            <v>25322.000.25330.61559.PS0116.00000</v>
          </cell>
          <cell r="B397">
            <v>709</v>
          </cell>
          <cell r="C397" t="str">
            <v>I-Other Sales Promotion</v>
          </cell>
        </row>
        <row r="398">
          <cell r="A398" t="str">
            <v>25322.000.25330.61559.PS0117.00000</v>
          </cell>
          <cell r="B398">
            <v>709</v>
          </cell>
          <cell r="C398" t="str">
            <v>I-Other Sales Promotion</v>
          </cell>
        </row>
        <row r="399">
          <cell r="A399" t="str">
            <v>25322.000.25331.61559.MCCTRA.00000</v>
          </cell>
          <cell r="B399">
            <v>728</v>
          </cell>
          <cell r="C399" t="str">
            <v>I-Other Administrative and General Expenses</v>
          </cell>
        </row>
        <row r="400">
          <cell r="A400" t="str">
            <v>25322.000.25331.61559.MCRSDV.00000</v>
          </cell>
          <cell r="B400">
            <v>728</v>
          </cell>
          <cell r="C400" t="str">
            <v>I-Other Administrative and General Expenses</v>
          </cell>
        </row>
        <row r="401">
          <cell r="A401" t="str">
            <v>25322.000.25332.61559.000000.00000</v>
          </cell>
          <cell r="B401">
            <v>701</v>
          </cell>
          <cell r="C401" t="str">
            <v>I-Advertising - Natural Gas Promotion</v>
          </cell>
        </row>
        <row r="402">
          <cell r="A402" t="str">
            <v>25322.000.25332.61559.PS0116.00000</v>
          </cell>
          <cell r="B402">
            <v>701</v>
          </cell>
          <cell r="C402" t="str">
            <v>I-Advertising - Natural Gas Promotion</v>
          </cell>
        </row>
        <row r="403">
          <cell r="A403" t="str">
            <v>25322.000.25351.61601.000000.00000</v>
          </cell>
          <cell r="B403">
            <v>685</v>
          </cell>
          <cell r="C403" t="str">
            <v>I-System Operation and Engineering</v>
          </cell>
        </row>
        <row r="404">
          <cell r="A404" t="str">
            <v>25322.000.25352.61601.000000.00000</v>
          </cell>
          <cell r="B404">
            <v>685</v>
          </cell>
          <cell r="C404" t="str">
            <v>I-System Operation and Engineering</v>
          </cell>
        </row>
        <row r="405">
          <cell r="A405" t="str">
            <v>25322.000.25353.61601.000000.00000</v>
          </cell>
          <cell r="B405">
            <v>561</v>
          </cell>
          <cell r="C405" t="str">
            <v>I-Revenue from Service Work</v>
          </cell>
        </row>
        <row r="406">
          <cell r="A406" t="str">
            <v>25322.000.25351.61607.000000.00000</v>
          </cell>
          <cell r="B406">
            <v>685</v>
          </cell>
          <cell r="C406" t="str">
            <v>I-System Operation and Engineering</v>
          </cell>
        </row>
        <row r="407">
          <cell r="A407" t="str">
            <v>25322.000.25312.61705.000000.00000</v>
          </cell>
          <cell r="B407">
            <v>728</v>
          </cell>
          <cell r="C407" t="str">
            <v>I-Other Administrative and General Expenses</v>
          </cell>
        </row>
        <row r="408">
          <cell r="A408" t="str">
            <v>25322.000.25312.61706.WP0489.00000</v>
          </cell>
          <cell r="B408">
            <v>728</v>
          </cell>
          <cell r="C408" t="str">
            <v>I-Other Administrative and General Expenses</v>
          </cell>
        </row>
        <row r="409">
          <cell r="A409" t="str">
            <v>25322.000.25350.61709.000000.00000</v>
          </cell>
          <cell r="B409">
            <v>688</v>
          </cell>
          <cell r="C409" t="str">
            <v>I-Other General Gas Distributor Operations</v>
          </cell>
        </row>
        <row r="410">
          <cell r="A410" t="str">
            <v>25322.000.25313.61715.000000.00000</v>
          </cell>
          <cell r="B410">
            <v>728</v>
          </cell>
          <cell r="C410" t="str">
            <v>I-Other Administrative and General Expenses</v>
          </cell>
        </row>
        <row r="411">
          <cell r="A411" t="str">
            <v>25322.000.25332.61715.000000.00000</v>
          </cell>
          <cell r="B411">
            <v>701</v>
          </cell>
          <cell r="C411" t="str">
            <v>I-Advertising - Natural Gas Promotion</v>
          </cell>
        </row>
        <row r="412">
          <cell r="A412" t="str">
            <v>25322.000.25333.61715.000000.00000</v>
          </cell>
          <cell r="B412">
            <v>561</v>
          </cell>
          <cell r="C412" t="str">
            <v>I-Revenue from Service Work</v>
          </cell>
        </row>
        <row r="413">
          <cell r="A413" t="str">
            <v>25322.000.25334.61715.000000.00000</v>
          </cell>
          <cell r="B413">
            <v>623</v>
          </cell>
          <cell r="C413" t="str">
            <v>I-Cost of Gas</v>
          </cell>
        </row>
        <row r="414">
          <cell r="A414" t="str">
            <v>25322.000.25353.61715.000000.00000</v>
          </cell>
          <cell r="B414">
            <v>561</v>
          </cell>
          <cell r="C414" t="str">
            <v>I-Revenue from Service Work</v>
          </cell>
        </row>
        <row r="415">
          <cell r="A415" t="str">
            <v>25322.000.25300.61901.000000.00000</v>
          </cell>
          <cell r="B415">
            <v>728</v>
          </cell>
          <cell r="C415" t="str">
            <v>I-Other Administrative and General Expenses</v>
          </cell>
        </row>
        <row r="416">
          <cell r="A416" t="str">
            <v>25322.000.25300.61999.000000.00000</v>
          </cell>
          <cell r="B416">
            <v>728</v>
          </cell>
          <cell r="C416" t="str">
            <v>I-Other Administrative and General Expenses</v>
          </cell>
        </row>
        <row r="417">
          <cell r="A417" t="str">
            <v>25322.000.25336.61999.000000.00000</v>
          </cell>
          <cell r="B417">
            <v>688</v>
          </cell>
          <cell r="C417" t="str">
            <v>I-Other General Gas Distributor Operations</v>
          </cell>
        </row>
        <row r="418">
          <cell r="A418" t="str">
            <v>25322.000.25350.61999.000000.00000</v>
          </cell>
          <cell r="B418">
            <v>688</v>
          </cell>
          <cell r="C418" t="str">
            <v>I-Other General Gas Distributor Operations</v>
          </cell>
        </row>
        <row r="419">
          <cell r="A419" t="str">
            <v>25322.000.25351.61999.000000.00000</v>
          </cell>
          <cell r="B419">
            <v>685</v>
          </cell>
          <cell r="C419" t="str">
            <v>I-System Operation and Engineering</v>
          </cell>
        </row>
        <row r="420">
          <cell r="A420" t="str">
            <v>25322.000.25352.61999.000000.00000</v>
          </cell>
          <cell r="B420">
            <v>685</v>
          </cell>
          <cell r="C420" t="str">
            <v>I-System Operation and Engineering</v>
          </cell>
        </row>
        <row r="421">
          <cell r="A421" t="str">
            <v>25322.000.25362.61999.000000.00000</v>
          </cell>
          <cell r="B421">
            <v>713</v>
          </cell>
          <cell r="C421" t="str">
            <v>I-Customers’ Billing and Accounting</v>
          </cell>
        </row>
        <row r="422">
          <cell r="A422" t="str">
            <v>25322.000.25350.62016.000000.00000</v>
          </cell>
          <cell r="B422">
            <v>688</v>
          </cell>
          <cell r="C422" t="str">
            <v>I-Other General Gas Distributor Operations</v>
          </cell>
        </row>
        <row r="423">
          <cell r="A423" t="str">
            <v>25322.000.25330.62017.000000.00000</v>
          </cell>
          <cell r="B423">
            <v>721</v>
          </cell>
          <cell r="C423" t="str">
            <v>I-Administrative Expenses</v>
          </cell>
        </row>
        <row r="424">
          <cell r="A424" t="str">
            <v>25322.000.25336.62017.000000.00000</v>
          </cell>
          <cell r="B424">
            <v>688</v>
          </cell>
          <cell r="C424" t="str">
            <v>I-Other General Gas Distributor Operations</v>
          </cell>
        </row>
        <row r="425">
          <cell r="A425" t="str">
            <v>25322.000.25351.62017.000000.00000</v>
          </cell>
          <cell r="B425">
            <v>685</v>
          </cell>
          <cell r="C425" t="str">
            <v>I-System Operation and Engineering</v>
          </cell>
        </row>
        <row r="426">
          <cell r="A426" t="str">
            <v>25322.000.25353.62017.000000.00000</v>
          </cell>
          <cell r="B426">
            <v>561</v>
          </cell>
          <cell r="C426" t="str">
            <v>I-Revenue from Service Work</v>
          </cell>
        </row>
        <row r="427">
          <cell r="A427" t="str">
            <v>25322.000.25336.62030.000000.00000</v>
          </cell>
          <cell r="B427">
            <v>688</v>
          </cell>
          <cell r="C427" t="str">
            <v>I-Other General Gas Distributor Operations</v>
          </cell>
        </row>
        <row r="428">
          <cell r="A428" t="str">
            <v>25322.000.25351.62030.000000.00000</v>
          </cell>
          <cell r="B428">
            <v>685</v>
          </cell>
          <cell r="C428" t="str">
            <v>I-System Operation and Engineering</v>
          </cell>
        </row>
        <row r="429">
          <cell r="A429" t="str">
            <v>25322.000.25352.62060.000000.00000</v>
          </cell>
          <cell r="B429">
            <v>685</v>
          </cell>
          <cell r="C429" t="str">
            <v>I-System Operation and Engineering</v>
          </cell>
        </row>
        <row r="430">
          <cell r="A430" t="str">
            <v>25322.000.25350.62307.000000.00000</v>
          </cell>
          <cell r="B430">
            <v>675</v>
          </cell>
          <cell r="C430" t="str">
            <v>I-Mains and Services</v>
          </cell>
        </row>
        <row r="431">
          <cell r="A431" t="str">
            <v>25322.000.25333.62309.000000.00000</v>
          </cell>
          <cell r="B431">
            <v>561</v>
          </cell>
          <cell r="C431" t="str">
            <v>I-Revenue from Service Work</v>
          </cell>
        </row>
        <row r="432">
          <cell r="A432" t="str">
            <v>25322.000.25336.62309.000000.00000</v>
          </cell>
          <cell r="B432">
            <v>688</v>
          </cell>
          <cell r="C432" t="str">
            <v>I-Other General Gas Distributor Operations</v>
          </cell>
        </row>
        <row r="433">
          <cell r="A433" t="str">
            <v>25322.000.25350.62309.000000.00000</v>
          </cell>
          <cell r="B433">
            <v>675</v>
          </cell>
          <cell r="C433" t="str">
            <v>I-Mains and Services</v>
          </cell>
        </row>
        <row r="434">
          <cell r="A434" t="str">
            <v>25322.000.25351.62309.000000.00000</v>
          </cell>
          <cell r="B434">
            <v>685</v>
          </cell>
          <cell r="C434" t="str">
            <v>I-System Operation and Engineering</v>
          </cell>
        </row>
        <row r="435">
          <cell r="A435" t="str">
            <v>25322.000.25352.62309.000000.00000</v>
          </cell>
          <cell r="B435">
            <v>685</v>
          </cell>
          <cell r="C435" t="str">
            <v>I-System Operation and Engineering</v>
          </cell>
        </row>
        <row r="436">
          <cell r="A436" t="str">
            <v>25322.000.25353.62309.000000.00000</v>
          </cell>
          <cell r="B436">
            <v>561</v>
          </cell>
          <cell r="C436" t="str">
            <v>I-Revenue from Service Work</v>
          </cell>
        </row>
        <row r="437">
          <cell r="A437" t="str">
            <v>25322.000.25362.62309.000000.00000</v>
          </cell>
          <cell r="B437">
            <v>712</v>
          </cell>
          <cell r="C437" t="str">
            <v>I-Meter Reading</v>
          </cell>
        </row>
        <row r="438">
          <cell r="A438" t="str">
            <v>25322.000.25333.62311.000000.00000</v>
          </cell>
          <cell r="B438">
            <v>561</v>
          </cell>
          <cell r="C438" t="str">
            <v>I-Revenue from Service Work</v>
          </cell>
        </row>
        <row r="439">
          <cell r="A439" t="str">
            <v>25322.000.25336.62311.000000.00000</v>
          </cell>
          <cell r="B439">
            <v>688</v>
          </cell>
          <cell r="C439" t="str">
            <v>I-Other General Gas Distributor Operations</v>
          </cell>
        </row>
        <row r="440">
          <cell r="A440" t="str">
            <v>25322.000.25350.62311.000000.00000</v>
          </cell>
          <cell r="B440">
            <v>688</v>
          </cell>
          <cell r="C440" t="str">
            <v>I-Other General Gas Distributor Operations</v>
          </cell>
        </row>
        <row r="441">
          <cell r="A441" t="str">
            <v>25322.000.25351.62311.000000.00000</v>
          </cell>
          <cell r="B441">
            <v>685</v>
          </cell>
          <cell r="C441" t="str">
            <v>I-System Operation and Engineering</v>
          </cell>
        </row>
        <row r="442">
          <cell r="A442" t="str">
            <v>25322.000.25353.62311.000000.00000</v>
          </cell>
          <cell r="B442">
            <v>561</v>
          </cell>
          <cell r="C442" t="str">
            <v>I-Revenue from Service Work</v>
          </cell>
        </row>
        <row r="443">
          <cell r="A443" t="str">
            <v>25322.000.25350.70005.000000.00000</v>
          </cell>
          <cell r="B443">
            <v>688</v>
          </cell>
          <cell r="C443" t="str">
            <v>I-Other General Gas Distributor Operations</v>
          </cell>
        </row>
        <row r="444">
          <cell r="A444" t="str">
            <v>25322.000.25333.70005.000000.00000</v>
          </cell>
          <cell r="B444">
            <v>561</v>
          </cell>
          <cell r="C444" t="str">
            <v>I-Revenue from Service Work</v>
          </cell>
        </row>
        <row r="445">
          <cell r="A445" t="str">
            <v>25322.000.25300.70105.000000.00000</v>
          </cell>
          <cell r="B445">
            <v>728</v>
          </cell>
          <cell r="C445" t="str">
            <v>I-Other Administrative and General Expenses</v>
          </cell>
        </row>
        <row r="446">
          <cell r="A446" t="str">
            <v>25322.000.25313.70105.000000.00000</v>
          </cell>
          <cell r="B446">
            <v>728</v>
          </cell>
          <cell r="C446" t="str">
            <v>I-Other Administrative and General Expenses</v>
          </cell>
        </row>
        <row r="447">
          <cell r="A447" t="str">
            <v>25322.000.25336.70105.000000.00000</v>
          </cell>
          <cell r="B447">
            <v>688</v>
          </cell>
          <cell r="C447" t="str">
            <v>I-Other General Gas Distributor Operations</v>
          </cell>
        </row>
        <row r="448">
          <cell r="A448" t="str">
            <v>25322.000.25351.70105.000000.00000</v>
          </cell>
          <cell r="B448">
            <v>685</v>
          </cell>
          <cell r="C448" t="str">
            <v>I-System Operation and Engineering</v>
          </cell>
        </row>
        <row r="449">
          <cell r="A449" t="str">
            <v>25322.000.25311.70301.000000.00000</v>
          </cell>
          <cell r="B449">
            <v>728</v>
          </cell>
          <cell r="C449" t="str">
            <v>I-Other Administrative and General Expenses</v>
          </cell>
        </row>
        <row r="450">
          <cell r="A450" t="str">
            <v>25322.000.25312.70301.000000.00000</v>
          </cell>
          <cell r="B450">
            <v>728</v>
          </cell>
          <cell r="C450" t="str">
            <v>I-Other Administrative and General Expenses</v>
          </cell>
        </row>
        <row r="451">
          <cell r="A451" t="str">
            <v>25322.000.25330.70301.000000.00000</v>
          </cell>
          <cell r="B451">
            <v>721</v>
          </cell>
          <cell r="C451" t="str">
            <v>I-Administrative Expenses</v>
          </cell>
        </row>
        <row r="452">
          <cell r="A452" t="str">
            <v>25322.000.25332.70301.000000.00000</v>
          </cell>
          <cell r="B452">
            <v>701</v>
          </cell>
          <cell r="C452" t="str">
            <v>I-Advertising - Natural Gas Promotion</v>
          </cell>
        </row>
        <row r="453">
          <cell r="A453" t="str">
            <v>25322.000.25336.70301.000000.00000</v>
          </cell>
          <cell r="B453">
            <v>688</v>
          </cell>
          <cell r="C453" t="str">
            <v>I-Other General Gas Distributor Operations</v>
          </cell>
        </row>
        <row r="454">
          <cell r="A454" t="str">
            <v>25322.000.25350.70301.000000.00000</v>
          </cell>
          <cell r="B454">
            <v>688</v>
          </cell>
          <cell r="C454" t="str">
            <v>I-Other General Gas Distributor Operations</v>
          </cell>
        </row>
        <row r="455">
          <cell r="A455" t="str">
            <v>25322.000.25351.70301.000000.00000</v>
          </cell>
          <cell r="B455">
            <v>685</v>
          </cell>
          <cell r="C455" t="str">
            <v>I-System Operation and Engineering</v>
          </cell>
        </row>
        <row r="456">
          <cell r="A456" t="str">
            <v>25322.000.25362.70301.000000.00000</v>
          </cell>
          <cell r="B456">
            <v>713</v>
          </cell>
          <cell r="C456" t="str">
            <v>I-Customers’ Billing and Accounting</v>
          </cell>
        </row>
        <row r="457">
          <cell r="A457" t="str">
            <v>25322.000.25300.70401.000000.00000</v>
          </cell>
          <cell r="B457">
            <v>728</v>
          </cell>
          <cell r="C457" t="str">
            <v>I-Other Administrative and General Expenses</v>
          </cell>
        </row>
        <row r="458">
          <cell r="A458" t="str">
            <v>25322.000.25311.70401.000000.00000</v>
          </cell>
          <cell r="B458">
            <v>728</v>
          </cell>
          <cell r="C458" t="str">
            <v>I-Other Administrative and General Expenses</v>
          </cell>
        </row>
        <row r="459">
          <cell r="A459" t="str">
            <v>25322.000.25312.70401.000000.00000</v>
          </cell>
          <cell r="B459">
            <v>728</v>
          </cell>
          <cell r="C459" t="str">
            <v>I-Other Administrative and General Expenses</v>
          </cell>
        </row>
        <row r="460">
          <cell r="A460" t="str">
            <v>25322.000.25330.70401.000000.00000</v>
          </cell>
          <cell r="B460">
            <v>721</v>
          </cell>
          <cell r="C460" t="str">
            <v>I-Administrative Expenses</v>
          </cell>
        </row>
        <row r="461">
          <cell r="A461" t="str">
            <v>25322.000.25332.70401.000000.00000</v>
          </cell>
          <cell r="B461">
            <v>701</v>
          </cell>
          <cell r="C461" t="str">
            <v>I-Advertising - Natural Gas Promotion</v>
          </cell>
        </row>
        <row r="462">
          <cell r="A462" t="str">
            <v>25322.000.25336.70401.000000.00000</v>
          </cell>
          <cell r="B462">
            <v>688</v>
          </cell>
          <cell r="C462" t="str">
            <v>I-Other General Gas Distributor Operations</v>
          </cell>
        </row>
        <row r="463">
          <cell r="A463" t="str">
            <v>25322.000.25338.70401.000000.00000</v>
          </cell>
          <cell r="B463">
            <v>675</v>
          </cell>
          <cell r="C463" t="str">
            <v>I-Mains and Services</v>
          </cell>
        </row>
        <row r="464">
          <cell r="A464" t="str">
            <v>25322.000.25350.70401.000000.00000</v>
          </cell>
          <cell r="B464">
            <v>688</v>
          </cell>
          <cell r="C464" t="str">
            <v>I-Other General Gas Distributor Operations</v>
          </cell>
        </row>
        <row r="465">
          <cell r="A465" t="str">
            <v>25322.000.25351.70401.000000.00000</v>
          </cell>
          <cell r="B465">
            <v>685</v>
          </cell>
          <cell r="C465" t="str">
            <v>I-System Operation and Engineering</v>
          </cell>
        </row>
        <row r="466">
          <cell r="A466" t="str">
            <v>25322.000.25352.70401.000000.00000</v>
          </cell>
          <cell r="B466">
            <v>685</v>
          </cell>
          <cell r="C466" t="str">
            <v>I-System Operation and Engineering</v>
          </cell>
        </row>
        <row r="467">
          <cell r="A467" t="str">
            <v>25322.000.25353.70401.000000.00000</v>
          </cell>
          <cell r="B467">
            <v>561</v>
          </cell>
          <cell r="C467" t="str">
            <v>I-Revenue from Service Work</v>
          </cell>
        </row>
        <row r="468">
          <cell r="A468" t="str">
            <v>25322.000.25354.70401.000000.00000</v>
          </cell>
          <cell r="B468">
            <v>685</v>
          </cell>
          <cell r="C468" t="str">
            <v>I-System Operation and Engineering</v>
          </cell>
        </row>
        <row r="469">
          <cell r="A469" t="str">
            <v>25322.000.25361.70401.000000.00000</v>
          </cell>
          <cell r="B469">
            <v>728</v>
          </cell>
          <cell r="C469" t="str">
            <v>I-Other Administrative and General Expenses</v>
          </cell>
        </row>
        <row r="470">
          <cell r="A470" t="str">
            <v>25322.000.25362.70401.000000.00000</v>
          </cell>
          <cell r="B470">
            <v>712</v>
          </cell>
          <cell r="C470" t="str">
            <v>I-Meter Reading</v>
          </cell>
        </row>
        <row r="471">
          <cell r="A471" t="str">
            <v>25322.000.25300.70405.000000.00000</v>
          </cell>
          <cell r="B471">
            <v>728</v>
          </cell>
          <cell r="C471" t="str">
            <v>I-Other Administrative and General Expenses</v>
          </cell>
        </row>
        <row r="472">
          <cell r="A472" t="str">
            <v>25322.000.25312.70405.000000.00000</v>
          </cell>
          <cell r="B472">
            <v>728</v>
          </cell>
          <cell r="C472" t="str">
            <v>I-Other Administrative and General Expenses</v>
          </cell>
        </row>
        <row r="473">
          <cell r="A473" t="str">
            <v>25322.000.25330.70405.000000.00000</v>
          </cell>
          <cell r="B473">
            <v>721</v>
          </cell>
          <cell r="C473" t="str">
            <v>I-Administrative Expenses</v>
          </cell>
        </row>
        <row r="474">
          <cell r="A474" t="str">
            <v>25322.000.25332.70405.000000.00000</v>
          </cell>
          <cell r="B474">
            <v>701</v>
          </cell>
          <cell r="C474" t="str">
            <v>I-Advertising - Natural Gas Promotion</v>
          </cell>
        </row>
        <row r="475">
          <cell r="A475" t="str">
            <v>25322.000.25336.70405.000000.00000</v>
          </cell>
          <cell r="B475">
            <v>688</v>
          </cell>
          <cell r="C475" t="str">
            <v>I-Other General Gas Distributor Operations</v>
          </cell>
        </row>
        <row r="476">
          <cell r="A476" t="str">
            <v>25322.000.25338.70405.000000.00000</v>
          </cell>
          <cell r="B476">
            <v>675</v>
          </cell>
          <cell r="C476" t="str">
            <v>I-Mains and Services</v>
          </cell>
        </row>
        <row r="477">
          <cell r="A477" t="str">
            <v>25322.000.25350.70405.000000.00000</v>
          </cell>
          <cell r="B477">
            <v>688</v>
          </cell>
          <cell r="C477" t="str">
            <v>I-Other General Gas Distributor Operations</v>
          </cell>
        </row>
        <row r="478">
          <cell r="A478" t="str">
            <v>25322.000.25351.70405.000000.00000</v>
          </cell>
          <cell r="B478">
            <v>685</v>
          </cell>
          <cell r="C478" t="str">
            <v>I-System Operation and Engineering</v>
          </cell>
        </row>
        <row r="479">
          <cell r="A479" t="str">
            <v>25322.000.25352.70405.000000.00000</v>
          </cell>
          <cell r="B479">
            <v>685</v>
          </cell>
          <cell r="C479" t="str">
            <v>I-System Operation and Engineering</v>
          </cell>
        </row>
        <row r="480">
          <cell r="A480" t="str">
            <v>25322.000.25353.70405.000000.00000</v>
          </cell>
          <cell r="B480">
            <v>561</v>
          </cell>
          <cell r="C480" t="str">
            <v>I-Revenue from Service Work</v>
          </cell>
        </row>
        <row r="481">
          <cell r="A481" t="str">
            <v>25322.000.25354.70405.000000.00000</v>
          </cell>
          <cell r="B481">
            <v>685</v>
          </cell>
          <cell r="C481" t="str">
            <v>I-System Operation and Engineering</v>
          </cell>
        </row>
        <row r="482">
          <cell r="A482" t="str">
            <v>25322.000.25362.70405.000000.00000</v>
          </cell>
          <cell r="B482">
            <v>712</v>
          </cell>
          <cell r="C482" t="str">
            <v>I-Meter Reading</v>
          </cell>
        </row>
        <row r="483">
          <cell r="A483" t="str">
            <v>25322.000.25300.70409.000000.00000</v>
          </cell>
          <cell r="B483">
            <v>728</v>
          </cell>
          <cell r="C483" t="str">
            <v>I-Other Administrative and General Expenses</v>
          </cell>
        </row>
        <row r="484">
          <cell r="A484" t="str">
            <v>25322.000.25312.70409.000000.00000</v>
          </cell>
          <cell r="B484">
            <v>728</v>
          </cell>
          <cell r="C484" t="str">
            <v>I-Other Administrative and General Expenses</v>
          </cell>
        </row>
        <row r="485">
          <cell r="A485" t="str">
            <v>25322.000.25336.70409.000000.00000</v>
          </cell>
          <cell r="B485">
            <v>688</v>
          </cell>
          <cell r="C485" t="str">
            <v>I-Other General Gas Distributor Operations</v>
          </cell>
        </row>
        <row r="486">
          <cell r="A486" t="str">
            <v>25322.000.25338.70409.000000.00000</v>
          </cell>
          <cell r="B486">
            <v>675</v>
          </cell>
          <cell r="C486" t="str">
            <v>I-Mains and Services</v>
          </cell>
        </row>
        <row r="487">
          <cell r="A487" t="str">
            <v>25322.000.25350.70409.000000.00000</v>
          </cell>
          <cell r="B487">
            <v>688</v>
          </cell>
          <cell r="C487" t="str">
            <v>I-Other General Gas Distributor Operations</v>
          </cell>
        </row>
        <row r="488">
          <cell r="A488" t="str">
            <v>25322.000.25351.70409.000000.00000</v>
          </cell>
          <cell r="B488">
            <v>685</v>
          </cell>
          <cell r="C488" t="str">
            <v>I-System Operation and Engineering</v>
          </cell>
        </row>
        <row r="489">
          <cell r="A489" t="str">
            <v>25322.000.25352.70409.000000.00000</v>
          </cell>
          <cell r="B489">
            <v>685</v>
          </cell>
          <cell r="C489" t="str">
            <v>I-System Operation and Engineering</v>
          </cell>
        </row>
        <row r="490">
          <cell r="A490" t="str">
            <v>25322.000.25353.70409.000000.00000</v>
          </cell>
          <cell r="B490">
            <v>561</v>
          </cell>
          <cell r="C490" t="str">
            <v>I-Revenue from Service Work</v>
          </cell>
        </row>
        <row r="491">
          <cell r="A491" t="str">
            <v>25322.000.25354.70409.000000.00000</v>
          </cell>
          <cell r="B491">
            <v>685</v>
          </cell>
          <cell r="C491" t="str">
            <v>I-System Operation and Engineering</v>
          </cell>
        </row>
        <row r="492">
          <cell r="A492" t="str">
            <v>25322.000.25300.70501.000000.00000</v>
          </cell>
          <cell r="B492">
            <v>728</v>
          </cell>
          <cell r="C492" t="str">
            <v>I-Other Administrative and General Expenses</v>
          </cell>
        </row>
        <row r="493">
          <cell r="A493" t="str">
            <v>25322.000.25311.70501.000000.00000</v>
          </cell>
          <cell r="B493">
            <v>728</v>
          </cell>
          <cell r="C493" t="str">
            <v>I-Other Administrative and General Expenses</v>
          </cell>
        </row>
        <row r="494">
          <cell r="A494" t="str">
            <v>25322.000.25312.70501.000000.00000</v>
          </cell>
          <cell r="B494">
            <v>728</v>
          </cell>
          <cell r="C494" t="str">
            <v>I-Other Administrative and General Expenses</v>
          </cell>
        </row>
        <row r="495">
          <cell r="A495" t="str">
            <v>25322.000.25320.70501.000000.00000</v>
          </cell>
          <cell r="B495">
            <v>728</v>
          </cell>
          <cell r="C495" t="str">
            <v>I-Other Administrative and General Expenses</v>
          </cell>
        </row>
        <row r="496">
          <cell r="A496" t="str">
            <v>25322.000.25332.70501.000000.00000</v>
          </cell>
          <cell r="B496">
            <v>705</v>
          </cell>
          <cell r="C496" t="str">
            <v>I-Advertising – Other</v>
          </cell>
        </row>
        <row r="497">
          <cell r="A497" t="str">
            <v>25322.000.25336.70501.000000.00000</v>
          </cell>
          <cell r="B497">
            <v>688</v>
          </cell>
          <cell r="C497" t="str">
            <v>I-Other General Gas Distributor Operations</v>
          </cell>
        </row>
        <row r="498">
          <cell r="A498" t="str">
            <v>25322.000.25350.70501.000000.00000</v>
          </cell>
          <cell r="B498">
            <v>688</v>
          </cell>
          <cell r="C498" t="str">
            <v>I-Other General Gas Distributor Operations</v>
          </cell>
        </row>
        <row r="499">
          <cell r="A499" t="str">
            <v>25322.000.25351.70501.000000.00000</v>
          </cell>
          <cell r="B499">
            <v>685</v>
          </cell>
          <cell r="C499" t="str">
            <v>I-System Operation and Engineering</v>
          </cell>
        </row>
        <row r="500">
          <cell r="A500" t="str">
            <v>25322.000.25352.70501.000000.00000</v>
          </cell>
          <cell r="B500">
            <v>685</v>
          </cell>
          <cell r="C500" t="str">
            <v>I-System Operation and Engineering</v>
          </cell>
        </row>
        <row r="501">
          <cell r="A501" t="str">
            <v>25322.000.25353.70501.000000.00000</v>
          </cell>
          <cell r="B501">
            <v>561</v>
          </cell>
          <cell r="C501" t="str">
            <v>I-Revenue from Service Work</v>
          </cell>
        </row>
        <row r="502">
          <cell r="A502" t="str">
            <v>25322.000.25361.70501.000000.00000</v>
          </cell>
          <cell r="B502">
            <v>728</v>
          </cell>
          <cell r="C502" t="str">
            <v>I-Other Administrative and General Expenses</v>
          </cell>
        </row>
        <row r="503">
          <cell r="A503" t="str">
            <v>25322.000.25362.70501.000000.00000</v>
          </cell>
          <cell r="B503">
            <v>710</v>
          </cell>
          <cell r="C503" t="str">
            <v>I-Supervision</v>
          </cell>
        </row>
        <row r="504">
          <cell r="A504" t="str">
            <v>25322.000.25300.70503.000000.00000</v>
          </cell>
          <cell r="B504">
            <v>728</v>
          </cell>
          <cell r="C504" t="str">
            <v>I-Other Administrative and General Expenses</v>
          </cell>
        </row>
        <row r="505">
          <cell r="A505" t="str">
            <v>25322.000.25311.70503.000000.00000</v>
          </cell>
          <cell r="B505">
            <v>728</v>
          </cell>
          <cell r="C505" t="str">
            <v>I-Other Administrative and General Expenses</v>
          </cell>
        </row>
        <row r="506">
          <cell r="A506" t="str">
            <v>25322.000.25312.70503.000000.00000</v>
          </cell>
          <cell r="B506">
            <v>728</v>
          </cell>
          <cell r="C506" t="str">
            <v>I-Other Administrative and General Expenses</v>
          </cell>
        </row>
        <row r="507">
          <cell r="A507" t="str">
            <v>25322.000.25320.70503.000000.00000</v>
          </cell>
          <cell r="B507">
            <v>728</v>
          </cell>
          <cell r="C507" t="str">
            <v>I-Other Administrative and General Expenses</v>
          </cell>
        </row>
        <row r="508">
          <cell r="A508" t="str">
            <v>25322.000.25330.70503.000000.00000</v>
          </cell>
          <cell r="B508">
            <v>702</v>
          </cell>
          <cell r="C508" t="str">
            <v>I-Demonstration and Selling Expenses</v>
          </cell>
        </row>
        <row r="509">
          <cell r="A509" t="str">
            <v>25322.000.25332.70503.000000.00000</v>
          </cell>
          <cell r="B509">
            <v>705</v>
          </cell>
          <cell r="C509" t="str">
            <v>I-Advertising – Other</v>
          </cell>
        </row>
        <row r="510">
          <cell r="A510" t="str">
            <v>25322.000.25333.70503.000000.00000</v>
          </cell>
          <cell r="B510">
            <v>561</v>
          </cell>
          <cell r="C510" t="str">
            <v>I-Revenue from Service Work</v>
          </cell>
        </row>
        <row r="511">
          <cell r="A511" t="str">
            <v>25322.000.25334.70503.000000.00000</v>
          </cell>
          <cell r="B511">
            <v>623</v>
          </cell>
          <cell r="C511" t="str">
            <v>I-Cost of Gas</v>
          </cell>
        </row>
        <row r="512">
          <cell r="A512" t="str">
            <v>25322.000.25336.70503.000000.00000</v>
          </cell>
          <cell r="B512">
            <v>688</v>
          </cell>
          <cell r="C512" t="str">
            <v>I-Other General Gas Distributor Operations</v>
          </cell>
        </row>
        <row r="513">
          <cell r="A513" t="str">
            <v>25322.000.25338.70503.000000.00000</v>
          </cell>
          <cell r="B513">
            <v>675</v>
          </cell>
          <cell r="C513" t="str">
            <v>I-Mains and Services</v>
          </cell>
        </row>
        <row r="514">
          <cell r="A514" t="str">
            <v>25322.000.25350.70503.000000.00000</v>
          </cell>
          <cell r="B514">
            <v>688</v>
          </cell>
          <cell r="C514" t="str">
            <v>I-Other General Gas Distributor Operations</v>
          </cell>
        </row>
        <row r="515">
          <cell r="A515" t="str">
            <v>25322.000.25351.70503.000000.00000</v>
          </cell>
          <cell r="B515">
            <v>685</v>
          </cell>
          <cell r="C515" t="str">
            <v>I-System Operation and Engineering</v>
          </cell>
        </row>
        <row r="516">
          <cell r="A516" t="str">
            <v>25322.000.25352.70503.000000.00000</v>
          </cell>
          <cell r="B516">
            <v>685</v>
          </cell>
          <cell r="C516" t="str">
            <v>I-System Operation and Engineering</v>
          </cell>
        </row>
        <row r="517">
          <cell r="A517" t="str">
            <v>25322.000.25353.70503.000000.00000</v>
          </cell>
          <cell r="B517">
            <v>561</v>
          </cell>
          <cell r="C517" t="str">
            <v>I-Revenue from Service Work</v>
          </cell>
        </row>
        <row r="518">
          <cell r="A518" t="str">
            <v>25322.000.25354.70503.000000.00000</v>
          </cell>
          <cell r="B518">
            <v>685</v>
          </cell>
          <cell r="C518" t="str">
            <v>I-System Operation and Engineering</v>
          </cell>
        </row>
        <row r="519">
          <cell r="A519" t="str">
            <v>25322.000.25361.70503.000000.00000</v>
          </cell>
          <cell r="B519">
            <v>728</v>
          </cell>
          <cell r="C519" t="str">
            <v>I-Other Administrative and General Expenses</v>
          </cell>
        </row>
        <row r="520">
          <cell r="A520" t="str">
            <v>25322.000.25362.70503.000000.00000</v>
          </cell>
          <cell r="B520">
            <v>712</v>
          </cell>
          <cell r="C520" t="str">
            <v>I-Meter Reading</v>
          </cell>
        </row>
        <row r="521">
          <cell r="A521" t="str">
            <v>25322.000.25363.70503.000000.00000</v>
          </cell>
          <cell r="B521">
            <v>624</v>
          </cell>
          <cell r="C521" t="str">
            <v>I-Gas Supply – Operation</v>
          </cell>
        </row>
        <row r="522">
          <cell r="A522" t="str">
            <v>25322.000.25300.70505.000000.00000</v>
          </cell>
          <cell r="B522">
            <v>728</v>
          </cell>
          <cell r="C522" t="str">
            <v>I-Other Administrative and General Expenses</v>
          </cell>
        </row>
        <row r="523">
          <cell r="A523" t="str">
            <v>25322.000.25311.70505.000000.00000</v>
          </cell>
          <cell r="B523">
            <v>728</v>
          </cell>
          <cell r="C523" t="str">
            <v>I-Other Administrative and General Expenses</v>
          </cell>
        </row>
        <row r="524">
          <cell r="A524" t="str">
            <v>25322.000.25312.70505.000000.00000</v>
          </cell>
          <cell r="B524">
            <v>728</v>
          </cell>
          <cell r="C524" t="str">
            <v>I-Other Administrative and General Expenses</v>
          </cell>
        </row>
        <row r="525">
          <cell r="A525" t="str">
            <v>25322.000.25320.70505.000000.00000</v>
          </cell>
          <cell r="B525">
            <v>728</v>
          </cell>
          <cell r="C525" t="str">
            <v>I-Other Administrative and General Expenses</v>
          </cell>
        </row>
        <row r="526">
          <cell r="A526" t="str">
            <v>25322.000.25330.70505.000000.00000</v>
          </cell>
          <cell r="B526">
            <v>702</v>
          </cell>
          <cell r="C526" t="str">
            <v>I-Demonstration and Selling Expenses</v>
          </cell>
        </row>
        <row r="527">
          <cell r="A527" t="str">
            <v>25322.000.25332.70505.000000.00000</v>
          </cell>
          <cell r="B527">
            <v>705</v>
          </cell>
          <cell r="C527" t="str">
            <v>I-Advertising – Other</v>
          </cell>
        </row>
        <row r="528">
          <cell r="A528" t="str">
            <v>25322.000.25333.70505.000000.00000</v>
          </cell>
          <cell r="B528">
            <v>561</v>
          </cell>
          <cell r="C528" t="str">
            <v>I-Revenue from Service Work</v>
          </cell>
        </row>
        <row r="529">
          <cell r="A529" t="str">
            <v>25322.000.25334.70505.000000.00000</v>
          </cell>
          <cell r="B529">
            <v>623</v>
          </cell>
          <cell r="C529" t="str">
            <v>I-Cost of Gas</v>
          </cell>
        </row>
        <row r="530">
          <cell r="A530" t="str">
            <v>25322.000.25336.70505.000000.00000</v>
          </cell>
          <cell r="B530">
            <v>688</v>
          </cell>
          <cell r="C530" t="str">
            <v>I-Other General Gas Distributor Operations</v>
          </cell>
        </row>
        <row r="531">
          <cell r="A531" t="str">
            <v>25322.000.25350.70505.000000.00000</v>
          </cell>
          <cell r="B531">
            <v>688</v>
          </cell>
          <cell r="C531" t="str">
            <v>I-Other General Gas Distributor Operations</v>
          </cell>
        </row>
        <row r="532">
          <cell r="A532" t="str">
            <v>25322.000.25351.70505.000000.00000</v>
          </cell>
          <cell r="B532">
            <v>685</v>
          </cell>
          <cell r="C532" t="str">
            <v>I-System Operation and Engineering</v>
          </cell>
        </row>
        <row r="533">
          <cell r="A533" t="str">
            <v>25322.000.25352.70505.000000.00000</v>
          </cell>
          <cell r="B533">
            <v>685</v>
          </cell>
          <cell r="C533" t="str">
            <v>I-System Operation and Engineering</v>
          </cell>
        </row>
        <row r="534">
          <cell r="A534" t="str">
            <v>25322.000.25353.70505.000000.00000</v>
          </cell>
          <cell r="B534">
            <v>561</v>
          </cell>
          <cell r="C534" t="str">
            <v>I-Revenue from Service Work</v>
          </cell>
        </row>
        <row r="535">
          <cell r="A535" t="str">
            <v>25322.000.25354.70505.000000.00000</v>
          </cell>
          <cell r="B535">
            <v>685</v>
          </cell>
          <cell r="C535" t="str">
            <v>I-System Operation and Engineering</v>
          </cell>
        </row>
        <row r="536">
          <cell r="A536" t="str">
            <v>25322.000.25361.70505.000000.00000</v>
          </cell>
          <cell r="B536">
            <v>728</v>
          </cell>
          <cell r="C536" t="str">
            <v>I-Other Administrative and General Expenses</v>
          </cell>
        </row>
        <row r="537">
          <cell r="A537" t="str">
            <v>25322.000.25362.70505.000000.00000</v>
          </cell>
          <cell r="B537">
            <v>710</v>
          </cell>
          <cell r="C537" t="str">
            <v>I-Supervision</v>
          </cell>
        </row>
        <row r="538">
          <cell r="A538" t="str">
            <v>25322.000.25300.70507.000000.00000</v>
          </cell>
          <cell r="B538">
            <v>728</v>
          </cell>
          <cell r="C538" t="str">
            <v>I-Other Administrative and General Expenses</v>
          </cell>
        </row>
        <row r="539">
          <cell r="A539" t="str">
            <v>25322.000.25311.70507.000000.00000</v>
          </cell>
          <cell r="B539">
            <v>728</v>
          </cell>
          <cell r="C539" t="str">
            <v>I-Other Administrative and General Expenses</v>
          </cell>
        </row>
        <row r="540">
          <cell r="A540" t="str">
            <v>25322.000.25312.70507.000000.00000</v>
          </cell>
          <cell r="B540">
            <v>728</v>
          </cell>
          <cell r="C540" t="str">
            <v>I-Other Administrative and General Expenses</v>
          </cell>
        </row>
        <row r="541">
          <cell r="A541" t="str">
            <v>25322.000.25313.70507.000000.00000</v>
          </cell>
          <cell r="B541">
            <v>728</v>
          </cell>
          <cell r="C541" t="str">
            <v>I-Other Administrative and General Expenses</v>
          </cell>
        </row>
        <row r="542">
          <cell r="A542" t="str">
            <v>25322.000.25320.70507.000000.00000</v>
          </cell>
          <cell r="B542">
            <v>725</v>
          </cell>
          <cell r="C542" t="str">
            <v>I-Employee Benefits</v>
          </cell>
        </row>
        <row r="543">
          <cell r="A543" t="str">
            <v>25322.000.25330.70507.000000.00000</v>
          </cell>
          <cell r="B543">
            <v>702</v>
          </cell>
          <cell r="C543" t="str">
            <v>I-Demonstration and Selling Expenses</v>
          </cell>
        </row>
        <row r="544">
          <cell r="A544" t="str">
            <v>25322.000.25332.70507.000000.00000</v>
          </cell>
          <cell r="B544">
            <v>705</v>
          </cell>
          <cell r="C544" t="str">
            <v>I-Advertising – Other</v>
          </cell>
        </row>
        <row r="545">
          <cell r="A545" t="str">
            <v>25322.000.25333.70507.000000.00000</v>
          </cell>
          <cell r="B545">
            <v>561</v>
          </cell>
          <cell r="C545" t="str">
            <v>I-Revenue from Service Work</v>
          </cell>
        </row>
        <row r="546">
          <cell r="A546" t="str">
            <v>25322.000.25334.70507.000000.00000</v>
          </cell>
          <cell r="B546">
            <v>623</v>
          </cell>
          <cell r="C546" t="str">
            <v>I-Cost of Gas</v>
          </cell>
        </row>
        <row r="547">
          <cell r="A547" t="str">
            <v>25322.000.25336.70507.000000.00000</v>
          </cell>
          <cell r="B547">
            <v>688</v>
          </cell>
          <cell r="C547" t="str">
            <v>I-Other General Gas Distributor Operations</v>
          </cell>
        </row>
        <row r="548">
          <cell r="A548" t="str">
            <v>25322.000.25338.70507.000000.00000</v>
          </cell>
          <cell r="B548">
            <v>675</v>
          </cell>
          <cell r="C548" t="str">
            <v>I-Mains and Services</v>
          </cell>
        </row>
        <row r="549">
          <cell r="A549" t="str">
            <v>25322.000.25350.70507.000000.00000</v>
          </cell>
          <cell r="B549">
            <v>688</v>
          </cell>
          <cell r="C549" t="str">
            <v>I-Other General Gas Distributor Operations</v>
          </cell>
        </row>
        <row r="550">
          <cell r="A550" t="str">
            <v>25322.000.25351.70507.000000.00000</v>
          </cell>
          <cell r="B550">
            <v>685</v>
          </cell>
          <cell r="C550" t="str">
            <v>I-System Operation and Engineering</v>
          </cell>
        </row>
        <row r="551">
          <cell r="A551" t="str">
            <v>25322.000.25352.70507.000000.00000</v>
          </cell>
          <cell r="B551">
            <v>685</v>
          </cell>
          <cell r="C551" t="str">
            <v>I-System Operation and Engineering</v>
          </cell>
        </row>
        <row r="552">
          <cell r="A552" t="str">
            <v>25322.000.25353.70507.000000.00000</v>
          </cell>
          <cell r="B552">
            <v>561</v>
          </cell>
          <cell r="C552" t="str">
            <v>I-Revenue from Service Work</v>
          </cell>
        </row>
        <row r="553">
          <cell r="A553" t="str">
            <v>25322.000.25354.70507.000000.00000</v>
          </cell>
          <cell r="B553">
            <v>685</v>
          </cell>
          <cell r="C553" t="str">
            <v>I-System Operation and Engineering</v>
          </cell>
        </row>
        <row r="554">
          <cell r="A554" t="str">
            <v>25322.000.25361.70507.000000.00000</v>
          </cell>
          <cell r="B554">
            <v>728</v>
          </cell>
          <cell r="C554" t="str">
            <v>I-Other Administrative and General Expenses</v>
          </cell>
        </row>
        <row r="555">
          <cell r="A555" t="str">
            <v>25322.000.25362.70507.000000.00000</v>
          </cell>
          <cell r="B555">
            <v>710</v>
          </cell>
          <cell r="C555" t="str">
            <v>I-Supervision</v>
          </cell>
        </row>
        <row r="556">
          <cell r="A556" t="str">
            <v>25322.000.25300.70509.000000.00000</v>
          </cell>
          <cell r="B556">
            <v>728</v>
          </cell>
          <cell r="C556" t="str">
            <v>I-Other Administrative and General Expenses</v>
          </cell>
        </row>
        <row r="557">
          <cell r="A557" t="str">
            <v>25322.000.25311.70509.000000.00000</v>
          </cell>
          <cell r="B557">
            <v>728</v>
          </cell>
          <cell r="C557" t="str">
            <v>I-Other Administrative and General Expenses</v>
          </cell>
        </row>
        <row r="558">
          <cell r="A558" t="str">
            <v>25322.000.25312.70509.000000.00000</v>
          </cell>
          <cell r="B558">
            <v>728</v>
          </cell>
          <cell r="C558" t="str">
            <v>I-Other Administrative and General Expenses</v>
          </cell>
        </row>
        <row r="559">
          <cell r="A559" t="str">
            <v>25322.000.25330.70509.000000.00000</v>
          </cell>
          <cell r="B559">
            <v>702</v>
          </cell>
          <cell r="C559" t="str">
            <v>I-Demonstration and Selling Expenses</v>
          </cell>
        </row>
        <row r="560">
          <cell r="A560" t="str">
            <v>25322.000.25332.70509.000000.00000</v>
          </cell>
          <cell r="B560">
            <v>705</v>
          </cell>
          <cell r="C560" t="str">
            <v>I-Advertising – Other</v>
          </cell>
        </row>
        <row r="561">
          <cell r="A561" t="str">
            <v>25322.000.25333.70509.000000.00000</v>
          </cell>
          <cell r="B561">
            <v>561</v>
          </cell>
          <cell r="C561" t="str">
            <v>I-Revenue from Service Work</v>
          </cell>
        </row>
        <row r="562">
          <cell r="A562" t="str">
            <v>25322.000.25334.70509.000000.00000</v>
          </cell>
          <cell r="B562">
            <v>623</v>
          </cell>
          <cell r="C562" t="str">
            <v>I-Cost of Gas</v>
          </cell>
        </row>
        <row r="563">
          <cell r="A563" t="str">
            <v>25322.000.25336.70509.000000.00000</v>
          </cell>
          <cell r="B563">
            <v>688</v>
          </cell>
          <cell r="C563" t="str">
            <v>I-Other General Gas Distributor Operations</v>
          </cell>
        </row>
        <row r="564">
          <cell r="A564" t="str">
            <v>25322.000.25352.70509.000000.00000</v>
          </cell>
          <cell r="B564">
            <v>685</v>
          </cell>
          <cell r="C564" t="str">
            <v>I-System Operation and Engineering</v>
          </cell>
        </row>
        <row r="565">
          <cell r="A565" t="str">
            <v>25322.000.25353.70509.000000.00000</v>
          </cell>
          <cell r="B565">
            <v>561</v>
          </cell>
          <cell r="C565" t="str">
            <v>I-Revenue from Service Work</v>
          </cell>
        </row>
        <row r="566">
          <cell r="A566" t="str">
            <v>25322.000.25361.70509.000000.00000</v>
          </cell>
          <cell r="B566">
            <v>728</v>
          </cell>
          <cell r="C566" t="str">
            <v>I-Other Administrative and General Expenses</v>
          </cell>
        </row>
        <row r="567">
          <cell r="A567" t="str">
            <v>25322.000.25362.70509.000000.00000</v>
          </cell>
          <cell r="B567">
            <v>710</v>
          </cell>
          <cell r="C567" t="str">
            <v>I-Supervision</v>
          </cell>
        </row>
        <row r="568">
          <cell r="A568" t="str">
            <v>25322.000.25300.70511.000000.00000</v>
          </cell>
          <cell r="B568">
            <v>728</v>
          </cell>
          <cell r="C568" t="str">
            <v>I-Other Administrative and General Expenses</v>
          </cell>
        </row>
        <row r="569">
          <cell r="A569" t="str">
            <v>25322.000.25312.70511.000000.00000</v>
          </cell>
          <cell r="B569">
            <v>728</v>
          </cell>
          <cell r="C569" t="str">
            <v>I-Other Administrative and General Expenses</v>
          </cell>
        </row>
        <row r="570">
          <cell r="A570" t="str">
            <v>25322.000.25320.70511.000000.00000</v>
          </cell>
          <cell r="B570">
            <v>725</v>
          </cell>
          <cell r="C570" t="str">
            <v>I-Employee Benefits</v>
          </cell>
        </row>
        <row r="571">
          <cell r="A571" t="str">
            <v>25322.000.25330.70511.000000.00000</v>
          </cell>
          <cell r="B571">
            <v>702</v>
          </cell>
          <cell r="C571" t="str">
            <v>I-Demonstration and Selling Expenses</v>
          </cell>
        </row>
        <row r="572">
          <cell r="A572" t="str">
            <v>25322.000.25332.70511.000000.00000</v>
          </cell>
          <cell r="B572">
            <v>705</v>
          </cell>
          <cell r="C572" t="str">
            <v>I-Advertising – Other</v>
          </cell>
        </row>
        <row r="573">
          <cell r="A573" t="str">
            <v>25322.000.25333.70511.000000.00000</v>
          </cell>
          <cell r="B573">
            <v>561</v>
          </cell>
          <cell r="C573" t="str">
            <v>I-Revenue from Service Work</v>
          </cell>
        </row>
        <row r="574">
          <cell r="A574" t="str">
            <v>25322.000.25336.70511.000000.00000</v>
          </cell>
          <cell r="B574">
            <v>688</v>
          </cell>
          <cell r="C574" t="str">
            <v>I-Other General Gas Distributor Operations</v>
          </cell>
        </row>
        <row r="575">
          <cell r="A575" t="str">
            <v>25322.000.25351.70511.000000.00000</v>
          </cell>
          <cell r="B575">
            <v>685</v>
          </cell>
          <cell r="C575" t="str">
            <v>I-System Operation and Engineering</v>
          </cell>
        </row>
        <row r="576">
          <cell r="A576" t="str">
            <v>25322.000.25352.70511.000000.00000</v>
          </cell>
          <cell r="B576">
            <v>685</v>
          </cell>
          <cell r="C576" t="str">
            <v>I-System Operation and Engineering</v>
          </cell>
        </row>
        <row r="577">
          <cell r="A577" t="str">
            <v>25322.000.25353.70511.000000.00000</v>
          </cell>
          <cell r="B577">
            <v>561</v>
          </cell>
          <cell r="C577" t="str">
            <v>I-Revenue from Service Work</v>
          </cell>
        </row>
        <row r="578">
          <cell r="A578" t="str">
            <v>25322.000.25354.70511.000000.00000</v>
          </cell>
          <cell r="B578">
            <v>685</v>
          </cell>
          <cell r="C578" t="str">
            <v>I-System Operation and Engineering</v>
          </cell>
        </row>
        <row r="579">
          <cell r="A579" t="str">
            <v>25322.000.25362.70511.000000.00000</v>
          </cell>
          <cell r="B579">
            <v>710</v>
          </cell>
          <cell r="C579" t="str">
            <v>I-Supervision</v>
          </cell>
        </row>
        <row r="580">
          <cell r="A580" t="str">
            <v>25322.000.25340.70701.000000.00000</v>
          </cell>
          <cell r="B580">
            <v>305</v>
          </cell>
          <cell r="C580" t="str">
            <v>I-Municipal and Other Taxes</v>
          </cell>
        </row>
        <row r="581">
          <cell r="A581" t="str">
            <v>25322.000.25351.70707.000000.00000</v>
          </cell>
          <cell r="B581">
            <v>685</v>
          </cell>
          <cell r="C581" t="str">
            <v>I-System Operation and Engineering</v>
          </cell>
        </row>
        <row r="582">
          <cell r="A582" t="str">
            <v>25322.000.25300.70801.000000.00000</v>
          </cell>
          <cell r="B582">
            <v>728</v>
          </cell>
          <cell r="C582" t="str">
            <v>I-Other Administrative and General Expenses</v>
          </cell>
        </row>
        <row r="583">
          <cell r="A583" t="str">
            <v>25322.000.25332.70807.000000.00000</v>
          </cell>
          <cell r="B583">
            <v>705</v>
          </cell>
          <cell r="C583" t="str">
            <v>I-Advertising – Other</v>
          </cell>
        </row>
        <row r="584">
          <cell r="A584" t="str">
            <v>25322.000.25300.70809.000000.00000</v>
          </cell>
          <cell r="B584">
            <v>728</v>
          </cell>
          <cell r="C584" t="str">
            <v>I-Other Administrative and General Expenses</v>
          </cell>
        </row>
        <row r="585">
          <cell r="A585" t="str">
            <v>25322.000.25311.70809.000000.00000</v>
          </cell>
          <cell r="B585">
            <v>728</v>
          </cell>
          <cell r="C585" t="str">
            <v>I-Other Administrative and General Expenses</v>
          </cell>
        </row>
        <row r="586">
          <cell r="A586" t="str">
            <v>25322.000.25330.70809.000000.00000</v>
          </cell>
          <cell r="B586">
            <v>702</v>
          </cell>
          <cell r="C586" t="str">
            <v>I-Demonstration and Selling Expenses</v>
          </cell>
        </row>
        <row r="587">
          <cell r="A587" t="str">
            <v>25322.000.25332.70809.000000.00000</v>
          </cell>
          <cell r="B587">
            <v>705</v>
          </cell>
          <cell r="C587" t="str">
            <v>I-Advertising – Other</v>
          </cell>
        </row>
        <row r="588">
          <cell r="A588" t="str">
            <v>25322.000.25336.70809.000000.00000</v>
          </cell>
          <cell r="B588">
            <v>688</v>
          </cell>
          <cell r="C588" t="str">
            <v>I-Other General Gas Distributor Operations</v>
          </cell>
        </row>
        <row r="589">
          <cell r="A589" t="str">
            <v>25322.000.25350.70809.000000.00000</v>
          </cell>
          <cell r="B589">
            <v>688</v>
          </cell>
          <cell r="C589" t="str">
            <v>I-Other General Gas Distributor Operations</v>
          </cell>
        </row>
        <row r="590">
          <cell r="A590" t="str">
            <v>25322.000.25351.70809.000000.00000</v>
          </cell>
          <cell r="B590">
            <v>685</v>
          </cell>
          <cell r="C590" t="str">
            <v>I-System Operation and Engineering</v>
          </cell>
        </row>
        <row r="591">
          <cell r="A591" t="str">
            <v>25322.000.25352.70809.000000.00000</v>
          </cell>
          <cell r="B591">
            <v>685</v>
          </cell>
          <cell r="C591" t="str">
            <v>I-System Operation and Engineering</v>
          </cell>
        </row>
        <row r="592">
          <cell r="A592" t="str">
            <v>25322.000.25353.70809.000000.00000</v>
          </cell>
          <cell r="B592">
            <v>561</v>
          </cell>
          <cell r="C592" t="str">
            <v>I-Revenue from Service Work</v>
          </cell>
        </row>
        <row r="593">
          <cell r="A593" t="str">
            <v>25322.000.25354.70809.000000.00000</v>
          </cell>
          <cell r="B593">
            <v>685</v>
          </cell>
          <cell r="C593" t="str">
            <v>I-System Operation and Engineering</v>
          </cell>
        </row>
        <row r="594">
          <cell r="A594" t="str">
            <v>25322.000.25313.70899.000000.00000</v>
          </cell>
          <cell r="B594">
            <v>728</v>
          </cell>
          <cell r="C594" t="str">
            <v>I-Other Administrative and General Expenses</v>
          </cell>
        </row>
        <row r="595">
          <cell r="A595" t="str">
            <v>25322.000.25331.70899.000000.00000</v>
          </cell>
          <cell r="B595">
            <v>561</v>
          </cell>
          <cell r="C595" t="str">
            <v>I-Revenue from Service Work</v>
          </cell>
        </row>
        <row r="596">
          <cell r="A596" t="str">
            <v>25322.000.25332.70899.000000.00000</v>
          </cell>
          <cell r="B596">
            <v>705</v>
          </cell>
          <cell r="C596" t="str">
            <v>I-Advertising – Other</v>
          </cell>
        </row>
        <row r="597">
          <cell r="A597" t="str">
            <v>25322.000.25332.70899.MCSPEC.00000</v>
          </cell>
          <cell r="B597">
            <v>705</v>
          </cell>
          <cell r="C597" t="str">
            <v>I-Advertising – Other</v>
          </cell>
        </row>
        <row r="598">
          <cell r="A598" t="str">
            <v>25322.000.25336.70899.000000.00000</v>
          </cell>
          <cell r="B598">
            <v>688</v>
          </cell>
          <cell r="C598" t="str">
            <v>I-Other General Gas Distributor Operations</v>
          </cell>
        </row>
        <row r="599">
          <cell r="A599" t="str">
            <v>25322.000.25351.70951.000000.00000</v>
          </cell>
          <cell r="B599">
            <v>685</v>
          </cell>
          <cell r="C599" t="str">
            <v>I-System Operation and Engineering</v>
          </cell>
        </row>
        <row r="600">
          <cell r="A600" t="str">
            <v>25322.000.00000.71119.000000.00000</v>
          </cell>
          <cell r="B600">
            <v>721</v>
          </cell>
          <cell r="C600" t="str">
            <v>I-Administrative Expenses</v>
          </cell>
        </row>
        <row r="601">
          <cell r="A601" t="str">
            <v>25322.000.25340.71119.000000.00000</v>
          </cell>
          <cell r="B601" t="str">
            <v>n/a</v>
          </cell>
          <cell r="C601" t="e">
            <v>#N/A</v>
          </cell>
        </row>
        <row r="602">
          <cell r="A602" t="str">
            <v>25322.000.25351.74001.000000.00000</v>
          </cell>
          <cell r="B602">
            <v>685</v>
          </cell>
          <cell r="C602" t="str">
            <v>I-System Operation and Engineering</v>
          </cell>
        </row>
        <row r="603">
          <cell r="A603" t="str">
            <v>25322.000.25300.74002.IC0011.00000</v>
          </cell>
          <cell r="B603">
            <v>728</v>
          </cell>
          <cell r="C603" t="str">
            <v>I-Other Administrative and General Expenses</v>
          </cell>
        </row>
        <row r="604">
          <cell r="A604" t="str">
            <v>25322.000.25300.74002.IC0011.10001</v>
          </cell>
          <cell r="B604">
            <v>728</v>
          </cell>
          <cell r="C604" t="str">
            <v>I-Other Administrative and General Expenses</v>
          </cell>
        </row>
        <row r="605">
          <cell r="A605" t="str">
            <v>25322.000.25300.74002.IC0018.25102</v>
          </cell>
          <cell r="B605">
            <v>728</v>
          </cell>
          <cell r="C605" t="str">
            <v>I-Other Administrative and General Expenses</v>
          </cell>
        </row>
        <row r="606">
          <cell r="A606" t="str">
            <v>25322.000.25300.74002.IC0022.25102</v>
          </cell>
          <cell r="B606">
            <v>728</v>
          </cell>
          <cell r="C606" t="str">
            <v>I-Other Administrative and General Expenses</v>
          </cell>
        </row>
        <row r="607">
          <cell r="A607" t="str">
            <v>25322.000.25311.74002.IC0005.10001</v>
          </cell>
          <cell r="B607">
            <v>728</v>
          </cell>
          <cell r="C607" t="str">
            <v>I-Other Administrative and General Expenses</v>
          </cell>
        </row>
        <row r="608">
          <cell r="A608" t="str">
            <v>25322.000.25311.74002.IC0007.00000</v>
          </cell>
          <cell r="B608">
            <v>728</v>
          </cell>
          <cell r="C608" t="str">
            <v>I-Other Administrative and General Expenses</v>
          </cell>
        </row>
        <row r="609">
          <cell r="A609" t="str">
            <v>25322.000.25311.74002.IC0007.10001</v>
          </cell>
          <cell r="B609">
            <v>728</v>
          </cell>
          <cell r="C609" t="str">
            <v>I-Other Administrative and General Expenses</v>
          </cell>
        </row>
        <row r="610">
          <cell r="A610" t="str">
            <v>25322.000.25311.74002.IC0007.25102</v>
          </cell>
          <cell r="B610">
            <v>728</v>
          </cell>
          <cell r="C610" t="str">
            <v>I-Other Administrative and General Expenses</v>
          </cell>
        </row>
        <row r="611">
          <cell r="A611" t="str">
            <v>25322.000.25311.74002.IC0008.00000</v>
          </cell>
          <cell r="B611">
            <v>728</v>
          </cell>
          <cell r="C611" t="str">
            <v>I-Other Administrative and General Expenses</v>
          </cell>
        </row>
        <row r="612">
          <cell r="A612" t="str">
            <v>25322.000.25311.74002.IC0008.10001</v>
          </cell>
          <cell r="B612">
            <v>728</v>
          </cell>
          <cell r="C612" t="str">
            <v>I-Other Administrative and General Expenses</v>
          </cell>
        </row>
        <row r="613">
          <cell r="A613" t="str">
            <v>25322.000.25312.74002.IC0014.00000</v>
          </cell>
          <cell r="B613">
            <v>728</v>
          </cell>
          <cell r="C613" t="str">
            <v>I-Other Administrative and General Expenses</v>
          </cell>
        </row>
        <row r="614">
          <cell r="A614" t="str">
            <v>25322.000.25312.74002.IC0014.10001</v>
          </cell>
          <cell r="B614">
            <v>728</v>
          </cell>
          <cell r="C614" t="str">
            <v>I-Other Administrative and General Expenses</v>
          </cell>
        </row>
        <row r="615">
          <cell r="A615" t="str">
            <v>25322.000.25312.74002.IC0017.25102</v>
          </cell>
          <cell r="B615">
            <v>728</v>
          </cell>
          <cell r="C615" t="str">
            <v>I-Other Administrative and General Expenses</v>
          </cell>
        </row>
        <row r="616">
          <cell r="A616" t="str">
            <v>25322.000.25312.74002.IC0049.25502</v>
          </cell>
          <cell r="B616">
            <v>728</v>
          </cell>
          <cell r="C616" t="str">
            <v>I-Other Administrative and General Expenses</v>
          </cell>
        </row>
        <row r="617">
          <cell r="A617" t="str">
            <v>25322.000.25312.74002.PS0201.25102</v>
          </cell>
          <cell r="B617">
            <v>728</v>
          </cell>
          <cell r="C617" t="str">
            <v>I-Other Administrative and General Expenses</v>
          </cell>
        </row>
        <row r="618">
          <cell r="A618" t="str">
            <v>25322.000.25313.74002.CV0001.10001</v>
          </cell>
          <cell r="B618">
            <v>723</v>
          </cell>
          <cell r="C618" t="str">
            <v>I-Insurance</v>
          </cell>
        </row>
        <row r="619">
          <cell r="A619" t="str">
            <v>25322.000.25313.74002.CV0002.10001</v>
          </cell>
          <cell r="B619">
            <v>723</v>
          </cell>
          <cell r="C619" t="str">
            <v>I-Insurance</v>
          </cell>
        </row>
        <row r="620">
          <cell r="A620" t="str">
            <v>25322.000.25313.74002.CV0003.10001</v>
          </cell>
          <cell r="B620">
            <v>723</v>
          </cell>
          <cell r="C620" t="str">
            <v>I-Insurance</v>
          </cell>
        </row>
        <row r="621">
          <cell r="A621" t="str">
            <v>25322.000.25313.74002.CV0005.10001</v>
          </cell>
          <cell r="B621">
            <v>723</v>
          </cell>
          <cell r="C621" t="str">
            <v>I-Insurance</v>
          </cell>
        </row>
        <row r="622">
          <cell r="A622" t="str">
            <v>25322.000.25313.74002.CV0013.10001</v>
          </cell>
          <cell r="B622">
            <v>723</v>
          </cell>
          <cell r="C622" t="str">
            <v>I-Insurance</v>
          </cell>
        </row>
        <row r="623">
          <cell r="A623" t="str">
            <v>25322.000.25313.74002.CV0014.10001</v>
          </cell>
          <cell r="B623">
            <v>723</v>
          </cell>
          <cell r="C623" t="str">
            <v>I-Insurance</v>
          </cell>
        </row>
        <row r="624">
          <cell r="A624" t="str">
            <v>25322.000.25313.74002.CV0015.10001</v>
          </cell>
          <cell r="B624">
            <v>723</v>
          </cell>
          <cell r="C624" t="str">
            <v>I-Insurance</v>
          </cell>
        </row>
        <row r="625">
          <cell r="A625" t="str">
            <v>25322.000.25313.74002.IC0015.25102</v>
          </cell>
          <cell r="B625">
            <v>728</v>
          </cell>
          <cell r="C625" t="str">
            <v>I-Other Administrative and General Expenses</v>
          </cell>
        </row>
        <row r="626">
          <cell r="A626" t="str">
            <v>25322.000.25313.74002.ICSFEE.00000</v>
          </cell>
          <cell r="B626">
            <v>728</v>
          </cell>
          <cell r="C626" t="str">
            <v>I-Other Administrative and General Expenses</v>
          </cell>
        </row>
        <row r="627">
          <cell r="A627" t="str">
            <v>25322.000.25313.74002.ICSFEE.10001</v>
          </cell>
          <cell r="B627">
            <v>728</v>
          </cell>
          <cell r="C627" t="str">
            <v>I-Other Administrative and General Expenses</v>
          </cell>
        </row>
        <row r="628">
          <cell r="A628" t="str">
            <v>25322.000.25320.74002.IC0012.00000</v>
          </cell>
          <cell r="B628">
            <v>725</v>
          </cell>
          <cell r="C628" t="str">
            <v>I-Employee Benefits</v>
          </cell>
        </row>
        <row r="629">
          <cell r="A629" t="str">
            <v>25322.000.25320.74002.IC0012.10001</v>
          </cell>
          <cell r="B629">
            <v>725</v>
          </cell>
          <cell r="C629" t="str">
            <v>I-Employee Benefits</v>
          </cell>
        </row>
        <row r="630">
          <cell r="A630" t="str">
            <v>25322.000.25320.74002.IC0021.10001</v>
          </cell>
          <cell r="B630">
            <v>725</v>
          </cell>
          <cell r="C630" t="str">
            <v>I-Employee Benefits</v>
          </cell>
        </row>
        <row r="631">
          <cell r="A631" t="str">
            <v>25322.000.25320.74002.IC0021.25102</v>
          </cell>
          <cell r="B631">
            <v>725</v>
          </cell>
          <cell r="C631" t="str">
            <v>I-Employee Benefits</v>
          </cell>
        </row>
        <row r="632">
          <cell r="A632" t="str">
            <v>25322.000.25320.74002.IC0022.25102</v>
          </cell>
          <cell r="B632">
            <v>725</v>
          </cell>
          <cell r="C632" t="str">
            <v>I-Employee Benefits</v>
          </cell>
        </row>
        <row r="633">
          <cell r="A633" t="str">
            <v>25322.000.25320.74002.IC0023.25102</v>
          </cell>
          <cell r="B633">
            <v>725</v>
          </cell>
          <cell r="C633" t="str">
            <v>I-Employee Benefits</v>
          </cell>
        </row>
        <row r="634">
          <cell r="A634" t="str">
            <v>25322.000.25320.74002.IC0030.25102</v>
          </cell>
          <cell r="B634">
            <v>725</v>
          </cell>
          <cell r="C634" t="str">
            <v>I-Employee Benefits</v>
          </cell>
        </row>
        <row r="635">
          <cell r="A635" t="str">
            <v>25322.000.25320.74002.IC0075.10001</v>
          </cell>
          <cell r="B635">
            <v>725</v>
          </cell>
          <cell r="C635" t="str">
            <v>I-Employee Benefits</v>
          </cell>
        </row>
        <row r="636">
          <cell r="A636" t="str">
            <v>25322.000.25334.74002.IC0027.40121</v>
          </cell>
          <cell r="B636">
            <v>623</v>
          </cell>
          <cell r="C636" t="str">
            <v>I-Cost of Gas</v>
          </cell>
        </row>
        <row r="637">
          <cell r="A637" t="str">
            <v>25322.000.25336.74002.PS0209.25102</v>
          </cell>
          <cell r="B637">
            <v>688</v>
          </cell>
          <cell r="C637" t="str">
            <v>I-Other General Gas Distributor Operations</v>
          </cell>
        </row>
        <row r="638">
          <cell r="A638" t="str">
            <v>25322.000.25340.74002.000000.00000</v>
          </cell>
          <cell r="B638" t="str">
            <v>n/a</v>
          </cell>
          <cell r="C638" t="e">
            <v>#N/A</v>
          </cell>
        </row>
        <row r="639">
          <cell r="A639" t="str">
            <v>25322.000.25340.74002.000000.10001</v>
          </cell>
          <cell r="B639" t="str">
            <v>n/a</v>
          </cell>
          <cell r="C639" t="e">
            <v>#N/A</v>
          </cell>
        </row>
        <row r="640">
          <cell r="A640" t="str">
            <v>25322.000.25340.74002.ICSFEE.40002</v>
          </cell>
          <cell r="B640" t="str">
            <v>n/a</v>
          </cell>
          <cell r="C640" t="e">
            <v>#N/A</v>
          </cell>
        </row>
        <row r="641">
          <cell r="A641" t="str">
            <v>25322.000.25350.74002.IC0025.25102</v>
          </cell>
          <cell r="B641">
            <v>688</v>
          </cell>
          <cell r="C641" t="str">
            <v>I-Other General Gas Distributor Operations</v>
          </cell>
        </row>
        <row r="642">
          <cell r="A642" t="str">
            <v>25322.000.25350.74002.PS0209.25102</v>
          </cell>
          <cell r="B642">
            <v>675</v>
          </cell>
          <cell r="C642" t="str">
            <v>I-Mains and Services</v>
          </cell>
        </row>
        <row r="643">
          <cell r="A643" t="str">
            <v>25322.000.25351.74002.PS0209.25102</v>
          </cell>
          <cell r="B643">
            <v>685</v>
          </cell>
          <cell r="C643" t="str">
            <v>I-System Operation and Engineering</v>
          </cell>
        </row>
        <row r="644">
          <cell r="A644" t="str">
            <v>25322.000.25352.74002.IC0018.25102</v>
          </cell>
          <cell r="B644">
            <v>685</v>
          </cell>
          <cell r="C644" t="str">
            <v>I-System Operation and Engineering</v>
          </cell>
        </row>
        <row r="645">
          <cell r="A645" t="str">
            <v>25322.000.25352.74002.PS0209.25102</v>
          </cell>
          <cell r="B645">
            <v>685</v>
          </cell>
          <cell r="C645" t="str">
            <v>I-System Operation and Engineering</v>
          </cell>
        </row>
        <row r="646">
          <cell r="A646" t="str">
            <v>25322.000.25353.74002.PS0209.25102</v>
          </cell>
          <cell r="B646">
            <v>561</v>
          </cell>
          <cell r="C646" t="str">
            <v>I-Revenue from Service Work</v>
          </cell>
        </row>
        <row r="647">
          <cell r="A647" t="str">
            <v>25322.000.25354.74002.IC0022.25102</v>
          </cell>
          <cell r="B647">
            <v>685</v>
          </cell>
          <cell r="C647" t="str">
            <v>I-System Operation and Engineering</v>
          </cell>
        </row>
        <row r="648">
          <cell r="A648" t="str">
            <v>25322.000.25361.74002.IC0019.25102</v>
          </cell>
          <cell r="B648">
            <v>728</v>
          </cell>
          <cell r="C648" t="str">
            <v>I-Other Administrative and General Expenses</v>
          </cell>
        </row>
        <row r="649">
          <cell r="A649" t="str">
            <v>25322.000.25361.74002.IC0022.25102</v>
          </cell>
          <cell r="B649">
            <v>728</v>
          </cell>
          <cell r="C649" t="str">
            <v>I-Other Administrative and General Expenses</v>
          </cell>
        </row>
        <row r="650">
          <cell r="A650" t="str">
            <v>25322.000.25361.74002.IC0026.25102</v>
          </cell>
          <cell r="B650">
            <v>728</v>
          </cell>
          <cell r="C650" t="str">
            <v>I-Other Administrative and General Expenses</v>
          </cell>
        </row>
        <row r="651">
          <cell r="A651" t="str">
            <v>25322.000.25362.74002.IC0018.25102</v>
          </cell>
          <cell r="B651">
            <v>713</v>
          </cell>
          <cell r="C651" t="str">
            <v>I-Customers’ Billing and Accounting</v>
          </cell>
        </row>
        <row r="652">
          <cell r="A652" t="str">
            <v>25322.000.25362.74002.PS0209.25102</v>
          </cell>
          <cell r="B652">
            <v>712</v>
          </cell>
          <cell r="C652" t="str">
            <v>I-Meter Reading</v>
          </cell>
        </row>
        <row r="653">
          <cell r="A653" t="str">
            <v>25322.000.25363.74002.IC0027.40121</v>
          </cell>
          <cell r="B653">
            <v>624</v>
          </cell>
          <cell r="C653" t="str">
            <v>I-Gas Supply – Operation</v>
          </cell>
        </row>
        <row r="654">
          <cell r="A654" t="str">
            <v>25322.000.25300.79951.000000.00000</v>
          </cell>
          <cell r="B654">
            <v>729</v>
          </cell>
          <cell r="C654" t="str">
            <v>I-Administrative and General Expenses Transferred – Credit</v>
          </cell>
        </row>
        <row r="655">
          <cell r="A655" t="str">
            <v>25322.000.25311.79951.000000.00000</v>
          </cell>
          <cell r="B655">
            <v>729</v>
          </cell>
          <cell r="C655" t="str">
            <v>I-Administrative and General Expenses Transferred – Credit</v>
          </cell>
        </row>
        <row r="656">
          <cell r="A656" t="str">
            <v>25322.000.25312.79951.000000.00000</v>
          </cell>
          <cell r="B656">
            <v>729</v>
          </cell>
          <cell r="C656" t="str">
            <v>I-Administrative and General Expenses Transferred – Credit</v>
          </cell>
        </row>
        <row r="657">
          <cell r="A657" t="str">
            <v>25322.000.25313.79951.000000.00000</v>
          </cell>
          <cell r="B657">
            <v>729</v>
          </cell>
          <cell r="C657" t="str">
            <v>I-Administrative and General Expenses Transferred – Credit</v>
          </cell>
        </row>
        <row r="658">
          <cell r="A658" t="str">
            <v>25322.000.25320.79951.000000.00000</v>
          </cell>
          <cell r="B658">
            <v>729</v>
          </cell>
          <cell r="C658" t="str">
            <v>I-Administrative and General Expenses Transferred – Credit</v>
          </cell>
        </row>
        <row r="659">
          <cell r="A659" t="str">
            <v>25322.000.25330.79951.000000.00000</v>
          </cell>
          <cell r="B659">
            <v>729</v>
          </cell>
          <cell r="C659" t="str">
            <v>I-Administrative and General Expenses Transferred – Credit</v>
          </cell>
        </row>
        <row r="660">
          <cell r="A660" t="str">
            <v>25322.000.25331.79951.000000.00000</v>
          </cell>
          <cell r="B660">
            <v>729</v>
          </cell>
          <cell r="C660" t="str">
            <v>I-Administrative and General Expenses Transferred – Credit</v>
          </cell>
        </row>
        <row r="661">
          <cell r="A661" t="str">
            <v>25322.000.25332.79951.000000.00000</v>
          </cell>
          <cell r="B661">
            <v>729</v>
          </cell>
          <cell r="C661" t="str">
            <v>I-Administrative and General Expenses Transferred – Credit</v>
          </cell>
        </row>
        <row r="662">
          <cell r="A662" t="str">
            <v>25322.000.25333.79951.000000.00000</v>
          </cell>
          <cell r="B662">
            <v>729</v>
          </cell>
          <cell r="C662" t="str">
            <v>I-Administrative and General Expenses Transferred – Credit</v>
          </cell>
        </row>
        <row r="663">
          <cell r="A663" t="str">
            <v>25322.000.25336.79951.000000.00000</v>
          </cell>
          <cell r="B663">
            <v>729</v>
          </cell>
          <cell r="C663" t="str">
            <v>I-Administrative and General Expenses Transferred – Credit</v>
          </cell>
        </row>
        <row r="664">
          <cell r="A664" t="str">
            <v>25322.000.25338.79951.000000.00000</v>
          </cell>
          <cell r="B664">
            <v>675</v>
          </cell>
          <cell r="C664" t="str">
            <v>I-Mains and Services</v>
          </cell>
        </row>
        <row r="665">
          <cell r="A665" t="str">
            <v>25322.000.25340.79951.000000.00000</v>
          </cell>
          <cell r="B665">
            <v>729</v>
          </cell>
          <cell r="C665" t="str">
            <v>I-Administrative and General Expenses Transferred – Credit</v>
          </cell>
        </row>
        <row r="666">
          <cell r="A666" t="str">
            <v>25322.000.25350.79951.000000.00000</v>
          </cell>
          <cell r="B666">
            <v>729</v>
          </cell>
          <cell r="C666" t="str">
            <v>I-Administrative and General Expenses Transferred – Credit</v>
          </cell>
        </row>
        <row r="667">
          <cell r="A667" t="str">
            <v>25322.000.25351.79951.000000.00000</v>
          </cell>
          <cell r="B667">
            <v>729</v>
          </cell>
          <cell r="C667" t="str">
            <v>I-Administrative and General Expenses Transferred – Credit</v>
          </cell>
        </row>
        <row r="668">
          <cell r="A668" t="str">
            <v>25322.000.25352.79951.000000.00000</v>
          </cell>
          <cell r="B668">
            <v>729</v>
          </cell>
          <cell r="C668" t="str">
            <v>I-Administrative and General Expenses Transferred – Credit</v>
          </cell>
        </row>
        <row r="669">
          <cell r="A669" t="str">
            <v>25322.000.25353.79951.000000.00000</v>
          </cell>
          <cell r="B669">
            <v>729</v>
          </cell>
          <cell r="C669" t="str">
            <v>I-Administrative and General Expenses Transferred – Credit</v>
          </cell>
        </row>
        <row r="670">
          <cell r="A670" t="str">
            <v>25322.000.25354.79951.000000.00000</v>
          </cell>
          <cell r="B670">
            <v>729</v>
          </cell>
          <cell r="C670" t="str">
            <v>I-Administrative and General Expenses Transferred – Credit</v>
          </cell>
        </row>
        <row r="671">
          <cell r="A671" t="str">
            <v>25322.000.25361.79951.000000.00000</v>
          </cell>
          <cell r="B671">
            <v>729</v>
          </cell>
          <cell r="C671" t="str">
            <v>I-Administrative and General Expenses Transferred – Credit</v>
          </cell>
        </row>
        <row r="672">
          <cell r="A672" t="str">
            <v>25322.000.25362.79951.000000.00000</v>
          </cell>
          <cell r="B672">
            <v>729</v>
          </cell>
          <cell r="C672" t="str">
            <v>I-Administrative and General Expenses Transferred – Credit</v>
          </cell>
        </row>
        <row r="673">
          <cell r="A673" t="str">
            <v>25322.000.25351.79952.000000.00000</v>
          </cell>
          <cell r="B673">
            <v>689</v>
          </cell>
          <cell r="C673" t="str">
            <v>I-General Gas Distributor Operations Transferred – Credit</v>
          </cell>
        </row>
        <row r="674">
          <cell r="A674" t="str">
            <v>25322.000.25340.79954.000000.00000</v>
          </cell>
          <cell r="B674" t="str">
            <v>n/a</v>
          </cell>
          <cell r="C674" t="e">
            <v>#N/A</v>
          </cell>
        </row>
        <row r="675">
          <cell r="A675" t="str">
            <v>25322.000.25331.79955.000000.00000</v>
          </cell>
          <cell r="B675">
            <v>561</v>
          </cell>
          <cell r="C675" t="str">
            <v>I-Revenue from Service Work</v>
          </cell>
        </row>
        <row r="676">
          <cell r="A676" t="str">
            <v>25322.000.00000.80001.000000.00000</v>
          </cell>
          <cell r="B676">
            <v>303</v>
          </cell>
          <cell r="C676" t="str">
            <v>I-Depreciation</v>
          </cell>
        </row>
        <row r="677">
          <cell r="A677" t="str">
            <v>25322.000.00000.80011.000000.00000</v>
          </cell>
          <cell r="B677">
            <v>303</v>
          </cell>
          <cell r="C677" t="str">
            <v>I-Depreciation</v>
          </cell>
        </row>
        <row r="678">
          <cell r="A678" t="str">
            <v>25322.000.00000.80101.000000.00000</v>
          </cell>
          <cell r="B678">
            <v>304</v>
          </cell>
          <cell r="C678" t="str">
            <v>I-Amortization</v>
          </cell>
        </row>
        <row r="679">
          <cell r="A679" t="str">
            <v>25322.000.00000.80101.MCGOWL.00000</v>
          </cell>
          <cell r="B679">
            <v>304</v>
          </cell>
          <cell r="C679" t="str">
            <v>I-Amortization</v>
          </cell>
        </row>
        <row r="680">
          <cell r="A680" t="str">
            <v>25322.000.25334.80101.RDOTHR.00000</v>
          </cell>
          <cell r="B680">
            <v>623</v>
          </cell>
          <cell r="C680" t="str">
            <v>I-Cost of Gas</v>
          </cell>
        </row>
        <row r="681">
          <cell r="A681" t="str">
            <v>25322.000.00000.81401.000000.00000</v>
          </cell>
          <cell r="B681">
            <v>324</v>
          </cell>
          <cell r="C681" t="str">
            <v>I-Allowance for Funds Used During Construction – Credit</v>
          </cell>
        </row>
        <row r="682">
          <cell r="A682" t="str">
            <v>25322.000.00000.81403.000000.00000</v>
          </cell>
          <cell r="B682">
            <v>324</v>
          </cell>
          <cell r="C682" t="str">
            <v>I-Allowance for Funds Used During Construction – Credit</v>
          </cell>
        </row>
        <row r="683">
          <cell r="A683" t="str">
            <v>25322.000.00000.82003.000000.00000</v>
          </cell>
          <cell r="B683">
            <v>319</v>
          </cell>
          <cell r="C683" t="str">
            <v>I-Other Income</v>
          </cell>
        </row>
        <row r="684">
          <cell r="A684" t="str">
            <v>25322.000.00000.82005.000000.00000</v>
          </cell>
          <cell r="B684">
            <v>319</v>
          </cell>
          <cell r="C684" t="str">
            <v>I-Other Income</v>
          </cell>
        </row>
        <row r="685">
          <cell r="A685" t="str">
            <v>25322.000.00000.82017.000000.00000</v>
          </cell>
          <cell r="B685">
            <v>314</v>
          </cell>
          <cell r="C685" t="str">
            <v>I-Income from Investments</v>
          </cell>
        </row>
        <row r="686">
          <cell r="A686" t="str">
            <v>25322.000.00000.82019.000000.00000</v>
          </cell>
          <cell r="B686">
            <v>319</v>
          </cell>
          <cell r="C686" t="str">
            <v>I-Other Income</v>
          </cell>
        </row>
        <row r="687">
          <cell r="A687" t="str">
            <v>25322.000.00000.82101.000000.00000</v>
          </cell>
          <cell r="B687">
            <v>728</v>
          </cell>
          <cell r="C687" t="str">
            <v>I-Other Administrative and General Expenses</v>
          </cell>
        </row>
        <row r="688">
          <cell r="A688" t="str">
            <v>25322.000.25311.82102.000000.00000</v>
          </cell>
          <cell r="B688">
            <v>728</v>
          </cell>
          <cell r="C688" t="str">
            <v>I-Other Administrative and General Expenses</v>
          </cell>
        </row>
        <row r="689">
          <cell r="A689" t="str">
            <v>25322.000.00000.82204.000000.00000</v>
          </cell>
          <cell r="B689">
            <v>306</v>
          </cell>
          <cell r="C689" t="str">
            <v>I-Income Taxes</v>
          </cell>
        </row>
        <row r="690">
          <cell r="A690" t="str">
            <v>25322.000.00000.82205.000000.00000</v>
          </cell>
          <cell r="B690">
            <v>323</v>
          </cell>
          <cell r="C690" t="str">
            <v>I-Other Interest Expense</v>
          </cell>
        </row>
        <row r="691">
          <cell r="A691" t="str">
            <v>25322.000.00000.82321.000000.25321</v>
          </cell>
          <cell r="B691">
            <v>322</v>
          </cell>
          <cell r="C691" t="str">
            <v>I-Interest on Amounts Due to Associates and Affiliates</v>
          </cell>
        </row>
        <row r="692">
          <cell r="A692" t="str">
            <v>25322.000.00000.82321.FG4270.25321</v>
          </cell>
          <cell r="B692">
            <v>322</v>
          </cell>
          <cell r="C692" t="str">
            <v>I-Interest on Amounts Due to Associates and Affiliates</v>
          </cell>
        </row>
        <row r="693">
          <cell r="A693" t="str">
            <v>25322.000.00000.82403.000000.00000</v>
          </cell>
          <cell r="B693">
            <v>721</v>
          </cell>
          <cell r="C693" t="str">
            <v>I-Administrative Expenses</v>
          </cell>
        </row>
      </sheetData>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s - Rate Des. &amp; HP"/>
      <sheetName val="General Inputs - Others"/>
      <sheetName val="General Inputs - Rates"/>
      <sheetName val="General Inputs - COG"/>
      <sheetName val="Customer &amp; Usage Inputs"/>
      <sheetName val="Customers"/>
      <sheetName val="Volumes"/>
      <sheetName val="Customer Charge"/>
      <sheetName val="perm revenue"/>
      <sheetName val="MDDV Service Charge"/>
      <sheetName val="Total Revenue"/>
      <sheetName val="Franchise Tax"/>
      <sheetName val="Monthly Margin"/>
      <sheetName val="Executive Summary"/>
      <sheetName val="BExRepositorySheet"/>
      <sheetName val="WACOG"/>
      <sheetName val="Demand"/>
      <sheetName val="Demand Def Allocated"/>
      <sheetName val="Demand Equal Allocated"/>
      <sheetName val="Seasonalzd Demand TEST"/>
      <sheetName val="COG Summary"/>
      <sheetName val="COG &amp; DEM Collected"/>
      <sheetName val="COG Detail"/>
      <sheetName val="WACOG Collected"/>
      <sheetName val="Blank 1"/>
      <sheetName val="Blank 2"/>
      <sheetName val="Blank 3"/>
      <sheetName val="Blank 4"/>
      <sheetName val="Blank 5"/>
      <sheetName val="Blank 6"/>
      <sheetName val="Blank 7"/>
    </sheetNames>
    <sheetDataSet>
      <sheetData sheetId="0" refreshError="1"/>
      <sheetData sheetId="1">
        <row r="10">
          <cell r="C10">
            <v>2011</v>
          </cell>
          <cell r="F10">
            <v>3.2200000000000002E-3</v>
          </cell>
        </row>
      </sheetData>
      <sheetData sheetId="2">
        <row r="1">
          <cell r="A1" t="str">
            <v>NW Natural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utput"/>
      <sheetName val="Inputs"/>
      <sheetName val="3+9 Summary"/>
      <sheetName val="3+9 Calculations"/>
      <sheetName val="0+12 Summary"/>
      <sheetName val="Capital Spending Detail"/>
      <sheetName val="Capital Detail"/>
      <sheetName val=".498 Detail"/>
    </sheetNames>
    <sheetDataSet>
      <sheetData sheetId="0" refreshError="1"/>
      <sheetData sheetId="1" refreshError="1">
        <row r="43">
          <cell r="A43">
            <v>6.5</v>
          </cell>
        </row>
      </sheetData>
      <sheetData sheetId="2" refreshError="1"/>
      <sheetData sheetId="3"/>
      <sheetData sheetId="4" refreshError="1"/>
      <sheetData sheetId="5" refreshError="1"/>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Data"/>
      <sheetName val="Instruction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ocators"/>
      <sheetName val="Meter-Service"/>
      <sheetName val="Ratebase"/>
      <sheetName val="RBDetail"/>
      <sheetName val="Ratebase-6-08"/>
      <sheetName val="DeprExp"/>
      <sheetName val="Income"/>
      <sheetName val="Labor"/>
      <sheetName val="MainsDetail"/>
      <sheetName val="Handy Whitman Factor"/>
      <sheetName val="Cust"/>
      <sheetName val="Rev"/>
      <sheetName val="Sales"/>
      <sheetName val="Weather"/>
      <sheetName val="Call Center"/>
      <sheetName val="DesignD"/>
      <sheetName val="MeterRead"/>
      <sheetName val="ACCT903"/>
      <sheetName val="Input"/>
      <sheetName val="Write-Offs"/>
      <sheetName val="Colle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sheetData sheetId="13"/>
      <sheetData sheetId="14" refreshError="1"/>
      <sheetData sheetId="15" refreshError="1"/>
      <sheetData sheetId="16" refreshError="1"/>
      <sheetData sheetId="17" refreshError="1"/>
      <sheetData sheetId="18"/>
      <sheetData sheetId="19" refreshError="1"/>
      <sheetData sheetId="2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k 101 Report"/>
      <sheetName val="UTILPLNT"/>
      <sheetName val="WA VEHICLES"/>
      <sheetName val="CIS TOTALS"/>
      <sheetName val="Capitalized%"/>
      <sheetName val="Table of Cont"/>
    </sheetNames>
    <sheetDataSet>
      <sheetData sheetId="0"/>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amp; Documentation"/>
      <sheetName val="Average Bill by RS"/>
      <sheetName val="Rates in detail"/>
      <sheetName val="Rates in summary"/>
      <sheetName val="Class Price for Decoupling"/>
      <sheetName val="Permanents"/>
      <sheetName val="_@RISKFitInformation"/>
      <sheetName val="Temporaries"/>
      <sheetName val="Allocation equal ¢ per therm"/>
      <sheetName val="Allocation equal % of margin"/>
      <sheetName val="Equal % of margin_Sch 182"/>
      <sheetName val="Inputs"/>
      <sheetName val="Oregon volumes"/>
      <sheetName val="Amortization Rates"/>
      <sheetName val="Rev Chng Detail"/>
      <sheetName val="Attach A"/>
      <sheetName val="Attach B"/>
      <sheetName val="Attach C"/>
      <sheetName val="Attach D"/>
      <sheetName val="Attach E"/>
      <sheetName val="Rates for MAS GS"/>
      <sheetName val="Inputs for FCST MGN"/>
      <sheetName val="Rates for Tariff Sheets"/>
      <sheetName val="Cover"/>
      <sheetName val="OR Index"/>
      <sheetName val="F Goldenrod"/>
      <sheetName val="Statement of Rates"/>
      <sheetName val="Summary of Sales Rates"/>
      <sheetName val="Summary of Transportation Rates"/>
      <sheetName val="Summary of Changes in Rates 408"/>
      <sheetName val="Summary of Changes in Rates PGA"/>
      <sheetName val="Adjs. to  Residential Rates"/>
      <sheetName val="Rate Case History"/>
      <sheetName val="Annual WACOG History"/>
      <sheetName val="Winter WACOG History"/>
      <sheetName val="RS 2 Billing Rate History"/>
      <sheetName val="RS 3 Sales Billing Rate History"/>
      <sheetName val="RS 27 Sales Billing Rate Histor"/>
      <sheetName val="RS 31 FirmSalesHistory"/>
      <sheetName val="RS 32 FirmSalesHistory"/>
      <sheetName val="RS 32 IntpSalesHistory"/>
      <sheetName val="RS 31 Transp History"/>
      <sheetName val="RS 32 Transp History"/>
      <sheetName val="RS 33 Transp History"/>
      <sheetName val="Break"/>
      <sheetName val="RS 1 History 2002-2012"/>
      <sheetName val="RS1 History 1982-2001"/>
      <sheetName val="RS 2 History 1980-2001"/>
      <sheetName val="RS 3 Sales History 1980-2001"/>
      <sheetName val="RS 3 Transp History 1988-2001"/>
      <sheetName val="RS 3T History 2002-2006"/>
      <sheetName val="RS 19 History 2002-2012"/>
      <sheetName val="RS 31 IntpSalesHist 2003-2012"/>
      <sheetName val="RS 1R Perm. Rates 1994-2012"/>
      <sheetName val="RS 2 Perm. Rates"/>
      <sheetName val="RS 3 Perm. Rates"/>
      <sheetName val="OR RS 54 History 2003-2009"/>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0">
          <cell r="B30">
            <v>2.7320000000000001E-2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Report-Table of Contents"/>
      <sheetName val="Sched2"/>
      <sheetName val="Sched4"/>
      <sheetName val="Sched6"/>
      <sheetName val="Sched7"/>
      <sheetName val="Sched7-1"/>
      <sheetName val="Sched7-1-1"/>
      <sheetName val="Sched7-1-3"/>
      <sheetName val="Sched7-1-4"/>
      <sheetName val="Sched7-1-7"/>
      <sheetName val="Sched7-1-8"/>
      <sheetName val="Sched7-1-8 details"/>
      <sheetName val="Sched7-1-10"/>
      <sheetName val="Sched7-2"/>
      <sheetName val="Sched7-2-1"/>
      <sheetName val="Sched7-3"/>
      <sheetName val="Sched7-5"/>
      <sheetName val="Sched7-6"/>
      <sheetName val="Sched7-7_municipal"/>
      <sheetName val="Sched8"/>
      <sheetName val="Sched9"/>
      <sheetName val="Sched10"/>
      <sheetName val="Cash Flow WP"/>
      <sheetName val="sch3data"/>
      <sheetName val="sch4data"/>
      <sheetName val="sch4_2data"/>
      <sheetName val="sch5data"/>
      <sheetName val="sch6data"/>
      <sheetName val="sch7data"/>
      <sheetName val="sch7_2data"/>
      <sheetName val="sch8data"/>
      <sheetName val="General_data"/>
      <sheetName val="Curr_Date"/>
      <sheetName val="Manual Input"/>
      <sheetName val="MACROS"/>
      <sheetName val="Module1"/>
      <sheetName val="Sched3"/>
      <sheetName val="ROE98"/>
      <sheetName val="ROE CALC 99"/>
      <sheetName val="Sched4-1"/>
      <sheetName val="Sched4-2"/>
      <sheetName val="Sched4-3"/>
      <sheetName val="Sched5"/>
      <sheetName val="Sched5-1"/>
      <sheetName val="Sched5-2"/>
      <sheetName val="Sched5-3"/>
      <sheetName val="Sched5-4"/>
      <sheetName val="Sched5-5"/>
      <sheetName val="Sched5-6"/>
      <sheetName val="Sched5-7"/>
      <sheetName val="Sched7-1-2"/>
      <sheetName val="Sched7-1-5"/>
      <sheetName val="Sched7-1-6"/>
      <sheetName val="Sched7-1-9"/>
      <sheetName val="Sched7-1-11"/>
      <sheetName val="Sched7-4"/>
      <sheetName val="Sched9-1"/>
      <sheetName val="Sched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
          <cell r="A1" t="str">
            <v>CAT_sum_point</v>
          </cell>
          <cell r="B1" t="str">
            <v>summary_desc</v>
          </cell>
          <cell r="C1" t="str">
            <v>Actual_CYTD</v>
          </cell>
          <cell r="D1" t="str">
            <v>Estimate_CYTD</v>
          </cell>
          <cell r="E1" t="str">
            <v>Actual_CMTD</v>
          </cell>
          <cell r="F1" t="str">
            <v>Estimate_CMTD</v>
          </cell>
        </row>
        <row r="2">
          <cell r="A2">
            <v>2000</v>
          </cell>
          <cell r="B2" t="str">
            <v xml:space="preserve">PAYROLL                            </v>
          </cell>
          <cell r="C2">
            <v>59252154.378899999</v>
          </cell>
          <cell r="D2">
            <v>99534947.256799996</v>
          </cell>
          <cell r="E2">
            <v>10129316.48</v>
          </cell>
          <cell r="F2">
            <v>13912897.6708</v>
          </cell>
        </row>
        <row r="3">
          <cell r="A3">
            <v>2100</v>
          </cell>
          <cell r="B3" t="str">
            <v xml:space="preserve">MATERIALS                          </v>
          </cell>
          <cell r="C3">
            <v>8690588.3399999999</v>
          </cell>
          <cell r="D3">
            <v>5251857.54</v>
          </cell>
          <cell r="E3">
            <v>2872170.07</v>
          </cell>
          <cell r="F3">
            <v>772461.84</v>
          </cell>
        </row>
        <row r="4">
          <cell r="A4">
            <v>2200</v>
          </cell>
          <cell r="B4" t="str">
            <v xml:space="preserve">TRANSPORTATION                     </v>
          </cell>
          <cell r="C4">
            <v>4103404.4</v>
          </cell>
          <cell r="D4">
            <v>3864585</v>
          </cell>
          <cell r="E4">
            <v>512062.43</v>
          </cell>
          <cell r="F4">
            <v>551827</v>
          </cell>
        </row>
        <row r="5">
          <cell r="A5">
            <v>2300</v>
          </cell>
          <cell r="B5" t="str">
            <v xml:space="preserve">IS/COMMUNICATIONS                  </v>
          </cell>
          <cell r="C5">
            <v>218256.99</v>
          </cell>
          <cell r="D5">
            <v>471443.53940000001</v>
          </cell>
          <cell r="E5">
            <v>-172644.04</v>
          </cell>
          <cell r="F5">
            <v>-232369.77009999999</v>
          </cell>
        </row>
        <row r="6">
          <cell r="A6">
            <v>2400</v>
          </cell>
          <cell r="B6" t="str">
            <v xml:space="preserve">CONTRACTORS                        </v>
          </cell>
          <cell r="C6">
            <v>19406290.59</v>
          </cell>
          <cell r="D6">
            <v>15333061.361</v>
          </cell>
          <cell r="E6">
            <v>4051498.03</v>
          </cell>
          <cell r="F6">
            <v>2016525.5120000001</v>
          </cell>
        </row>
        <row r="7">
          <cell r="A7">
            <v>2500</v>
          </cell>
          <cell r="B7" t="str">
            <v xml:space="preserve">OTHER SERVICES                     </v>
          </cell>
          <cell r="C7">
            <v>15229109.65</v>
          </cell>
          <cell r="D7">
            <v>17279385.300000001</v>
          </cell>
          <cell r="E7">
            <v>2904740.11</v>
          </cell>
          <cell r="F7">
            <v>2443254.6</v>
          </cell>
        </row>
        <row r="8">
          <cell r="A8">
            <v>2520</v>
          </cell>
          <cell r="B8" t="str">
            <v xml:space="preserve">PROPERTY RENTALS                   </v>
          </cell>
          <cell r="C8">
            <v>3158870.23</v>
          </cell>
          <cell r="D8">
            <v>3291299.54</v>
          </cell>
          <cell r="E8">
            <v>360116.54</v>
          </cell>
          <cell r="F8">
            <v>335606.41</v>
          </cell>
        </row>
        <row r="9">
          <cell r="A9">
            <v>2530</v>
          </cell>
          <cell r="B9" t="str">
            <v xml:space="preserve">SERVICE AGENCIES                   </v>
          </cell>
          <cell r="C9">
            <v>11326220.99</v>
          </cell>
          <cell r="D9">
            <v>11803429.6</v>
          </cell>
          <cell r="E9">
            <v>1234827.33</v>
          </cell>
          <cell r="F9">
            <v>792474</v>
          </cell>
        </row>
        <row r="10">
          <cell r="A10">
            <v>2600</v>
          </cell>
          <cell r="B10" t="str">
            <v xml:space="preserve">EMPLOYEE EXPENSES                  </v>
          </cell>
          <cell r="C10">
            <v>2222779.7599999998</v>
          </cell>
          <cell r="D10">
            <v>2770932.7</v>
          </cell>
          <cell r="E10">
            <v>394908.22</v>
          </cell>
          <cell r="F10">
            <v>404517.5</v>
          </cell>
        </row>
        <row r="11">
          <cell r="A11">
            <v>2700</v>
          </cell>
          <cell r="B11" t="str">
            <v xml:space="preserve">HUMAN RESOURCES                    </v>
          </cell>
          <cell r="C11">
            <v>514981.1</v>
          </cell>
          <cell r="D11">
            <v>1671471</v>
          </cell>
          <cell r="E11">
            <v>78729.45</v>
          </cell>
          <cell r="F11">
            <v>173014</v>
          </cell>
        </row>
        <row r="12">
          <cell r="A12">
            <v>2800</v>
          </cell>
          <cell r="B12" t="str">
            <v xml:space="preserve">CREDIT FROM THIRD PARTY SOURCES    </v>
          </cell>
          <cell r="C12">
            <v>-5768236.2800000003</v>
          </cell>
          <cell r="D12">
            <v>-8033444.6399999997</v>
          </cell>
          <cell r="E12">
            <v>-738630</v>
          </cell>
          <cell r="F12">
            <v>-1197958.6599999999</v>
          </cell>
        </row>
        <row r="13">
          <cell r="A13">
            <v>2900</v>
          </cell>
          <cell r="B13" t="str">
            <v xml:space="preserve">TAX                                </v>
          </cell>
          <cell r="C13">
            <v>-1061234.26</v>
          </cell>
          <cell r="D13">
            <v>-1220561</v>
          </cell>
          <cell r="E13">
            <v>-3.78</v>
          </cell>
          <cell r="F13">
            <v>-177223</v>
          </cell>
        </row>
        <row r="14">
          <cell r="A14">
            <v>2999</v>
          </cell>
          <cell r="B14" t="str">
            <v xml:space="preserve">MISCELLANEOUS                      </v>
          </cell>
          <cell r="C14">
            <v>42435035.479999997</v>
          </cell>
          <cell r="D14">
            <v>7448720.04</v>
          </cell>
          <cell r="E14">
            <v>1575941.07</v>
          </cell>
          <cell r="F14">
            <v>947117.34</v>
          </cell>
        </row>
        <row r="15">
          <cell r="A15">
            <v>2999</v>
          </cell>
        </row>
      </sheetData>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p00elp"/>
      <sheetName val="Sched7-1"/>
    </sheetNames>
    <sheetDataSet>
      <sheetData sheetId="0" refreshError="1"/>
      <sheetData sheetId="1"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 Rates"/>
      <sheetName val="R&amp;C UPC"/>
      <sheetName val="Hist Cust &amp; Vols"/>
      <sheetName val="Customers"/>
      <sheetName val="Volumes"/>
      <sheetName val="Cust &amp; Use"/>
      <sheetName val="Cust Charge"/>
      <sheetName val="MDDV Service Charge"/>
      <sheetName val="Perm Base Rate Rev"/>
      <sheetName val="BExRepositorySheet"/>
      <sheetName val="WACOG"/>
      <sheetName val="Demand"/>
      <sheetName val="Total Cost of Gas"/>
      <sheetName val="Total Revenue"/>
      <sheetName val="Monthly Margin"/>
      <sheetName val="Output to Rev Req"/>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
          <cell r="Q6">
            <v>283691.13211741613</v>
          </cell>
        </row>
        <row r="7">
          <cell r="Q7">
            <v>53008197.589697547</v>
          </cell>
        </row>
        <row r="8">
          <cell r="Q8">
            <v>53871.380821902283</v>
          </cell>
        </row>
        <row r="9">
          <cell r="Q9">
            <v>16112007.068833409</v>
          </cell>
        </row>
        <row r="10">
          <cell r="Q10">
            <v>363218.20437801839</v>
          </cell>
        </row>
        <row r="14">
          <cell r="Q14">
            <v>2853836.1753150364</v>
          </cell>
        </row>
        <row r="22">
          <cell r="Q22">
            <v>470188.60083981924</v>
          </cell>
        </row>
        <row r="24">
          <cell r="Q24">
            <v>241043.72505190157</v>
          </cell>
        </row>
        <row r="28">
          <cell r="Q28">
            <v>747266.28046789952</v>
          </cell>
        </row>
        <row r="36">
          <cell r="Q36">
            <v>1154958.3793378912</v>
          </cell>
        </row>
        <row r="40">
          <cell r="Q40">
            <v>0</v>
          </cell>
        </row>
        <row r="44">
          <cell r="Q44">
            <v>0</v>
          </cell>
        </row>
        <row r="52">
          <cell r="Q52">
            <v>430728.61187958985</v>
          </cell>
        </row>
        <row r="60">
          <cell r="Q60">
            <v>171731.03459599178</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4">
        <row r="6">
          <cell r="Q6">
            <v>208635.1321174161</v>
          </cell>
        </row>
        <row r="7">
          <cell r="Q7">
            <v>33798099.589697547</v>
          </cell>
        </row>
        <row r="8">
          <cell r="Q8">
            <v>37604.380821902283</v>
          </cell>
        </row>
        <row r="9">
          <cell r="Q9">
            <v>9866168.0688334089</v>
          </cell>
        </row>
        <row r="10">
          <cell r="Q10">
            <v>201938.20437801833</v>
          </cell>
        </row>
        <row r="14">
          <cell r="Q14">
            <v>1542348.175315036</v>
          </cell>
        </row>
        <row r="22">
          <cell r="Q22">
            <v>219574.60083981926</v>
          </cell>
        </row>
        <row r="24">
          <cell r="Q24">
            <v>141888.72505190157</v>
          </cell>
        </row>
        <row r="28">
          <cell r="Q28">
            <v>392614.2804678994</v>
          </cell>
        </row>
        <row r="36">
          <cell r="Q36">
            <v>511672.37933789124</v>
          </cell>
        </row>
        <row r="40">
          <cell r="Q40">
            <v>0</v>
          </cell>
        </row>
        <row r="44">
          <cell r="Q44">
            <v>0</v>
          </cell>
        </row>
        <row r="52">
          <cell r="Q52">
            <v>160512.61187958997</v>
          </cell>
        </row>
        <row r="60">
          <cell r="Q60">
            <v>81130.03459599179</v>
          </cell>
        </row>
        <row r="65">
          <cell r="Q65">
            <v>189841.33809000003</v>
          </cell>
        </row>
        <row r="69">
          <cell r="Q69">
            <v>0</v>
          </cell>
        </row>
        <row r="77">
          <cell r="Q77">
            <v>360784.67333999998</v>
          </cell>
        </row>
        <row r="85">
          <cell r="Q85">
            <v>823615.79209999996</v>
          </cell>
        </row>
        <row r="93">
          <cell r="Q93">
            <v>0</v>
          </cell>
        </row>
        <row r="101">
          <cell r="Q101">
            <v>825480.07319999998</v>
          </cell>
        </row>
        <row r="103">
          <cell r="Q103">
            <v>0</v>
          </cell>
        </row>
        <row r="104">
          <cell r="Q104">
            <v>0</v>
          </cell>
        </row>
        <row r="106">
          <cell r="Q106">
            <v>242994.60207180592</v>
          </cell>
        </row>
      </sheetData>
      <sheetData sheetId="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W-2 - Rev Req"/>
      <sheetName val="KTW-3 p1 - Test Year Results"/>
      <sheetName val="KTW-3 p2 &amp; p3 - O&amp;M"/>
      <sheetName val="KTW-3 p4 - Factors"/>
      <sheetName val="KTW-3 p5 - Taxes"/>
      <sheetName val="KTW-3 p6 &amp; p7 - Rate Base"/>
      <sheetName val="KTW-3 p8 - Cost of Cap"/>
      <sheetName val="KTW-4,5,8 p1 - Adjust Issues"/>
      <sheetName val="KTW-4,5,8 p2 - Adjust Tax"/>
      <sheetName val="KTW-4 p3 - Revenue &amp; Gas Cost"/>
      <sheetName val="KTW-4 p4 - Misc Rev Adjs"/>
      <sheetName val="KTW-4 p5 - Bonuses"/>
      <sheetName val="KTW-4 p6 - Property Taxes"/>
      <sheetName val="KTW-4 p7 - Uncollectible"/>
      <sheetName val="KTW-4 p8 - Working Cap"/>
      <sheetName val="KTW-4 p9 - Marketing"/>
      <sheetName val="KTW-4 p10 - Claims"/>
      <sheetName val="KTW-4 p11 - Rate Case Exp"/>
      <sheetName val="KTW-4 p12 - Clearing"/>
      <sheetName val="KTW-4 p13 - Holdco"/>
      <sheetName val="KTW-4 Save for Future"/>
      <sheetName val="KTW-5 p3 - Payroll 1"/>
      <sheetName val="KTW-5 p4 - Payroll 2"/>
      <sheetName val="KTW-5 p5 - Pay Overheads"/>
      <sheetName val="KTW-5 p6 - 250 Taylor"/>
      <sheetName val="KTW-5 p7,KTW-8 p3 - Post TY Adj"/>
      <sheetName val="KTW-5 p8 - EDIT RB Adj."/>
      <sheetName val="KTW-5 p9 - EOP Deprec Exp"/>
      <sheetName val="KTW-5 p10 - EOP Rate Base"/>
      <sheetName val="KTW-7,9 p1 - Rev Req"/>
      <sheetName val="WP - Deferred Tax"/>
      <sheetName val="WP - Other Rev &amp; Tax"/>
    </sheetNames>
    <sheetDataSet>
      <sheetData sheetId="0">
        <row r="12">
          <cell r="F12">
            <v>6255809.5678384118</v>
          </cell>
          <cell r="J12">
            <v>3150116.0024598953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A"/>
      <sheetName val="B"/>
      <sheetName val="C"/>
      <sheetName val="D"/>
      <sheetName val="Sch E 4.1C"/>
      <sheetName val="Sch E 4.1P"/>
      <sheetName val="Flex"/>
      <sheetName val="Sch E 4.3"/>
      <sheetName val="TY Flex"/>
    </sheetNames>
    <sheetDataSet>
      <sheetData sheetId="0">
        <row r="14">
          <cell r="B14" t="str">
            <v>Witness: L. W. Martin</v>
          </cell>
        </row>
        <row r="16">
          <cell r="C16" t="str">
            <v>November 1, 2007</v>
          </cell>
        </row>
        <row r="21">
          <cell r="J21">
            <v>9.5795999999999992</v>
          </cell>
        </row>
      </sheetData>
      <sheetData sheetId="1">
        <row r="1">
          <cell r="A1" t="str">
            <v xml:space="preserve">          Columbia Gas of Ohio, Inc.</v>
          </cell>
        </row>
        <row r="3">
          <cell r="A3" t="str">
            <v>For the 12 Months Ended September 30, 2008</v>
          </cell>
        </row>
      </sheetData>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Supp Demand"/>
      <sheetName val="Supp Comm"/>
      <sheetName val="Supp Cust"/>
      <sheetName val="Stor Demand"/>
      <sheetName val="Stor Comm"/>
      <sheetName val="Stor Cust"/>
      <sheetName val="Dist Demand"/>
      <sheetName val="Dist Comm"/>
      <sheetName val="Dist Cust"/>
      <sheetName val="Total"/>
      <sheetName val="Quick List"/>
      <sheetName val="Factors"/>
      <sheetName val="Unit Cost"/>
      <sheetName val="Open"/>
      <sheetName val="Registry"/>
      <sheetName val="Verify"/>
      <sheetName val="Input"/>
      <sheetName val="LOG"/>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sheetData sheetId="14"/>
      <sheetData sheetId="15" refreshError="1"/>
      <sheetData sheetId="16"/>
      <sheetData sheetId="17"/>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Storage Costs"/>
      <sheetName val="Trans"/>
      <sheetName val="MarginTransMains"/>
      <sheetName val="Dist"/>
      <sheetName val="MarginDistMains"/>
      <sheetName val="Mains"/>
      <sheetName val="CustRelated"/>
      <sheetName val="MainsMeterServ"/>
      <sheetName val="Services"/>
      <sheetName val="Meters"/>
      <sheetName val="Accounting"/>
      <sheetName val="Plant Loaders"/>
      <sheetName val="Compare"/>
      <sheetName val="Input"/>
      <sheetName val="ECCR"/>
      <sheetName val="DesignD-2012-13"/>
      <sheetName val="Average Main per Service"/>
      <sheetName val="Service Average by Rate Class"/>
      <sheetName val="FreqTable"/>
      <sheetName val="FCST Peak Day DMD"/>
      <sheetName val="MainCap"/>
      <sheetName val="Don't Print&gt;&gt;"/>
      <sheetName val="2012-13 O&amp;M"/>
      <sheetName val="LaborPercentage"/>
      <sheetName val="Accum Reserve"/>
      <sheetName val="Customers New"/>
      <sheetName val="Volumes New"/>
      <sheetName val="HDD"/>
      <sheetName val="Other Taxes"/>
      <sheetName val="Other Rate Base"/>
      <sheetName val="StorageSales"/>
      <sheetName val="Rate Base Net Plant"/>
      <sheetName val="Plant Worksheet"/>
      <sheetName val="Proof-L1 Final"/>
      <sheetName val="RateRequestFinal"/>
      <sheetName val="Weather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3">
          <cell r="A3">
            <v>816</v>
          </cell>
          <cell r="B3">
            <v>283039.94065004587</v>
          </cell>
          <cell r="D3">
            <v>0.90130003013205329</v>
          </cell>
          <cell r="F3">
            <v>255103.90703646091</v>
          </cell>
          <cell r="G3">
            <v>27936.033613584965</v>
          </cell>
          <cell r="H3">
            <v>4.3450697120097213E-2</v>
          </cell>
        </row>
        <row r="4">
          <cell r="A4">
            <v>817</v>
          </cell>
          <cell r="B4">
            <v>0</v>
          </cell>
          <cell r="D4">
            <v>0</v>
          </cell>
          <cell r="F4">
            <v>0</v>
          </cell>
          <cell r="G4">
            <v>0</v>
          </cell>
          <cell r="H4">
            <v>0</v>
          </cell>
        </row>
        <row r="5">
          <cell r="A5">
            <v>818</v>
          </cell>
          <cell r="B5">
            <v>605079.65419328411</v>
          </cell>
          <cell r="D5">
            <v>0.90129999305254349</v>
          </cell>
          <cell r="F5">
            <v>545358.28812064242</v>
          </cell>
          <cell r="G5">
            <v>59721.366072641686</v>
          </cell>
          <cell r="H5">
            <v>9.6057315101120991E-2</v>
          </cell>
        </row>
        <row r="6">
          <cell r="A6">
            <v>819</v>
          </cell>
          <cell r="B6">
            <v>0.10791100493091124</v>
          </cell>
          <cell r="D6">
            <v>0</v>
          </cell>
          <cell r="F6">
            <v>0</v>
          </cell>
          <cell r="G6">
            <v>0.10791100493091124</v>
          </cell>
          <cell r="H6">
            <v>0</v>
          </cell>
        </row>
        <row r="7">
          <cell r="A7">
            <v>820</v>
          </cell>
          <cell r="B7">
            <v>1401605.0976058603</v>
          </cell>
          <cell r="D7">
            <v>0.90064820472421525</v>
          </cell>
          <cell r="F7">
            <v>1262353.1148910266</v>
          </cell>
          <cell r="G7">
            <v>139251.98271483369</v>
          </cell>
          <cell r="H7">
            <v>0.70820948273114537</v>
          </cell>
        </row>
        <row r="8">
          <cell r="A8">
            <v>821</v>
          </cell>
          <cell r="B8">
            <v>30999.338757630198</v>
          </cell>
          <cell r="D8">
            <v>0.90130005058915008</v>
          </cell>
          <cell r="F8">
            <v>27939.705590482299</v>
          </cell>
          <cell r="G8">
            <v>3059.6331671478983</v>
          </cell>
          <cell r="H8">
            <v>0.21133316111213848</v>
          </cell>
        </row>
        <row r="9">
          <cell r="A9">
            <v>822</v>
          </cell>
          <cell r="B9">
            <v>0</v>
          </cell>
          <cell r="D9">
            <v>0</v>
          </cell>
          <cell r="F9">
            <v>0</v>
          </cell>
          <cell r="G9">
            <v>0</v>
          </cell>
          <cell r="H9">
            <v>0</v>
          </cell>
        </row>
        <row r="10">
          <cell r="A10">
            <v>823</v>
          </cell>
          <cell r="B10">
            <v>0</v>
          </cell>
          <cell r="D10">
            <v>0</v>
          </cell>
          <cell r="F10">
            <v>0</v>
          </cell>
          <cell r="G10">
            <v>0</v>
          </cell>
          <cell r="H10">
            <v>0</v>
          </cell>
        </row>
        <row r="11">
          <cell r="A11">
            <v>824</v>
          </cell>
          <cell r="B11">
            <v>0</v>
          </cell>
          <cell r="D11">
            <v>0</v>
          </cell>
          <cell r="F11">
            <v>0</v>
          </cell>
          <cell r="G11">
            <v>0</v>
          </cell>
          <cell r="H11">
            <v>0</v>
          </cell>
        </row>
        <row r="12">
          <cell r="A12">
            <v>825</v>
          </cell>
          <cell r="B12">
            <v>0</v>
          </cell>
          <cell r="D12">
            <v>0</v>
          </cell>
          <cell r="F12">
            <v>0</v>
          </cell>
          <cell r="G12">
            <v>0</v>
          </cell>
          <cell r="H12">
            <v>0</v>
          </cell>
        </row>
        <row r="13">
          <cell r="A13">
            <v>826</v>
          </cell>
          <cell r="B13">
            <v>0</v>
          </cell>
          <cell r="D13">
            <v>0</v>
          </cell>
          <cell r="F13">
            <v>0</v>
          </cell>
          <cell r="G13">
            <v>0</v>
          </cell>
          <cell r="H13">
            <v>0</v>
          </cell>
        </row>
        <row r="14">
          <cell r="A14">
            <v>827</v>
          </cell>
          <cell r="B14">
            <v>0</v>
          </cell>
          <cell r="D14">
            <v>0</v>
          </cell>
          <cell r="F14">
            <v>0</v>
          </cell>
          <cell r="G14">
            <v>0</v>
          </cell>
          <cell r="H14">
            <v>0</v>
          </cell>
        </row>
        <row r="15">
          <cell r="A15">
            <v>828</v>
          </cell>
          <cell r="B15">
            <v>0</v>
          </cell>
          <cell r="D15">
            <v>0</v>
          </cell>
          <cell r="F15">
            <v>0</v>
          </cell>
          <cell r="G15">
            <v>0</v>
          </cell>
          <cell r="H15">
            <v>0</v>
          </cell>
        </row>
        <row r="16">
          <cell r="A16">
            <v>829</v>
          </cell>
          <cell r="B16">
            <v>0</v>
          </cell>
          <cell r="D16">
            <v>0</v>
          </cell>
          <cell r="F16">
            <v>0</v>
          </cell>
          <cell r="G16">
            <v>0</v>
          </cell>
          <cell r="H16">
            <v>0</v>
          </cell>
        </row>
        <row r="17">
          <cell r="A17">
            <v>830</v>
          </cell>
          <cell r="B17">
            <v>0</v>
          </cell>
          <cell r="D17">
            <v>0</v>
          </cell>
          <cell r="F17">
            <v>0</v>
          </cell>
          <cell r="G17">
            <v>0</v>
          </cell>
          <cell r="H17">
            <v>0</v>
          </cell>
        </row>
        <row r="18">
          <cell r="A18">
            <v>831</v>
          </cell>
          <cell r="B18">
            <v>0</v>
          </cell>
          <cell r="D18">
            <v>0</v>
          </cell>
          <cell r="F18">
            <v>0</v>
          </cell>
          <cell r="G18">
            <v>0</v>
          </cell>
          <cell r="H18">
            <v>0</v>
          </cell>
        </row>
        <row r="19">
          <cell r="A19">
            <v>832</v>
          </cell>
          <cell r="B19">
            <v>163274.95102044276</v>
          </cell>
          <cell r="D19">
            <v>0.90130000195878579</v>
          </cell>
          <cell r="F19">
            <v>147159.71367454572</v>
          </cell>
          <cell r="G19">
            <v>16115.23734589704</v>
          </cell>
          <cell r="H19">
            <v>0.47971021043786916</v>
          </cell>
        </row>
        <row r="20">
          <cell r="A20">
            <v>833</v>
          </cell>
          <cell r="B20">
            <v>0</v>
          </cell>
          <cell r="D20">
            <v>0</v>
          </cell>
          <cell r="F20">
            <v>0</v>
          </cell>
          <cell r="G20">
            <v>0</v>
          </cell>
          <cell r="H20">
            <v>0</v>
          </cell>
        </row>
        <row r="21">
          <cell r="A21">
            <v>834</v>
          </cell>
          <cell r="B21">
            <v>0</v>
          </cell>
          <cell r="D21">
            <v>0</v>
          </cell>
          <cell r="F21">
            <v>0</v>
          </cell>
          <cell r="G21">
            <v>0</v>
          </cell>
          <cell r="H21">
            <v>0</v>
          </cell>
        </row>
        <row r="22">
          <cell r="A22">
            <v>835</v>
          </cell>
          <cell r="B22">
            <v>0</v>
          </cell>
          <cell r="D22">
            <v>0</v>
          </cell>
          <cell r="F22">
            <v>0</v>
          </cell>
          <cell r="G22">
            <v>0</v>
          </cell>
          <cell r="H22">
            <v>0</v>
          </cell>
        </row>
        <row r="23">
          <cell r="A23">
            <v>836</v>
          </cell>
          <cell r="B23">
            <v>0</v>
          </cell>
          <cell r="D23">
            <v>0</v>
          </cell>
          <cell r="F23">
            <v>0</v>
          </cell>
          <cell r="G23">
            <v>0</v>
          </cell>
          <cell r="H23">
            <v>0</v>
          </cell>
        </row>
        <row r="24">
          <cell r="A24">
            <v>837</v>
          </cell>
          <cell r="B24">
            <v>0</v>
          </cell>
          <cell r="D24">
            <v>0</v>
          </cell>
          <cell r="F24">
            <v>0</v>
          </cell>
          <cell r="G24">
            <v>0</v>
          </cell>
          <cell r="H24">
            <v>0</v>
          </cell>
        </row>
        <row r="25">
          <cell r="A25">
            <v>838</v>
          </cell>
          <cell r="B25">
            <v>0</v>
          </cell>
          <cell r="D25">
            <v>0</v>
          </cell>
          <cell r="F25">
            <v>0</v>
          </cell>
          <cell r="G25">
            <v>0</v>
          </cell>
          <cell r="H25">
            <v>0</v>
          </cell>
        </row>
        <row r="26">
          <cell r="A26">
            <v>839</v>
          </cell>
          <cell r="B26">
            <v>0</v>
          </cell>
          <cell r="D26">
            <v>0</v>
          </cell>
          <cell r="F26">
            <v>0</v>
          </cell>
          <cell r="G26">
            <v>0</v>
          </cell>
          <cell r="H26">
            <v>0</v>
          </cell>
        </row>
        <row r="27">
          <cell r="A27">
            <v>840</v>
          </cell>
          <cell r="B27">
            <v>92637.163167652849</v>
          </cell>
          <cell r="D27">
            <v>0.90129998398531141</v>
          </cell>
          <cell r="F27">
            <v>83493.873679450189</v>
          </cell>
          <cell r="G27">
            <v>9143.2894882026594</v>
          </cell>
          <cell r="H27">
            <v>0.80909945519006454</v>
          </cell>
        </row>
        <row r="28">
          <cell r="A28">
            <v>841</v>
          </cell>
          <cell r="B28">
            <v>0</v>
          </cell>
          <cell r="D28">
            <v>0</v>
          </cell>
          <cell r="F28">
            <v>0</v>
          </cell>
          <cell r="G28">
            <v>0</v>
          </cell>
          <cell r="H28">
            <v>0</v>
          </cell>
        </row>
        <row r="29">
          <cell r="A29">
            <v>842</v>
          </cell>
          <cell r="B29">
            <v>0</v>
          </cell>
          <cell r="D29">
            <v>0</v>
          </cell>
          <cell r="F29">
            <v>0</v>
          </cell>
          <cell r="G29">
            <v>0</v>
          </cell>
          <cell r="H29">
            <v>0</v>
          </cell>
        </row>
        <row r="30">
          <cell r="A30">
            <v>843</v>
          </cell>
          <cell r="B30">
            <v>0</v>
          </cell>
          <cell r="D30">
            <v>0</v>
          </cell>
          <cell r="F30">
            <v>0</v>
          </cell>
          <cell r="G30">
            <v>0</v>
          </cell>
          <cell r="H30">
            <v>0</v>
          </cell>
        </row>
        <row r="31">
          <cell r="A31">
            <v>844</v>
          </cell>
          <cell r="B31">
            <v>2044604.6814678274</v>
          </cell>
          <cell r="D31">
            <v>0.90130000195785531</v>
          </cell>
          <cell r="F31">
            <v>1842802.2034099931</v>
          </cell>
          <cell r="G31">
            <v>201802.47805783432</v>
          </cell>
          <cell r="H31">
            <v>0.72653780900419318</v>
          </cell>
        </row>
        <row r="32">
          <cell r="A32">
            <v>845</v>
          </cell>
          <cell r="B32">
            <v>-75075.088973499049</v>
          </cell>
          <cell r="D32">
            <v>0.90129994826759152</v>
          </cell>
          <cell r="F32">
            <v>-67665.173807999527</v>
          </cell>
          <cell r="G32">
            <v>-7409.9151654995221</v>
          </cell>
          <cell r="H32">
            <v>0</v>
          </cell>
        </row>
        <row r="33">
          <cell r="A33">
            <v>846</v>
          </cell>
          <cell r="B33">
            <v>0</v>
          </cell>
          <cell r="D33">
            <v>0</v>
          </cell>
          <cell r="F33">
            <v>0</v>
          </cell>
          <cell r="G33">
            <v>0</v>
          </cell>
          <cell r="H33">
            <v>0</v>
          </cell>
        </row>
        <row r="34">
          <cell r="A34">
            <v>847</v>
          </cell>
          <cell r="B34">
            <v>593022.40516172245</v>
          </cell>
          <cell r="D34">
            <v>0.90130001209669208</v>
          </cell>
          <cell r="F34">
            <v>534491.10094586993</v>
          </cell>
          <cell r="G34">
            <v>58531.30421585252</v>
          </cell>
          <cell r="H34">
            <v>0.59635692364167114</v>
          </cell>
        </row>
        <row r="35">
          <cell r="A35">
            <v>848</v>
          </cell>
          <cell r="B35">
            <v>0</v>
          </cell>
          <cell r="D35">
            <v>0</v>
          </cell>
          <cell r="F35">
            <v>0</v>
          </cell>
          <cell r="G35">
            <v>0</v>
          </cell>
          <cell r="H35">
            <v>0</v>
          </cell>
        </row>
        <row r="36">
          <cell r="A36">
            <v>849</v>
          </cell>
          <cell r="B36">
            <v>0</v>
          </cell>
          <cell r="D36">
            <v>0</v>
          </cell>
          <cell r="F36">
            <v>0</v>
          </cell>
          <cell r="G36">
            <v>0</v>
          </cell>
          <cell r="H36">
            <v>0</v>
          </cell>
        </row>
        <row r="37">
          <cell r="A37">
            <v>850</v>
          </cell>
          <cell r="B37">
            <v>0</v>
          </cell>
          <cell r="D37">
            <v>0</v>
          </cell>
          <cell r="F37">
            <v>0</v>
          </cell>
          <cell r="G37">
            <v>0</v>
          </cell>
          <cell r="H37">
            <v>0</v>
          </cell>
        </row>
        <row r="38">
          <cell r="A38">
            <v>851</v>
          </cell>
          <cell r="B38">
            <v>0</v>
          </cell>
          <cell r="D38">
            <v>0</v>
          </cell>
          <cell r="F38">
            <v>0</v>
          </cell>
          <cell r="G38">
            <v>0</v>
          </cell>
          <cell r="H38">
            <v>0</v>
          </cell>
        </row>
        <row r="39">
          <cell r="A39">
            <v>852</v>
          </cell>
          <cell r="B39">
            <v>0</v>
          </cell>
          <cell r="D39">
            <v>0</v>
          </cell>
          <cell r="F39">
            <v>0</v>
          </cell>
          <cell r="G39">
            <v>0</v>
          </cell>
          <cell r="H39">
            <v>0</v>
          </cell>
        </row>
        <row r="40">
          <cell r="A40">
            <v>853</v>
          </cell>
          <cell r="B40">
            <v>0</v>
          </cell>
          <cell r="D40">
            <v>0</v>
          </cell>
          <cell r="F40">
            <v>0</v>
          </cell>
          <cell r="G40">
            <v>0</v>
          </cell>
          <cell r="H40">
            <v>0</v>
          </cell>
        </row>
        <row r="41">
          <cell r="A41">
            <v>854</v>
          </cell>
          <cell r="B41">
            <v>0</v>
          </cell>
          <cell r="D41">
            <v>0</v>
          </cell>
          <cell r="F41">
            <v>0</v>
          </cell>
          <cell r="G41">
            <v>0</v>
          </cell>
          <cell r="H41">
            <v>0</v>
          </cell>
        </row>
        <row r="42">
          <cell r="A42">
            <v>855</v>
          </cell>
          <cell r="B42">
            <v>0</v>
          </cell>
          <cell r="D42">
            <v>0</v>
          </cell>
          <cell r="F42">
            <v>0</v>
          </cell>
          <cell r="G42">
            <v>0</v>
          </cell>
          <cell r="H42">
            <v>0</v>
          </cell>
        </row>
        <row r="43">
          <cell r="A43">
            <v>856</v>
          </cell>
          <cell r="B43">
            <v>566839.49621778505</v>
          </cell>
          <cell r="D43">
            <v>0.90177860717443781</v>
          </cell>
          <cell r="F43">
            <v>511163.7313907342</v>
          </cell>
          <cell r="G43">
            <v>55675.764827050851</v>
          </cell>
          <cell r="H43">
            <v>0.65463589756041685</v>
          </cell>
        </row>
        <row r="44">
          <cell r="A44">
            <v>857</v>
          </cell>
          <cell r="B44">
            <v>0</v>
          </cell>
          <cell r="D44">
            <v>0</v>
          </cell>
          <cell r="F44">
            <v>0</v>
          </cell>
          <cell r="G44">
            <v>0</v>
          </cell>
          <cell r="H44">
            <v>0</v>
          </cell>
        </row>
        <row r="45">
          <cell r="A45">
            <v>858</v>
          </cell>
          <cell r="B45">
            <v>0</v>
          </cell>
          <cell r="D45">
            <v>0</v>
          </cell>
          <cell r="F45">
            <v>0</v>
          </cell>
          <cell r="G45">
            <v>0</v>
          </cell>
          <cell r="H45">
            <v>0</v>
          </cell>
        </row>
        <row r="46">
          <cell r="A46">
            <v>859</v>
          </cell>
          <cell r="B46">
            <v>0</v>
          </cell>
          <cell r="D46">
            <v>0</v>
          </cell>
          <cell r="F46">
            <v>0</v>
          </cell>
          <cell r="G46">
            <v>0</v>
          </cell>
          <cell r="H46">
            <v>0</v>
          </cell>
        </row>
        <row r="47">
          <cell r="A47">
            <v>860</v>
          </cell>
          <cell r="B47">
            <v>0</v>
          </cell>
          <cell r="D47">
            <v>0</v>
          </cell>
          <cell r="F47">
            <v>0</v>
          </cell>
          <cell r="G47">
            <v>0</v>
          </cell>
          <cell r="H47">
            <v>0</v>
          </cell>
        </row>
        <row r="48">
          <cell r="A48">
            <v>861</v>
          </cell>
          <cell r="B48">
            <v>0</v>
          </cell>
          <cell r="D48">
            <v>0</v>
          </cell>
          <cell r="F48">
            <v>0</v>
          </cell>
          <cell r="G48">
            <v>0</v>
          </cell>
          <cell r="H48">
            <v>0</v>
          </cell>
        </row>
        <row r="49">
          <cell r="A49">
            <v>862</v>
          </cell>
          <cell r="B49">
            <v>0</v>
          </cell>
          <cell r="D49">
            <v>0</v>
          </cell>
          <cell r="F49">
            <v>0</v>
          </cell>
          <cell r="G49">
            <v>0</v>
          </cell>
          <cell r="H49">
            <v>0</v>
          </cell>
        </row>
        <row r="50">
          <cell r="A50">
            <v>863</v>
          </cell>
          <cell r="B50">
            <v>100321.2519416358</v>
          </cell>
          <cell r="D50">
            <v>0.90130008781311022</v>
          </cell>
          <cell r="F50">
            <v>90419.553184517499</v>
          </cell>
          <cell r="G50">
            <v>9901.6987571182981</v>
          </cell>
          <cell r="H50">
            <v>0.42207441000545276</v>
          </cell>
        </row>
        <row r="51">
          <cell r="A51">
            <v>864</v>
          </cell>
          <cell r="B51">
            <v>0</v>
          </cell>
          <cell r="D51">
            <v>0</v>
          </cell>
          <cell r="F51">
            <v>0</v>
          </cell>
          <cell r="G51">
            <v>0</v>
          </cell>
          <cell r="H51">
            <v>0</v>
          </cell>
        </row>
        <row r="52">
          <cell r="A52">
            <v>865</v>
          </cell>
          <cell r="B52">
            <v>0</v>
          </cell>
          <cell r="D52">
            <v>0</v>
          </cell>
          <cell r="F52">
            <v>0</v>
          </cell>
          <cell r="G52">
            <v>0</v>
          </cell>
          <cell r="H52">
            <v>0</v>
          </cell>
        </row>
        <row r="53">
          <cell r="A53">
            <v>866</v>
          </cell>
          <cell r="B53">
            <v>0</v>
          </cell>
          <cell r="D53">
            <v>0</v>
          </cell>
          <cell r="F53">
            <v>0</v>
          </cell>
          <cell r="G53">
            <v>0</v>
          </cell>
          <cell r="H53">
            <v>0</v>
          </cell>
        </row>
        <row r="54">
          <cell r="A54">
            <v>867</v>
          </cell>
          <cell r="B54">
            <v>0</v>
          </cell>
          <cell r="D54">
            <v>0</v>
          </cell>
          <cell r="F54">
            <v>0</v>
          </cell>
          <cell r="G54">
            <v>0</v>
          </cell>
          <cell r="H54">
            <v>0</v>
          </cell>
        </row>
        <row r="55">
          <cell r="A55">
            <v>868</v>
          </cell>
          <cell r="B55">
            <v>0</v>
          </cell>
          <cell r="D55">
            <v>0</v>
          </cell>
          <cell r="F55">
            <v>0</v>
          </cell>
          <cell r="G55">
            <v>0</v>
          </cell>
          <cell r="H55">
            <v>0</v>
          </cell>
        </row>
        <row r="56">
          <cell r="A56">
            <v>869</v>
          </cell>
          <cell r="B56">
            <v>0</v>
          </cell>
          <cell r="D56">
            <v>0</v>
          </cell>
          <cell r="F56">
            <v>0</v>
          </cell>
          <cell r="G56">
            <v>0</v>
          </cell>
          <cell r="H56">
            <v>0</v>
          </cell>
        </row>
        <row r="57">
          <cell r="A57">
            <v>870</v>
          </cell>
          <cell r="B57">
            <v>2650836.3022075817</v>
          </cell>
          <cell r="D57">
            <v>0.91888773522858336</v>
          </cell>
          <cell r="F57">
            <v>2435820.9661972374</v>
          </cell>
          <cell r="G57">
            <v>215015.33601034433</v>
          </cell>
          <cell r="H57">
            <v>0.84776265645713422</v>
          </cell>
        </row>
        <row r="58">
          <cell r="A58">
            <v>871</v>
          </cell>
          <cell r="B58">
            <v>0</v>
          </cell>
          <cell r="D58">
            <v>0</v>
          </cell>
          <cell r="F58">
            <v>0</v>
          </cell>
          <cell r="G58">
            <v>0</v>
          </cell>
          <cell r="H58">
            <v>0</v>
          </cell>
        </row>
        <row r="59">
          <cell r="A59">
            <v>872</v>
          </cell>
          <cell r="B59">
            <v>0</v>
          </cell>
          <cell r="D59">
            <v>0</v>
          </cell>
          <cell r="F59">
            <v>0</v>
          </cell>
          <cell r="G59">
            <v>0</v>
          </cell>
          <cell r="H59">
            <v>0</v>
          </cell>
        </row>
        <row r="60">
          <cell r="A60">
            <v>873</v>
          </cell>
          <cell r="B60">
            <v>0</v>
          </cell>
          <cell r="D60">
            <v>0</v>
          </cell>
          <cell r="F60">
            <v>0</v>
          </cell>
          <cell r="G60">
            <v>0</v>
          </cell>
          <cell r="H60">
            <v>0</v>
          </cell>
        </row>
        <row r="61">
          <cell r="A61">
            <v>874</v>
          </cell>
          <cell r="B61">
            <v>8906356.8177995421</v>
          </cell>
          <cell r="D61">
            <v>0.92411529066756659</v>
          </cell>
          <cell r="F61">
            <v>8230500.519469887</v>
          </cell>
          <cell r="G61">
            <v>675856.29832965508</v>
          </cell>
          <cell r="H61">
            <v>0.62071011599918091</v>
          </cell>
        </row>
        <row r="62">
          <cell r="A62">
            <v>875</v>
          </cell>
          <cell r="B62">
            <v>182405.17060276039</v>
          </cell>
          <cell r="D62">
            <v>0.90741908656256653</v>
          </cell>
          <cell r="F62">
            <v>165517.93329264596</v>
          </cell>
          <cell r="G62">
            <v>16887.237310114433</v>
          </cell>
          <cell r="H62">
            <v>0.44687765847924704</v>
          </cell>
        </row>
        <row r="63">
          <cell r="A63">
            <v>876</v>
          </cell>
          <cell r="B63">
            <v>0</v>
          </cell>
          <cell r="D63">
            <v>0</v>
          </cell>
          <cell r="F63">
            <v>0</v>
          </cell>
          <cell r="G63">
            <v>0</v>
          </cell>
          <cell r="H63">
            <v>0</v>
          </cell>
        </row>
        <row r="64">
          <cell r="A64">
            <v>877</v>
          </cell>
          <cell r="B64">
            <v>362366.35240972578</v>
          </cell>
          <cell r="D64">
            <v>0.92326872704779372</v>
          </cell>
          <cell r="F64">
            <v>334561.52091427974</v>
          </cell>
          <cell r="G64">
            <v>27804.831495446037</v>
          </cell>
          <cell r="H64">
            <v>0.59962737254623399</v>
          </cell>
        </row>
        <row r="65">
          <cell r="A65">
            <v>878</v>
          </cell>
          <cell r="B65">
            <v>4821867.3301678179</v>
          </cell>
          <cell r="D65">
            <v>0.89925865187642295</v>
          </cell>
          <cell r="F65">
            <v>4336105.914853679</v>
          </cell>
          <cell r="G65">
            <v>485761.41531413887</v>
          </cell>
          <cell r="H65">
            <v>0.90034537565103445</v>
          </cell>
        </row>
        <row r="66">
          <cell r="A66">
            <v>879</v>
          </cell>
          <cell r="B66">
            <v>15658731.862769144</v>
          </cell>
          <cell r="D66">
            <v>0.89748118523264464</v>
          </cell>
          <cell r="F66">
            <v>14053417.231438229</v>
          </cell>
          <cell r="G66">
            <v>1605314.6313309148</v>
          </cell>
          <cell r="H66">
            <v>0.60348116297333043</v>
          </cell>
        </row>
        <row r="67">
          <cell r="A67">
            <v>880</v>
          </cell>
          <cell r="B67">
            <v>1461059.8187599278</v>
          </cell>
          <cell r="D67">
            <v>0.90009189483507546</v>
          </cell>
          <cell r="F67">
            <v>1315088.1007350152</v>
          </cell>
          <cell r="G67">
            <v>145971.71802491252</v>
          </cell>
          <cell r="H67">
            <v>0.95200409555864607</v>
          </cell>
        </row>
        <row r="68">
          <cell r="A68">
            <v>881</v>
          </cell>
          <cell r="B68">
            <v>180897.57450488611</v>
          </cell>
          <cell r="D68">
            <v>0.90129999281993634</v>
          </cell>
          <cell r="F68">
            <v>163042.98260239777</v>
          </cell>
          <cell r="G68">
            <v>17854.591902488348</v>
          </cell>
          <cell r="H68">
            <v>0</v>
          </cell>
        </row>
        <row r="69">
          <cell r="A69">
            <v>882</v>
          </cell>
          <cell r="B69">
            <v>0</v>
          </cell>
          <cell r="D69">
            <v>0</v>
          </cell>
          <cell r="F69">
            <v>0</v>
          </cell>
          <cell r="G69">
            <v>0</v>
          </cell>
          <cell r="H69">
            <v>0</v>
          </cell>
        </row>
        <row r="70">
          <cell r="A70">
            <v>883</v>
          </cell>
          <cell r="B70">
            <v>0</v>
          </cell>
          <cell r="D70">
            <v>0</v>
          </cell>
          <cell r="F70">
            <v>0</v>
          </cell>
          <cell r="G70">
            <v>0</v>
          </cell>
          <cell r="H70">
            <v>0</v>
          </cell>
        </row>
        <row r="71">
          <cell r="A71">
            <v>884</v>
          </cell>
          <cell r="B71">
            <v>0</v>
          </cell>
          <cell r="D71">
            <v>0</v>
          </cell>
          <cell r="F71">
            <v>0</v>
          </cell>
          <cell r="G71">
            <v>0</v>
          </cell>
          <cell r="H71">
            <v>0</v>
          </cell>
        </row>
        <row r="72">
          <cell r="A72">
            <v>885</v>
          </cell>
          <cell r="B72">
            <v>9597671.539787462</v>
          </cell>
          <cell r="D72">
            <v>0.91557580579553455</v>
          </cell>
          <cell r="F72">
            <v>8787395.8538017739</v>
          </cell>
          <cell r="G72">
            <v>810275.68598568812</v>
          </cell>
          <cell r="H72">
            <v>0.60124279726415175</v>
          </cell>
        </row>
        <row r="73">
          <cell r="A73">
            <v>886</v>
          </cell>
          <cell r="B73">
            <v>0</v>
          </cell>
          <cell r="D73">
            <v>0</v>
          </cell>
          <cell r="F73">
            <v>0</v>
          </cell>
          <cell r="G73">
            <v>0</v>
          </cell>
          <cell r="H73">
            <v>0</v>
          </cell>
        </row>
        <row r="74">
          <cell r="A74">
            <v>887</v>
          </cell>
          <cell r="B74">
            <v>2668653.7980665625</v>
          </cell>
          <cell r="D74">
            <v>0.90907447265524455</v>
          </cell>
          <cell r="F74">
            <v>2426005.044176776</v>
          </cell>
          <cell r="G74">
            <v>242648.75388978655</v>
          </cell>
          <cell r="H74">
            <v>0.70329576505937252</v>
          </cell>
        </row>
        <row r="75">
          <cell r="A75">
            <v>888</v>
          </cell>
          <cell r="B75">
            <v>0</v>
          </cell>
          <cell r="D75">
            <v>0</v>
          </cell>
          <cell r="F75">
            <v>0</v>
          </cell>
          <cell r="G75">
            <v>0</v>
          </cell>
          <cell r="H75">
            <v>0</v>
          </cell>
        </row>
        <row r="76">
          <cell r="A76">
            <v>889</v>
          </cell>
          <cell r="B76">
            <v>972400.26708752033</v>
          </cell>
          <cell r="D76">
            <v>0.9132871156364788</v>
          </cell>
          <cell r="F76">
            <v>888080.63517250307</v>
          </cell>
          <cell r="G76">
            <v>84319.631915017264</v>
          </cell>
          <cell r="H76">
            <v>0.82909073171307757</v>
          </cell>
        </row>
        <row r="77">
          <cell r="A77">
            <v>890</v>
          </cell>
          <cell r="B77">
            <v>0</v>
          </cell>
          <cell r="D77">
            <v>0</v>
          </cell>
          <cell r="F77">
            <v>0</v>
          </cell>
          <cell r="G77">
            <v>0</v>
          </cell>
          <cell r="H77">
            <v>0</v>
          </cell>
        </row>
        <row r="78">
          <cell r="A78">
            <v>891</v>
          </cell>
          <cell r="B78">
            <v>60479.186077194114</v>
          </cell>
          <cell r="D78">
            <v>0.92288864006358406</v>
          </cell>
          <cell r="F78">
            <v>55815.553790934122</v>
          </cell>
          <cell r="G78">
            <v>4663.6322862599918</v>
          </cell>
          <cell r="H78">
            <v>0.478286546084571</v>
          </cell>
        </row>
        <row r="79">
          <cell r="A79">
            <v>892</v>
          </cell>
          <cell r="B79">
            <v>1227600.8320930323</v>
          </cell>
          <cell r="D79">
            <v>0.9190649738749157</v>
          </cell>
          <cell r="F79">
            <v>1128244.9266764075</v>
          </cell>
          <cell r="G79">
            <v>99355.905416624853</v>
          </cell>
          <cell r="H79">
            <v>0.76104739351618478</v>
          </cell>
        </row>
        <row r="80">
          <cell r="A80">
            <v>893</v>
          </cell>
          <cell r="B80">
            <v>2270645.4661150095</v>
          </cell>
          <cell r="D80">
            <v>0.90854529589981214</v>
          </cell>
          <cell r="F80">
            <v>2062984.2568950283</v>
          </cell>
          <cell r="G80">
            <v>207661.20921998122</v>
          </cell>
          <cell r="H80">
            <v>0.8789387593204383</v>
          </cell>
        </row>
        <row r="81">
          <cell r="A81">
            <v>894</v>
          </cell>
          <cell r="B81">
            <v>22230.199263288723</v>
          </cell>
          <cell r="D81">
            <v>0.9180335679315148</v>
          </cell>
          <cell r="F81">
            <v>20408.069145505477</v>
          </cell>
          <cell r="G81">
            <v>1822.1301177832465</v>
          </cell>
          <cell r="H81">
            <v>0.72043608462892184</v>
          </cell>
        </row>
        <row r="82">
          <cell r="A82">
            <v>895</v>
          </cell>
          <cell r="B82">
            <v>0</v>
          </cell>
          <cell r="D82">
            <v>0</v>
          </cell>
          <cell r="F82">
            <v>0</v>
          </cell>
          <cell r="G82">
            <v>0</v>
          </cell>
          <cell r="H82">
            <v>0</v>
          </cell>
        </row>
        <row r="83">
          <cell r="A83">
            <v>896</v>
          </cell>
          <cell r="B83">
            <v>0</v>
          </cell>
          <cell r="D83">
            <v>0</v>
          </cell>
          <cell r="F83">
            <v>0</v>
          </cell>
          <cell r="G83">
            <v>0</v>
          </cell>
          <cell r="H83">
            <v>0</v>
          </cell>
        </row>
        <row r="84">
          <cell r="A84">
            <v>897</v>
          </cell>
          <cell r="B84">
            <v>0</v>
          </cell>
          <cell r="D84">
            <v>0</v>
          </cell>
          <cell r="F84">
            <v>0</v>
          </cell>
          <cell r="G84">
            <v>0</v>
          </cell>
          <cell r="H84">
            <v>0</v>
          </cell>
        </row>
        <row r="85">
          <cell r="A85">
            <v>898</v>
          </cell>
          <cell r="B85">
            <v>0</v>
          </cell>
          <cell r="D85">
            <v>0</v>
          </cell>
          <cell r="F85">
            <v>0</v>
          </cell>
          <cell r="G85">
            <v>0</v>
          </cell>
          <cell r="H85">
            <v>0</v>
          </cell>
        </row>
        <row r="86">
          <cell r="A86">
            <v>899</v>
          </cell>
          <cell r="B86">
            <v>0</v>
          </cell>
          <cell r="D86">
            <v>0</v>
          </cell>
          <cell r="F86">
            <v>0</v>
          </cell>
          <cell r="G86">
            <v>0</v>
          </cell>
          <cell r="H86">
            <v>0</v>
          </cell>
        </row>
        <row r="87">
          <cell r="A87">
            <v>900</v>
          </cell>
          <cell r="B87">
            <v>0</v>
          </cell>
          <cell r="D87">
            <v>0</v>
          </cell>
          <cell r="F87">
            <v>0</v>
          </cell>
          <cell r="G87">
            <v>0</v>
          </cell>
          <cell r="H87">
            <v>0</v>
          </cell>
        </row>
        <row r="88">
          <cell r="A88">
            <v>901</v>
          </cell>
          <cell r="B88">
            <v>1595215.5228089066</v>
          </cell>
          <cell r="D88">
            <v>0.90130000167753732</v>
          </cell>
          <cell r="F88">
            <v>1437767.7533837012</v>
          </cell>
          <cell r="G88">
            <v>157447.76942520542</v>
          </cell>
          <cell r="H88">
            <v>0.97982083475048176</v>
          </cell>
        </row>
        <row r="89">
          <cell r="A89">
            <v>902</v>
          </cell>
          <cell r="B89">
            <v>703348.56095188705</v>
          </cell>
          <cell r="D89">
            <v>0.89870090171673467</v>
          </cell>
          <cell r="F89">
            <v>632099.98594862863</v>
          </cell>
          <cell r="G89">
            <v>71248.575003258418</v>
          </cell>
          <cell r="H89">
            <v>0.87440569102360954</v>
          </cell>
        </row>
        <row r="90">
          <cell r="A90">
            <v>903</v>
          </cell>
          <cell r="B90">
            <v>18401420.543158796</v>
          </cell>
          <cell r="D90">
            <v>0.90005722434315527</v>
          </cell>
          <cell r="F90">
            <v>16568730.987536885</v>
          </cell>
          <cell r="G90">
            <v>1832689.5556219108</v>
          </cell>
          <cell r="H90">
            <v>0.68134894689672243</v>
          </cell>
        </row>
        <row r="91">
          <cell r="A91">
            <v>904</v>
          </cell>
          <cell r="B91">
            <v>0</v>
          </cell>
          <cell r="D91">
            <v>0.89616634399218198</v>
          </cell>
          <cell r="F91">
            <v>0</v>
          </cell>
          <cell r="G91">
            <v>0</v>
          </cell>
          <cell r="H91">
            <v>0</v>
          </cell>
        </row>
        <row r="92">
          <cell r="A92">
            <v>905</v>
          </cell>
          <cell r="B92">
            <v>0</v>
          </cell>
          <cell r="D92">
            <v>0</v>
          </cell>
          <cell r="F92">
            <v>0</v>
          </cell>
          <cell r="G92">
            <v>0</v>
          </cell>
          <cell r="H92">
            <v>0</v>
          </cell>
        </row>
        <row r="93">
          <cell r="A93">
            <v>906</v>
          </cell>
          <cell r="B93">
            <v>0</v>
          </cell>
          <cell r="D93">
            <v>0</v>
          </cell>
          <cell r="F93">
            <v>0</v>
          </cell>
          <cell r="G93">
            <v>0</v>
          </cell>
          <cell r="H93">
            <v>0</v>
          </cell>
        </row>
        <row r="94">
          <cell r="A94">
            <v>907</v>
          </cell>
          <cell r="B94">
            <v>306113.13426100166</v>
          </cell>
          <cell r="D94">
            <v>0.89563924707267795</v>
          </cell>
          <cell r="F94">
            <v>274166.93708858109</v>
          </cell>
          <cell r="G94">
            <v>31946.197172420565</v>
          </cell>
          <cell r="H94">
            <v>1</v>
          </cell>
        </row>
        <row r="95">
          <cell r="A95">
            <v>908</v>
          </cell>
          <cell r="B95">
            <v>3951879.7366368528</v>
          </cell>
          <cell r="D95">
            <v>0.90222270338711863</v>
          </cell>
          <cell r="F95">
            <v>3565475.6194492755</v>
          </cell>
          <cell r="G95">
            <v>386404.1171875773</v>
          </cell>
          <cell r="H95">
            <v>0.89459708885559841</v>
          </cell>
        </row>
        <row r="96">
          <cell r="A96">
            <v>909</v>
          </cell>
          <cell r="B96">
            <v>2124011.8381095021</v>
          </cell>
          <cell r="D96">
            <v>0.89571023162466878</v>
          </cell>
          <cell r="F96">
            <v>1979464.984547595</v>
          </cell>
          <cell r="G96">
            <v>144546.85356190708</v>
          </cell>
          <cell r="H96">
            <v>0.1953223811380351</v>
          </cell>
        </row>
        <row r="97">
          <cell r="A97">
            <v>910</v>
          </cell>
          <cell r="B97">
            <v>190842.49067524882</v>
          </cell>
          <cell r="D97">
            <v>0.8957021724951082</v>
          </cell>
          <cell r="F97">
            <v>170938.0335021978</v>
          </cell>
          <cell r="G97">
            <v>19904.457173051022</v>
          </cell>
          <cell r="H97">
            <v>0.76103836105732403</v>
          </cell>
        </row>
        <row r="98">
          <cell r="A98">
            <v>911</v>
          </cell>
          <cell r="B98">
            <v>337605.20570239058</v>
          </cell>
          <cell r="D98">
            <v>0.89654180904728853</v>
          </cell>
          <cell r="F98">
            <v>302677.18186420324</v>
          </cell>
          <cell r="G98">
            <v>34928.023838187335</v>
          </cell>
          <cell r="H98">
            <v>0.98442369808658114</v>
          </cell>
        </row>
        <row r="99">
          <cell r="A99">
            <v>912</v>
          </cell>
          <cell r="B99">
            <v>2358285.7942438447</v>
          </cell>
          <cell r="D99">
            <v>0.89843903619708443</v>
          </cell>
          <cell r="F99">
            <v>2118776.0160577158</v>
          </cell>
          <cell r="G99">
            <v>239509.77818612894</v>
          </cell>
          <cell r="H99">
            <v>0.68174435526697286</v>
          </cell>
        </row>
        <row r="100">
          <cell r="A100">
            <v>913</v>
          </cell>
          <cell r="B100">
            <v>786227.65285552898</v>
          </cell>
          <cell r="D100">
            <v>0.91319210492850045</v>
          </cell>
          <cell r="F100">
            <v>717976.88526413485</v>
          </cell>
          <cell r="G100">
            <v>68250.767591394135</v>
          </cell>
          <cell r="H100">
            <v>0</v>
          </cell>
        </row>
        <row r="101">
          <cell r="A101">
            <v>914</v>
          </cell>
          <cell r="B101">
            <v>0</v>
          </cell>
          <cell r="D101">
            <v>0</v>
          </cell>
          <cell r="F101">
            <v>0</v>
          </cell>
          <cell r="G101">
            <v>0</v>
          </cell>
          <cell r="H101">
            <v>0</v>
          </cell>
        </row>
        <row r="102">
          <cell r="A102">
            <v>915</v>
          </cell>
          <cell r="B102">
            <v>0</v>
          </cell>
          <cell r="D102">
            <v>0</v>
          </cell>
          <cell r="F102">
            <v>0</v>
          </cell>
          <cell r="G102">
            <v>0</v>
          </cell>
          <cell r="H102">
            <v>0</v>
          </cell>
        </row>
        <row r="103">
          <cell r="A103">
            <v>916</v>
          </cell>
          <cell r="B103">
            <v>118.77077606350387</v>
          </cell>
          <cell r="D103">
            <v>0.89568018501693236</v>
          </cell>
          <cell r="F103">
            <v>106.38063067916379</v>
          </cell>
          <cell r="G103">
            <v>12.390145384340087</v>
          </cell>
          <cell r="H103">
            <v>0</v>
          </cell>
        </row>
        <row r="104">
          <cell r="A104">
            <v>917</v>
          </cell>
          <cell r="B104">
            <v>0</v>
          </cell>
          <cell r="D104">
            <v>0</v>
          </cell>
          <cell r="F104">
            <v>0</v>
          </cell>
          <cell r="G104">
            <v>0</v>
          </cell>
          <cell r="H104">
            <v>0</v>
          </cell>
        </row>
        <row r="105">
          <cell r="A105">
            <v>918</v>
          </cell>
          <cell r="B105">
            <v>0</v>
          </cell>
          <cell r="D105">
            <v>0</v>
          </cell>
          <cell r="F105">
            <v>0</v>
          </cell>
          <cell r="G105">
            <v>0</v>
          </cell>
          <cell r="H105">
            <v>0</v>
          </cell>
        </row>
        <row r="106">
          <cell r="A106">
            <v>919</v>
          </cell>
          <cell r="B106">
            <v>0</v>
          </cell>
          <cell r="D106">
            <v>0</v>
          </cell>
          <cell r="F106">
            <v>0</v>
          </cell>
          <cell r="G106">
            <v>0</v>
          </cell>
          <cell r="H106">
            <v>0</v>
          </cell>
        </row>
        <row r="107">
          <cell r="A107">
            <v>920</v>
          </cell>
          <cell r="B107">
            <v>0</v>
          </cell>
          <cell r="D107">
            <v>0</v>
          </cell>
          <cell r="F107">
            <v>0</v>
          </cell>
          <cell r="G107">
            <v>0</v>
          </cell>
          <cell r="H107">
            <v>0</v>
          </cell>
        </row>
        <row r="108">
          <cell r="A108">
            <v>921</v>
          </cell>
          <cell r="B108">
            <v>39657281.618203074</v>
          </cell>
          <cell r="C108">
            <v>0</v>
          </cell>
          <cell r="D108">
            <v>0.89777859498793888</v>
          </cell>
          <cell r="F108">
            <v>35603458.572231367</v>
          </cell>
          <cell r="G108">
            <v>4053823.0459717065</v>
          </cell>
          <cell r="H108">
            <v>0.78063622688295076</v>
          </cell>
        </row>
        <row r="109">
          <cell r="A109">
            <v>922</v>
          </cell>
          <cell r="B109">
            <v>-15174113.224451767</v>
          </cell>
          <cell r="D109">
            <v>0.89511008510925449</v>
          </cell>
          <cell r="F109">
            <v>-13582501.779796485</v>
          </cell>
          <cell r="G109">
            <v>-1591611.4446552824</v>
          </cell>
          <cell r="H109">
            <v>0.36681807199909044</v>
          </cell>
        </row>
        <row r="110">
          <cell r="A110">
            <v>923</v>
          </cell>
          <cell r="B110">
            <v>0</v>
          </cell>
          <cell r="D110">
            <v>0</v>
          </cell>
          <cell r="F110">
            <v>0</v>
          </cell>
          <cell r="G110">
            <v>0</v>
          </cell>
          <cell r="H110">
            <v>0</v>
          </cell>
        </row>
        <row r="111">
          <cell r="A111">
            <v>924</v>
          </cell>
          <cell r="B111">
            <v>2358729.5074500772</v>
          </cell>
          <cell r="D111">
            <v>0.90129999947554285</v>
          </cell>
          <cell r="F111">
            <v>2125922.9038277022</v>
          </cell>
          <cell r="G111">
            <v>232806.60362237506</v>
          </cell>
          <cell r="H111">
            <v>0</v>
          </cell>
        </row>
        <row r="112">
          <cell r="A112">
            <v>925</v>
          </cell>
          <cell r="B112">
            <v>1203923.2188169521</v>
          </cell>
          <cell r="D112">
            <v>0.90018070031411868</v>
          </cell>
          <cell r="F112">
            <v>1083748.4462390719</v>
          </cell>
          <cell r="G112">
            <v>120174.77257788018</v>
          </cell>
          <cell r="H112">
            <v>0.9623445125143204</v>
          </cell>
        </row>
        <row r="113">
          <cell r="A113">
            <v>926</v>
          </cell>
          <cell r="B113">
            <v>2361487.635645085</v>
          </cell>
          <cell r="D113">
            <v>0.8917735752562711</v>
          </cell>
          <cell r="F113">
            <v>2105912.2717626961</v>
          </cell>
          <cell r="G113">
            <v>255575.36388238892</v>
          </cell>
          <cell r="H113">
            <v>1.9459501476691321</v>
          </cell>
        </row>
        <row r="114">
          <cell r="A114">
            <v>927</v>
          </cell>
          <cell r="B114">
            <v>0</v>
          </cell>
          <cell r="D114">
            <v>0</v>
          </cell>
          <cell r="F114">
            <v>0</v>
          </cell>
          <cell r="G114">
            <v>0</v>
          </cell>
          <cell r="H114">
            <v>0</v>
          </cell>
        </row>
        <row r="115">
          <cell r="A115">
            <v>928</v>
          </cell>
          <cell r="B115">
            <v>234666.66666666672</v>
          </cell>
          <cell r="D115">
            <v>1</v>
          </cell>
          <cell r="F115">
            <v>234666.66666666672</v>
          </cell>
          <cell r="G115">
            <v>0</v>
          </cell>
          <cell r="H115">
            <v>0</v>
          </cell>
        </row>
        <row r="116">
          <cell r="A116">
            <v>929</v>
          </cell>
          <cell r="B116">
            <v>0</v>
          </cell>
          <cell r="D116">
            <v>0</v>
          </cell>
          <cell r="F116">
            <v>0</v>
          </cell>
          <cell r="G116">
            <v>0</v>
          </cell>
          <cell r="H116">
            <v>0</v>
          </cell>
        </row>
        <row r="117">
          <cell r="A117">
            <v>930</v>
          </cell>
          <cell r="B117">
            <v>3581396.6351826885</v>
          </cell>
          <cell r="D117">
            <v>0.90129999488091972</v>
          </cell>
          <cell r="F117">
            <v>3267984.971035047</v>
          </cell>
          <cell r="G117">
            <v>313411.66414764151</v>
          </cell>
          <cell r="H117">
            <v>5.2066939240023272E-4</v>
          </cell>
        </row>
        <row r="118">
          <cell r="A118">
            <v>931</v>
          </cell>
          <cell r="B118">
            <v>4116912.4842467294</v>
          </cell>
          <cell r="D118">
            <v>0.87902474076377834</v>
          </cell>
          <cell r="F118">
            <v>3618867.9292121441</v>
          </cell>
          <cell r="G118">
            <v>498044.5550345853</v>
          </cell>
          <cell r="H118">
            <v>0</v>
          </cell>
        </row>
        <row r="119">
          <cell r="A119">
            <v>932</v>
          </cell>
          <cell r="B119">
            <v>0</v>
          </cell>
          <cell r="D119">
            <v>0</v>
          </cell>
          <cell r="F119">
            <v>0</v>
          </cell>
          <cell r="G119">
            <v>0</v>
          </cell>
          <cell r="H119">
            <v>0</v>
          </cell>
        </row>
        <row r="120">
          <cell r="A120">
            <v>933</v>
          </cell>
          <cell r="B120">
            <v>0</v>
          </cell>
          <cell r="D120">
            <v>0</v>
          </cell>
          <cell r="F120">
            <v>0</v>
          </cell>
          <cell r="G120">
            <v>0</v>
          </cell>
          <cell r="H120">
            <v>0</v>
          </cell>
        </row>
        <row r="121">
          <cell r="A121">
            <v>934</v>
          </cell>
          <cell r="B121">
            <v>0</v>
          </cell>
          <cell r="D121">
            <v>0</v>
          </cell>
          <cell r="F121">
            <v>0</v>
          </cell>
          <cell r="G121">
            <v>0</v>
          </cell>
          <cell r="H121">
            <v>0</v>
          </cell>
        </row>
        <row r="122">
          <cell r="A122">
            <v>935</v>
          </cell>
          <cell r="B122">
            <v>4248707.3453615149</v>
          </cell>
          <cell r="D122">
            <v>0.92253264780303101</v>
          </cell>
          <cell r="F122">
            <v>3919571.2370565454</v>
          </cell>
          <cell r="G122">
            <v>329136.1083049695</v>
          </cell>
          <cell r="H122">
            <v>0.48795846404146354</v>
          </cell>
        </row>
        <row r="123">
          <cell r="A123" t="str">
            <v>TOTAL</v>
          </cell>
          <cell r="B123">
            <v>130194612.65413392</v>
          </cell>
          <cell r="D123">
            <v>0.90465664523060096</v>
          </cell>
          <cell r="F123">
            <v>117781421.51078634</v>
          </cell>
          <cell r="G123">
            <v>12413191.143347515</v>
          </cell>
          <cell r="H123">
            <v>0.71016951780720672</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tions"/>
      <sheetName val="Classify"/>
      <sheetName val="C_Supp Demand"/>
      <sheetName val="C_Supp Comm"/>
      <sheetName val="C_Supp Cust"/>
      <sheetName val="C_Stor Demand"/>
      <sheetName val="C_Stor Comm"/>
      <sheetName val="C_Stor Cust"/>
      <sheetName val="Tran Demand"/>
      <sheetName val="Tran Comm"/>
      <sheetName val="Tran Cust"/>
      <sheetName val="Dist Demand"/>
      <sheetName val="Dist Comm"/>
      <sheetName val="Dist Cust"/>
      <sheetName val="BBA Demand"/>
      <sheetName val="BBA Comm"/>
      <sheetName val="BBA Cust"/>
      <sheetName val="Gather Demand"/>
      <sheetName val="Gather Comm"/>
      <sheetName val="Gather Cust"/>
      <sheetName val="CommColl Demand"/>
      <sheetName val="CommColl Comm"/>
      <sheetName val="CommColl Cust"/>
      <sheetName val="Func8 Demand"/>
      <sheetName val="Func8 Comm"/>
      <sheetName val="Func8 Cust"/>
      <sheetName val="Quick List"/>
      <sheetName val="Total"/>
      <sheetName val="Input"/>
      <sheetName val="Factors"/>
      <sheetName val="Open"/>
      <sheetName val="Registry"/>
      <sheetName val="Specific Customer"/>
      <sheetName val="Unit Cost"/>
      <sheetName val="Verify"/>
      <sheetName val="Summary"/>
      <sheetName val="Av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94">
          <cell r="E94" t="str">
            <v>Peoples Natural Gas Company LLC</v>
          </cell>
        </row>
        <row r="95">
          <cell r="E95" t="str">
            <v>FUTURE YEAR ENDING JUNE 30, 2011</v>
          </cell>
        </row>
      </sheetData>
      <sheetData sheetId="32"/>
      <sheetData sheetId="33"/>
      <sheetData sheetId="34"/>
      <sheetData sheetId="35"/>
      <sheetData sheetId="3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rections"/>
      <sheetName val="Input"/>
      <sheetName val="Trial Balance - December 2010"/>
      <sheetName val="Allocators"/>
      <sheetName val="Meter Reading"/>
      <sheetName val="Meter-Service"/>
      <sheetName val="Customer Serv"/>
      <sheetName val="DesignD"/>
      <sheetName val="Weather"/>
      <sheetName val="Labour"/>
      <sheetName val="2010 Customer TP- monthly"/>
      <sheetName val="2010 Customer Count- monthly"/>
      <sheetName val="2010 Revenue- monthly"/>
      <sheetName val="ROR"/>
      <sheetName val="Plant"/>
      <sheetName val="RB summary and ROR calcs 2010"/>
      <sheetName val="Taxes-10"/>
      <sheetName val="Tax Loss Carryforward"/>
      <sheetName val="OthRev-Write-offs"/>
      <sheetName val="Scenario 1"/>
      <sheetName val="Scenario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sheetName val="data"/>
      <sheetName val="lookup table"/>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olumes new"/>
      <sheetName val="OR volumes"/>
      <sheetName val="OR old"/>
      <sheetName val="OR customers"/>
      <sheetName val="revenue by rate schedule"/>
      <sheetName val="WA without sub lines history"/>
      <sheetName val="WA history"/>
      <sheetName val="Adj 2008 calendar yr"/>
      <sheetName val="WA 2009 recon'd"/>
      <sheetName val="WA 09-10 PGA volumes &amp; history"/>
      <sheetName val="June10 revenue by rate schedule"/>
      <sheetName val="WA volumes"/>
      <sheetName val="WA Customers"/>
      <sheetName val="OR old NCS"/>
    </sheetNames>
    <sheetDataSet>
      <sheetData sheetId="0"/>
      <sheetData sheetId="1"/>
      <sheetData sheetId="2"/>
      <sheetData sheetId="3"/>
      <sheetData sheetId="4"/>
      <sheetData sheetId="5"/>
      <sheetData sheetId="6"/>
      <sheetData sheetId="7"/>
      <sheetData sheetId="8"/>
      <sheetData sheetId="9"/>
      <sheetData sheetId="10">
        <row r="10">
          <cell r="F10">
            <v>186</v>
          </cell>
          <cell r="I10" t="str">
            <v xml:space="preserve"> </v>
          </cell>
          <cell r="K10">
            <v>10245.4</v>
          </cell>
          <cell r="S10">
            <v>10557.8</v>
          </cell>
        </row>
        <row r="11">
          <cell r="F11">
            <v>3636</v>
          </cell>
          <cell r="K11">
            <v>56964.37</v>
          </cell>
          <cell r="S11">
            <v>41691.699999999997</v>
          </cell>
        </row>
        <row r="12">
          <cell r="F12">
            <v>539330</v>
          </cell>
          <cell r="K12">
            <v>17355990.699999999</v>
          </cell>
          <cell r="N12">
            <v>3403.93</v>
          </cell>
          <cell r="S12">
            <v>17864457.899999999</v>
          </cell>
          <cell r="V12">
            <v>0.4</v>
          </cell>
        </row>
        <row r="13">
          <cell r="F13">
            <v>55382</v>
          </cell>
          <cell r="H13">
            <v>1</v>
          </cell>
          <cell r="K13">
            <v>6343569.3200000003</v>
          </cell>
          <cell r="M13">
            <v>8</v>
          </cell>
          <cell r="N13">
            <v>10.45</v>
          </cell>
          <cell r="S13">
            <v>8206341.5</v>
          </cell>
          <cell r="V13">
            <v>-2.9</v>
          </cell>
        </row>
        <row r="14">
          <cell r="F14">
            <v>278</v>
          </cell>
          <cell r="K14">
            <v>146281.79</v>
          </cell>
          <cell r="S14">
            <v>226994.3</v>
          </cell>
          <cell r="V14">
            <v>0.3</v>
          </cell>
        </row>
        <row r="15">
          <cell r="F15">
            <v>0</v>
          </cell>
          <cell r="K15">
            <v>0</v>
          </cell>
          <cell r="S15">
            <v>0</v>
          </cell>
        </row>
        <row r="16">
          <cell r="F16">
            <v>0</v>
          </cell>
          <cell r="K16">
            <v>0</v>
          </cell>
          <cell r="S16">
            <v>0</v>
          </cell>
        </row>
        <row r="17">
          <cell r="F17">
            <v>14</v>
          </cell>
          <cell r="K17">
            <v>1029.3600000000001</v>
          </cell>
          <cell r="S17">
            <v>1407.04</v>
          </cell>
        </row>
        <row r="18">
          <cell r="F18">
            <v>1204</v>
          </cell>
          <cell r="K18">
            <v>2679992.6800000002</v>
          </cell>
          <cell r="S18">
            <v>3800397.6</v>
          </cell>
        </row>
        <row r="19">
          <cell r="F19">
            <v>235</v>
          </cell>
          <cell r="K19">
            <v>892355.18</v>
          </cell>
          <cell r="S19">
            <v>1343071.4</v>
          </cell>
        </row>
        <row r="20">
          <cell r="F20">
            <v>20</v>
          </cell>
          <cell r="K20">
            <v>42215.96</v>
          </cell>
          <cell r="S20">
            <v>75913</v>
          </cell>
        </row>
        <row r="21">
          <cell r="F21">
            <v>49</v>
          </cell>
          <cell r="H21">
            <v>1</v>
          </cell>
          <cell r="K21">
            <v>320516.42</v>
          </cell>
          <cell r="M21">
            <v>9914.8799999999992</v>
          </cell>
          <cell r="S21">
            <v>556203</v>
          </cell>
          <cell r="U21">
            <v>14699</v>
          </cell>
        </row>
        <row r="22">
          <cell r="F22">
            <v>42</v>
          </cell>
          <cell r="G22">
            <v>-1</v>
          </cell>
          <cell r="I22">
            <v>1</v>
          </cell>
          <cell r="K22">
            <v>517439.2</v>
          </cell>
          <cell r="L22">
            <v>-66601.41</v>
          </cell>
          <cell r="S22">
            <v>895957</v>
          </cell>
          <cell r="T22">
            <v>-89115</v>
          </cell>
        </row>
        <row r="23">
          <cell r="F23">
            <v>114</v>
          </cell>
          <cell r="G23">
            <v>-1</v>
          </cell>
          <cell r="H23">
            <v>1</v>
          </cell>
          <cell r="I23">
            <v>1</v>
          </cell>
          <cell r="K23">
            <v>1578476.79</v>
          </cell>
          <cell r="L23">
            <v>-25282.63</v>
          </cell>
          <cell r="M23">
            <v>34623.69</v>
          </cell>
          <cell r="N23">
            <v>22.5</v>
          </cell>
          <cell r="S23">
            <v>3706299</v>
          </cell>
          <cell r="T23">
            <v>-38518</v>
          </cell>
          <cell r="U23">
            <v>92585</v>
          </cell>
        </row>
        <row r="33">
          <cell r="I33" t="str">
            <v xml:space="preserve"> </v>
          </cell>
          <cell r="K33">
            <v>0</v>
          </cell>
          <cell r="S33">
            <v>0</v>
          </cell>
        </row>
        <row r="34">
          <cell r="F34">
            <v>7</v>
          </cell>
          <cell r="I34" t="str">
            <v xml:space="preserve"> </v>
          </cell>
          <cell r="K34">
            <v>16094.24</v>
          </cell>
          <cell r="S34">
            <v>99515</v>
          </cell>
        </row>
        <row r="35">
          <cell r="F35">
            <v>4</v>
          </cell>
          <cell r="K35">
            <v>4831.5200000000004</v>
          </cell>
          <cell r="S35">
            <v>20752</v>
          </cell>
        </row>
        <row r="36">
          <cell r="F36">
            <v>4</v>
          </cell>
          <cell r="K36">
            <v>8653.73</v>
          </cell>
          <cell r="S36">
            <v>49189</v>
          </cell>
        </row>
        <row r="37">
          <cell r="F37">
            <v>52</v>
          </cell>
          <cell r="H37">
            <v>1</v>
          </cell>
          <cell r="K37">
            <v>259687</v>
          </cell>
          <cell r="M37">
            <v>1061.47</v>
          </cell>
          <cell r="S37">
            <v>3800745</v>
          </cell>
          <cell r="U37">
            <v>2635</v>
          </cell>
        </row>
        <row r="38">
          <cell r="F38">
            <v>85</v>
          </cell>
          <cell r="H38">
            <v>3</v>
          </cell>
          <cell r="K38">
            <v>465953.71</v>
          </cell>
          <cell r="M38">
            <v>5261.85</v>
          </cell>
          <cell r="S38">
            <v>16347515</v>
          </cell>
          <cell r="U38">
            <v>68355</v>
          </cell>
        </row>
        <row r="39">
          <cell r="F39">
            <v>1</v>
          </cell>
          <cell r="K39">
            <v>115000</v>
          </cell>
          <cell r="S39">
            <v>0</v>
          </cell>
        </row>
        <row r="40">
          <cell r="F40">
            <v>1</v>
          </cell>
          <cell r="K40">
            <v>26385.81</v>
          </cell>
          <cell r="S40">
            <v>1546452</v>
          </cell>
        </row>
        <row r="41">
          <cell r="F41">
            <v>0</v>
          </cell>
          <cell r="K41">
            <v>0</v>
          </cell>
          <cell r="S41">
            <v>0</v>
          </cell>
        </row>
        <row r="42">
          <cell r="F42">
            <v>0</v>
          </cell>
          <cell r="H42">
            <v>1</v>
          </cell>
          <cell r="K42">
            <v>0</v>
          </cell>
          <cell r="M42">
            <v>14462.75</v>
          </cell>
          <cell r="S42">
            <v>0</v>
          </cell>
          <cell r="U42">
            <v>1086587</v>
          </cell>
        </row>
        <row r="43">
          <cell r="F43">
            <v>0</v>
          </cell>
          <cell r="K43">
            <v>0</v>
          </cell>
          <cell r="S43">
            <v>0</v>
          </cell>
        </row>
        <row r="45">
          <cell r="F45">
            <v>1</v>
          </cell>
          <cell r="K45">
            <v>38169.32</v>
          </cell>
          <cell r="S45">
            <v>1438573</v>
          </cell>
        </row>
        <row r="46">
          <cell r="F46">
            <v>2</v>
          </cell>
          <cell r="K46">
            <v>12474.12</v>
          </cell>
          <cell r="S46">
            <v>389287</v>
          </cell>
        </row>
        <row r="47">
          <cell r="F47">
            <v>2</v>
          </cell>
          <cell r="K47">
            <v>18698.55</v>
          </cell>
          <cell r="S47">
            <v>251269</v>
          </cell>
        </row>
        <row r="48">
          <cell r="F48">
            <v>1</v>
          </cell>
          <cell r="K48">
            <v>5475.18</v>
          </cell>
          <cell r="S48">
            <v>95035</v>
          </cell>
        </row>
        <row r="49">
          <cell r="F49">
            <v>1</v>
          </cell>
          <cell r="K49">
            <v>29072.57</v>
          </cell>
          <cell r="S49">
            <v>3147914</v>
          </cell>
        </row>
        <row r="50">
          <cell r="F50">
            <v>1</v>
          </cell>
          <cell r="K50">
            <v>20000</v>
          </cell>
          <cell r="S50">
            <v>0</v>
          </cell>
        </row>
        <row r="51">
          <cell r="F51">
            <v>0</v>
          </cell>
          <cell r="H51">
            <v>1</v>
          </cell>
          <cell r="K51">
            <v>0</v>
          </cell>
          <cell r="M51">
            <v>15167.92</v>
          </cell>
          <cell r="S51">
            <v>0</v>
          </cell>
          <cell r="U51">
            <v>392400</v>
          </cell>
        </row>
        <row r="52">
          <cell r="F52">
            <v>0</v>
          </cell>
          <cell r="K52">
            <v>0</v>
          </cell>
          <cell r="S52">
            <v>0</v>
          </cell>
        </row>
        <row r="54">
          <cell r="I54" t="str">
            <v xml:space="preserve"> </v>
          </cell>
        </row>
        <row r="63">
          <cell r="F63">
            <v>25</v>
          </cell>
          <cell r="I63" t="str">
            <v xml:space="preserve"> </v>
          </cell>
          <cell r="K63">
            <v>3595.4500000000003</v>
          </cell>
          <cell r="S63">
            <v>2628.5</v>
          </cell>
        </row>
        <row r="64">
          <cell r="F64">
            <v>565</v>
          </cell>
          <cell r="I64" t="str">
            <v xml:space="preserve"> </v>
          </cell>
          <cell r="K64">
            <v>10008.52</v>
          </cell>
          <cell r="S64">
            <v>6042.1</v>
          </cell>
        </row>
        <row r="65">
          <cell r="F65">
            <v>62627</v>
          </cell>
          <cell r="K65">
            <v>2748285.62</v>
          </cell>
          <cell r="N65">
            <v>-3271.27</v>
          </cell>
          <cell r="S65">
            <v>2171902</v>
          </cell>
          <cell r="V65">
            <v>0.1</v>
          </cell>
        </row>
        <row r="66">
          <cell r="F66">
            <v>5230</v>
          </cell>
          <cell r="K66">
            <v>999896.62</v>
          </cell>
          <cell r="N66">
            <v>-165.61</v>
          </cell>
          <cell r="S66">
            <v>860755.7</v>
          </cell>
          <cell r="V66">
            <v>-0.1</v>
          </cell>
        </row>
        <row r="67">
          <cell r="F67">
            <v>20</v>
          </cell>
          <cell r="K67">
            <v>65023.03</v>
          </cell>
          <cell r="S67">
            <v>60577.7</v>
          </cell>
          <cell r="V67">
            <v>0.2</v>
          </cell>
        </row>
        <row r="68">
          <cell r="F68">
            <v>0</v>
          </cell>
          <cell r="K68">
            <v>0</v>
          </cell>
          <cell r="S68">
            <v>0</v>
          </cell>
        </row>
        <row r="69">
          <cell r="F69">
            <v>0</v>
          </cell>
          <cell r="K69">
            <v>0</v>
          </cell>
          <cell r="S69">
            <v>0</v>
          </cell>
        </row>
        <row r="70">
          <cell r="F70">
            <v>0</v>
          </cell>
          <cell r="K70">
            <v>0</v>
          </cell>
          <cell r="S70">
            <v>0</v>
          </cell>
        </row>
        <row r="71">
          <cell r="F71">
            <v>0</v>
          </cell>
          <cell r="K71">
            <v>0</v>
          </cell>
          <cell r="S71">
            <v>0</v>
          </cell>
        </row>
        <row r="72">
          <cell r="F72">
            <v>151</v>
          </cell>
          <cell r="K72">
            <v>5674.31</v>
          </cell>
          <cell r="S72">
            <v>5394.8</v>
          </cell>
        </row>
        <row r="73">
          <cell r="F73">
            <v>70</v>
          </cell>
          <cell r="K73">
            <v>194363.43</v>
          </cell>
          <cell r="S73">
            <v>193757.9</v>
          </cell>
          <cell r="T73">
            <v>-42738</v>
          </cell>
        </row>
        <row r="74">
          <cell r="F74">
            <v>9</v>
          </cell>
          <cell r="K74">
            <v>26703.64</v>
          </cell>
          <cell r="S74">
            <v>26780.1</v>
          </cell>
        </row>
        <row r="75">
          <cell r="F75">
            <v>11</v>
          </cell>
          <cell r="K75">
            <v>59979.380000000005</v>
          </cell>
          <cell r="L75">
            <v>-30824.09</v>
          </cell>
          <cell r="S75">
            <v>52442</v>
          </cell>
        </row>
        <row r="76">
          <cell r="F76">
            <v>11</v>
          </cell>
          <cell r="K76">
            <v>104670.86</v>
          </cell>
          <cell r="S76">
            <v>114594</v>
          </cell>
        </row>
        <row r="77">
          <cell r="F77">
            <v>11</v>
          </cell>
          <cell r="G77">
            <v>-1</v>
          </cell>
          <cell r="I77">
            <v>1</v>
          </cell>
          <cell r="K77">
            <v>317150.89</v>
          </cell>
          <cell r="S77">
            <v>443441</v>
          </cell>
        </row>
        <row r="87">
          <cell r="F87">
            <v>4</v>
          </cell>
          <cell r="H87">
            <v>1</v>
          </cell>
          <cell r="K87">
            <v>14215.15</v>
          </cell>
          <cell r="M87">
            <v>12955.35</v>
          </cell>
          <cell r="S87">
            <v>93423</v>
          </cell>
          <cell r="U87">
            <v>119753</v>
          </cell>
        </row>
        <row r="88">
          <cell r="F88">
            <v>7</v>
          </cell>
          <cell r="K88">
            <v>43629.020000000004</v>
          </cell>
          <cell r="S88">
            <v>625234</v>
          </cell>
        </row>
        <row r="89">
          <cell r="F89">
            <v>1</v>
          </cell>
          <cell r="K89">
            <v>2086.3200000000002</v>
          </cell>
          <cell r="S89">
            <v>8673</v>
          </cell>
        </row>
        <row r="90">
          <cell r="F90">
            <v>1</v>
          </cell>
          <cell r="I90" t="str">
            <v xml:space="preserve"> </v>
          </cell>
          <cell r="K90">
            <v>22347.84</v>
          </cell>
          <cell r="S90">
            <v>308056</v>
          </cell>
        </row>
        <row r="91">
          <cell r="F91">
            <v>0</v>
          </cell>
          <cell r="I91" t="str">
            <v xml:space="preserve"> </v>
          </cell>
          <cell r="K91">
            <v>0</v>
          </cell>
          <cell r="S91">
            <v>0</v>
          </cell>
        </row>
        <row r="92">
          <cell r="I92" t="str">
            <v xml:space="preserve"> </v>
          </cell>
        </row>
      </sheetData>
      <sheetData sheetId="11">
        <row r="10">
          <cell r="F10">
            <v>186</v>
          </cell>
        </row>
      </sheetData>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BB4D98-F92C-469E-9909-7B6FF3EBE238}">
  <dimension ref="B1:C25"/>
  <sheetViews>
    <sheetView tabSelected="1" zoomScaleNormal="100" workbookViewId="0">
      <selection activeCell="M13" sqref="M13"/>
    </sheetView>
  </sheetViews>
  <sheetFormatPr defaultRowHeight="12.75" x14ac:dyDescent="0.2"/>
  <cols>
    <col min="1" max="1" width="1.33203125" customWidth="1"/>
  </cols>
  <sheetData>
    <row r="1" spans="2:3" x14ac:dyDescent="0.2">
      <c r="B1" s="1535" t="s">
        <v>0</v>
      </c>
    </row>
    <row r="2" spans="2:3" x14ac:dyDescent="0.2">
      <c r="B2" s="1535" t="s">
        <v>646</v>
      </c>
    </row>
    <row r="3" spans="2:3" x14ac:dyDescent="0.2">
      <c r="B3" s="1535" t="s">
        <v>647</v>
      </c>
    </row>
    <row r="4" spans="2:3" x14ac:dyDescent="0.2">
      <c r="B4" s="1536" t="s">
        <v>648</v>
      </c>
    </row>
    <row r="5" spans="2:3" ht="15" x14ac:dyDescent="0.25">
      <c r="B5" s="731" t="s">
        <v>649</v>
      </c>
    </row>
    <row r="8" spans="2:3" x14ac:dyDescent="0.2">
      <c r="B8" s="1535" t="s">
        <v>650</v>
      </c>
    </row>
    <row r="9" spans="2:3" x14ac:dyDescent="0.2">
      <c r="B9" s="1537" t="s">
        <v>652</v>
      </c>
    </row>
    <row r="10" spans="2:3" x14ac:dyDescent="0.2">
      <c r="B10" s="1537" t="s">
        <v>655</v>
      </c>
    </row>
    <row r="11" spans="2:3" x14ac:dyDescent="0.2">
      <c r="B11" s="1537" t="s">
        <v>653</v>
      </c>
    </row>
    <row r="12" spans="2:3" x14ac:dyDescent="0.2">
      <c r="B12" s="1537" t="s">
        <v>654</v>
      </c>
    </row>
    <row r="13" spans="2:3" x14ac:dyDescent="0.2">
      <c r="B13" s="1537" t="s">
        <v>651</v>
      </c>
    </row>
    <row r="15" spans="2:3" x14ac:dyDescent="0.2">
      <c r="B15" s="1539"/>
      <c r="C15" s="1538" t="s">
        <v>657</v>
      </c>
    </row>
    <row r="16" spans="2:3" x14ac:dyDescent="0.2">
      <c r="B16" s="1540"/>
      <c r="C16" s="1538" t="s">
        <v>656</v>
      </c>
    </row>
    <row r="17" spans="2:3" x14ac:dyDescent="0.2">
      <c r="B17" s="1541"/>
      <c r="C17" s="1538" t="s">
        <v>658</v>
      </c>
    </row>
    <row r="18" spans="2:3" x14ac:dyDescent="0.2">
      <c r="B18" s="1542"/>
      <c r="C18" s="1538" t="s">
        <v>659</v>
      </c>
    </row>
    <row r="19" spans="2:3" x14ac:dyDescent="0.2">
      <c r="B19" s="1543"/>
      <c r="C19" s="1538" t="s">
        <v>661</v>
      </c>
    </row>
    <row r="20" spans="2:3" x14ac:dyDescent="0.2">
      <c r="B20" s="1544"/>
      <c r="C20" s="1538" t="s">
        <v>660</v>
      </c>
    </row>
    <row r="23" spans="2:3" x14ac:dyDescent="0.2">
      <c r="B23" s="1537" t="s">
        <v>662</v>
      </c>
    </row>
    <row r="25" spans="2:3" ht="15" x14ac:dyDescent="0.25">
      <c r="B25" s="1545" t="s">
        <v>663</v>
      </c>
    </row>
  </sheetData>
  <pageMargins left="0.7" right="0.7" top="0.75" bottom="0.75" header="0.3" footer="0.3"/>
  <pageSetup orientation="portrait" horizontalDpi="0" verticalDpi="0" r:id="rId1"/>
  <headerFooter>
    <oddHeader>&amp;RExh. RJW-3 Wyman WP1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1CE2-33B0-432D-99E7-0B96B740F202}">
  <sheetPr>
    <tabColor theme="8" tint="0.79998168889431442"/>
  </sheetPr>
  <dimension ref="A1:AZ105"/>
  <sheetViews>
    <sheetView zoomScaleNormal="100" workbookViewId="0">
      <pane xSplit="11" ySplit="13" topLeftCell="AL14" activePane="bottomRight" state="frozen"/>
      <selection pane="topRight" activeCell="L1" sqref="L1"/>
      <selection pane="bottomLeft" activeCell="A14" sqref="A14"/>
      <selection pane="bottomRight" activeCell="AX21" sqref="AX21"/>
    </sheetView>
  </sheetViews>
  <sheetFormatPr defaultColWidth="9.33203125" defaultRowHeight="12.75" outlineLevelCol="1" x14ac:dyDescent="0.2"/>
  <cols>
    <col min="1" max="1" width="6.83203125" style="55" customWidth="1"/>
    <col min="2" max="2" width="19" style="56" customWidth="1"/>
    <col min="3" max="3" width="10.33203125" style="56" customWidth="1"/>
    <col min="4" max="4" width="2.83203125" style="56" customWidth="1"/>
    <col min="5" max="6" width="14.83203125" style="56" customWidth="1"/>
    <col min="7" max="7" width="14.83203125" style="56" hidden="1" customWidth="1" outlineLevel="1"/>
    <col min="8" max="8" width="2.83203125" style="56" customWidth="1" collapsed="1"/>
    <col min="9" max="10" width="15.83203125" style="56" customWidth="1"/>
    <col min="11" max="11" width="2.83203125" style="56" customWidth="1"/>
    <col min="12" max="17" width="15.83203125" style="56" customWidth="1"/>
    <col min="18" max="18" width="2.83203125" style="56" customWidth="1"/>
    <col min="19" max="19" width="17.1640625" style="56" customWidth="1"/>
    <col min="20" max="22" width="15.83203125" style="56" customWidth="1"/>
    <col min="23" max="23" width="2.83203125" style="56" customWidth="1"/>
    <col min="24"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8" width="15.83203125" style="56" customWidth="1"/>
    <col min="39" max="39" width="2.83203125" style="56" customWidth="1"/>
    <col min="40" max="40" width="15.6640625" style="56" hidden="1" customWidth="1"/>
    <col min="41" max="41" width="15.83203125" style="56" hidden="1" customWidth="1"/>
    <col min="42" max="42" width="2.83203125" style="56" customWidth="1"/>
    <col min="43" max="45" width="15.83203125" style="56" customWidth="1"/>
    <col min="46" max="46" width="2.83203125" style="56" customWidth="1"/>
    <col min="47" max="47" width="23.83203125" style="56" customWidth="1"/>
    <col min="48" max="48" width="15.33203125" style="56" customWidth="1"/>
    <col min="49" max="49" width="2.83203125" style="56" customWidth="1"/>
    <col min="50" max="50" width="9.33203125" style="55" customWidth="1"/>
    <col min="51" max="51" width="16.83203125" style="55" customWidth="1"/>
    <col min="52" max="52" width="18.5" style="55" customWidth="1"/>
    <col min="53" max="16384" width="9.33203125" style="55"/>
  </cols>
  <sheetData>
    <row r="1" spans="1:52" ht="15.75" thickBot="1" x14ac:dyDescent="0.3">
      <c r="A1" s="173" t="str">
        <f>+'WA Volumes &amp; Revenues'!A1</f>
        <v>NW Natural</v>
      </c>
    </row>
    <row r="2" spans="1:52" ht="15.75" thickBot="1" x14ac:dyDescent="0.3">
      <c r="A2" s="173" t="str">
        <f>+'WA Volumes &amp; Revenues'!A2</f>
        <v>Rates &amp; Regulatory Affairs</v>
      </c>
      <c r="E2" s="140"/>
      <c r="F2" s="140"/>
      <c r="G2" s="140"/>
      <c r="U2" s="265"/>
      <c r="X2" s="266" t="s">
        <v>114</v>
      </c>
      <c r="Y2" s="267" t="s">
        <v>115</v>
      </c>
      <c r="Z2" s="268" t="s">
        <v>99</v>
      </c>
      <c r="AB2" s="266" t="s">
        <v>114</v>
      </c>
      <c r="AC2" s="267" t="s">
        <v>115</v>
      </c>
      <c r="AD2" s="268" t="s">
        <v>99</v>
      </c>
      <c r="AF2" s="266" t="s">
        <v>114</v>
      </c>
      <c r="AG2" s="267" t="s">
        <v>115</v>
      </c>
      <c r="AH2" s="268" t="s">
        <v>99</v>
      </c>
      <c r="AJ2" s="266" t="s">
        <v>114</v>
      </c>
      <c r="AK2" s="267" t="s">
        <v>115</v>
      </c>
      <c r="AL2" s="268" t="s">
        <v>99</v>
      </c>
      <c r="AO2" s="145"/>
      <c r="AQ2" s="266" t="s">
        <v>114</v>
      </c>
      <c r="AR2" s="267" t="s">
        <v>115</v>
      </c>
      <c r="AS2" s="268" t="s">
        <v>99</v>
      </c>
      <c r="AU2" s="1583" t="s">
        <v>279</v>
      </c>
      <c r="AV2" s="1584"/>
    </row>
    <row r="3" spans="1:52" ht="15" x14ac:dyDescent="0.25">
      <c r="A3" s="173" t="str">
        <f>+'WA Volumes &amp; Revenues'!A3</f>
        <v>Test Year Ending September 30, 2020</v>
      </c>
      <c r="E3" s="140"/>
      <c r="F3" s="140"/>
      <c r="G3" s="140"/>
      <c r="U3" s="352"/>
      <c r="X3" s="269">
        <f>SUM(X14:X19)+X22+X28+X31+X37+X44+X51+X58+X65+X72+X79+X94+X93+X25+X34+X86+X95+X96</f>
        <v>37287357.418864518</v>
      </c>
      <c r="Y3" s="270">
        <f>SUM(Y14:Y19)+Y22+Y28+Y31+Y37+Y44+Y51+Y58+Y65+Y72+Y79+Y94+Y93+Y25+Y34+Y86+Y95+Y96</f>
        <v>10678018</v>
      </c>
      <c r="Z3" s="271">
        <f>SUM(Z14:Z19)+Z22+Z28+Z31+Z37+Z44+Z51+Z58+Z65+Z72+Z79+Z94+Z93+Z25+Z34+Z86+Z95+Z96</f>
        <v>141275.86116</v>
      </c>
      <c r="AB3" s="269">
        <f t="shared" ref="AB3:AD3" si="0">SUM(AB14:AB19)+AB22+AB28+AB31+AB37+AB44+AB51+AB58+AB65+AB72+AB79+AB94+AB93+AB25+AB34+AB86+AB95+AB96</f>
        <v>43542835.679936796</v>
      </c>
      <c r="AC3" s="270">
        <f t="shared" si="0"/>
        <v>10678018</v>
      </c>
      <c r="AD3" s="271">
        <f t="shared" si="0"/>
        <v>141275.86116</v>
      </c>
      <c r="AF3" s="269">
        <f t="shared" ref="AF3:AH3" si="1">SUM(AF14:AF19)+AF22+AF28+AF31+AF37+AF44+AF51+AF58+AF65+AF72+AF79+AF94+AF93+AF25+AF34+AF86+AF95+AF96</f>
        <v>-2353380.4620931265</v>
      </c>
      <c r="AG3" s="270">
        <f t="shared" si="1"/>
        <v>0</v>
      </c>
      <c r="AH3" s="271">
        <f t="shared" si="1"/>
        <v>0</v>
      </c>
      <c r="AJ3" s="269">
        <f t="shared" ref="AJ3:AL3" si="2">SUM(AJ14:AJ19)+AJ22+AJ28+AJ31+AJ37+AJ44+AJ51+AJ58+AJ65+AJ72+AJ79+AJ94+AJ93+AJ25+AJ34+AJ86+AJ95+AJ96</f>
        <v>3902097.7989791594</v>
      </c>
      <c r="AK3" s="270">
        <f t="shared" si="2"/>
        <v>0</v>
      </c>
      <c r="AL3" s="271">
        <f t="shared" si="2"/>
        <v>0</v>
      </c>
      <c r="AO3" s="270"/>
      <c r="AQ3" s="269">
        <f t="shared" ref="AQ3:AS3" si="3">SUM(AQ14:AQ19)+AQ22+AQ28+AQ31+AQ37+AQ44+AQ51+AQ58+AQ65+AQ72+AQ79+AQ94+AQ93+AQ25+AQ34+AQ86+AQ95+AQ96</f>
        <v>0</v>
      </c>
      <c r="AR3" s="270">
        <f t="shared" si="3"/>
        <v>0</v>
      </c>
      <c r="AS3" s="271">
        <f t="shared" si="3"/>
        <v>0</v>
      </c>
      <c r="AU3" s="56" t="s">
        <v>100</v>
      </c>
      <c r="AV3" s="272">
        <f>AJ3</f>
        <v>3902097.7989791594</v>
      </c>
      <c r="AY3" s="272">
        <f>'Rate Spread Proposal'!D23</f>
        <v>6718061.5678384118</v>
      </c>
      <c r="AZ3" s="55" t="s">
        <v>178</v>
      </c>
    </row>
    <row r="4" spans="1:52" ht="15" x14ac:dyDescent="0.25">
      <c r="A4" s="173" t="s">
        <v>644</v>
      </c>
      <c r="D4" s="140"/>
      <c r="E4" s="140"/>
      <c r="F4" s="140"/>
      <c r="G4" s="140"/>
      <c r="H4" s="140"/>
      <c r="I4" s="140"/>
      <c r="K4" s="140"/>
      <c r="L4" s="140"/>
      <c r="M4" s="140"/>
      <c r="R4" s="140"/>
      <c r="U4" s="352"/>
      <c r="W4" s="140"/>
      <c r="X4" s="273"/>
      <c r="Y4" s="55"/>
      <c r="Z4" s="274" t="s">
        <v>78</v>
      </c>
      <c r="AA4" s="140"/>
      <c r="AB4" s="273"/>
      <c r="AC4" s="55"/>
      <c r="AD4" s="274" t="s">
        <v>78</v>
      </c>
      <c r="AE4" s="140"/>
      <c r="AF4" s="273"/>
      <c r="AG4" s="55"/>
      <c r="AH4" s="274" t="s">
        <v>78</v>
      </c>
      <c r="AI4" s="140"/>
      <c r="AJ4" s="273"/>
      <c r="AK4" s="55"/>
      <c r="AL4" s="274" t="s">
        <v>78</v>
      </c>
      <c r="AM4" s="140"/>
      <c r="AN4" s="140"/>
      <c r="AO4" s="145"/>
      <c r="AP4" s="140"/>
      <c r="AQ4" s="273"/>
      <c r="AR4" s="55"/>
      <c r="AS4" s="274" t="s">
        <v>78</v>
      </c>
      <c r="AT4" s="140"/>
      <c r="AU4" s="56" t="s">
        <v>101</v>
      </c>
      <c r="AV4" s="272">
        <f>AK3</f>
        <v>0</v>
      </c>
      <c r="AY4" s="272">
        <f>'Allocation = % of Margin'!M10</f>
        <v>-1477729</v>
      </c>
      <c r="AZ4" s="299" t="s">
        <v>416</v>
      </c>
    </row>
    <row r="5" spans="1:52" ht="13.5" thickBot="1" x14ac:dyDescent="0.25">
      <c r="E5" s="140"/>
      <c r="F5" s="140"/>
      <c r="G5" s="140"/>
      <c r="X5" s="275"/>
      <c r="Y5" s="276"/>
      <c r="Z5" s="277">
        <f>SUM(X3:Z3)</f>
        <v>48106651.280024521</v>
      </c>
      <c r="AB5" s="275"/>
      <c r="AC5" s="276"/>
      <c r="AD5" s="277">
        <f>SUM(AB3:AD3)</f>
        <v>54362129.541096799</v>
      </c>
      <c r="AF5" s="275"/>
      <c r="AG5" s="276"/>
      <c r="AH5" s="277">
        <f>SUM(AF3:AH3)</f>
        <v>-2353380.4620931265</v>
      </c>
      <c r="AJ5" s="555"/>
      <c r="AK5" s="556"/>
      <c r="AL5" s="557">
        <f>SUM(AJ3:AL3)</f>
        <v>3902097.7989791594</v>
      </c>
      <c r="AO5" s="270"/>
      <c r="AQ5" s="275"/>
      <c r="AR5" s="276"/>
      <c r="AS5" s="277">
        <f>SUM(AQ3:AS3)</f>
        <v>0</v>
      </c>
      <c r="AU5" s="56" t="s">
        <v>102</v>
      </c>
      <c r="AV5" s="272">
        <f>AL3</f>
        <v>0</v>
      </c>
      <c r="AY5" s="272">
        <f>'Allocation = % of Margin'!P10</f>
        <v>-875740</v>
      </c>
      <c r="AZ5" s="55" t="s">
        <v>407</v>
      </c>
    </row>
    <row r="6" spans="1:52" ht="15.75" thickBot="1" x14ac:dyDescent="0.3">
      <c r="A6" s="132"/>
      <c r="E6" s="140"/>
      <c r="F6" s="140"/>
      <c r="G6" s="140"/>
      <c r="X6" s="55"/>
      <c r="Y6" s="55"/>
      <c r="Z6" s="270"/>
      <c r="AB6" s="55"/>
      <c r="AC6" s="55"/>
      <c r="AD6" s="270"/>
      <c r="AF6" s="55"/>
      <c r="AG6" s="55"/>
      <c r="AH6" s="270"/>
      <c r="AJ6" s="55"/>
      <c r="AK6" s="55"/>
      <c r="AL6" s="270"/>
      <c r="AO6" s="270"/>
      <c r="AQ6" s="55"/>
      <c r="AR6" s="55"/>
      <c r="AS6" s="270"/>
      <c r="AV6" s="272"/>
      <c r="AY6" s="272">
        <f>'Allocation = % of Margin'!S10</f>
        <v>-462252</v>
      </c>
      <c r="AZ6" s="55" t="s">
        <v>405</v>
      </c>
    </row>
    <row r="7" spans="1:52" ht="13.5" thickBot="1" x14ac:dyDescent="0.25">
      <c r="E7" s="140"/>
      <c r="F7" s="140"/>
      <c r="G7" s="140"/>
      <c r="I7" s="1585" t="s">
        <v>123</v>
      </c>
      <c r="J7" s="1586"/>
      <c r="L7" s="1585" t="s">
        <v>125</v>
      </c>
      <c r="M7" s="1587"/>
      <c r="N7" s="1587"/>
      <c r="O7" s="1587"/>
      <c r="P7" s="1587"/>
      <c r="Q7" s="1586"/>
      <c r="S7" s="1585" t="s">
        <v>124</v>
      </c>
      <c r="T7" s="1587"/>
      <c r="U7" s="1587"/>
      <c r="V7" s="1586"/>
      <c r="X7" s="844"/>
      <c r="AC7" s="842" t="str">
        <f>J9</f>
        <v>UG-20XXXX</v>
      </c>
      <c r="AD7" s="280"/>
      <c r="AG7" s="842" t="str">
        <f>F8</f>
        <v>UG-20XXXX</v>
      </c>
      <c r="AH7" s="280"/>
      <c r="AS7" s="280"/>
      <c r="AU7" s="56" t="s">
        <v>103</v>
      </c>
      <c r="AV7" s="281">
        <f>SUM(AV3:AV5)</f>
        <v>3902097.7989791594</v>
      </c>
      <c r="AY7" s="272"/>
    </row>
    <row r="8" spans="1:52" x14ac:dyDescent="0.2">
      <c r="A8" s="86">
        <v>1</v>
      </c>
      <c r="D8" s="142"/>
      <c r="E8" s="518" t="s">
        <v>557</v>
      </c>
      <c r="F8" s="518" t="str">
        <f>E8</f>
        <v>UG-20XXXX</v>
      </c>
      <c r="G8" s="518" t="str">
        <f>E8</f>
        <v>UG-20XXXX</v>
      </c>
      <c r="H8" s="142"/>
      <c r="I8" s="148"/>
      <c r="J8" s="297"/>
      <c r="K8" s="142"/>
      <c r="L8" s="329" t="s">
        <v>17</v>
      </c>
      <c r="M8" s="330" t="s">
        <v>20</v>
      </c>
      <c r="N8" s="330" t="s">
        <v>17</v>
      </c>
      <c r="O8" s="330" t="s">
        <v>20</v>
      </c>
      <c r="P8" s="330" t="s">
        <v>17</v>
      </c>
      <c r="Q8" s="331" t="s">
        <v>20</v>
      </c>
      <c r="R8" s="142"/>
      <c r="S8" s="141"/>
      <c r="T8" s="282"/>
      <c r="U8" s="282"/>
      <c r="V8" s="283"/>
      <c r="W8" s="142"/>
      <c r="X8" s="278"/>
      <c r="Y8" s="838" t="s">
        <v>126</v>
      </c>
      <c r="Z8" s="278"/>
      <c r="AA8" s="145"/>
      <c r="AB8" s="278"/>
      <c r="AC8" s="840" t="s">
        <v>413</v>
      </c>
      <c r="AD8" s="278"/>
      <c r="AE8" s="145"/>
      <c r="AF8" s="278"/>
      <c r="AG8" s="841" t="s">
        <v>414</v>
      </c>
      <c r="AH8" s="278"/>
      <c r="AI8" s="142"/>
      <c r="AK8" s="841" t="s">
        <v>385</v>
      </c>
      <c r="AM8" s="142"/>
      <c r="AN8" s="142"/>
      <c r="AP8" s="142"/>
      <c r="AQ8" s="278"/>
      <c r="AR8" s="841" t="s">
        <v>382</v>
      </c>
      <c r="AS8" s="278"/>
      <c r="AT8" s="145"/>
      <c r="AU8" s="56" t="s">
        <v>104</v>
      </c>
      <c r="AV8" s="272"/>
      <c r="AY8" s="272"/>
    </row>
    <row r="9" spans="1:52" ht="13.5" thickBot="1" x14ac:dyDescent="0.25">
      <c r="A9" s="86">
        <f>+A8+1</f>
        <v>2</v>
      </c>
      <c r="D9" s="143"/>
      <c r="E9" s="144" t="s">
        <v>189</v>
      </c>
      <c r="F9" s="144" t="s">
        <v>189</v>
      </c>
      <c r="G9" s="144" t="s">
        <v>382</v>
      </c>
      <c r="H9" s="143"/>
      <c r="I9" s="423" t="s">
        <v>118</v>
      </c>
      <c r="J9" s="1015" t="str">
        <f>E8</f>
        <v>UG-20XXXX</v>
      </c>
      <c r="K9" s="143"/>
      <c r="L9" s="332" t="str">
        <f>I9</f>
        <v>CURRENT</v>
      </c>
      <c r="M9" s="497" t="str">
        <f>E8</f>
        <v>UG-20XXXX</v>
      </c>
      <c r="N9" s="143" t="str">
        <f>L9</f>
        <v>CURRENT</v>
      </c>
      <c r="O9" s="497" t="str">
        <f>E8</f>
        <v>UG-20XXXX</v>
      </c>
      <c r="P9" s="143" t="str">
        <f>L9</f>
        <v>CURRENT</v>
      </c>
      <c r="Q9" s="1015" t="str">
        <f>E8</f>
        <v>UG-20XXXX</v>
      </c>
      <c r="R9" s="143"/>
      <c r="S9" s="1016" t="str">
        <f>J9</f>
        <v>UG-20XXXX</v>
      </c>
      <c r="T9" s="1017" t="str">
        <f>S9</f>
        <v>UG-20XXXX</v>
      </c>
      <c r="U9" s="1017" t="str">
        <f>T9</f>
        <v>UG-20XXXX</v>
      </c>
      <c r="V9" s="1018" t="str">
        <f>U9</f>
        <v>UG-20XXXX</v>
      </c>
      <c r="W9" s="143"/>
      <c r="X9" s="278"/>
      <c r="Y9" s="278"/>
      <c r="Z9" s="278"/>
      <c r="AA9" s="145"/>
      <c r="AB9" s="278"/>
      <c r="AC9" s="279"/>
      <c r="AD9" s="278"/>
      <c r="AE9" s="145"/>
      <c r="AF9" s="278"/>
      <c r="AG9" s="279"/>
      <c r="AH9" s="278"/>
      <c r="AI9" s="143"/>
      <c r="AJ9" s="278"/>
      <c r="AK9" s="278"/>
      <c r="AL9" s="278"/>
      <c r="AM9" s="143"/>
      <c r="AN9" s="143"/>
      <c r="AO9" s="278"/>
      <c r="AP9" s="143"/>
      <c r="AQ9" s="278"/>
      <c r="AR9" s="279"/>
      <c r="AS9" s="278"/>
      <c r="AT9" s="145"/>
      <c r="AU9" s="604" t="s">
        <v>253</v>
      </c>
      <c r="AV9" s="272">
        <f>AS5</f>
        <v>0</v>
      </c>
      <c r="AY9" s="272"/>
    </row>
    <row r="10" spans="1:52" ht="13.5" thickBot="1" x14ac:dyDescent="0.25">
      <c r="A10" s="86">
        <f t="shared" ref="A10:A73" si="4">+A9+1</f>
        <v>3</v>
      </c>
      <c r="D10" s="145"/>
      <c r="E10" s="59" t="s">
        <v>90</v>
      </c>
      <c r="F10" s="59" t="s">
        <v>190</v>
      </c>
      <c r="G10" s="1222" t="s">
        <v>375</v>
      </c>
      <c r="H10" s="145"/>
      <c r="I10" s="423" t="s">
        <v>105</v>
      </c>
      <c r="J10" s="424" t="s">
        <v>105</v>
      </c>
      <c r="K10" s="145"/>
      <c r="L10" s="289" t="s">
        <v>83</v>
      </c>
      <c r="M10" s="425" t="s">
        <v>83</v>
      </c>
      <c r="N10" s="145" t="s">
        <v>108</v>
      </c>
      <c r="O10" s="425" t="s">
        <v>108</v>
      </c>
      <c r="P10" s="145" t="s">
        <v>109</v>
      </c>
      <c r="Q10" s="424" t="s">
        <v>109</v>
      </c>
      <c r="R10" s="145"/>
      <c r="S10" s="284" t="s">
        <v>110</v>
      </c>
      <c r="T10" s="278" t="s">
        <v>110</v>
      </c>
      <c r="U10" s="278" t="s">
        <v>120</v>
      </c>
      <c r="V10" s="285" t="s">
        <v>70</v>
      </c>
      <c r="W10" s="145"/>
      <c r="X10" s="1580" t="s">
        <v>116</v>
      </c>
      <c r="Y10" s="1581"/>
      <c r="Z10" s="1582"/>
      <c r="AA10" s="143"/>
      <c r="AB10" s="1580" t="s">
        <v>524</v>
      </c>
      <c r="AC10" s="1581"/>
      <c r="AD10" s="1582"/>
      <c r="AE10" s="143"/>
      <c r="AF10" s="1580" t="s">
        <v>191</v>
      </c>
      <c r="AG10" s="1581"/>
      <c r="AH10" s="1582"/>
      <c r="AI10" s="145"/>
      <c r="AJ10" s="1580" t="s">
        <v>525</v>
      </c>
      <c r="AK10" s="1581"/>
      <c r="AL10" s="1582"/>
      <c r="AM10" s="145"/>
      <c r="AN10" s="58" t="s">
        <v>136</v>
      </c>
      <c r="AO10" s="58" t="s">
        <v>114</v>
      </c>
      <c r="AP10" s="145"/>
      <c r="AQ10" s="1580" t="s">
        <v>117</v>
      </c>
      <c r="AR10" s="1581"/>
      <c r="AS10" s="1582"/>
      <c r="AT10" s="143"/>
      <c r="AU10" s="60" t="s">
        <v>91</v>
      </c>
      <c r="AV10" s="281">
        <f>AV7+AV9</f>
        <v>3902097.7989791594</v>
      </c>
      <c r="AY10" s="272"/>
    </row>
    <row r="11" spans="1:52" s="57" customFormat="1" ht="15.75" thickBot="1" x14ac:dyDescent="0.4">
      <c r="A11" s="86">
        <f t="shared" si="4"/>
        <v>4</v>
      </c>
      <c r="B11" s="147"/>
      <c r="C11" s="147"/>
      <c r="D11" s="145"/>
      <c r="E11" s="172" t="s">
        <v>98</v>
      </c>
      <c r="F11" s="172" t="s">
        <v>98</v>
      </c>
      <c r="G11" s="1223"/>
      <c r="H11" s="145"/>
      <c r="I11" s="426" t="s">
        <v>106</v>
      </c>
      <c r="J11" s="427" t="s">
        <v>106</v>
      </c>
      <c r="K11" s="145"/>
      <c r="L11" s="333" t="s">
        <v>71</v>
      </c>
      <c r="M11" s="428" t="s">
        <v>71</v>
      </c>
      <c r="N11" s="334" t="s">
        <v>71</v>
      </c>
      <c r="O11" s="428" t="s">
        <v>71</v>
      </c>
      <c r="P11" s="334" t="s">
        <v>71</v>
      </c>
      <c r="Q11" s="427" t="s">
        <v>71</v>
      </c>
      <c r="R11" s="145"/>
      <c r="S11" s="286" t="s">
        <v>111</v>
      </c>
      <c r="T11" s="287" t="s">
        <v>113</v>
      </c>
      <c r="U11" s="287" t="s">
        <v>75</v>
      </c>
      <c r="V11" s="288" t="s">
        <v>112</v>
      </c>
      <c r="W11" s="145"/>
      <c r="X11" s="289" t="s">
        <v>114</v>
      </c>
      <c r="Y11" s="145" t="s">
        <v>115</v>
      </c>
      <c r="Z11" s="274" t="s">
        <v>99</v>
      </c>
      <c r="AA11" s="58"/>
      <c r="AB11" s="289" t="s">
        <v>114</v>
      </c>
      <c r="AC11" s="145" t="s">
        <v>115</v>
      </c>
      <c r="AD11" s="274" t="s">
        <v>99</v>
      </c>
      <c r="AE11" s="58"/>
      <c r="AF11" s="289" t="s">
        <v>114</v>
      </c>
      <c r="AG11" s="145" t="s">
        <v>115</v>
      </c>
      <c r="AH11" s="274" t="s">
        <v>99</v>
      </c>
      <c r="AI11" s="145"/>
      <c r="AJ11" s="289" t="s">
        <v>114</v>
      </c>
      <c r="AK11" s="145" t="s">
        <v>115</v>
      </c>
      <c r="AL11" s="274" t="s">
        <v>99</v>
      </c>
      <c r="AM11" s="145"/>
      <c r="AN11" s="58" t="s">
        <v>27</v>
      </c>
      <c r="AO11" s="58" t="s">
        <v>27</v>
      </c>
      <c r="AP11" s="145"/>
      <c r="AQ11" s="289" t="s">
        <v>114</v>
      </c>
      <c r="AR11" s="145" t="s">
        <v>115</v>
      </c>
      <c r="AS11" s="274" t="s">
        <v>99</v>
      </c>
      <c r="AT11" s="58"/>
      <c r="AU11" s="278"/>
      <c r="AV11" s="278"/>
      <c r="AW11" s="145"/>
      <c r="AY11" s="948"/>
      <c r="AZ11" s="843"/>
    </row>
    <row r="12" spans="1:52" s="57" customFormat="1" x14ac:dyDescent="0.2">
      <c r="A12" s="86">
        <f t="shared" si="4"/>
        <v>5</v>
      </c>
      <c r="B12" s="56"/>
      <c r="C12" s="56"/>
      <c r="D12" s="58"/>
      <c r="E12" s="150"/>
      <c r="F12" s="150"/>
      <c r="G12" s="150"/>
      <c r="H12" s="58"/>
      <c r="I12" s="151"/>
      <c r="J12" s="149"/>
      <c r="K12" s="58"/>
      <c r="L12" s="335"/>
      <c r="M12" s="336"/>
      <c r="N12" s="336"/>
      <c r="O12" s="336"/>
      <c r="P12" s="336"/>
      <c r="Q12" s="337"/>
      <c r="R12" s="58"/>
      <c r="S12" s="290"/>
      <c r="T12" s="146"/>
      <c r="U12" s="146"/>
      <c r="V12" s="291"/>
      <c r="W12" s="58"/>
      <c r="X12" s="151"/>
      <c r="Z12" s="149"/>
      <c r="AB12" s="151"/>
      <c r="AD12" s="149"/>
      <c r="AF12" s="151"/>
      <c r="AH12" s="149"/>
      <c r="AI12" s="58"/>
      <c r="AJ12" s="151"/>
      <c r="AL12" s="149"/>
      <c r="AM12" s="58"/>
      <c r="AN12" s="58" t="s">
        <v>128</v>
      </c>
      <c r="AO12" s="58" t="s">
        <v>128</v>
      </c>
      <c r="AP12" s="58"/>
      <c r="AQ12" s="151"/>
      <c r="AS12" s="149"/>
      <c r="AU12" s="145"/>
      <c r="AV12" s="292">
        <f>AY12</f>
        <v>3902340.5678384118</v>
      </c>
      <c r="AW12" s="293" t="s">
        <v>157</v>
      </c>
      <c r="AY12" s="272">
        <f>SUM(AY3:AY11)</f>
        <v>3902340.5678384118</v>
      </c>
      <c r="AZ12" s="55"/>
    </row>
    <row r="13" spans="1:52" s="57" customFormat="1" ht="13.5" thickBot="1" x14ac:dyDescent="0.25">
      <c r="A13" s="86">
        <f t="shared" si="4"/>
        <v>6</v>
      </c>
      <c r="B13" s="771" t="s">
        <v>2</v>
      </c>
      <c r="C13" s="771" t="s">
        <v>3</v>
      </c>
      <c r="D13" s="294"/>
      <c r="E13" s="294" t="s">
        <v>35</v>
      </c>
      <c r="F13" s="294" t="s">
        <v>36</v>
      </c>
      <c r="G13" s="294" t="s">
        <v>36</v>
      </c>
      <c r="H13" s="294"/>
      <c r="I13" s="295" t="s">
        <v>13</v>
      </c>
      <c r="J13" s="296" t="s">
        <v>37</v>
      </c>
      <c r="K13" s="294"/>
      <c r="L13" s="295" t="s">
        <v>38</v>
      </c>
      <c r="M13" s="294" t="s">
        <v>39</v>
      </c>
      <c r="N13" s="294" t="s">
        <v>40</v>
      </c>
      <c r="O13" s="294" t="s">
        <v>41</v>
      </c>
      <c r="P13" s="294" t="s">
        <v>42</v>
      </c>
      <c r="Q13" s="296" t="s">
        <v>129</v>
      </c>
      <c r="R13" s="294"/>
      <c r="S13" s="295" t="s">
        <v>130</v>
      </c>
      <c r="T13" s="294" t="s">
        <v>43</v>
      </c>
      <c r="U13" s="294" t="s">
        <v>131</v>
      </c>
      <c r="V13" s="296" t="s">
        <v>132</v>
      </c>
      <c r="W13" s="58"/>
      <c r="X13" s="148" t="s">
        <v>133</v>
      </c>
      <c r="Y13" s="58" t="s">
        <v>134</v>
      </c>
      <c r="Z13" s="297" t="s">
        <v>135</v>
      </c>
      <c r="AA13" s="58"/>
      <c r="AB13" s="148" t="s">
        <v>89</v>
      </c>
      <c r="AC13" s="58" t="s">
        <v>92</v>
      </c>
      <c r="AD13" s="297" t="s">
        <v>93</v>
      </c>
      <c r="AE13" s="58"/>
      <c r="AF13" s="148" t="s">
        <v>94</v>
      </c>
      <c r="AG13" s="58" t="s">
        <v>186</v>
      </c>
      <c r="AH13" s="297" t="s">
        <v>232</v>
      </c>
      <c r="AI13" s="58"/>
      <c r="AJ13" s="148" t="s">
        <v>227</v>
      </c>
      <c r="AK13" s="58" t="s">
        <v>233</v>
      </c>
      <c r="AL13" s="297" t="s">
        <v>234</v>
      </c>
      <c r="AM13" s="58"/>
      <c r="AN13" s="58" t="s">
        <v>127</v>
      </c>
      <c r="AO13" s="58" t="s">
        <v>127</v>
      </c>
      <c r="AP13" s="58"/>
      <c r="AQ13" s="148" t="s">
        <v>94</v>
      </c>
      <c r="AR13" s="58" t="s">
        <v>186</v>
      </c>
      <c r="AS13" s="297" t="s">
        <v>232</v>
      </c>
      <c r="AT13" s="58"/>
      <c r="AV13" s="931">
        <f>AV12-AV10</f>
        <v>242.76885925233364</v>
      </c>
      <c r="AW13" s="293" t="s">
        <v>168</v>
      </c>
      <c r="AY13" s="651">
        <f>SUM(AY3,AY4,AY5,AY6)</f>
        <v>3902340.5678384118</v>
      </c>
      <c r="AZ13" s="610" t="s">
        <v>267</v>
      </c>
    </row>
    <row r="14" spans="1:52" ht="12.95" customHeight="1" x14ac:dyDescent="0.2">
      <c r="A14" s="86">
        <f t="shared" si="4"/>
        <v>7</v>
      </c>
      <c r="B14" s="723" t="str">
        <f>'WA Volumes &amp; Revenues'!B15</f>
        <v>1R</v>
      </c>
      <c r="C14" s="723" t="s">
        <v>283</v>
      </c>
      <c r="D14" s="154"/>
      <c r="E14" s="123">
        <f>'Rates in Detail'!R13-'Rates in Detail'!N13</f>
        <v>0.12314999999999998</v>
      </c>
      <c r="F14" s="123">
        <f>'Rates in Detail'!V13</f>
        <v>-4.8430000000000001E-2</v>
      </c>
      <c r="G14" s="153"/>
      <c r="H14" s="154"/>
      <c r="I14" s="368">
        <f>'Rev Req Proof Yr1'!H14</f>
        <v>0.67652999999999996</v>
      </c>
      <c r="J14" s="773">
        <f>I14+E14</f>
        <v>0.79967999999999995</v>
      </c>
      <c r="K14" s="154"/>
      <c r="L14" s="155">
        <f>'Rev Req Proof Yr1'!K14</f>
        <v>5.5</v>
      </c>
      <c r="M14" s="156">
        <f>'Rev Req Proof Yr1'!L14</f>
        <v>5.5</v>
      </c>
      <c r="N14" s="122">
        <f>'Rev Req Proof Yr1'!M14</f>
        <v>0</v>
      </c>
      <c r="O14" s="122">
        <f>'Rev Req Proof Yr1'!N14</f>
        <v>0</v>
      </c>
      <c r="P14" s="122">
        <f>'Rev Req Proof Yr1'!O14</f>
        <v>0</v>
      </c>
      <c r="Q14" s="774">
        <f>'Rev Req Proof Yr1'!P14</f>
        <v>0</v>
      </c>
      <c r="R14" s="154"/>
      <c r="S14" s="298">
        <f>'Rev Req Proof Yr1'!R14</f>
        <v>214704.20066131229</v>
      </c>
      <c r="T14" s="299"/>
      <c r="U14" s="300">
        <f>'Rev Req Proof Yr1'!T14</f>
        <v>911</v>
      </c>
      <c r="V14" s="301">
        <f>'Rev Req Proof Yr1'!U14</f>
        <v>19.639970000000002</v>
      </c>
      <c r="W14" s="154"/>
      <c r="X14" s="302">
        <f>(I14*S14)</f>
        <v>145253.83287339759</v>
      </c>
      <c r="Y14" s="303">
        <f>(L14*U14*12)</f>
        <v>60126</v>
      </c>
      <c r="Z14" s="304">
        <f t="shared" ref="Z14" si="5">(T14*(N14+P14))*12</f>
        <v>0</v>
      </c>
      <c r="AA14" s="305"/>
      <c r="AB14" s="302">
        <f>(J14*S14)</f>
        <v>171694.65518483819</v>
      </c>
      <c r="AC14" s="303">
        <f>(M14*U14*12)</f>
        <v>60126</v>
      </c>
      <c r="AD14" s="304">
        <f t="shared" ref="AD14:AD15" si="6">(T14*(O14+Q14))*12</f>
        <v>0</v>
      </c>
      <c r="AE14" s="305"/>
      <c r="AF14" s="302">
        <f>(F14*S14)</f>
        <v>-10398.124438027355</v>
      </c>
      <c r="AG14" s="303">
        <v>0</v>
      </c>
      <c r="AH14" s="304">
        <v>0</v>
      </c>
      <c r="AI14" s="305"/>
      <c r="AJ14" s="302">
        <f t="shared" ref="AJ14" si="7">AB14-X14+AF14</f>
        <v>16042.697873413244</v>
      </c>
      <c r="AK14" s="303">
        <f t="shared" ref="AK14" si="8">AC14-Y14-AG14</f>
        <v>0</v>
      </c>
      <c r="AL14" s="304">
        <f t="shared" ref="AL14" si="9">AD14-Z14-AH14</f>
        <v>0</v>
      </c>
      <c r="AM14" s="305"/>
      <c r="AN14" s="338"/>
      <c r="AO14" s="339"/>
      <c r="AP14" s="305"/>
      <c r="AQ14" s="302">
        <f t="shared" ref="AQ14:AQ15" si="10">(G14*S14)</f>
        <v>0</v>
      </c>
      <c r="AR14" s="303">
        <v>0</v>
      </c>
      <c r="AS14" s="304">
        <v>0</v>
      </c>
      <c r="AT14" s="305"/>
      <c r="AU14" s="1589"/>
      <c r="AV14" s="1589"/>
      <c r="AW14" s="1589"/>
      <c r="AY14" s="652"/>
      <c r="AZ14" s="139"/>
    </row>
    <row r="15" spans="1:52" x14ac:dyDescent="0.2">
      <c r="A15" s="86">
        <f t="shared" si="4"/>
        <v>8</v>
      </c>
      <c r="B15" s="723" t="str">
        <f>'WA Volumes &amp; Revenues'!B16</f>
        <v>1C</v>
      </c>
      <c r="C15" s="723" t="s">
        <v>283</v>
      </c>
      <c r="D15" s="157"/>
      <c r="E15" s="123">
        <f>'Rates in Detail'!R14-'Rates in Detail'!N14</f>
        <v>0.10241</v>
      </c>
      <c r="F15" s="123">
        <f>'Rates in Detail'!V14</f>
        <v>-4.027E-2</v>
      </c>
      <c r="G15" s="153"/>
      <c r="H15" s="157"/>
      <c r="I15" s="368">
        <f>'Rev Req Proof Yr1'!H15</f>
        <v>0.73148999999999997</v>
      </c>
      <c r="J15" s="773">
        <f t="shared" ref="J15:J78" si="11">I15+E15</f>
        <v>0.83389999999999997</v>
      </c>
      <c r="K15" s="157"/>
      <c r="L15" s="155">
        <f>'Rev Req Proof Yr1'!K15</f>
        <v>7</v>
      </c>
      <c r="M15" s="156">
        <f>'Rev Req Proof Yr1'!L15</f>
        <v>7</v>
      </c>
      <c r="N15" s="122">
        <f>'Rev Req Proof Yr1'!M15</f>
        <v>0</v>
      </c>
      <c r="O15" s="122">
        <f>'Rev Req Proof Yr1'!N15</f>
        <v>0</v>
      </c>
      <c r="P15" s="122">
        <f>'Rev Req Proof Yr1'!O15</f>
        <v>0</v>
      </c>
      <c r="Q15" s="774">
        <f>'Rev Req Proof Yr1'!P15</f>
        <v>0</v>
      </c>
      <c r="R15" s="157"/>
      <c r="S15" s="298">
        <f>'Rev Req Proof Yr1'!R15</f>
        <v>46539.057144390383</v>
      </c>
      <c r="T15" s="299"/>
      <c r="U15" s="300">
        <f>'Rev Req Proof Yr1'!T15</f>
        <v>34</v>
      </c>
      <c r="V15" s="301">
        <f>'Rev Req Proof Yr1'!U15</f>
        <v>114.06632</v>
      </c>
      <c r="W15" s="157"/>
      <c r="X15" s="306">
        <f t="shared" ref="X15:X21" si="12">(I15*S15)</f>
        <v>34042.854910550122</v>
      </c>
      <c r="Y15" s="307">
        <f t="shared" ref="Y15:Y21" si="13">(L15*U15*12)</f>
        <v>2856</v>
      </c>
      <c r="Z15" s="308">
        <f t="shared" ref="Z15:Z21" si="14">(T15*(N15+P15))*12</f>
        <v>0</v>
      </c>
      <c r="AA15" s="309"/>
      <c r="AB15" s="306">
        <f t="shared" ref="AB15" si="15">(J15*S15)</f>
        <v>38808.919752707137</v>
      </c>
      <c r="AC15" s="307">
        <f t="shared" ref="AC15" si="16">(M15*U15*12)</f>
        <v>2856</v>
      </c>
      <c r="AD15" s="308">
        <f t="shared" si="6"/>
        <v>0</v>
      </c>
      <c r="AE15" s="309"/>
      <c r="AF15" s="306">
        <f t="shared" ref="AF15" si="17">(F15*S15)</f>
        <v>-1874.1278312046006</v>
      </c>
      <c r="AG15" s="307">
        <v>0</v>
      </c>
      <c r="AH15" s="308">
        <v>0</v>
      </c>
      <c r="AI15" s="309"/>
      <c r="AJ15" s="306">
        <f t="shared" ref="AJ15:AJ21" si="18">AB15-X15+AF15</f>
        <v>2891.9370109524143</v>
      </c>
      <c r="AK15" s="307">
        <f t="shared" ref="AK15:AK21" si="19">AC15-Y15-AG15</f>
        <v>0</v>
      </c>
      <c r="AL15" s="308">
        <f t="shared" ref="AL15:AL21" si="20">AD15-Z15-AH15</f>
        <v>0</v>
      </c>
      <c r="AM15" s="309"/>
      <c r="AN15" s="338"/>
      <c r="AO15" s="339"/>
      <c r="AP15" s="309"/>
      <c r="AQ15" s="306">
        <f t="shared" si="10"/>
        <v>0</v>
      </c>
      <c r="AR15" s="307">
        <v>0</v>
      </c>
      <c r="AS15" s="308">
        <v>0</v>
      </c>
      <c r="AT15" s="309"/>
      <c r="AU15" s="310"/>
      <c r="AV15" s="310"/>
      <c r="AW15" s="309"/>
    </row>
    <row r="16" spans="1:52" x14ac:dyDescent="0.2">
      <c r="A16" s="86">
        <f t="shared" si="4"/>
        <v>9</v>
      </c>
      <c r="B16" s="723" t="str">
        <f>'WA Volumes &amp; Revenues'!B17</f>
        <v>2R</v>
      </c>
      <c r="C16" s="723" t="s">
        <v>283</v>
      </c>
      <c r="D16" s="157"/>
      <c r="E16" s="123">
        <f>'Rates in Detail'!R15-'Rates in Detail'!N15</f>
        <v>7.7940000000000009E-2</v>
      </c>
      <c r="F16" s="123">
        <f>'Rates in Detail'!V15</f>
        <v>-3.065E-2</v>
      </c>
      <c r="G16" s="159"/>
      <c r="H16" s="157"/>
      <c r="I16" s="368">
        <f>'Rev Req Proof Yr1'!H16</f>
        <v>0.45816000000000001</v>
      </c>
      <c r="J16" s="773">
        <f t="shared" si="11"/>
        <v>0.53610000000000002</v>
      </c>
      <c r="K16" s="157"/>
      <c r="L16" s="155">
        <f>'Rev Req Proof Yr1'!K16</f>
        <v>8</v>
      </c>
      <c r="M16" s="156">
        <f>'Rev Req Proof Yr1'!L16</f>
        <v>8</v>
      </c>
      <c r="N16" s="122">
        <f>'Rev Req Proof Yr1'!M16</f>
        <v>0</v>
      </c>
      <c r="O16" s="122">
        <f>'Rev Req Proof Yr1'!N16</f>
        <v>0</v>
      </c>
      <c r="P16" s="122">
        <f>'Rev Req Proof Yr1'!O16</f>
        <v>0</v>
      </c>
      <c r="Q16" s="774">
        <f>'Rev Req Proof Yr1'!P16</f>
        <v>0</v>
      </c>
      <c r="R16" s="157"/>
      <c r="S16" s="298">
        <f>'Rev Req Proof Yr1'!R16</f>
        <v>54953515.785084128</v>
      </c>
      <c r="T16" s="299"/>
      <c r="U16" s="300">
        <f>'Rev Req Proof Yr1'!T16</f>
        <v>81119</v>
      </c>
      <c r="V16" s="301">
        <f>'Rev Req Proof Yr1'!U16</f>
        <v>56.453600000000002</v>
      </c>
      <c r="W16" s="157"/>
      <c r="X16" s="306">
        <f>(I16*S16)</f>
        <v>25177502.792094145</v>
      </c>
      <c r="Y16" s="307">
        <f t="shared" si="13"/>
        <v>7787424</v>
      </c>
      <c r="Z16" s="308">
        <f t="shared" si="14"/>
        <v>0</v>
      </c>
      <c r="AA16" s="309"/>
      <c r="AB16" s="306">
        <f>(J16*S16)</f>
        <v>29460579.812383603</v>
      </c>
      <c r="AC16" s="307">
        <f t="shared" ref="AC16" si="21">(M16*U16*12)</f>
        <v>7787424</v>
      </c>
      <c r="AD16" s="308">
        <f t="shared" ref="AD16" si="22">(T16*(O16+Q16))*12</f>
        <v>0</v>
      </c>
      <c r="AE16" s="309"/>
      <c r="AF16" s="306">
        <f>(F16*S16)</f>
        <v>-1684325.2588128285</v>
      </c>
      <c r="AG16" s="307">
        <v>0</v>
      </c>
      <c r="AH16" s="308">
        <v>0</v>
      </c>
      <c r="AI16" s="309"/>
      <c r="AJ16" s="306">
        <f>AB16-X16+AF16</f>
        <v>2598751.7614766299</v>
      </c>
      <c r="AK16" s="307">
        <f t="shared" si="19"/>
        <v>0</v>
      </c>
      <c r="AL16" s="308">
        <f t="shared" si="20"/>
        <v>0</v>
      </c>
      <c r="AM16" s="309"/>
      <c r="AN16" s="338">
        <f>SUM(AJ16:AL16)/SUM(X16:Z16)</f>
        <v>7.8833839913149115E-2</v>
      </c>
      <c r="AO16" s="339">
        <f t="shared" ref="AO16:AO41" si="23">SUM(AJ16)/SUM(X16)</f>
        <v>0.10321721669285844</v>
      </c>
      <c r="AP16" s="309"/>
      <c r="AQ16" s="306">
        <f t="shared" ref="AQ16:AQ21" si="24">(G16*S16)</f>
        <v>0</v>
      </c>
      <c r="AR16" s="307">
        <v>0</v>
      </c>
      <c r="AS16" s="308">
        <v>0</v>
      </c>
      <c r="AT16" s="309"/>
      <c r="AU16" s="310"/>
      <c r="AV16" s="605"/>
      <c r="AW16" s="309"/>
    </row>
    <row r="17" spans="1:52" x14ac:dyDescent="0.2">
      <c r="A17" s="86">
        <f t="shared" si="4"/>
        <v>10</v>
      </c>
      <c r="B17" s="723" t="str">
        <f>'WA Volumes &amp; Revenues'!B18</f>
        <v>3 CFS</v>
      </c>
      <c r="C17" s="723" t="s">
        <v>283</v>
      </c>
      <c r="D17" s="157"/>
      <c r="E17" s="123">
        <f>'Rates in Detail'!R16-'Rates in Detail'!N16</f>
        <v>6.9979999999999931E-2</v>
      </c>
      <c r="F17" s="123">
        <f>'Rates in Detail'!V16</f>
        <v>-2.7529999999999999E-2</v>
      </c>
      <c r="G17" s="159"/>
      <c r="H17" s="157"/>
      <c r="I17" s="368">
        <f>'Rev Req Proof Yr1'!H17</f>
        <v>0.44368000000000002</v>
      </c>
      <c r="J17" s="773">
        <f t="shared" si="11"/>
        <v>0.51366000000000001</v>
      </c>
      <c r="K17" s="157"/>
      <c r="L17" s="155">
        <f>'Rev Req Proof Yr1'!K17</f>
        <v>22</v>
      </c>
      <c r="M17" s="156">
        <f>'Rev Req Proof Yr1'!L17</f>
        <v>22</v>
      </c>
      <c r="N17" s="122">
        <f>'Rev Req Proof Yr1'!M17</f>
        <v>0</v>
      </c>
      <c r="O17" s="122">
        <f>'Rev Req Proof Yr1'!N17</f>
        <v>0</v>
      </c>
      <c r="P17" s="122">
        <f>'Rev Req Proof Yr1'!O17</f>
        <v>0</v>
      </c>
      <c r="Q17" s="774">
        <f>'Rev Req Proof Yr1'!P17</f>
        <v>0</v>
      </c>
      <c r="R17" s="157"/>
      <c r="S17" s="298">
        <f>'Rev Req Proof Yr1'!R17</f>
        <v>17867210.60654201</v>
      </c>
      <c r="T17" s="299"/>
      <c r="U17" s="300">
        <f>'Rev Req Proof Yr1'!T17</f>
        <v>6318</v>
      </c>
      <c r="V17" s="301">
        <f>'Rev Req Proof Yr1'!U17</f>
        <v>235.66542999999999</v>
      </c>
      <c r="W17" s="157"/>
      <c r="X17" s="306">
        <f t="shared" si="12"/>
        <v>7927324.0019105589</v>
      </c>
      <c r="Y17" s="307">
        <f t="shared" si="13"/>
        <v>1667952</v>
      </c>
      <c r="Z17" s="308">
        <f t="shared" si="14"/>
        <v>0</v>
      </c>
      <c r="AA17" s="309"/>
      <c r="AB17" s="306">
        <f t="shared" ref="AB17:AB21" si="25">(J17*S17)</f>
        <v>9177671.4001563694</v>
      </c>
      <c r="AC17" s="307">
        <f>(M17*U17*12)</f>
        <v>1667952</v>
      </c>
      <c r="AD17" s="308">
        <f t="shared" ref="AD17:AD21" si="26">(T17*(O17+Q17))*12</f>
        <v>0</v>
      </c>
      <c r="AE17" s="309"/>
      <c r="AF17" s="306">
        <f t="shared" ref="AF17:AF21" si="27">(F17*S17)</f>
        <v>-491884.30799810152</v>
      </c>
      <c r="AG17" s="307">
        <v>0</v>
      </c>
      <c r="AH17" s="308">
        <v>0</v>
      </c>
      <c r="AI17" s="309"/>
      <c r="AJ17" s="306">
        <f t="shared" si="18"/>
        <v>758463.09024770907</v>
      </c>
      <c r="AK17" s="307">
        <f t="shared" si="19"/>
        <v>0</v>
      </c>
      <c r="AL17" s="308">
        <f t="shared" si="20"/>
        <v>0</v>
      </c>
      <c r="AM17" s="309"/>
      <c r="AN17" s="338">
        <f>SUM(AJ17:AL17)/SUM(X17:Z17)</f>
        <v>7.9045468842864758E-2</v>
      </c>
      <c r="AO17" s="339">
        <f t="shared" si="23"/>
        <v>9.5677064551027868E-2</v>
      </c>
      <c r="AP17" s="309"/>
      <c r="AQ17" s="306">
        <f t="shared" si="24"/>
        <v>0</v>
      </c>
      <c r="AR17" s="307">
        <v>0</v>
      </c>
      <c r="AS17" s="308">
        <v>0</v>
      </c>
      <c r="AT17" s="309"/>
      <c r="AU17" s="310"/>
      <c r="AV17" s="310"/>
      <c r="AW17" s="309"/>
      <c r="AX17" s="653"/>
      <c r="AY17" s="474"/>
    </row>
    <row r="18" spans="1:52" x14ac:dyDescent="0.2">
      <c r="A18" s="86">
        <f t="shared" si="4"/>
        <v>11</v>
      </c>
      <c r="B18" s="723" t="str">
        <f>'WA Volumes &amp; Revenues'!B19</f>
        <v>3 IFS</v>
      </c>
      <c r="C18" s="723" t="s">
        <v>283</v>
      </c>
      <c r="D18" s="157"/>
      <c r="E18" s="123">
        <f>'Rates in Detail'!R17-'Rates in Detail'!N17</f>
        <v>6.3390000000000002E-2</v>
      </c>
      <c r="F18" s="123">
        <f>'Rates in Detail'!V17</f>
        <v>-8.8699999999999994E-3</v>
      </c>
      <c r="G18" s="159"/>
      <c r="H18" s="157"/>
      <c r="I18" s="368">
        <f>'Rev Req Proof Yr1'!H18</f>
        <v>0.46249000000000001</v>
      </c>
      <c r="J18" s="773">
        <f t="shared" si="11"/>
        <v>0.52588000000000001</v>
      </c>
      <c r="K18" s="157"/>
      <c r="L18" s="155">
        <f>'Rev Req Proof Yr1'!K18</f>
        <v>22</v>
      </c>
      <c r="M18" s="156">
        <f>'Rev Req Proof Yr1'!L18</f>
        <v>22</v>
      </c>
      <c r="N18" s="122">
        <f>'Rev Req Proof Yr1'!M18</f>
        <v>0</v>
      </c>
      <c r="O18" s="122">
        <f>'Rev Req Proof Yr1'!N18</f>
        <v>0</v>
      </c>
      <c r="P18" s="122">
        <f>'Rev Req Proof Yr1'!O18</f>
        <v>0</v>
      </c>
      <c r="Q18" s="774">
        <f>'Rev Req Proof Yr1'!P18</f>
        <v>0</v>
      </c>
      <c r="R18" s="157"/>
      <c r="S18" s="298">
        <f>'Rev Req Proof Yr1'!R18</f>
        <v>283651.99999999994</v>
      </c>
      <c r="T18" s="299"/>
      <c r="U18" s="300">
        <f>'Rev Req Proof Yr1'!T18</f>
        <v>24.25</v>
      </c>
      <c r="V18" s="301">
        <f>'Rev Req Proof Yr1'!U18</f>
        <v>974.74914000000001</v>
      </c>
      <c r="W18" s="157"/>
      <c r="X18" s="306">
        <f t="shared" si="12"/>
        <v>131186.21347999998</v>
      </c>
      <c r="Y18" s="307">
        <f t="shared" si="13"/>
        <v>6402</v>
      </c>
      <c r="Z18" s="308">
        <f t="shared" si="14"/>
        <v>0</v>
      </c>
      <c r="AA18" s="309"/>
      <c r="AB18" s="306">
        <f t="shared" si="25"/>
        <v>149166.91375999997</v>
      </c>
      <c r="AC18" s="307">
        <f t="shared" ref="AC18:AC21" si="28">(M18*U18*12)</f>
        <v>6402</v>
      </c>
      <c r="AD18" s="308">
        <f t="shared" si="26"/>
        <v>0</v>
      </c>
      <c r="AE18" s="309"/>
      <c r="AF18" s="306">
        <f t="shared" si="27"/>
        <v>-2515.9932399999993</v>
      </c>
      <c r="AG18" s="307">
        <v>0</v>
      </c>
      <c r="AH18" s="308">
        <v>0</v>
      </c>
      <c r="AI18" s="309"/>
      <c r="AJ18" s="306">
        <f t="shared" si="18"/>
        <v>15464.70703999999</v>
      </c>
      <c r="AK18" s="307">
        <f t="shared" si="19"/>
        <v>0</v>
      </c>
      <c r="AL18" s="308">
        <f t="shared" si="20"/>
        <v>0</v>
      </c>
      <c r="AM18" s="309"/>
      <c r="AN18" s="338">
        <f>SUM(AJ18:AL18)/SUM(X18:Z18)</f>
        <v>0.11239848711494435</v>
      </c>
      <c r="AO18" s="339">
        <f t="shared" si="23"/>
        <v>0.11788362991632247</v>
      </c>
      <c r="AP18" s="309"/>
      <c r="AQ18" s="306">
        <f t="shared" si="24"/>
        <v>0</v>
      </c>
      <c r="AR18" s="307">
        <v>0</v>
      </c>
      <c r="AS18" s="308">
        <v>0</v>
      </c>
      <c r="AT18" s="309"/>
      <c r="AU18" s="310"/>
      <c r="AV18" s="310"/>
      <c r="AW18" s="309"/>
      <c r="AX18" s="653"/>
      <c r="AY18" s="474"/>
      <c r="AZ18" s="270"/>
    </row>
    <row r="19" spans="1:52" x14ac:dyDescent="0.2">
      <c r="A19" s="86">
        <f t="shared" si="4"/>
        <v>12</v>
      </c>
      <c r="B19" s="723" t="str">
        <f>'WA Volumes &amp; Revenues'!B20</f>
        <v>27R</v>
      </c>
      <c r="C19" s="723" t="s">
        <v>283</v>
      </c>
      <c r="D19" s="157"/>
      <c r="E19" s="123">
        <f>'Rates in Detail'!R18-'Rates in Detail'!N18</f>
        <v>5.5469999999999992E-2</v>
      </c>
      <c r="F19" s="123">
        <f>'Rates in Detail'!V18</f>
        <v>-2.1819999999999999E-2</v>
      </c>
      <c r="G19" s="159"/>
      <c r="H19" s="157"/>
      <c r="I19" s="368">
        <f>'Rev Req Proof Yr1'!H19</f>
        <v>0.24088000000000001</v>
      </c>
      <c r="J19" s="773">
        <f t="shared" si="11"/>
        <v>0.29635</v>
      </c>
      <c r="K19" s="157"/>
      <c r="L19" s="155">
        <f>'Rev Req Proof Yr1'!K19</f>
        <v>9</v>
      </c>
      <c r="M19" s="590">
        <f>'Rev Req Proof Yr1'!L19</f>
        <v>9</v>
      </c>
      <c r="N19" s="122">
        <f>'Rev Req Proof Yr1'!M19</f>
        <v>0</v>
      </c>
      <c r="O19" s="122">
        <f>'Rev Req Proof Yr1'!N19</f>
        <v>0</v>
      </c>
      <c r="P19" s="122">
        <f>'Rev Req Proof Yr1'!O19</f>
        <v>0</v>
      </c>
      <c r="Q19" s="774">
        <f>'Rev Req Proof Yr1'!P19</f>
        <v>0</v>
      </c>
      <c r="R19" s="157"/>
      <c r="S19" s="298">
        <f>'Rev Req Proof Yr1'!R19</f>
        <v>461371.76933137607</v>
      </c>
      <c r="T19" s="299"/>
      <c r="U19" s="300">
        <f>'Rev Req Proof Yr1'!T19</f>
        <v>776</v>
      </c>
      <c r="V19" s="301">
        <f>'Rev Req Proof Yr1'!U19</f>
        <v>49.545940000000002</v>
      </c>
      <c r="W19" s="157"/>
      <c r="X19" s="306">
        <f t="shared" si="12"/>
        <v>111135.23179654188</v>
      </c>
      <c r="Y19" s="307">
        <f t="shared" si="13"/>
        <v>83808</v>
      </c>
      <c r="Z19" s="308">
        <f t="shared" si="14"/>
        <v>0</v>
      </c>
      <c r="AA19" s="309"/>
      <c r="AB19" s="306">
        <f t="shared" si="25"/>
        <v>136727.52384135331</v>
      </c>
      <c r="AC19" s="307">
        <f t="shared" si="28"/>
        <v>83808</v>
      </c>
      <c r="AD19" s="308">
        <f t="shared" si="26"/>
        <v>0</v>
      </c>
      <c r="AE19" s="309"/>
      <c r="AF19" s="306">
        <f t="shared" si="27"/>
        <v>-10067.132006810625</v>
      </c>
      <c r="AG19" s="307">
        <v>0</v>
      </c>
      <c r="AH19" s="308">
        <v>0</v>
      </c>
      <c r="AI19" s="309"/>
      <c r="AJ19" s="306">
        <f t="shared" si="18"/>
        <v>15525.160038000806</v>
      </c>
      <c r="AK19" s="307">
        <f t="shared" si="19"/>
        <v>0</v>
      </c>
      <c r="AL19" s="308">
        <f t="shared" si="20"/>
        <v>0</v>
      </c>
      <c r="AM19" s="309"/>
      <c r="AN19" s="338">
        <f>SUM(AJ19:AL19)/SUM(X19:Z19)</f>
        <v>7.9639389861988569E-2</v>
      </c>
      <c r="AO19" s="339">
        <f t="shared" si="23"/>
        <v>0.13969611424775821</v>
      </c>
      <c r="AP19" s="309"/>
      <c r="AQ19" s="306">
        <f t="shared" si="24"/>
        <v>0</v>
      </c>
      <c r="AR19" s="307">
        <v>0</v>
      </c>
      <c r="AS19" s="308">
        <v>0</v>
      </c>
      <c r="AT19" s="309"/>
      <c r="AU19" s="310"/>
      <c r="AV19" s="310"/>
      <c r="AW19" s="309"/>
      <c r="AX19" s="653"/>
      <c r="AY19" s="474"/>
    </row>
    <row r="20" spans="1:52" x14ac:dyDescent="0.2">
      <c r="A20" s="86">
        <f t="shared" si="4"/>
        <v>13</v>
      </c>
      <c r="B20" s="733" t="str">
        <f>'WA Volumes &amp; Revenues'!B21</f>
        <v>41C Firm Sales</v>
      </c>
      <c r="C20" s="726" t="s">
        <v>4</v>
      </c>
      <c r="D20" s="157"/>
      <c r="E20" s="122">
        <f>'Rates in Detail'!R19-'Rates in Detail'!N19</f>
        <v>5.5570000000000008E-2</v>
      </c>
      <c r="F20" s="122">
        <f>'Rates in Detail'!V19</f>
        <v>-2.1860000000000001E-2</v>
      </c>
      <c r="G20" s="157"/>
      <c r="H20" s="157"/>
      <c r="I20" s="373">
        <f>'Rev Req Proof Yr1'!H20</f>
        <v>0.34473999999999999</v>
      </c>
      <c r="J20" s="774">
        <f t="shared" si="11"/>
        <v>0.40031</v>
      </c>
      <c r="K20" s="157"/>
      <c r="L20" s="155">
        <f>'Rev Req Proof Yr1'!K20</f>
        <v>250</v>
      </c>
      <c r="M20" s="156">
        <f>'Rev Req Proof Yr1'!L20</f>
        <v>250</v>
      </c>
      <c r="N20" s="122">
        <f>'Rev Req Proof Yr1'!M20</f>
        <v>0</v>
      </c>
      <c r="O20" s="122">
        <f>'Rev Req Proof Yr1'!N20</f>
        <v>0</v>
      </c>
      <c r="P20" s="122">
        <f>'Rev Req Proof Yr1'!O20</f>
        <v>0</v>
      </c>
      <c r="Q20" s="774">
        <f>'Rev Req Proof Yr1'!P20</f>
        <v>0</v>
      </c>
      <c r="R20" s="157"/>
      <c r="S20" s="298">
        <f>'Rev Req Proof Yr1'!R20</f>
        <v>1777065.1510316674</v>
      </c>
      <c r="T20" s="299"/>
      <c r="U20" s="300">
        <f>'Rev Req Proof Yr1'!T20</f>
        <v>91</v>
      </c>
      <c r="V20" s="301">
        <f>'Rev Req Proof Yr1'!U20</f>
        <v>3436</v>
      </c>
      <c r="W20" s="157"/>
      <c r="X20" s="313">
        <f t="shared" si="12"/>
        <v>612625.44016665698</v>
      </c>
      <c r="Y20" s="309">
        <f t="shared" si="13"/>
        <v>273000</v>
      </c>
      <c r="Z20" s="314">
        <f t="shared" si="14"/>
        <v>0</v>
      </c>
      <c r="AA20" s="309"/>
      <c r="AB20" s="313">
        <f t="shared" si="25"/>
        <v>711376.95060948678</v>
      </c>
      <c r="AC20" s="309">
        <f t="shared" si="28"/>
        <v>273000</v>
      </c>
      <c r="AD20" s="314">
        <f t="shared" si="26"/>
        <v>0</v>
      </c>
      <c r="AE20" s="309"/>
      <c r="AF20" s="313">
        <f t="shared" si="27"/>
        <v>-38846.644201552248</v>
      </c>
      <c r="AG20" s="309">
        <v>0</v>
      </c>
      <c r="AH20" s="314">
        <v>0</v>
      </c>
      <c r="AI20" s="309"/>
      <c r="AJ20" s="313">
        <f t="shared" si="18"/>
        <v>59904.866241277559</v>
      </c>
      <c r="AK20" s="309">
        <f t="shared" si="19"/>
        <v>0</v>
      </c>
      <c r="AL20" s="314">
        <f t="shared" si="20"/>
        <v>0</v>
      </c>
      <c r="AM20" s="309"/>
      <c r="AN20" s="338"/>
      <c r="AO20" s="340">
        <f t="shared" si="23"/>
        <v>9.7783837094622128E-2</v>
      </c>
      <c r="AP20" s="309"/>
      <c r="AQ20" s="313">
        <f t="shared" si="24"/>
        <v>0</v>
      </c>
      <c r="AR20" s="309">
        <v>0</v>
      </c>
      <c r="AS20" s="314">
        <v>0</v>
      </c>
      <c r="AT20" s="309"/>
      <c r="AU20" s="310"/>
      <c r="AV20" s="310"/>
      <c r="AW20" s="309"/>
      <c r="AX20" s="653"/>
      <c r="AY20" s="474"/>
    </row>
    <row r="21" spans="1:52" x14ac:dyDescent="0.2">
      <c r="A21" s="86">
        <f t="shared" si="4"/>
        <v>14</v>
      </c>
      <c r="B21" s="725"/>
      <c r="C21" s="726" t="s">
        <v>5</v>
      </c>
      <c r="D21" s="157"/>
      <c r="E21" s="122">
        <f>'Rates in Detail'!R20-'Rates in Detail'!N20</f>
        <v>4.8970000000000014E-2</v>
      </c>
      <c r="F21" s="122">
        <f>'Rates in Detail'!V20</f>
        <v>-1.9259999999999999E-2</v>
      </c>
      <c r="G21" s="157"/>
      <c r="H21" s="157"/>
      <c r="I21" s="373">
        <f>'Rev Req Proof Yr1'!H21</f>
        <v>0.30376999999999998</v>
      </c>
      <c r="J21" s="774">
        <f t="shared" si="11"/>
        <v>0.35274</v>
      </c>
      <c r="K21" s="157"/>
      <c r="L21" s="155"/>
      <c r="M21" s="156"/>
      <c r="N21" s="122"/>
      <c r="O21" s="122"/>
      <c r="P21" s="122"/>
      <c r="Q21" s="774"/>
      <c r="R21" s="157"/>
      <c r="S21" s="298">
        <f>'Rev Req Proof Yr1'!R21</f>
        <v>1974656.4658023661</v>
      </c>
      <c r="T21" s="299"/>
      <c r="U21" s="300">
        <f>'Rev Req Proof Yr1'!T21</f>
        <v>0</v>
      </c>
      <c r="V21" s="301">
        <f>'Rev Req Proof Yr1'!U21</f>
        <v>0</v>
      </c>
      <c r="W21" s="157"/>
      <c r="X21" s="313">
        <f t="shared" si="12"/>
        <v>599841.39461678476</v>
      </c>
      <c r="Y21" s="309">
        <f t="shared" si="13"/>
        <v>0</v>
      </c>
      <c r="Z21" s="314">
        <f t="shared" si="14"/>
        <v>0</v>
      </c>
      <c r="AA21" s="309"/>
      <c r="AB21" s="313">
        <f t="shared" si="25"/>
        <v>696540.32174712664</v>
      </c>
      <c r="AC21" s="309">
        <f t="shared" si="28"/>
        <v>0</v>
      </c>
      <c r="AD21" s="314">
        <f t="shared" si="26"/>
        <v>0</v>
      </c>
      <c r="AE21" s="309"/>
      <c r="AF21" s="313">
        <f t="shared" si="27"/>
        <v>-38031.883531353567</v>
      </c>
      <c r="AG21" s="309">
        <v>0</v>
      </c>
      <c r="AH21" s="314">
        <v>0</v>
      </c>
      <c r="AI21" s="309"/>
      <c r="AJ21" s="313">
        <f t="shared" si="18"/>
        <v>58667.043598988312</v>
      </c>
      <c r="AK21" s="309">
        <f t="shared" si="19"/>
        <v>0</v>
      </c>
      <c r="AL21" s="314">
        <f t="shared" si="20"/>
        <v>0</v>
      </c>
      <c r="AM21" s="309"/>
      <c r="AN21" s="338"/>
      <c r="AO21" s="340">
        <f t="shared" si="23"/>
        <v>9.7804259801823765E-2</v>
      </c>
      <c r="AP21" s="309"/>
      <c r="AQ21" s="313">
        <f t="shared" si="24"/>
        <v>0</v>
      </c>
      <c r="AR21" s="309">
        <v>0</v>
      </c>
      <c r="AS21" s="314">
        <v>0</v>
      </c>
      <c r="AT21" s="309"/>
      <c r="AU21" s="310"/>
      <c r="AV21" s="310"/>
      <c r="AW21" s="309"/>
      <c r="AX21" s="653"/>
      <c r="AY21" s="474"/>
    </row>
    <row r="22" spans="1:52" x14ac:dyDescent="0.2">
      <c r="A22" s="86">
        <f t="shared" si="4"/>
        <v>15</v>
      </c>
      <c r="B22" s="723"/>
      <c r="C22" s="742" t="s">
        <v>78</v>
      </c>
      <c r="D22" s="153"/>
      <c r="E22" s="123"/>
      <c r="F22" s="123"/>
      <c r="G22" s="153"/>
      <c r="H22" s="153"/>
      <c r="I22" s="368"/>
      <c r="J22" s="773"/>
      <c r="K22" s="157"/>
      <c r="L22" s="155"/>
      <c r="M22" s="156"/>
      <c r="N22" s="122"/>
      <c r="O22" s="122"/>
      <c r="P22" s="122"/>
      <c r="Q22" s="774"/>
      <c r="R22" s="157"/>
      <c r="S22" s="298"/>
      <c r="T22" s="299"/>
      <c r="U22" s="300"/>
      <c r="V22" s="301"/>
      <c r="W22" s="157"/>
      <c r="X22" s="315">
        <f>SUM(X20:X21)</f>
        <v>1212466.8347834419</v>
      </c>
      <c r="Y22" s="316">
        <f>SUM(Y20:Y21)</f>
        <v>273000</v>
      </c>
      <c r="Z22" s="317">
        <f t="shared" ref="Z22" si="29">SUM(Z20:Z21)</f>
        <v>0</v>
      </c>
      <c r="AA22" s="309"/>
      <c r="AB22" s="315">
        <f>SUM(AB20:AB21)</f>
        <v>1407917.2723566135</v>
      </c>
      <c r="AC22" s="316">
        <f t="shared" ref="AC22:AD22" si="30">SUM(AC20:AC21)</f>
        <v>273000</v>
      </c>
      <c r="AD22" s="317">
        <f t="shared" si="30"/>
        <v>0</v>
      </c>
      <c r="AE22" s="309"/>
      <c r="AF22" s="315">
        <f>SUM(AF20:AF21)</f>
        <v>-76878.527732905815</v>
      </c>
      <c r="AG22" s="316">
        <f t="shared" ref="AG22:AH22" si="31">SUM(AG20:AG21)</f>
        <v>0</v>
      </c>
      <c r="AH22" s="317">
        <f t="shared" si="31"/>
        <v>0</v>
      </c>
      <c r="AI22" s="309"/>
      <c r="AJ22" s="315">
        <f>SUM(AJ20:AJ21)</f>
        <v>118571.90984026587</v>
      </c>
      <c r="AK22" s="316">
        <f t="shared" ref="AK22:AL22" si="32">SUM(AK20:AK21)</f>
        <v>0</v>
      </c>
      <c r="AL22" s="317">
        <f t="shared" si="32"/>
        <v>0</v>
      </c>
      <c r="AM22" s="309"/>
      <c r="AN22" s="338">
        <f>SUM(AJ22:AL22)/SUM(X22:Z22)</f>
        <v>7.9821310758211458E-2</v>
      </c>
      <c r="AO22" s="339">
        <f t="shared" si="23"/>
        <v>9.7793940781435024E-2</v>
      </c>
      <c r="AP22" s="309"/>
      <c r="AQ22" s="315">
        <f>SUM(AQ20:AQ21)</f>
        <v>0</v>
      </c>
      <c r="AR22" s="316">
        <f t="shared" ref="AR22:AS22" si="33">SUM(AR20:AR21)</f>
        <v>0</v>
      </c>
      <c r="AS22" s="317">
        <f t="shared" si="33"/>
        <v>0</v>
      </c>
      <c r="AT22" s="309"/>
      <c r="AU22" s="310"/>
      <c r="AV22" s="310"/>
      <c r="AW22" s="328"/>
      <c r="AX22" s="57"/>
      <c r="AY22" s="671"/>
    </row>
    <row r="23" spans="1:52" x14ac:dyDescent="0.2">
      <c r="A23" s="86">
        <f t="shared" si="4"/>
        <v>16</v>
      </c>
      <c r="B23" s="733" t="str">
        <f>'WA Volumes &amp; Revenues'!B23</f>
        <v>41I Firm Sales</v>
      </c>
      <c r="C23" s="726" t="s">
        <v>4</v>
      </c>
      <c r="D23" s="157"/>
      <c r="E23" s="122">
        <f>'Rates in Detail'!R21-'Rates in Detail'!N21</f>
        <v>5.2900000000000003E-2</v>
      </c>
      <c r="F23" s="122">
        <f>'Rates in Detail'!V21</f>
        <v>-7.4000000000000003E-3</v>
      </c>
      <c r="G23" s="157"/>
      <c r="H23" s="157"/>
      <c r="I23" s="373">
        <f>'Rev Req Proof Yr1'!H23</f>
        <v>0.34416000000000002</v>
      </c>
      <c r="J23" s="774">
        <f t="shared" si="11"/>
        <v>0.39706000000000002</v>
      </c>
      <c r="K23" s="157"/>
      <c r="L23" s="155">
        <f>'Rev Req Proof Yr1'!K23</f>
        <v>250</v>
      </c>
      <c r="M23" s="156">
        <f>'Rev Req Proof Yr1'!L23</f>
        <v>250</v>
      </c>
      <c r="N23" s="122">
        <f>'Rev Req Proof Yr1'!M23</f>
        <v>0</v>
      </c>
      <c r="O23" s="122">
        <f>'Rev Req Proof Yr1'!N23</f>
        <v>0</v>
      </c>
      <c r="P23" s="122">
        <f>'Rev Req Proof Yr1'!O23</f>
        <v>0</v>
      </c>
      <c r="Q23" s="774">
        <f>'Rev Req Proof Yr1'!P23</f>
        <v>0</v>
      </c>
      <c r="R23" s="157"/>
      <c r="S23" s="298">
        <f>'Rev Req Proof Yr1'!R23</f>
        <v>392890.20000000007</v>
      </c>
      <c r="T23" s="299"/>
      <c r="U23" s="300">
        <f>'Rev Req Proof Yr1'!T23</f>
        <v>17.833333333333332</v>
      </c>
      <c r="V23" s="301">
        <f>'Rev Req Proof Yr1'!U23</f>
        <v>4741</v>
      </c>
      <c r="W23" s="157"/>
      <c r="X23" s="313">
        <f t="shared" ref="X23:X24" si="34">(I23*S23)</f>
        <v>135217.09123200004</v>
      </c>
      <c r="Y23" s="309">
        <f t="shared" ref="Y23:Y24" si="35">(L23*U23*12)</f>
        <v>53500</v>
      </c>
      <c r="Z23" s="314">
        <f t="shared" ref="Z23:Z24" si="36">(T23*(N23+P23))*12</f>
        <v>0</v>
      </c>
      <c r="AA23" s="309"/>
      <c r="AB23" s="313">
        <f t="shared" ref="AB23:AB24" si="37">(J23*S23)</f>
        <v>156000.98281200003</v>
      </c>
      <c r="AC23" s="309">
        <f t="shared" ref="AC23:AC24" si="38">(M23*U23*12)</f>
        <v>53500</v>
      </c>
      <c r="AD23" s="314">
        <f t="shared" ref="AD23:AD24" si="39">(T23*(O23+Q23))*12</f>
        <v>0</v>
      </c>
      <c r="AE23" s="309"/>
      <c r="AF23" s="313">
        <f t="shared" ref="AF23:AF24" si="40">(F23*S23)</f>
        <v>-2907.3874800000008</v>
      </c>
      <c r="AG23" s="309">
        <v>0</v>
      </c>
      <c r="AH23" s="314">
        <v>0</v>
      </c>
      <c r="AI23" s="309"/>
      <c r="AJ23" s="313">
        <f t="shared" ref="AJ23:AJ24" si="41">AB23-X23+AF23</f>
        <v>17876.504099999995</v>
      </c>
      <c r="AK23" s="309">
        <f t="shared" ref="AK23:AK24" si="42">AC23-Y23-AG23</f>
        <v>0</v>
      </c>
      <c r="AL23" s="314">
        <f t="shared" ref="AL23:AL24" si="43">AD23-Z23-AH23</f>
        <v>0</v>
      </c>
      <c r="AM23" s="309"/>
      <c r="AN23" s="338"/>
      <c r="AO23" s="340">
        <f t="shared" ref="AO23:AO25" si="44">SUM(AJ23)/SUM(X23)</f>
        <v>0.13220595072059499</v>
      </c>
      <c r="AP23" s="309"/>
      <c r="AQ23" s="313">
        <f t="shared" ref="AQ23:AQ24" si="45">(G23*S23)</f>
        <v>0</v>
      </c>
      <c r="AR23" s="309">
        <v>0</v>
      </c>
      <c r="AS23" s="314">
        <v>0</v>
      </c>
      <c r="AT23" s="309"/>
      <c r="AU23" s="310"/>
      <c r="AV23" s="310"/>
      <c r="AW23" s="309"/>
      <c r="AX23" s="653"/>
      <c r="AY23" s="474"/>
    </row>
    <row r="24" spans="1:52" x14ac:dyDescent="0.2">
      <c r="A24" s="86">
        <f t="shared" si="4"/>
        <v>17</v>
      </c>
      <c r="B24" s="725"/>
      <c r="C24" s="726" t="s">
        <v>5</v>
      </c>
      <c r="D24" s="157"/>
      <c r="E24" s="122">
        <f>'Rates in Detail'!R22-'Rates in Detail'!N22</f>
        <v>4.6609999999999985E-2</v>
      </c>
      <c r="F24" s="122">
        <f>'Rates in Detail'!V22</f>
        <v>-6.5199999999999998E-3</v>
      </c>
      <c r="G24" s="157"/>
      <c r="H24" s="157"/>
      <c r="I24" s="373">
        <f>'Rev Req Proof Yr1'!H24</f>
        <v>0.30325000000000002</v>
      </c>
      <c r="J24" s="774">
        <f t="shared" si="11"/>
        <v>0.34986</v>
      </c>
      <c r="K24" s="157"/>
      <c r="L24" s="155"/>
      <c r="M24" s="156"/>
      <c r="N24" s="122"/>
      <c r="O24" s="122"/>
      <c r="P24" s="122"/>
      <c r="Q24" s="774"/>
      <c r="R24" s="157"/>
      <c r="S24" s="298">
        <f>'Rev Req Proof Yr1'!R24</f>
        <v>621650.00000000012</v>
      </c>
      <c r="T24" s="299"/>
      <c r="U24" s="300"/>
      <c r="V24" s="301"/>
      <c r="W24" s="157"/>
      <c r="X24" s="313">
        <f t="shared" si="34"/>
        <v>188515.36250000005</v>
      </c>
      <c r="Y24" s="309">
        <f t="shared" si="35"/>
        <v>0</v>
      </c>
      <c r="Z24" s="314">
        <f t="shared" si="36"/>
        <v>0</v>
      </c>
      <c r="AA24" s="309"/>
      <c r="AB24" s="313">
        <f t="shared" si="37"/>
        <v>217490.46900000004</v>
      </c>
      <c r="AC24" s="309">
        <f t="shared" si="38"/>
        <v>0</v>
      </c>
      <c r="AD24" s="314">
        <f t="shared" si="39"/>
        <v>0</v>
      </c>
      <c r="AE24" s="309"/>
      <c r="AF24" s="313">
        <f t="shared" si="40"/>
        <v>-4053.1580000000008</v>
      </c>
      <c r="AG24" s="309">
        <v>0</v>
      </c>
      <c r="AH24" s="314">
        <v>0</v>
      </c>
      <c r="AI24" s="309"/>
      <c r="AJ24" s="313">
        <f t="shared" si="41"/>
        <v>24921.948499999995</v>
      </c>
      <c r="AK24" s="309">
        <f t="shared" si="42"/>
        <v>0</v>
      </c>
      <c r="AL24" s="314">
        <f t="shared" si="43"/>
        <v>0</v>
      </c>
      <c r="AM24" s="309"/>
      <c r="AN24" s="338"/>
      <c r="AO24" s="340">
        <f t="shared" si="44"/>
        <v>0.13220115416323161</v>
      </c>
      <c r="AP24" s="309"/>
      <c r="AQ24" s="313">
        <f t="shared" si="45"/>
        <v>0</v>
      </c>
      <c r="AR24" s="309">
        <v>0</v>
      </c>
      <c r="AS24" s="314">
        <v>0</v>
      </c>
      <c r="AT24" s="309"/>
      <c r="AU24" s="310"/>
      <c r="AV24" s="310"/>
      <c r="AW24" s="309"/>
      <c r="AX24" s="653"/>
      <c r="AY24" s="474"/>
    </row>
    <row r="25" spans="1:52" x14ac:dyDescent="0.2">
      <c r="A25" s="86">
        <f t="shared" si="4"/>
        <v>18</v>
      </c>
      <c r="B25" s="723"/>
      <c r="C25" s="742" t="s">
        <v>78</v>
      </c>
      <c r="D25" s="153"/>
      <c r="E25" s="123"/>
      <c r="F25" s="123"/>
      <c r="G25" s="153"/>
      <c r="H25" s="153"/>
      <c r="I25" s="368"/>
      <c r="J25" s="773"/>
      <c r="K25" s="157"/>
      <c r="L25" s="155"/>
      <c r="M25" s="156"/>
      <c r="N25" s="122"/>
      <c r="O25" s="122"/>
      <c r="P25" s="122"/>
      <c r="Q25" s="774"/>
      <c r="R25" s="157"/>
      <c r="S25" s="298"/>
      <c r="T25" s="299"/>
      <c r="U25" s="300"/>
      <c r="V25" s="301"/>
      <c r="W25" s="157"/>
      <c r="X25" s="315">
        <f>SUM(X23:X24)</f>
        <v>323732.45373200008</v>
      </c>
      <c r="Y25" s="316">
        <f t="shared" ref="Y25:Z25" si="46">SUM(Y23:Y24)</f>
        <v>53500</v>
      </c>
      <c r="Z25" s="317">
        <f t="shared" si="46"/>
        <v>0</v>
      </c>
      <c r="AA25" s="309"/>
      <c r="AB25" s="315">
        <f>SUM(AB23:AB24)</f>
        <v>373491.45181200007</v>
      </c>
      <c r="AC25" s="316">
        <f t="shared" ref="AC25:AD25" si="47">SUM(AC23:AC24)</f>
        <v>53500</v>
      </c>
      <c r="AD25" s="317">
        <f t="shared" si="47"/>
        <v>0</v>
      </c>
      <c r="AE25" s="309"/>
      <c r="AF25" s="315">
        <f>SUM(AF23:AF24)</f>
        <v>-6960.5454800000016</v>
      </c>
      <c r="AG25" s="316">
        <f t="shared" ref="AG25:AH25" si="48">SUM(AG23:AG24)</f>
        <v>0</v>
      </c>
      <c r="AH25" s="317">
        <f t="shared" si="48"/>
        <v>0</v>
      </c>
      <c r="AI25" s="309"/>
      <c r="AJ25" s="315">
        <f>SUM(AJ23:AJ24)</f>
        <v>42798.45259999999</v>
      </c>
      <c r="AK25" s="316">
        <f t="shared" ref="AK25:AL25" si="49">SUM(AK23:AK24)</f>
        <v>0</v>
      </c>
      <c r="AL25" s="317">
        <f t="shared" si="49"/>
        <v>0</v>
      </c>
      <c r="AM25" s="309"/>
      <c r="AN25" s="338">
        <f>SUM(AJ25:AL25)/SUM(X25:Z25)</f>
        <v>0.11345379268562507</v>
      </c>
      <c r="AO25" s="339">
        <f t="shared" si="44"/>
        <v>0.13220315759701504</v>
      </c>
      <c r="AP25" s="309"/>
      <c r="AQ25" s="315">
        <f>SUM(AQ23:AQ24)</f>
        <v>0</v>
      </c>
      <c r="AR25" s="316">
        <f t="shared" ref="AR25:AS25" si="50">SUM(AR23:AR24)</f>
        <v>0</v>
      </c>
      <c r="AS25" s="317">
        <f t="shared" si="50"/>
        <v>0</v>
      </c>
      <c r="AT25" s="309"/>
      <c r="AU25" s="310"/>
      <c r="AV25" s="310"/>
      <c r="AW25" s="328"/>
      <c r="AX25" s="57"/>
      <c r="AY25" s="671"/>
    </row>
    <row r="26" spans="1:52" x14ac:dyDescent="0.2">
      <c r="A26" s="86">
        <f t="shared" si="4"/>
        <v>19</v>
      </c>
      <c r="B26" s="725" t="str">
        <f>'WA Volumes &amp; Revenues'!B25</f>
        <v>41C Interr Sales</v>
      </c>
      <c r="C26" s="726" t="s">
        <v>4</v>
      </c>
      <c r="D26" s="157"/>
      <c r="E26" s="122">
        <f>'Rates in Detail'!R23-'Rates in Detail'!N23</f>
        <v>4.0339999999999987E-2</v>
      </c>
      <c r="F26" s="122">
        <f>'Rates in Detail'!V23</f>
        <v>-2.0140000000000002E-2</v>
      </c>
      <c r="G26" s="157"/>
      <c r="H26" s="157"/>
      <c r="I26" s="373">
        <f>'Rev Req Proof Yr1'!H26</f>
        <v>0.34372999999999998</v>
      </c>
      <c r="J26" s="774">
        <f t="shared" si="11"/>
        <v>0.38406999999999997</v>
      </c>
      <c r="K26" s="157"/>
      <c r="L26" s="155">
        <f>'Rev Req Proof Yr1'!K26</f>
        <v>250</v>
      </c>
      <c r="M26" s="156">
        <f>'Rev Req Proof Yr1'!L26</f>
        <v>250</v>
      </c>
      <c r="N26" s="122">
        <f>'Rev Req Proof Yr1'!M26</f>
        <v>0</v>
      </c>
      <c r="O26" s="122">
        <f>'Rev Req Proof Yr1'!N26</f>
        <v>0</v>
      </c>
      <c r="P26" s="122">
        <f>'Rev Req Proof Yr1'!O26</f>
        <v>0</v>
      </c>
      <c r="Q26" s="774">
        <f>'Rev Req Proof Yr1'!P26</f>
        <v>0</v>
      </c>
      <c r="R26" s="157"/>
      <c r="S26" s="298">
        <f>'Rev Req Proof Yr1'!R26</f>
        <v>0</v>
      </c>
      <c r="T26" s="299"/>
      <c r="U26" s="300">
        <f>'Rev Req Proof Yr1'!T26</f>
        <v>0</v>
      </c>
      <c r="V26" s="301">
        <f>'Rev Req Proof Yr1'!U26</f>
        <v>0</v>
      </c>
      <c r="W26" s="157"/>
      <c r="X26" s="313">
        <f t="shared" ref="X26:X27" si="51">(I26*S26)</f>
        <v>0</v>
      </c>
      <c r="Y26" s="309">
        <f t="shared" ref="Y26:Y27" si="52">(L26*U26*12)</f>
        <v>0</v>
      </c>
      <c r="Z26" s="314">
        <f t="shared" ref="Z26:Z27" si="53">(T26*(N26+P26))*12</f>
        <v>0</v>
      </c>
      <c r="AA26" s="309"/>
      <c r="AB26" s="313">
        <f t="shared" ref="AB26:AB27" si="54">(J26*S26)</f>
        <v>0</v>
      </c>
      <c r="AC26" s="309">
        <f t="shared" ref="AC26:AC27" si="55">(M26*U26*12)</f>
        <v>0</v>
      </c>
      <c r="AD26" s="314">
        <f t="shared" ref="AD26:AD27" si="56">(T26*(O26+Q26))*12</f>
        <v>0</v>
      </c>
      <c r="AE26" s="309"/>
      <c r="AF26" s="313">
        <f t="shared" ref="AF26:AF27" si="57">(F26*S26)</f>
        <v>0</v>
      </c>
      <c r="AG26" s="309">
        <v>0</v>
      </c>
      <c r="AH26" s="314">
        <v>0</v>
      </c>
      <c r="AI26" s="309"/>
      <c r="AJ26" s="313">
        <f t="shared" ref="AJ26:AJ27" si="58">AB26-X26+AF26</f>
        <v>0</v>
      </c>
      <c r="AK26" s="309">
        <f t="shared" ref="AK26:AK27" si="59">AC26-Y26-AG26</f>
        <v>0</v>
      </c>
      <c r="AL26" s="314">
        <f t="shared" ref="AL26:AL27" si="60">AD26-Z26-AH26</f>
        <v>0</v>
      </c>
      <c r="AM26" s="309"/>
      <c r="AN26" s="338"/>
      <c r="AO26" s="340" t="e">
        <f t="shared" si="23"/>
        <v>#DIV/0!</v>
      </c>
      <c r="AP26" s="309"/>
      <c r="AQ26" s="313">
        <f t="shared" ref="AQ26:AQ27" si="61">(G26*S26)</f>
        <v>0</v>
      </c>
      <c r="AR26" s="309">
        <v>0</v>
      </c>
      <c r="AS26" s="314">
        <v>0</v>
      </c>
      <c r="AT26" s="309"/>
      <c r="AU26" s="310"/>
      <c r="AV26" s="310"/>
      <c r="AW26" s="309"/>
      <c r="AX26" s="653"/>
      <c r="AY26" s="474"/>
    </row>
    <row r="27" spans="1:52" x14ac:dyDescent="0.2">
      <c r="A27" s="86">
        <f t="shared" si="4"/>
        <v>20</v>
      </c>
      <c r="B27" s="725"/>
      <c r="C27" s="726" t="s">
        <v>5</v>
      </c>
      <c r="D27" s="157"/>
      <c r="E27" s="122">
        <f>'Rates in Detail'!R24-'Rates in Detail'!N24</f>
        <v>3.5539999999999961E-2</v>
      </c>
      <c r="F27" s="122">
        <f>'Rates in Detail'!V24</f>
        <v>-1.7739999999999999E-2</v>
      </c>
      <c r="G27" s="157"/>
      <c r="H27" s="157"/>
      <c r="I27" s="373">
        <f>'Rev Req Proof Yr1'!H27</f>
        <v>0.30285000000000001</v>
      </c>
      <c r="J27" s="774">
        <f t="shared" si="11"/>
        <v>0.33838999999999997</v>
      </c>
      <c r="K27" s="157"/>
      <c r="L27" s="155"/>
      <c r="M27" s="156"/>
      <c r="N27" s="122"/>
      <c r="O27" s="122"/>
      <c r="P27" s="122"/>
      <c r="Q27" s="774"/>
      <c r="R27" s="157"/>
      <c r="S27" s="298">
        <f>'Rev Req Proof Yr1'!R27</f>
        <v>0</v>
      </c>
      <c r="T27" s="299"/>
      <c r="U27" s="300"/>
      <c r="V27" s="301"/>
      <c r="W27" s="157"/>
      <c r="X27" s="313">
        <f t="shared" si="51"/>
        <v>0</v>
      </c>
      <c r="Y27" s="309">
        <f t="shared" si="52"/>
        <v>0</v>
      </c>
      <c r="Z27" s="314">
        <f t="shared" si="53"/>
        <v>0</v>
      </c>
      <c r="AA27" s="309"/>
      <c r="AB27" s="313">
        <f t="shared" si="54"/>
        <v>0</v>
      </c>
      <c r="AC27" s="309">
        <f t="shared" si="55"/>
        <v>0</v>
      </c>
      <c r="AD27" s="314">
        <f t="shared" si="56"/>
        <v>0</v>
      </c>
      <c r="AE27" s="309"/>
      <c r="AF27" s="313">
        <f t="shared" si="57"/>
        <v>0</v>
      </c>
      <c r="AG27" s="309">
        <v>0</v>
      </c>
      <c r="AH27" s="314">
        <v>0</v>
      </c>
      <c r="AI27" s="309"/>
      <c r="AJ27" s="313">
        <f t="shared" si="58"/>
        <v>0</v>
      </c>
      <c r="AK27" s="309">
        <f t="shared" si="59"/>
        <v>0</v>
      </c>
      <c r="AL27" s="314">
        <f t="shared" si="60"/>
        <v>0</v>
      </c>
      <c r="AM27" s="309"/>
      <c r="AN27" s="338"/>
      <c r="AO27" s="340" t="e">
        <f t="shared" si="23"/>
        <v>#DIV/0!</v>
      </c>
      <c r="AP27" s="309"/>
      <c r="AQ27" s="313">
        <f t="shared" si="61"/>
        <v>0</v>
      </c>
      <c r="AR27" s="309">
        <v>0</v>
      </c>
      <c r="AS27" s="314">
        <v>0</v>
      </c>
      <c r="AT27" s="309"/>
      <c r="AU27" s="310"/>
      <c r="AX27" s="653"/>
      <c r="AY27" s="474"/>
    </row>
    <row r="28" spans="1:52" x14ac:dyDescent="0.2">
      <c r="A28" s="86">
        <f t="shared" si="4"/>
        <v>21</v>
      </c>
      <c r="B28" s="723"/>
      <c r="C28" s="742" t="s">
        <v>78</v>
      </c>
      <c r="D28" s="153"/>
      <c r="E28" s="123"/>
      <c r="F28" s="123"/>
      <c r="G28" s="153"/>
      <c r="H28" s="153"/>
      <c r="I28" s="368"/>
      <c r="J28" s="773"/>
      <c r="K28" s="157"/>
      <c r="L28" s="155"/>
      <c r="M28" s="156"/>
      <c r="N28" s="122"/>
      <c r="O28" s="122"/>
      <c r="P28" s="122"/>
      <c r="Q28" s="774"/>
      <c r="R28" s="157"/>
      <c r="S28" s="298"/>
      <c r="T28" s="299"/>
      <c r="U28" s="300"/>
      <c r="V28" s="301"/>
      <c r="W28" s="157"/>
      <c r="X28" s="315">
        <f>SUM(X26:X27)</f>
        <v>0</v>
      </c>
      <c r="Y28" s="316">
        <f t="shared" ref="Y28:Z28" si="62">SUM(Y26:Y27)</f>
        <v>0</v>
      </c>
      <c r="Z28" s="317">
        <f t="shared" si="62"/>
        <v>0</v>
      </c>
      <c r="AA28" s="309"/>
      <c r="AB28" s="315">
        <f>SUM(AB26:AB27)</f>
        <v>0</v>
      </c>
      <c r="AC28" s="316">
        <f t="shared" ref="AC28:AD28" si="63">SUM(AC26:AC27)</f>
        <v>0</v>
      </c>
      <c r="AD28" s="317">
        <f t="shared" si="63"/>
        <v>0</v>
      </c>
      <c r="AE28" s="309"/>
      <c r="AF28" s="315">
        <f>SUM(AF26:AF27)</f>
        <v>0</v>
      </c>
      <c r="AG28" s="316">
        <f t="shared" ref="AG28:AH28" si="64">SUM(AG26:AG27)</f>
        <v>0</v>
      </c>
      <c r="AH28" s="317">
        <f t="shared" si="64"/>
        <v>0</v>
      </c>
      <c r="AI28" s="309"/>
      <c r="AJ28" s="315">
        <f>SUM(AJ26:AJ27)</f>
        <v>0</v>
      </c>
      <c r="AK28" s="316">
        <f t="shared" ref="AK28:AL28" si="65">SUM(AK26:AK27)</f>
        <v>0</v>
      </c>
      <c r="AL28" s="317">
        <f t="shared" si="65"/>
        <v>0</v>
      </c>
      <c r="AM28" s="309"/>
      <c r="AN28" s="338" t="e">
        <f>SUM(AJ28:AL28)/SUM(X28:Z28)</f>
        <v>#DIV/0!</v>
      </c>
      <c r="AO28" s="339" t="e">
        <f t="shared" si="23"/>
        <v>#DIV/0!</v>
      </c>
      <c r="AP28" s="309"/>
      <c r="AQ28" s="315">
        <f>SUM(AQ26:AQ27)</f>
        <v>0</v>
      </c>
      <c r="AR28" s="316">
        <f t="shared" ref="AR28:AS28" si="66">SUM(AR26:AR27)</f>
        <v>0</v>
      </c>
      <c r="AS28" s="317">
        <f t="shared" si="66"/>
        <v>0</v>
      </c>
      <c r="AT28" s="309"/>
      <c r="AU28" s="310"/>
      <c r="AV28" s="310"/>
      <c r="AW28" s="309"/>
      <c r="AX28" s="653"/>
      <c r="AY28" s="474"/>
    </row>
    <row r="29" spans="1:52" x14ac:dyDescent="0.2">
      <c r="A29" s="86">
        <f t="shared" si="4"/>
        <v>22</v>
      </c>
      <c r="B29" s="725" t="str">
        <f>'WA Volumes &amp; Revenues'!B27</f>
        <v>41I Interr Sales</v>
      </c>
      <c r="C29" s="726" t="s">
        <v>4</v>
      </c>
      <c r="D29" s="157"/>
      <c r="E29" s="122">
        <f>'Rates in Detail'!R25-'Rates in Detail'!N25</f>
        <v>4.0339999999999987E-2</v>
      </c>
      <c r="F29" s="122">
        <f>'Rates in Detail'!V25</f>
        <v>-6.1000000000000004E-3</v>
      </c>
      <c r="G29" s="157"/>
      <c r="H29" s="157"/>
      <c r="I29" s="373">
        <f>'Rev Req Proof Yr1'!H29</f>
        <v>0.34372999999999998</v>
      </c>
      <c r="J29" s="774">
        <f t="shared" si="11"/>
        <v>0.38406999999999997</v>
      </c>
      <c r="K29" s="157"/>
      <c r="L29" s="155">
        <f>'Rev Req Proof Yr1'!K29</f>
        <v>250</v>
      </c>
      <c r="M29" s="156">
        <f>'Rev Req Proof Yr1'!L29</f>
        <v>250</v>
      </c>
      <c r="N29" s="122">
        <f>'Rev Req Proof Yr1'!M29</f>
        <v>0</v>
      </c>
      <c r="O29" s="122">
        <f>'Rev Req Proof Yr1'!N29</f>
        <v>0</v>
      </c>
      <c r="P29" s="122">
        <f>'Rev Req Proof Yr1'!O29</f>
        <v>0</v>
      </c>
      <c r="Q29" s="774">
        <f>'Rev Req Proof Yr1'!P29</f>
        <v>0</v>
      </c>
      <c r="R29" s="157"/>
      <c r="S29" s="298">
        <f>'Rev Req Proof Yr1'!R29</f>
        <v>0</v>
      </c>
      <c r="T29" s="299"/>
      <c r="U29" s="300">
        <f>'Rev Req Proof Yr1'!T29</f>
        <v>0</v>
      </c>
      <c r="V29" s="301">
        <f>'Rev Req Proof Yr1'!U29</f>
        <v>0</v>
      </c>
      <c r="W29" s="157"/>
      <c r="X29" s="313">
        <f t="shared" ref="X29:X30" si="67">(I29*S29)</f>
        <v>0</v>
      </c>
      <c r="Y29" s="309">
        <f t="shared" ref="Y29:Y30" si="68">(L29*U29*12)</f>
        <v>0</v>
      </c>
      <c r="Z29" s="314">
        <f t="shared" ref="Z29:Z30" si="69">(T29*(N29+P29))*12</f>
        <v>0</v>
      </c>
      <c r="AA29" s="309"/>
      <c r="AB29" s="313">
        <f t="shared" ref="AB29:AB30" si="70">(J29*S29)</f>
        <v>0</v>
      </c>
      <c r="AC29" s="309">
        <f t="shared" ref="AC29:AC30" si="71">(M29*U29*12)</f>
        <v>0</v>
      </c>
      <c r="AD29" s="314">
        <f t="shared" ref="AD29:AD30" si="72">(T29*(O29+Q29))*12</f>
        <v>0</v>
      </c>
      <c r="AE29" s="309"/>
      <c r="AF29" s="313">
        <f t="shared" ref="AF29:AF30" si="73">(F29*S29)</f>
        <v>0</v>
      </c>
      <c r="AG29" s="309">
        <v>0</v>
      </c>
      <c r="AH29" s="314">
        <v>0</v>
      </c>
      <c r="AI29" s="309"/>
      <c r="AJ29" s="313">
        <f t="shared" ref="AJ29:AJ30" si="74">AB29-X29+AF29</f>
        <v>0</v>
      </c>
      <c r="AK29" s="309">
        <f t="shared" ref="AK29:AK30" si="75">AC29-Y29-AG29</f>
        <v>0</v>
      </c>
      <c r="AL29" s="314">
        <f t="shared" ref="AL29:AL30" si="76">AD29-Z29-AH29</f>
        <v>0</v>
      </c>
      <c r="AM29" s="309"/>
      <c r="AN29" s="338"/>
      <c r="AO29" s="340" t="e">
        <f t="shared" si="23"/>
        <v>#DIV/0!</v>
      </c>
      <c r="AP29" s="309"/>
      <c r="AQ29" s="313">
        <f t="shared" ref="AQ29:AQ30" si="77">(G29*S29)</f>
        <v>0</v>
      </c>
      <c r="AR29" s="309">
        <v>0</v>
      </c>
      <c r="AS29" s="314">
        <v>0</v>
      </c>
      <c r="AT29" s="309"/>
      <c r="AU29" s="310"/>
      <c r="AV29" s="310"/>
      <c r="AW29" s="309"/>
      <c r="AX29" s="653"/>
      <c r="AY29" s="474"/>
    </row>
    <row r="30" spans="1:52" x14ac:dyDescent="0.2">
      <c r="A30" s="86">
        <f t="shared" si="4"/>
        <v>23</v>
      </c>
      <c r="B30" s="725"/>
      <c r="C30" s="726" t="s">
        <v>5</v>
      </c>
      <c r="D30" s="157"/>
      <c r="E30" s="122">
        <f>'Rates in Detail'!R26-'Rates in Detail'!N26</f>
        <v>3.5539999999999961E-2</v>
      </c>
      <c r="F30" s="122">
        <f>'Rates in Detail'!V26</f>
        <v>-5.3699999999999998E-3</v>
      </c>
      <c r="G30" s="157"/>
      <c r="H30" s="157"/>
      <c r="I30" s="373">
        <f>'Rev Req Proof Yr1'!H30</f>
        <v>0.30285000000000001</v>
      </c>
      <c r="J30" s="774">
        <f t="shared" si="11"/>
        <v>0.33838999999999997</v>
      </c>
      <c r="K30" s="157"/>
      <c r="L30" s="155"/>
      <c r="M30" s="156"/>
      <c r="N30" s="122"/>
      <c r="O30" s="122"/>
      <c r="P30" s="122"/>
      <c r="Q30" s="774"/>
      <c r="R30" s="157"/>
      <c r="S30" s="298">
        <f>'Rev Req Proof Yr1'!R30</f>
        <v>0</v>
      </c>
      <c r="T30" s="299"/>
      <c r="U30" s="300"/>
      <c r="V30" s="301"/>
      <c r="W30" s="157"/>
      <c r="X30" s="313">
        <f t="shared" si="67"/>
        <v>0</v>
      </c>
      <c r="Y30" s="309">
        <f t="shared" si="68"/>
        <v>0</v>
      </c>
      <c r="Z30" s="314">
        <f t="shared" si="69"/>
        <v>0</v>
      </c>
      <c r="AA30" s="309"/>
      <c r="AB30" s="313">
        <f t="shared" si="70"/>
        <v>0</v>
      </c>
      <c r="AC30" s="309">
        <f t="shared" si="71"/>
        <v>0</v>
      </c>
      <c r="AD30" s="314">
        <f t="shared" si="72"/>
        <v>0</v>
      </c>
      <c r="AE30" s="309"/>
      <c r="AF30" s="313">
        <f t="shared" si="73"/>
        <v>0</v>
      </c>
      <c r="AG30" s="309">
        <v>0</v>
      </c>
      <c r="AH30" s="314">
        <v>0</v>
      </c>
      <c r="AI30" s="309"/>
      <c r="AJ30" s="313">
        <f t="shared" si="74"/>
        <v>0</v>
      </c>
      <c r="AK30" s="309">
        <f t="shared" si="75"/>
        <v>0</v>
      </c>
      <c r="AL30" s="314">
        <f t="shared" si="76"/>
        <v>0</v>
      </c>
      <c r="AM30" s="309"/>
      <c r="AN30" s="338"/>
      <c r="AO30" s="340" t="e">
        <f t="shared" si="23"/>
        <v>#DIV/0!</v>
      </c>
      <c r="AP30" s="309"/>
      <c r="AQ30" s="313">
        <f t="shared" si="77"/>
        <v>0</v>
      </c>
      <c r="AR30" s="309">
        <v>0</v>
      </c>
      <c r="AS30" s="314">
        <v>0</v>
      </c>
      <c r="AT30" s="309"/>
      <c r="AU30" s="310"/>
      <c r="AV30" s="310"/>
      <c r="AW30" s="309"/>
      <c r="AX30" s="57"/>
      <c r="AY30" s="652"/>
    </row>
    <row r="31" spans="1:52" x14ac:dyDescent="0.2">
      <c r="A31" s="86">
        <f t="shared" si="4"/>
        <v>24</v>
      </c>
      <c r="B31" s="723"/>
      <c r="C31" s="742" t="s">
        <v>78</v>
      </c>
      <c r="D31" s="153"/>
      <c r="E31" s="123"/>
      <c r="F31" s="123"/>
      <c r="G31" s="153"/>
      <c r="H31" s="153"/>
      <c r="I31" s="368"/>
      <c r="J31" s="773"/>
      <c r="K31" s="157"/>
      <c r="L31" s="155"/>
      <c r="M31" s="156"/>
      <c r="N31" s="122"/>
      <c r="O31" s="122"/>
      <c r="P31" s="122"/>
      <c r="Q31" s="774"/>
      <c r="R31" s="157"/>
      <c r="S31" s="298"/>
      <c r="T31" s="299"/>
      <c r="U31" s="300"/>
      <c r="V31" s="301"/>
      <c r="W31" s="157"/>
      <c r="X31" s="315">
        <f>SUM(X29:X30)</f>
        <v>0</v>
      </c>
      <c r="Y31" s="316">
        <f t="shared" ref="Y31:Z31" si="78">SUM(Y29:Y30)</f>
        <v>0</v>
      </c>
      <c r="Z31" s="317">
        <f t="shared" si="78"/>
        <v>0</v>
      </c>
      <c r="AA31" s="309"/>
      <c r="AB31" s="315">
        <f>SUM(AB29:AB30)</f>
        <v>0</v>
      </c>
      <c r="AC31" s="316">
        <f t="shared" ref="AC31:AD31" si="79">SUM(AC29:AC30)</f>
        <v>0</v>
      </c>
      <c r="AD31" s="317">
        <f t="shared" si="79"/>
        <v>0</v>
      </c>
      <c r="AE31" s="309"/>
      <c r="AF31" s="315">
        <f>SUM(AF29:AF30)</f>
        <v>0</v>
      </c>
      <c r="AG31" s="316">
        <f t="shared" ref="AG31:AH31" si="80">SUM(AG29:AG30)</f>
        <v>0</v>
      </c>
      <c r="AH31" s="317">
        <f t="shared" si="80"/>
        <v>0</v>
      </c>
      <c r="AI31" s="309"/>
      <c r="AJ31" s="315">
        <f>SUM(AJ29:AJ30)</f>
        <v>0</v>
      </c>
      <c r="AK31" s="316">
        <f t="shared" ref="AK31:AL31" si="81">SUM(AK29:AK30)</f>
        <v>0</v>
      </c>
      <c r="AL31" s="317">
        <f t="shared" si="81"/>
        <v>0</v>
      </c>
      <c r="AM31" s="309"/>
      <c r="AN31" s="338" t="e">
        <f>SUM(AJ31:AL31)/SUM(X31:Z31)</f>
        <v>#DIV/0!</v>
      </c>
      <c r="AO31" s="339" t="e">
        <f t="shared" si="23"/>
        <v>#DIV/0!</v>
      </c>
      <c r="AP31" s="309"/>
      <c r="AQ31" s="315">
        <f>SUM(AQ29:AQ30)</f>
        <v>0</v>
      </c>
      <c r="AR31" s="316">
        <f t="shared" ref="AR31:AS31" si="82">SUM(AR29:AR30)</f>
        <v>0</v>
      </c>
      <c r="AS31" s="317">
        <f t="shared" si="82"/>
        <v>0</v>
      </c>
      <c r="AT31" s="309"/>
      <c r="AU31" s="310"/>
      <c r="AV31" s="310"/>
      <c r="AW31" s="309"/>
    </row>
    <row r="32" spans="1:52" x14ac:dyDescent="0.2">
      <c r="A32" s="86">
        <f t="shared" si="4"/>
        <v>25</v>
      </c>
      <c r="B32" s="725" t="str">
        <f>'WA Volumes &amp; Revenues'!B29</f>
        <v>41C Firm Transpt</v>
      </c>
      <c r="C32" s="726" t="s">
        <v>4</v>
      </c>
      <c r="D32" s="157"/>
      <c r="E32" s="122">
        <f>'Rates in Detail'!R27-'Rates in Detail'!N27</f>
        <v>5.8799999999999963E-2</v>
      </c>
      <c r="F32" s="122">
        <f>'Rates in Detail'!V27</f>
        <v>-8.2299999999999995E-3</v>
      </c>
      <c r="G32" s="157"/>
      <c r="H32" s="157"/>
      <c r="I32" s="373">
        <f>'Rev Req Proof Yr1'!H32</f>
        <v>0.34791</v>
      </c>
      <c r="J32" s="774">
        <f t="shared" si="11"/>
        <v>0.40670999999999996</v>
      </c>
      <c r="K32" s="157"/>
      <c r="L32" s="155">
        <f>'Rev Req Proof Yr1'!K32</f>
        <v>500</v>
      </c>
      <c r="M32" s="156">
        <f>'Rev Req Proof Yr1'!L32</f>
        <v>500</v>
      </c>
      <c r="N32" s="122">
        <f>'Rev Req Proof Yr1'!M32</f>
        <v>0</v>
      </c>
      <c r="O32" s="122">
        <f>'Rev Req Proof Yr1'!N32</f>
        <v>0</v>
      </c>
      <c r="P32" s="122">
        <f>'Rev Req Proof Yr1'!O32</f>
        <v>0</v>
      </c>
      <c r="Q32" s="774">
        <f>'Rev Req Proof Yr1'!P32</f>
        <v>0</v>
      </c>
      <c r="R32" s="157"/>
      <c r="S32" s="298">
        <f>'Rev Req Proof Yr1'!R32</f>
        <v>168721</v>
      </c>
      <c r="T32" s="299"/>
      <c r="U32" s="300">
        <f>'Rev Req Proof Yr1'!T32</f>
        <v>7.916666666666667</v>
      </c>
      <c r="V32" s="301">
        <f>'Rev Req Proof Yr1'!U32</f>
        <v>4648</v>
      </c>
      <c r="W32" s="157"/>
      <c r="X32" s="313">
        <f t="shared" ref="X32:X33" si="83">(I32*S32)</f>
        <v>58699.723109999999</v>
      </c>
      <c r="Y32" s="309">
        <f t="shared" ref="Y32:Y33" si="84">(L32*U32*12)</f>
        <v>47500</v>
      </c>
      <c r="Z32" s="314">
        <f t="shared" ref="Z32:Z33" si="85">(T32*(N32+P32))*12</f>
        <v>0</v>
      </c>
      <c r="AA32" s="309"/>
      <c r="AB32" s="313">
        <f t="shared" ref="AB32:AB33" si="86">(J32*S32)</f>
        <v>68620.517909999995</v>
      </c>
      <c r="AC32" s="309">
        <f t="shared" ref="AC32:AC33" si="87">(M32*U32*12)</f>
        <v>47500</v>
      </c>
      <c r="AD32" s="314">
        <f t="shared" ref="AD32:AD33" si="88">(T32*(O32+Q32))*12</f>
        <v>0</v>
      </c>
      <c r="AE32" s="309"/>
      <c r="AF32" s="313">
        <f t="shared" ref="AF32:AF33" si="89">(F32*S32)</f>
        <v>-1388.5738299999998</v>
      </c>
      <c r="AG32" s="309">
        <v>0</v>
      </c>
      <c r="AH32" s="314">
        <v>0</v>
      </c>
      <c r="AI32" s="309"/>
      <c r="AJ32" s="313">
        <f t="shared" ref="AJ32:AJ33" si="90">AB32-X32+AF32</f>
        <v>8532.2209699999967</v>
      </c>
      <c r="AK32" s="309">
        <f t="shared" ref="AK32:AK33" si="91">AC32-Y32-AG32</f>
        <v>0</v>
      </c>
      <c r="AL32" s="314">
        <f t="shared" ref="AL32:AL33" si="92">AD32-Z32-AH32</f>
        <v>0</v>
      </c>
      <c r="AM32" s="309"/>
      <c r="AN32" s="338"/>
      <c r="AO32" s="340">
        <f t="shared" ref="AO32:AO34" si="93">SUM(AJ32)/SUM(X32)</f>
        <v>0.14535368342387395</v>
      </c>
      <c r="AP32" s="309"/>
      <c r="AQ32" s="313">
        <f t="shared" ref="AQ32:AQ33" si="94">(G32*S32)</f>
        <v>0</v>
      </c>
      <c r="AR32" s="309">
        <v>0</v>
      </c>
      <c r="AS32" s="314">
        <v>0</v>
      </c>
      <c r="AT32" s="309"/>
      <c r="AU32" s="310"/>
      <c r="AV32" s="310"/>
      <c r="AW32" s="309"/>
      <c r="AX32" s="653"/>
      <c r="AY32" s="474"/>
    </row>
    <row r="33" spans="1:51" x14ac:dyDescent="0.2">
      <c r="A33" s="86">
        <f t="shared" si="4"/>
        <v>26</v>
      </c>
      <c r="B33" s="725"/>
      <c r="C33" s="726" t="s">
        <v>5</v>
      </c>
      <c r="D33" s="157"/>
      <c r="E33" s="122">
        <f>'Rates in Detail'!R28-'Rates in Detail'!N28</f>
        <v>5.1810000000000023E-2</v>
      </c>
      <c r="F33" s="122">
        <f>'Rates in Detail'!V28</f>
        <v>-7.2500000000000004E-3</v>
      </c>
      <c r="G33" s="157"/>
      <c r="H33" s="157"/>
      <c r="I33" s="373">
        <f>'Rev Req Proof Yr1'!H33</f>
        <v>0.30653000000000002</v>
      </c>
      <c r="J33" s="774">
        <f t="shared" si="11"/>
        <v>0.35834000000000005</v>
      </c>
      <c r="K33" s="157"/>
      <c r="L33" s="155"/>
      <c r="M33" s="156"/>
      <c r="N33" s="122"/>
      <c r="O33" s="122"/>
      <c r="P33" s="122"/>
      <c r="Q33" s="774"/>
      <c r="R33" s="157"/>
      <c r="S33" s="298">
        <f>'Rev Req Proof Yr1'!R33</f>
        <v>272866</v>
      </c>
      <c r="T33" s="299"/>
      <c r="U33" s="300"/>
      <c r="V33" s="301"/>
      <c r="W33" s="157"/>
      <c r="X33" s="313">
        <f t="shared" si="83"/>
        <v>83641.614980000013</v>
      </c>
      <c r="Y33" s="309">
        <f t="shared" si="84"/>
        <v>0</v>
      </c>
      <c r="Z33" s="314">
        <f t="shared" si="85"/>
        <v>0</v>
      </c>
      <c r="AA33" s="309"/>
      <c r="AB33" s="313">
        <f t="shared" si="86"/>
        <v>97778.802440000014</v>
      </c>
      <c r="AC33" s="309">
        <f t="shared" si="87"/>
        <v>0</v>
      </c>
      <c r="AD33" s="314">
        <f t="shared" si="88"/>
        <v>0</v>
      </c>
      <c r="AE33" s="309"/>
      <c r="AF33" s="313">
        <f t="shared" si="89"/>
        <v>-1978.2785000000001</v>
      </c>
      <c r="AG33" s="309">
        <v>0</v>
      </c>
      <c r="AH33" s="314">
        <v>0</v>
      </c>
      <c r="AI33" s="309"/>
      <c r="AJ33" s="313">
        <f t="shared" si="90"/>
        <v>12158.908960000001</v>
      </c>
      <c r="AK33" s="309">
        <f t="shared" si="91"/>
        <v>0</v>
      </c>
      <c r="AL33" s="314">
        <f t="shared" si="92"/>
        <v>0</v>
      </c>
      <c r="AM33" s="309"/>
      <c r="AN33" s="338"/>
      <c r="AO33" s="340">
        <f t="shared" si="93"/>
        <v>0.14536913189573614</v>
      </c>
      <c r="AP33" s="309"/>
      <c r="AQ33" s="313">
        <f t="shared" si="94"/>
        <v>0</v>
      </c>
      <c r="AR33" s="309">
        <v>0</v>
      </c>
      <c r="AS33" s="314">
        <v>0</v>
      </c>
      <c r="AT33" s="309"/>
      <c r="AU33" s="310"/>
      <c r="AV33" s="310"/>
      <c r="AW33" s="309"/>
      <c r="AX33" s="57"/>
      <c r="AY33" s="652"/>
    </row>
    <row r="34" spans="1:51" x14ac:dyDescent="0.2">
      <c r="A34" s="86">
        <f t="shared" si="4"/>
        <v>27</v>
      </c>
      <c r="B34" s="723"/>
      <c r="C34" s="742" t="s">
        <v>78</v>
      </c>
      <c r="D34" s="153"/>
      <c r="E34" s="123"/>
      <c r="F34" s="123"/>
      <c r="G34" s="153"/>
      <c r="H34" s="153"/>
      <c r="I34" s="368"/>
      <c r="J34" s="773"/>
      <c r="K34" s="157"/>
      <c r="L34" s="155"/>
      <c r="M34" s="156"/>
      <c r="N34" s="122"/>
      <c r="O34" s="122"/>
      <c r="P34" s="122"/>
      <c r="Q34" s="774"/>
      <c r="R34" s="157"/>
      <c r="S34" s="298"/>
      <c r="T34" s="299"/>
      <c r="U34" s="300"/>
      <c r="V34" s="301"/>
      <c r="W34" s="157"/>
      <c r="X34" s="315">
        <f>SUM(X32:X33)</f>
        <v>142341.33809</v>
      </c>
      <c r="Y34" s="316">
        <f t="shared" ref="Y34:Z34" si="95">SUM(Y32:Y33)</f>
        <v>47500</v>
      </c>
      <c r="Z34" s="317">
        <f t="shared" si="95"/>
        <v>0</v>
      </c>
      <c r="AA34" s="309"/>
      <c r="AB34" s="315">
        <f>SUM(AB32:AB33)</f>
        <v>166399.32034999999</v>
      </c>
      <c r="AC34" s="316">
        <f t="shared" ref="AC34:AD34" si="96">SUM(AC32:AC33)</f>
        <v>47500</v>
      </c>
      <c r="AD34" s="317">
        <f t="shared" si="96"/>
        <v>0</v>
      </c>
      <c r="AE34" s="309"/>
      <c r="AF34" s="315">
        <f>SUM(AF32:AF33)</f>
        <v>-3366.8523299999997</v>
      </c>
      <c r="AG34" s="316">
        <f t="shared" ref="AG34:AH34" si="97">SUM(AG32:AG33)</f>
        <v>0</v>
      </c>
      <c r="AH34" s="317">
        <f t="shared" si="97"/>
        <v>0</v>
      </c>
      <c r="AI34" s="309"/>
      <c r="AJ34" s="315">
        <f>SUM(AJ32:AJ33)</f>
        <v>20691.129929999996</v>
      </c>
      <c r="AK34" s="316">
        <f t="shared" ref="AK34:AL34" si="98">SUM(AK32:AK33)</f>
        <v>0</v>
      </c>
      <c r="AL34" s="317">
        <f t="shared" si="98"/>
        <v>0</v>
      </c>
      <c r="AM34" s="309"/>
      <c r="AN34" s="338">
        <f>SUM(AJ34:AL34)/SUM(X34:Z34)</f>
        <v>0.10899169874261391</v>
      </c>
      <c r="AO34" s="339">
        <f t="shared" si="93"/>
        <v>0.1453627611461496</v>
      </c>
      <c r="AP34" s="309"/>
      <c r="AQ34" s="315">
        <f>SUM(AQ32:AQ33)</f>
        <v>0</v>
      </c>
      <c r="AR34" s="316">
        <f t="shared" ref="AR34:AS34" si="99">SUM(AR32:AR33)</f>
        <v>0</v>
      </c>
      <c r="AS34" s="317">
        <f t="shared" si="99"/>
        <v>0</v>
      </c>
      <c r="AT34" s="309"/>
      <c r="AU34" s="310"/>
      <c r="AV34" s="310"/>
      <c r="AW34" s="309"/>
    </row>
    <row r="35" spans="1:51" x14ac:dyDescent="0.2">
      <c r="A35" s="86">
        <f t="shared" si="4"/>
        <v>28</v>
      </c>
      <c r="B35" s="725" t="str">
        <f>'WA Volumes &amp; Revenues'!B31</f>
        <v>41I Firm Transpt</v>
      </c>
      <c r="C35" s="726" t="s">
        <v>4</v>
      </c>
      <c r="D35" s="157"/>
      <c r="E35" s="122">
        <f>'Rates in Detail'!R29-'Rates in Detail'!N29</f>
        <v>4.0830000000000033E-2</v>
      </c>
      <c r="F35" s="122">
        <f>'Rates in Detail'!V29</f>
        <v>-6.1700000000000001E-3</v>
      </c>
      <c r="G35" s="157"/>
      <c r="H35" s="157"/>
      <c r="I35" s="373">
        <f>'Rev Req Proof Yr1'!H35</f>
        <v>0.34791</v>
      </c>
      <c r="J35" s="774">
        <f t="shared" si="11"/>
        <v>0.38874000000000003</v>
      </c>
      <c r="K35" s="157"/>
      <c r="L35" s="155">
        <f>'Rev Req Proof Yr1'!K35</f>
        <v>500</v>
      </c>
      <c r="M35" s="156">
        <f>'Rev Req Proof Yr1'!L35</f>
        <v>500</v>
      </c>
      <c r="N35" s="122">
        <f>'Rev Req Proof Yr1'!M35</f>
        <v>0</v>
      </c>
      <c r="O35" s="122">
        <f>'Rev Req Proof Yr1'!N35</f>
        <v>0</v>
      </c>
      <c r="P35" s="122">
        <f>'Rev Req Proof Yr1'!O35</f>
        <v>0</v>
      </c>
      <c r="Q35" s="774">
        <f>'Rev Req Proof Yr1'!P35</f>
        <v>0</v>
      </c>
      <c r="R35" s="157"/>
      <c r="S35" s="298">
        <f>'Rev Req Proof Yr1'!R35</f>
        <v>0</v>
      </c>
      <c r="T35" s="299"/>
      <c r="U35" s="300">
        <f>'Rev Req Proof Yr1'!T35</f>
        <v>0</v>
      </c>
      <c r="V35" s="301">
        <f>'Rev Req Proof Yr1'!U35</f>
        <v>0</v>
      </c>
      <c r="W35" s="157"/>
      <c r="X35" s="313">
        <f t="shared" ref="X35:X36" si="100">(I35*S35)</f>
        <v>0</v>
      </c>
      <c r="Y35" s="309">
        <f t="shared" ref="Y35:Y36" si="101">(L35*U35*12)</f>
        <v>0</v>
      </c>
      <c r="Z35" s="314">
        <f t="shared" ref="Z35:Z36" si="102">(T35*(N35+P35))*12</f>
        <v>0</v>
      </c>
      <c r="AA35" s="309"/>
      <c r="AB35" s="313">
        <f t="shared" ref="AB35:AB36" si="103">(J35*S35)</f>
        <v>0</v>
      </c>
      <c r="AC35" s="309">
        <f t="shared" ref="AC35:AC36" si="104">(M35*U35*12)</f>
        <v>0</v>
      </c>
      <c r="AD35" s="314">
        <f t="shared" ref="AD35:AD36" si="105">(T35*(O35+Q35))*12</f>
        <v>0</v>
      </c>
      <c r="AE35" s="309"/>
      <c r="AF35" s="313">
        <f t="shared" ref="AF35:AF36" si="106">(F35*S35)</f>
        <v>0</v>
      </c>
      <c r="AG35" s="309">
        <v>0</v>
      </c>
      <c r="AH35" s="314">
        <v>0</v>
      </c>
      <c r="AI35" s="309"/>
      <c r="AJ35" s="313">
        <f t="shared" ref="AJ35:AJ36" si="107">AB35-X35+AF35</f>
        <v>0</v>
      </c>
      <c r="AK35" s="309">
        <f t="shared" ref="AK35:AK36" si="108">AC35-Y35-AG35</f>
        <v>0</v>
      </c>
      <c r="AL35" s="314">
        <f t="shared" ref="AL35:AL36" si="109">AD35-Z35-AH35</f>
        <v>0</v>
      </c>
      <c r="AM35" s="309"/>
      <c r="AN35" s="338"/>
      <c r="AO35" s="340" t="e">
        <f t="shared" si="23"/>
        <v>#DIV/0!</v>
      </c>
      <c r="AP35" s="309"/>
      <c r="AQ35" s="313">
        <f t="shared" ref="AQ35:AQ36" si="110">(G35*S35)</f>
        <v>0</v>
      </c>
      <c r="AR35" s="309">
        <v>0</v>
      </c>
      <c r="AS35" s="314">
        <v>0</v>
      </c>
      <c r="AT35" s="309"/>
      <c r="AU35" s="310"/>
      <c r="AV35" s="310"/>
      <c r="AW35" s="309"/>
    </row>
    <row r="36" spans="1:51" x14ac:dyDescent="0.2">
      <c r="A36" s="86">
        <f t="shared" si="4"/>
        <v>29</v>
      </c>
      <c r="B36" s="725"/>
      <c r="C36" s="726" t="s">
        <v>5</v>
      </c>
      <c r="D36" s="157"/>
      <c r="E36" s="122">
        <f>'Rates in Detail'!R30-'Rates in Detail'!N30</f>
        <v>3.5980000000000012E-2</v>
      </c>
      <c r="F36" s="122">
        <f>'Rates in Detail'!V30</f>
        <v>-5.4400000000000004E-3</v>
      </c>
      <c r="G36" s="157"/>
      <c r="H36" s="157"/>
      <c r="I36" s="373">
        <f>'Rev Req Proof Yr1'!H36</f>
        <v>0.30653000000000002</v>
      </c>
      <c r="J36" s="774">
        <f t="shared" si="11"/>
        <v>0.34251000000000004</v>
      </c>
      <c r="K36" s="157"/>
      <c r="L36" s="273"/>
      <c r="M36" s="55"/>
      <c r="N36" s="122"/>
      <c r="O36" s="122"/>
      <c r="P36" s="122"/>
      <c r="Q36" s="774"/>
      <c r="R36" s="157"/>
      <c r="S36" s="298">
        <f>'Rev Req Proof Yr1'!R36</f>
        <v>0</v>
      </c>
      <c r="T36" s="299"/>
      <c r="U36" s="300"/>
      <c r="V36" s="301"/>
      <c r="W36" s="157"/>
      <c r="X36" s="313">
        <f t="shared" si="100"/>
        <v>0</v>
      </c>
      <c r="Y36" s="309">
        <f t="shared" si="101"/>
        <v>0</v>
      </c>
      <c r="Z36" s="314">
        <f t="shared" si="102"/>
        <v>0</v>
      </c>
      <c r="AA36" s="309"/>
      <c r="AB36" s="313">
        <f t="shared" si="103"/>
        <v>0</v>
      </c>
      <c r="AC36" s="309">
        <f t="shared" si="104"/>
        <v>0</v>
      </c>
      <c r="AD36" s="314">
        <f t="shared" si="105"/>
        <v>0</v>
      </c>
      <c r="AE36" s="309"/>
      <c r="AF36" s="313">
        <f t="shared" si="106"/>
        <v>0</v>
      </c>
      <c r="AG36" s="309">
        <v>0</v>
      </c>
      <c r="AH36" s="314">
        <v>0</v>
      </c>
      <c r="AI36" s="309"/>
      <c r="AJ36" s="313">
        <f t="shared" si="107"/>
        <v>0</v>
      </c>
      <c r="AK36" s="309">
        <f t="shared" si="108"/>
        <v>0</v>
      </c>
      <c r="AL36" s="314">
        <f t="shared" si="109"/>
        <v>0</v>
      </c>
      <c r="AM36" s="309"/>
      <c r="AN36" s="338"/>
      <c r="AO36" s="340" t="e">
        <f t="shared" si="23"/>
        <v>#DIV/0!</v>
      </c>
      <c r="AP36" s="309"/>
      <c r="AQ36" s="313">
        <f t="shared" si="110"/>
        <v>0</v>
      </c>
      <c r="AR36" s="309">
        <v>0</v>
      </c>
      <c r="AS36" s="314">
        <v>0</v>
      </c>
      <c r="AT36" s="309"/>
      <c r="AU36" s="310"/>
      <c r="AV36" s="310"/>
      <c r="AW36" s="309"/>
    </row>
    <row r="37" spans="1:51" x14ac:dyDescent="0.2">
      <c r="A37" s="86">
        <f t="shared" si="4"/>
        <v>30</v>
      </c>
      <c r="B37" s="723"/>
      <c r="C37" s="742" t="s">
        <v>78</v>
      </c>
      <c r="D37" s="153"/>
      <c r="E37" s="123"/>
      <c r="F37" s="123"/>
      <c r="G37" s="153"/>
      <c r="H37" s="153"/>
      <c r="I37" s="368"/>
      <c r="J37" s="773"/>
      <c r="K37" s="157"/>
      <c r="L37" s="273"/>
      <c r="M37" s="55"/>
      <c r="N37" s="122"/>
      <c r="O37" s="122"/>
      <c r="P37" s="122"/>
      <c r="Q37" s="774"/>
      <c r="R37" s="157"/>
      <c r="S37" s="298"/>
      <c r="T37" s="299"/>
      <c r="U37" s="300"/>
      <c r="V37" s="301"/>
      <c r="W37" s="157"/>
      <c r="X37" s="315">
        <f>SUM(X35:X36)</f>
        <v>0</v>
      </c>
      <c r="Y37" s="316">
        <f t="shared" ref="Y37:Z37" si="111">SUM(Y35:Y36)</f>
        <v>0</v>
      </c>
      <c r="Z37" s="317">
        <f t="shared" si="111"/>
        <v>0</v>
      </c>
      <c r="AA37" s="309"/>
      <c r="AB37" s="315">
        <f>SUM(AB35:AB36)</f>
        <v>0</v>
      </c>
      <c r="AC37" s="316">
        <f t="shared" ref="AC37:AD37" si="112">SUM(AC35:AC36)</f>
        <v>0</v>
      </c>
      <c r="AD37" s="317">
        <f t="shared" si="112"/>
        <v>0</v>
      </c>
      <c r="AE37" s="309"/>
      <c r="AF37" s="315">
        <f>SUM(AF35:AF36)</f>
        <v>0</v>
      </c>
      <c r="AG37" s="316">
        <f t="shared" ref="AG37:AH37" si="113">SUM(AG35:AG36)</f>
        <v>0</v>
      </c>
      <c r="AH37" s="317">
        <f t="shared" si="113"/>
        <v>0</v>
      </c>
      <c r="AI37" s="309"/>
      <c r="AJ37" s="315">
        <f>SUM(AJ35:AJ36)</f>
        <v>0</v>
      </c>
      <c r="AK37" s="316">
        <f t="shared" ref="AK37:AL37" si="114">SUM(AK35:AK36)</f>
        <v>0</v>
      </c>
      <c r="AL37" s="317">
        <f t="shared" si="114"/>
        <v>0</v>
      </c>
      <c r="AM37" s="309"/>
      <c r="AN37" s="338" t="e">
        <f>SUM(AJ37:AL37)/SUM(X37:Z37)</f>
        <v>#DIV/0!</v>
      </c>
      <c r="AO37" s="339" t="e">
        <f t="shared" si="23"/>
        <v>#DIV/0!</v>
      </c>
      <c r="AP37" s="309"/>
      <c r="AQ37" s="315">
        <f>SUM(AQ35:AQ36)</f>
        <v>0</v>
      </c>
      <c r="AR37" s="316">
        <f t="shared" ref="AR37:AS37" si="115">SUM(AR35:AR36)</f>
        <v>0</v>
      </c>
      <c r="AS37" s="317">
        <f t="shared" si="115"/>
        <v>0</v>
      </c>
      <c r="AT37" s="309"/>
      <c r="AU37" s="310"/>
      <c r="AV37" s="310"/>
      <c r="AW37" s="309"/>
    </row>
    <row r="38" spans="1:51" x14ac:dyDescent="0.2">
      <c r="A38" s="86">
        <f t="shared" si="4"/>
        <v>31</v>
      </c>
      <c r="B38" s="725" t="str">
        <f>'WA Volumes &amp; Revenues'!B33</f>
        <v>42C Firm Sales</v>
      </c>
      <c r="C38" s="726" t="s">
        <v>4</v>
      </c>
      <c r="D38" s="157"/>
      <c r="E38" s="122">
        <f>'Rates in Detail'!R31-'Rates in Detail'!N31</f>
        <v>4.1859999999999981E-2</v>
      </c>
      <c r="F38" s="122">
        <f>'Rates in Detail'!V31</f>
        <v>-1.6459999999999999E-2</v>
      </c>
      <c r="G38" s="157"/>
      <c r="H38" s="157"/>
      <c r="I38" s="373">
        <f>'Rev Req Proof Yr1'!H38</f>
        <v>0.15246000000000001</v>
      </c>
      <c r="J38" s="774">
        <f t="shared" si="11"/>
        <v>0.19431999999999999</v>
      </c>
      <c r="K38" s="157"/>
      <c r="L38" s="155">
        <f>'Rev Req Proof Yr1'!K38</f>
        <v>1300</v>
      </c>
      <c r="M38" s="156">
        <f>'Rev Req Proof Yr1'!L38</f>
        <v>1300</v>
      </c>
      <c r="N38" s="122">
        <f>'Rev Req Proof Yr1'!M38</f>
        <v>0.15748000000000001</v>
      </c>
      <c r="O38" s="122">
        <f>'Rev Req Proof Yr1'!N38</f>
        <v>0.15748000000000001</v>
      </c>
      <c r="P38" s="122">
        <f>'Rev Req Proof Yr1'!O38</f>
        <v>0.20415</v>
      </c>
      <c r="Q38" s="774">
        <f>'Rev Req Proof Yr1'!P38</f>
        <v>0.20415</v>
      </c>
      <c r="R38" s="157"/>
      <c r="S38" s="298">
        <f>'Rev Req Proof Yr1'!R38</f>
        <v>350769.66174469434</v>
      </c>
      <c r="T38" s="299">
        <f>'Rev Req Proof Yr1'!S38</f>
        <v>6761</v>
      </c>
      <c r="U38" s="300">
        <f>'Rev Req Proof Yr1'!T38</f>
        <v>5</v>
      </c>
      <c r="V38" s="301">
        <f>'Rev Req Proof Yr1'!U38</f>
        <v>11949</v>
      </c>
      <c r="W38" s="157"/>
      <c r="X38" s="313">
        <f t="shared" ref="X38:X43" si="116">(I38*S38)</f>
        <v>53478.342629596104</v>
      </c>
      <c r="Y38" s="309">
        <f t="shared" ref="Y38:Y43" si="117">(L38*U38*12)</f>
        <v>78000</v>
      </c>
      <c r="Z38" s="314">
        <f t="shared" ref="Z38:Z43" si="118">(T38*(N38+P38))*12</f>
        <v>29339.765160000003</v>
      </c>
      <c r="AA38" s="309"/>
      <c r="AB38" s="313">
        <f t="shared" ref="AB38:AB43" si="119">(J38*S38)</f>
        <v>68161.560670228995</v>
      </c>
      <c r="AC38" s="309">
        <f t="shared" ref="AC38:AC43" si="120">(M38*U38*12)</f>
        <v>78000</v>
      </c>
      <c r="AD38" s="314">
        <f t="shared" ref="AD38:AD43" si="121">(T38*(O38+Q38))*12</f>
        <v>29339.765160000003</v>
      </c>
      <c r="AE38" s="309"/>
      <c r="AF38" s="313">
        <f t="shared" ref="AF38:AF43" si="122">(F38*S38)</f>
        <v>-5773.6686323176682</v>
      </c>
      <c r="AG38" s="309">
        <v>0</v>
      </c>
      <c r="AH38" s="314">
        <v>0</v>
      </c>
      <c r="AI38" s="309"/>
      <c r="AJ38" s="313">
        <f t="shared" ref="AJ38:AJ43" si="123">AB38-X38+AF38</f>
        <v>8909.5494083152225</v>
      </c>
      <c r="AK38" s="309">
        <f t="shared" ref="AK38:AK43" si="124">AC38-Y38-AG38</f>
        <v>0</v>
      </c>
      <c r="AL38" s="314">
        <f t="shared" ref="AL38:AL43" si="125">AD38-Z38-AH38</f>
        <v>0</v>
      </c>
      <c r="AM38" s="309"/>
      <c r="AN38" s="338"/>
      <c r="AO38" s="340">
        <f t="shared" si="23"/>
        <v>0.16660107569198451</v>
      </c>
      <c r="AP38" s="309"/>
      <c r="AQ38" s="313">
        <f t="shared" ref="AQ38:AQ43" si="126">(G38*S38)</f>
        <v>0</v>
      </c>
      <c r="AR38" s="309">
        <v>0</v>
      </c>
      <c r="AS38" s="314">
        <v>0</v>
      </c>
      <c r="AT38" s="309"/>
      <c r="AU38" s="310"/>
      <c r="AV38" s="310"/>
      <c r="AW38" s="309"/>
    </row>
    <row r="39" spans="1:51" x14ac:dyDescent="0.2">
      <c r="A39" s="86">
        <f t="shared" si="4"/>
        <v>32</v>
      </c>
      <c r="B39" s="725"/>
      <c r="C39" s="726" t="s">
        <v>5</v>
      </c>
      <c r="D39" s="157"/>
      <c r="E39" s="122">
        <f>'Rates in Detail'!R32-'Rates in Detail'!N32</f>
        <v>3.7459999999999993E-2</v>
      </c>
      <c r="F39" s="122">
        <f>'Rates in Detail'!V32</f>
        <v>-1.474E-2</v>
      </c>
      <c r="G39" s="157"/>
      <c r="H39" s="157"/>
      <c r="I39" s="373">
        <f>'Rev Req Proof Yr1'!H39</f>
        <v>0.13647000000000001</v>
      </c>
      <c r="J39" s="774">
        <f t="shared" si="11"/>
        <v>0.17393</v>
      </c>
      <c r="K39" s="157"/>
      <c r="L39" s="155"/>
      <c r="M39" s="156"/>
      <c r="N39" s="122"/>
      <c r="O39" s="122"/>
      <c r="P39" s="122"/>
      <c r="Q39" s="774"/>
      <c r="R39" s="157"/>
      <c r="S39" s="298">
        <f>'Rev Req Proof Yr1'!R39</f>
        <v>303088.75426472601</v>
      </c>
      <c r="T39" s="299"/>
      <c r="U39" s="300"/>
      <c r="V39" s="301"/>
      <c r="W39" s="157"/>
      <c r="X39" s="313">
        <f t="shared" si="116"/>
        <v>41362.522294507158</v>
      </c>
      <c r="Y39" s="309">
        <f t="shared" si="117"/>
        <v>0</v>
      </c>
      <c r="Z39" s="314">
        <f t="shared" si="118"/>
        <v>0</v>
      </c>
      <c r="AA39" s="309"/>
      <c r="AB39" s="313">
        <f t="shared" si="119"/>
        <v>52716.227029263799</v>
      </c>
      <c r="AC39" s="309">
        <f t="shared" si="120"/>
        <v>0</v>
      </c>
      <c r="AD39" s="314">
        <f t="shared" si="121"/>
        <v>0</v>
      </c>
      <c r="AE39" s="309"/>
      <c r="AF39" s="313">
        <f t="shared" si="122"/>
        <v>-4467.5282378620614</v>
      </c>
      <c r="AG39" s="309">
        <v>0</v>
      </c>
      <c r="AH39" s="314">
        <v>0</v>
      </c>
      <c r="AI39" s="309"/>
      <c r="AJ39" s="313">
        <f t="shared" si="123"/>
        <v>6886.176496894579</v>
      </c>
      <c r="AK39" s="309">
        <f t="shared" si="124"/>
        <v>0</v>
      </c>
      <c r="AL39" s="314">
        <f t="shared" si="125"/>
        <v>0</v>
      </c>
      <c r="AM39" s="309"/>
      <c r="AN39" s="338"/>
      <c r="AO39" s="340">
        <f t="shared" si="23"/>
        <v>0.16648347622188037</v>
      </c>
      <c r="AP39" s="309"/>
      <c r="AQ39" s="313">
        <f t="shared" si="126"/>
        <v>0</v>
      </c>
      <c r="AR39" s="309">
        <v>0</v>
      </c>
      <c r="AS39" s="314">
        <v>0</v>
      </c>
      <c r="AT39" s="309"/>
      <c r="AU39" s="310"/>
      <c r="AV39" s="310"/>
      <c r="AW39" s="309"/>
    </row>
    <row r="40" spans="1:51" x14ac:dyDescent="0.2">
      <c r="A40" s="86">
        <f t="shared" si="4"/>
        <v>33</v>
      </c>
      <c r="B40" s="725"/>
      <c r="C40" s="726" t="s">
        <v>6</v>
      </c>
      <c r="D40" s="157"/>
      <c r="E40" s="122">
        <f>'Rates in Detail'!R33-'Rates in Detail'!N33</f>
        <v>2.8739999999999988E-2</v>
      </c>
      <c r="F40" s="122">
        <f>'Rates in Detail'!V33</f>
        <v>-1.1300000000000001E-2</v>
      </c>
      <c r="G40" s="157"/>
      <c r="H40" s="157"/>
      <c r="I40" s="373">
        <f>'Rev Req Proof Yr1'!H40</f>
        <v>0.10467</v>
      </c>
      <c r="J40" s="774">
        <f t="shared" si="11"/>
        <v>0.13340999999999997</v>
      </c>
      <c r="K40" s="157"/>
      <c r="L40" s="273"/>
      <c r="M40" s="55"/>
      <c r="N40" s="122"/>
      <c r="O40" s="122"/>
      <c r="P40" s="122"/>
      <c r="Q40" s="774"/>
      <c r="R40" s="157"/>
      <c r="S40" s="298">
        <f>'Rev Req Proof Yr1'!R40</f>
        <v>59441.942130257296</v>
      </c>
      <c r="T40" s="299"/>
      <c r="U40" s="300"/>
      <c r="V40" s="301"/>
      <c r="W40" s="157"/>
      <c r="X40" s="313">
        <f t="shared" si="116"/>
        <v>6221.788082774031</v>
      </c>
      <c r="Y40" s="309">
        <f t="shared" si="117"/>
        <v>0</v>
      </c>
      <c r="Z40" s="314">
        <f t="shared" si="118"/>
        <v>0</v>
      </c>
      <c r="AA40" s="309"/>
      <c r="AB40" s="313">
        <f t="shared" si="119"/>
        <v>7930.1494995976245</v>
      </c>
      <c r="AC40" s="309">
        <f t="shared" si="120"/>
        <v>0</v>
      </c>
      <c r="AD40" s="314">
        <f t="shared" si="121"/>
        <v>0</v>
      </c>
      <c r="AE40" s="309"/>
      <c r="AF40" s="313">
        <f t="shared" si="122"/>
        <v>-671.69394607190748</v>
      </c>
      <c r="AG40" s="309">
        <v>0</v>
      </c>
      <c r="AH40" s="314">
        <v>0</v>
      </c>
      <c r="AI40" s="309"/>
      <c r="AJ40" s="313">
        <f t="shared" si="123"/>
        <v>1036.6674707516861</v>
      </c>
      <c r="AK40" s="309">
        <f t="shared" si="124"/>
        <v>0</v>
      </c>
      <c r="AL40" s="314">
        <f t="shared" si="125"/>
        <v>0</v>
      </c>
      <c r="AM40" s="309"/>
      <c r="AN40" s="338"/>
      <c r="AO40" s="340">
        <f t="shared" si="23"/>
        <v>0.16661889748734099</v>
      </c>
      <c r="AP40" s="309"/>
      <c r="AQ40" s="313">
        <f t="shared" si="126"/>
        <v>0</v>
      </c>
      <c r="AR40" s="309">
        <v>0</v>
      </c>
      <c r="AS40" s="314">
        <v>0</v>
      </c>
      <c r="AT40" s="309"/>
      <c r="AU40" s="310"/>
      <c r="AV40" s="310"/>
      <c r="AW40" s="309"/>
    </row>
    <row r="41" spans="1:51" x14ac:dyDescent="0.2">
      <c r="A41" s="86">
        <f t="shared" si="4"/>
        <v>34</v>
      </c>
      <c r="B41" s="725"/>
      <c r="C41" s="726" t="s">
        <v>7</v>
      </c>
      <c r="D41" s="157"/>
      <c r="E41" s="122">
        <f>'Rates in Detail'!R34-'Rates in Detail'!N34</f>
        <v>2.2980000000000014E-2</v>
      </c>
      <c r="F41" s="122">
        <f>'Rates in Detail'!V34</f>
        <v>-9.0399999999999994E-3</v>
      </c>
      <c r="G41" s="157"/>
      <c r="H41" s="157"/>
      <c r="I41" s="373">
        <f>'Rev Req Proof Yr1'!H41</f>
        <v>8.3729999999999999E-2</v>
      </c>
      <c r="J41" s="774">
        <f t="shared" si="11"/>
        <v>0.10671000000000001</v>
      </c>
      <c r="K41" s="157"/>
      <c r="L41" s="155"/>
      <c r="M41" s="156"/>
      <c r="N41" s="122"/>
      <c r="O41" s="122"/>
      <c r="P41" s="122"/>
      <c r="Q41" s="774"/>
      <c r="R41" s="157"/>
      <c r="S41" s="298">
        <f>'Rev Req Proof Yr1'!R41</f>
        <v>3614.6071898605187</v>
      </c>
      <c r="T41" s="299"/>
      <c r="U41" s="300"/>
      <c r="V41" s="301"/>
      <c r="W41" s="157"/>
      <c r="X41" s="313">
        <f t="shared" si="116"/>
        <v>302.65106000702121</v>
      </c>
      <c r="Y41" s="309">
        <f t="shared" si="117"/>
        <v>0</v>
      </c>
      <c r="Z41" s="314">
        <f t="shared" si="118"/>
        <v>0</v>
      </c>
      <c r="AA41" s="309"/>
      <c r="AB41" s="313">
        <f t="shared" si="119"/>
        <v>385.71473323001601</v>
      </c>
      <c r="AC41" s="309">
        <f t="shared" si="120"/>
        <v>0</v>
      </c>
      <c r="AD41" s="314">
        <f t="shared" si="121"/>
        <v>0</v>
      </c>
      <c r="AE41" s="309"/>
      <c r="AF41" s="313">
        <f t="shared" si="122"/>
        <v>-32.676048996339084</v>
      </c>
      <c r="AG41" s="309">
        <v>0</v>
      </c>
      <c r="AH41" s="314">
        <v>0</v>
      </c>
      <c r="AI41" s="309"/>
      <c r="AJ41" s="313">
        <f t="shared" si="123"/>
        <v>50.38762422665571</v>
      </c>
      <c r="AK41" s="309">
        <f t="shared" si="124"/>
        <v>0</v>
      </c>
      <c r="AL41" s="314">
        <f t="shared" si="125"/>
        <v>0</v>
      </c>
      <c r="AM41" s="309"/>
      <c r="AN41" s="338"/>
      <c r="AO41" s="340">
        <f t="shared" si="23"/>
        <v>0.16648751940761999</v>
      </c>
      <c r="AP41" s="309"/>
      <c r="AQ41" s="313">
        <f t="shared" si="126"/>
        <v>0</v>
      </c>
      <c r="AR41" s="309">
        <v>0</v>
      </c>
      <c r="AS41" s="314">
        <v>0</v>
      </c>
      <c r="AT41" s="309"/>
      <c r="AU41" s="310"/>
      <c r="AV41" s="310"/>
      <c r="AW41" s="309"/>
    </row>
    <row r="42" spans="1:51" x14ac:dyDescent="0.2">
      <c r="A42" s="86">
        <f t="shared" si="4"/>
        <v>35</v>
      </c>
      <c r="B42" s="725"/>
      <c r="C42" s="726" t="s">
        <v>8</v>
      </c>
      <c r="D42" s="157"/>
      <c r="E42" s="122">
        <f>'Rates in Detail'!R35-'Rates in Detail'!N35</f>
        <v>1.5319999999999993E-2</v>
      </c>
      <c r="F42" s="122">
        <f>'Rates in Detail'!V35</f>
        <v>-6.0300000000000006E-3</v>
      </c>
      <c r="G42" s="157"/>
      <c r="H42" s="157"/>
      <c r="I42" s="373">
        <f>'Rev Req Proof Yr1'!H42</f>
        <v>5.5809999999999998E-2</v>
      </c>
      <c r="J42" s="774">
        <f t="shared" si="11"/>
        <v>7.1129999999999999E-2</v>
      </c>
      <c r="K42" s="157"/>
      <c r="L42" s="155"/>
      <c r="M42" s="156"/>
      <c r="N42" s="122"/>
      <c r="O42" s="122"/>
      <c r="P42" s="122"/>
      <c r="Q42" s="774"/>
      <c r="R42" s="157"/>
      <c r="S42" s="298">
        <f>'Rev Req Proof Yr1'!R42</f>
        <v>0</v>
      </c>
      <c r="T42" s="299"/>
      <c r="U42" s="300"/>
      <c r="V42" s="301"/>
      <c r="W42" s="157"/>
      <c r="X42" s="313">
        <f t="shared" si="116"/>
        <v>0</v>
      </c>
      <c r="Y42" s="309">
        <f t="shared" si="117"/>
        <v>0</v>
      </c>
      <c r="Z42" s="314">
        <f t="shared" si="118"/>
        <v>0</v>
      </c>
      <c r="AA42" s="309"/>
      <c r="AB42" s="313">
        <f t="shared" si="119"/>
        <v>0</v>
      </c>
      <c r="AC42" s="309">
        <f t="shared" si="120"/>
        <v>0</v>
      </c>
      <c r="AD42" s="314">
        <f t="shared" si="121"/>
        <v>0</v>
      </c>
      <c r="AE42" s="309"/>
      <c r="AF42" s="313">
        <f t="shared" si="122"/>
        <v>0</v>
      </c>
      <c r="AG42" s="309">
        <v>0</v>
      </c>
      <c r="AH42" s="314">
        <v>0</v>
      </c>
      <c r="AI42" s="309"/>
      <c r="AJ42" s="313">
        <f t="shared" si="123"/>
        <v>0</v>
      </c>
      <c r="AK42" s="309">
        <f t="shared" si="124"/>
        <v>0</v>
      </c>
      <c r="AL42" s="314">
        <f t="shared" si="125"/>
        <v>0</v>
      </c>
      <c r="AM42" s="309"/>
      <c r="AN42" s="338"/>
      <c r="AO42" s="340">
        <f>AO41</f>
        <v>0.16648751940761999</v>
      </c>
      <c r="AP42" s="309"/>
      <c r="AQ42" s="313">
        <f t="shared" si="126"/>
        <v>0</v>
      </c>
      <c r="AR42" s="309">
        <v>0</v>
      </c>
      <c r="AS42" s="314">
        <v>0</v>
      </c>
      <c r="AT42" s="309"/>
      <c r="AU42" s="310"/>
      <c r="AV42" s="310"/>
      <c r="AW42" s="309"/>
    </row>
    <row r="43" spans="1:51" x14ac:dyDescent="0.2">
      <c r="A43" s="86">
        <f t="shared" si="4"/>
        <v>36</v>
      </c>
      <c r="B43" s="725"/>
      <c r="C43" s="726" t="s">
        <v>9</v>
      </c>
      <c r="D43" s="157"/>
      <c r="E43" s="122">
        <f>'Rates in Detail'!R36-'Rates in Detail'!N36</f>
        <v>5.7500000000000016E-3</v>
      </c>
      <c r="F43" s="122">
        <f>'Rates in Detail'!V36</f>
        <v>-2.2499999999999998E-3</v>
      </c>
      <c r="G43" s="157"/>
      <c r="H43" s="157"/>
      <c r="I43" s="373">
        <f>'Rev Req Proof Yr1'!H43</f>
        <v>2.0920000000000001E-2</v>
      </c>
      <c r="J43" s="774">
        <f t="shared" si="11"/>
        <v>2.6670000000000003E-2</v>
      </c>
      <c r="K43" s="157"/>
      <c r="L43" s="273"/>
      <c r="M43" s="55"/>
      <c r="N43" s="122"/>
      <c r="O43" s="122"/>
      <c r="P43" s="122"/>
      <c r="Q43" s="774"/>
      <c r="R43" s="157"/>
      <c r="S43" s="298">
        <f>'Rev Req Proof Yr1'!R43</f>
        <v>0</v>
      </c>
      <c r="T43" s="299"/>
      <c r="U43" s="300"/>
      <c r="V43" s="301"/>
      <c r="W43" s="157"/>
      <c r="X43" s="313">
        <f t="shared" si="116"/>
        <v>0</v>
      </c>
      <c r="Y43" s="309">
        <f t="shared" si="117"/>
        <v>0</v>
      </c>
      <c r="Z43" s="314">
        <f t="shared" si="118"/>
        <v>0</v>
      </c>
      <c r="AA43" s="309"/>
      <c r="AB43" s="313">
        <f t="shared" si="119"/>
        <v>0</v>
      </c>
      <c r="AC43" s="309">
        <f t="shared" si="120"/>
        <v>0</v>
      </c>
      <c r="AD43" s="314">
        <f t="shared" si="121"/>
        <v>0</v>
      </c>
      <c r="AE43" s="309"/>
      <c r="AF43" s="313">
        <f t="shared" si="122"/>
        <v>0</v>
      </c>
      <c r="AG43" s="309">
        <v>0</v>
      </c>
      <c r="AH43" s="314">
        <v>0</v>
      </c>
      <c r="AI43" s="309"/>
      <c r="AJ43" s="313">
        <f t="shared" si="123"/>
        <v>0</v>
      </c>
      <c r="AK43" s="309">
        <f t="shared" si="124"/>
        <v>0</v>
      </c>
      <c r="AL43" s="314">
        <f t="shared" si="125"/>
        <v>0</v>
      </c>
      <c r="AM43" s="309"/>
      <c r="AN43" s="338"/>
      <c r="AO43" s="340">
        <f>AO42</f>
        <v>0.16648751940761999</v>
      </c>
      <c r="AP43" s="309"/>
      <c r="AQ43" s="313">
        <f t="shared" si="126"/>
        <v>0</v>
      </c>
      <c r="AR43" s="309">
        <v>0</v>
      </c>
      <c r="AS43" s="314">
        <v>0</v>
      </c>
      <c r="AT43" s="309"/>
      <c r="AU43" s="310"/>
      <c r="AV43" s="310"/>
      <c r="AW43" s="309"/>
    </row>
    <row r="44" spans="1:51" x14ac:dyDescent="0.2">
      <c r="A44" s="86">
        <f t="shared" si="4"/>
        <v>37</v>
      </c>
      <c r="B44" s="723"/>
      <c r="C44" s="742" t="s">
        <v>78</v>
      </c>
      <c r="D44" s="153"/>
      <c r="E44" s="123"/>
      <c r="F44" s="123"/>
      <c r="G44" s="153"/>
      <c r="H44" s="153"/>
      <c r="I44" s="368"/>
      <c r="J44" s="773"/>
      <c r="K44" s="157"/>
      <c r="L44" s="273"/>
      <c r="M44" s="55"/>
      <c r="N44" s="122"/>
      <c r="O44" s="122"/>
      <c r="P44" s="122"/>
      <c r="Q44" s="774"/>
      <c r="R44" s="157"/>
      <c r="S44" s="298"/>
      <c r="T44" s="299"/>
      <c r="U44" s="300"/>
      <c r="V44" s="301"/>
      <c r="W44" s="157"/>
      <c r="X44" s="315">
        <f>SUM(X38:X43)</f>
        <v>101365.3040668843</v>
      </c>
      <c r="Y44" s="316">
        <f>SUM(Y38:Y43)</f>
        <v>78000</v>
      </c>
      <c r="Z44" s="317">
        <f>SUM(Z38:Z43)</f>
        <v>29339.765160000003</v>
      </c>
      <c r="AA44" s="309"/>
      <c r="AB44" s="315">
        <f>SUM(AB38:AB43)</f>
        <v>129193.65193232044</v>
      </c>
      <c r="AC44" s="316">
        <f>SUM(AC38:AC43)</f>
        <v>78000</v>
      </c>
      <c r="AD44" s="317">
        <f>SUM(AD38:AD43)</f>
        <v>29339.765160000003</v>
      </c>
      <c r="AE44" s="309"/>
      <c r="AF44" s="315">
        <f>SUM(AF38:AF43)</f>
        <v>-10945.566865247978</v>
      </c>
      <c r="AG44" s="316">
        <f>SUM(AG38:AG43)</f>
        <v>0</v>
      </c>
      <c r="AH44" s="317">
        <f>SUM(AH38:AH43)</f>
        <v>0</v>
      </c>
      <c r="AI44" s="309"/>
      <c r="AJ44" s="315">
        <f>SUM(AJ38:AJ43)</f>
        <v>16882.781000188144</v>
      </c>
      <c r="AK44" s="316">
        <f>SUM(AK38:AK43)</f>
        <v>0</v>
      </c>
      <c r="AL44" s="317">
        <f>SUM(AL38:AL43)</f>
        <v>0</v>
      </c>
      <c r="AM44" s="309"/>
      <c r="AN44" s="338">
        <f>SUM(AJ44:AL44)/SUM(X44:Z44)</f>
        <v>8.0893008793355134E-2</v>
      </c>
      <c r="AO44" s="339">
        <f>SUM(AJ44)/SUM(X44)</f>
        <v>0.16655384360163619</v>
      </c>
      <c r="AP44" s="309"/>
      <c r="AQ44" s="315">
        <f>SUM(AQ38:AQ43)</f>
        <v>0</v>
      </c>
      <c r="AR44" s="316">
        <f>SUM(AR38:AR43)</f>
        <v>0</v>
      </c>
      <c r="AS44" s="317">
        <f>SUM(AS38:AS43)</f>
        <v>0</v>
      </c>
      <c r="AT44" s="309"/>
      <c r="AU44" s="310"/>
      <c r="AV44" s="310"/>
      <c r="AW44" s="309"/>
    </row>
    <row r="45" spans="1:51" x14ac:dyDescent="0.2">
      <c r="A45" s="86">
        <f t="shared" si="4"/>
        <v>38</v>
      </c>
      <c r="B45" s="725" t="str">
        <f>'WA Volumes &amp; Revenues'!B39</f>
        <v>42I Firm Sales</v>
      </c>
      <c r="C45" s="726" t="s">
        <v>4</v>
      </c>
      <c r="D45" s="157"/>
      <c r="E45" s="122">
        <f>'Rates in Detail'!R37-'Rates in Detail'!N37</f>
        <v>3.7230000000000013E-2</v>
      </c>
      <c r="F45" s="122">
        <f>'Rates in Detail'!V37</f>
        <v>-5.2100000000000002E-3</v>
      </c>
      <c r="G45" s="157"/>
      <c r="H45" s="157"/>
      <c r="I45" s="373">
        <f>'Rev Req Proof Yr1'!H45</f>
        <v>0.14721000000000001</v>
      </c>
      <c r="J45" s="774">
        <f t="shared" si="11"/>
        <v>0.18444000000000002</v>
      </c>
      <c r="K45" s="157"/>
      <c r="L45" s="155">
        <f>'Rev Req Proof Yr1'!K45</f>
        <v>1300</v>
      </c>
      <c r="M45" s="156">
        <f>'Rev Req Proof Yr1'!L45</f>
        <v>1300</v>
      </c>
      <c r="N45" s="122">
        <f>'Rev Req Proof Yr1'!M45</f>
        <v>0.15748000000000001</v>
      </c>
      <c r="O45" s="122">
        <f>'Rev Req Proof Yr1'!N45</f>
        <v>0.15748000000000001</v>
      </c>
      <c r="P45" s="122">
        <f>'Rev Req Proof Yr1'!O45</f>
        <v>0.20415</v>
      </c>
      <c r="Q45" s="774">
        <f>'Rev Req Proof Yr1'!P45</f>
        <v>0.20415</v>
      </c>
      <c r="R45" s="157"/>
      <c r="S45" s="298">
        <f>'Rev Req Proof Yr1'!R45</f>
        <v>1093724.2000000002</v>
      </c>
      <c r="T45" s="299">
        <f>'Rev Req Proof Yr1'!S45</f>
        <v>9556</v>
      </c>
      <c r="U45" s="300">
        <f>'Rev Req Proof Yr1'!T45</f>
        <v>11.916666666666666</v>
      </c>
      <c r="V45" s="301">
        <f>'Rev Req Proof Yr1'!U45</f>
        <v>12869</v>
      </c>
      <c r="W45" s="157"/>
      <c r="X45" s="313">
        <f t="shared" ref="X45:X50" si="127">(I45*S45)</f>
        <v>161007.13948200003</v>
      </c>
      <c r="Y45" s="309">
        <f t="shared" ref="Y45:Y50" si="128">(L45*U45*12)</f>
        <v>185900</v>
      </c>
      <c r="Z45" s="314">
        <f t="shared" ref="Z45:Z50" si="129">(T45*(N45+P45))*12</f>
        <v>41468.835359999997</v>
      </c>
      <c r="AA45" s="309"/>
      <c r="AB45" s="313">
        <f t="shared" ref="AB45:AB50" si="130">(J45*S45)</f>
        <v>201726.49144800004</v>
      </c>
      <c r="AC45" s="309">
        <f t="shared" ref="AC45:AC50" si="131">(M45*U45*12)</f>
        <v>185900</v>
      </c>
      <c r="AD45" s="314">
        <f t="shared" ref="AD45:AD50" si="132">(T45*(O45+Q45))*12</f>
        <v>41468.835359999997</v>
      </c>
      <c r="AE45" s="309"/>
      <c r="AF45" s="313">
        <f t="shared" ref="AF45:AF50" si="133">(F45*S45)</f>
        <v>-5698.3030820000013</v>
      </c>
      <c r="AG45" s="309">
        <v>0</v>
      </c>
      <c r="AH45" s="314">
        <v>0</v>
      </c>
      <c r="AI45" s="309"/>
      <c r="AJ45" s="313">
        <f t="shared" ref="AJ45:AJ50" si="134">AB45-X45+AF45</f>
        <v>35021.048884000018</v>
      </c>
      <c r="AK45" s="309">
        <f t="shared" ref="AK45:AK50" si="135">AC45-Y45-AG45</f>
        <v>0</v>
      </c>
      <c r="AL45" s="314">
        <f t="shared" ref="AL45:AL50" si="136">AD45-Z45-AH45</f>
        <v>0</v>
      </c>
      <c r="AM45" s="309"/>
      <c r="AN45" s="338"/>
      <c r="AO45" s="340">
        <f>SUM(AJ45)/SUM(X45)</f>
        <v>0.2175123972556213</v>
      </c>
      <c r="AP45" s="309"/>
      <c r="AQ45" s="313">
        <f t="shared" ref="AQ45:AQ50" si="137">(G45*S45)</f>
        <v>0</v>
      </c>
      <c r="AR45" s="309">
        <v>0</v>
      </c>
      <c r="AS45" s="314">
        <v>0</v>
      </c>
      <c r="AT45" s="309"/>
      <c r="AU45" s="310"/>
      <c r="AV45" s="310"/>
      <c r="AW45" s="309"/>
    </row>
    <row r="46" spans="1:51" x14ac:dyDescent="0.2">
      <c r="A46" s="86">
        <f t="shared" si="4"/>
        <v>39</v>
      </c>
      <c r="B46" s="725"/>
      <c r="C46" s="726" t="s">
        <v>5</v>
      </c>
      <c r="D46" s="157"/>
      <c r="E46" s="122">
        <f>'Rates in Detail'!R38-'Rates in Detail'!N38</f>
        <v>3.3329999999999999E-2</v>
      </c>
      <c r="F46" s="122">
        <f>'Rates in Detail'!V38</f>
        <v>-4.6699999999999997E-3</v>
      </c>
      <c r="G46" s="157"/>
      <c r="H46" s="157"/>
      <c r="I46" s="373">
        <f>'Rev Req Proof Yr1'!H46</f>
        <v>0.13177</v>
      </c>
      <c r="J46" s="774">
        <f t="shared" si="11"/>
        <v>0.1651</v>
      </c>
      <c r="K46" s="157"/>
      <c r="L46" s="155"/>
      <c r="M46" s="156"/>
      <c r="N46" s="122"/>
      <c r="O46" s="122"/>
      <c r="P46" s="122"/>
      <c r="Q46" s="774"/>
      <c r="R46" s="157"/>
      <c r="S46" s="298">
        <f>'Rev Req Proof Yr1'!R46</f>
        <v>655939.80000000005</v>
      </c>
      <c r="T46" s="299"/>
      <c r="U46" s="300"/>
      <c r="V46" s="301"/>
      <c r="W46" s="157"/>
      <c r="X46" s="313">
        <f t="shared" si="127"/>
        <v>86433.187446000011</v>
      </c>
      <c r="Y46" s="309">
        <f t="shared" si="128"/>
        <v>0</v>
      </c>
      <c r="Z46" s="314">
        <f t="shared" si="129"/>
        <v>0</v>
      </c>
      <c r="AA46" s="309"/>
      <c r="AB46" s="313">
        <f t="shared" si="130"/>
        <v>108295.66098</v>
      </c>
      <c r="AC46" s="309">
        <f t="shared" si="131"/>
        <v>0</v>
      </c>
      <c r="AD46" s="314">
        <f t="shared" si="132"/>
        <v>0</v>
      </c>
      <c r="AE46" s="309"/>
      <c r="AF46" s="313">
        <f t="shared" si="133"/>
        <v>-3063.2388660000001</v>
      </c>
      <c r="AG46" s="309">
        <v>0</v>
      </c>
      <c r="AH46" s="314">
        <v>0</v>
      </c>
      <c r="AI46" s="309"/>
      <c r="AJ46" s="313">
        <f t="shared" si="134"/>
        <v>18799.23466799999</v>
      </c>
      <c r="AK46" s="309">
        <f t="shared" si="135"/>
        <v>0</v>
      </c>
      <c r="AL46" s="314">
        <f t="shared" si="136"/>
        <v>0</v>
      </c>
      <c r="AM46" s="309"/>
      <c r="AN46" s="338"/>
      <c r="AO46" s="340">
        <f>SUM(AJ46)/SUM(X46)</f>
        <v>0.21750018972451984</v>
      </c>
      <c r="AP46" s="309"/>
      <c r="AQ46" s="313">
        <f t="shared" si="137"/>
        <v>0</v>
      </c>
      <c r="AR46" s="309">
        <v>0</v>
      </c>
      <c r="AS46" s="314">
        <v>0</v>
      </c>
      <c r="AT46" s="309"/>
      <c r="AU46" s="310"/>
      <c r="AV46" s="310"/>
      <c r="AW46" s="309"/>
    </row>
    <row r="47" spans="1:51" x14ac:dyDescent="0.2">
      <c r="A47" s="86">
        <f t="shared" si="4"/>
        <v>40</v>
      </c>
      <c r="B47" s="725"/>
      <c r="C47" s="726" t="s">
        <v>6</v>
      </c>
      <c r="D47" s="157"/>
      <c r="E47" s="122">
        <f>'Rates in Detail'!R39-'Rates in Detail'!N39</f>
        <v>2.5550000000000003E-2</v>
      </c>
      <c r="F47" s="122">
        <f>'Rates in Detail'!V39</f>
        <v>-3.5799999999999998E-3</v>
      </c>
      <c r="G47" s="157"/>
      <c r="H47" s="157"/>
      <c r="I47" s="373">
        <f>'Rev Req Proof Yr1'!H47</f>
        <v>0.10105</v>
      </c>
      <c r="J47" s="774">
        <f t="shared" si="11"/>
        <v>0.12659999999999999</v>
      </c>
      <c r="K47" s="157"/>
      <c r="L47" s="155"/>
      <c r="M47" s="156"/>
      <c r="N47" s="122"/>
      <c r="O47" s="122"/>
      <c r="P47" s="122"/>
      <c r="Q47" s="774"/>
      <c r="R47" s="157"/>
      <c r="S47" s="298">
        <f>'Rev Req Proof Yr1'!R47</f>
        <v>81241.3</v>
      </c>
      <c r="T47" s="299"/>
      <c r="U47" s="300"/>
      <c r="V47" s="301"/>
      <c r="W47" s="157"/>
      <c r="X47" s="313">
        <f t="shared" si="127"/>
        <v>8209.4333650000008</v>
      </c>
      <c r="Y47" s="309">
        <f t="shared" si="128"/>
        <v>0</v>
      </c>
      <c r="Z47" s="314">
        <f t="shared" si="129"/>
        <v>0</v>
      </c>
      <c r="AA47" s="309"/>
      <c r="AB47" s="313">
        <f t="shared" si="130"/>
        <v>10285.148579999999</v>
      </c>
      <c r="AC47" s="309">
        <f t="shared" si="131"/>
        <v>0</v>
      </c>
      <c r="AD47" s="314">
        <f t="shared" si="132"/>
        <v>0</v>
      </c>
      <c r="AE47" s="309"/>
      <c r="AF47" s="313">
        <f t="shared" si="133"/>
        <v>-290.84385400000002</v>
      </c>
      <c r="AG47" s="309">
        <v>0</v>
      </c>
      <c r="AH47" s="314">
        <v>0</v>
      </c>
      <c r="AI47" s="309"/>
      <c r="AJ47" s="313">
        <f t="shared" si="134"/>
        <v>1784.8713609999984</v>
      </c>
      <c r="AK47" s="309">
        <f t="shared" si="135"/>
        <v>0</v>
      </c>
      <c r="AL47" s="314">
        <f t="shared" si="136"/>
        <v>0</v>
      </c>
      <c r="AM47" s="309"/>
      <c r="AN47" s="338"/>
      <c r="AO47" s="340">
        <f>SUM(AJ47)/SUM(X47)</f>
        <v>0.21741712023750598</v>
      </c>
      <c r="AP47" s="309"/>
      <c r="AQ47" s="313">
        <f t="shared" si="137"/>
        <v>0</v>
      </c>
      <c r="AR47" s="309">
        <v>0</v>
      </c>
      <c r="AS47" s="314">
        <v>0</v>
      </c>
      <c r="AT47" s="309"/>
      <c r="AU47" s="310"/>
      <c r="AV47" s="310"/>
      <c r="AW47" s="309"/>
    </row>
    <row r="48" spans="1:51" x14ac:dyDescent="0.2">
      <c r="A48" s="86">
        <f t="shared" si="4"/>
        <v>41</v>
      </c>
      <c r="B48" s="725"/>
      <c r="C48" s="726" t="s">
        <v>7</v>
      </c>
      <c r="D48" s="157"/>
      <c r="E48" s="122">
        <f>'Rates in Detail'!R40-'Rates in Detail'!N40</f>
        <v>2.0449999999999996E-2</v>
      </c>
      <c r="F48" s="122">
        <f>'Rates in Detail'!V40</f>
        <v>-2.8600000000000001E-3</v>
      </c>
      <c r="G48" s="157"/>
      <c r="H48" s="157"/>
      <c r="I48" s="373">
        <f>'Rev Req Proof Yr1'!H48</f>
        <v>8.0839999999999995E-2</v>
      </c>
      <c r="J48" s="774">
        <f t="shared" si="11"/>
        <v>0.10128999999999999</v>
      </c>
      <c r="K48" s="157"/>
      <c r="L48" s="155"/>
      <c r="M48" s="156"/>
      <c r="N48" s="122"/>
      <c r="O48" s="122"/>
      <c r="P48" s="122"/>
      <c r="Q48" s="774"/>
      <c r="R48" s="157"/>
      <c r="S48" s="298">
        <f>'Rev Req Proof Yr1'!R48</f>
        <v>9320.1</v>
      </c>
      <c r="T48" s="299"/>
      <c r="U48" s="300"/>
      <c r="V48" s="301"/>
      <c r="W48" s="157"/>
      <c r="X48" s="313">
        <f t="shared" si="127"/>
        <v>753.43688399999996</v>
      </c>
      <c r="Y48" s="309">
        <f t="shared" si="128"/>
        <v>0</v>
      </c>
      <c r="Z48" s="314">
        <f t="shared" si="129"/>
        <v>0</v>
      </c>
      <c r="AA48" s="309"/>
      <c r="AB48" s="313">
        <f t="shared" si="130"/>
        <v>944.03292899999997</v>
      </c>
      <c r="AC48" s="309">
        <f t="shared" si="131"/>
        <v>0</v>
      </c>
      <c r="AD48" s="314">
        <f t="shared" si="132"/>
        <v>0</v>
      </c>
      <c r="AE48" s="309"/>
      <c r="AF48" s="313">
        <f t="shared" si="133"/>
        <v>-26.655486000000003</v>
      </c>
      <c r="AG48" s="309">
        <v>0</v>
      </c>
      <c r="AH48" s="314">
        <v>0</v>
      </c>
      <c r="AI48" s="309"/>
      <c r="AJ48" s="313">
        <f t="shared" si="134"/>
        <v>163.94055900000001</v>
      </c>
      <c r="AK48" s="309">
        <f t="shared" si="135"/>
        <v>0</v>
      </c>
      <c r="AL48" s="314">
        <f t="shared" si="136"/>
        <v>0</v>
      </c>
      <c r="AM48" s="309"/>
      <c r="AN48" s="338"/>
      <c r="AO48" s="340">
        <f>SUM(AJ48)/SUM(X48)</f>
        <v>0.21759030183077685</v>
      </c>
      <c r="AP48" s="309"/>
      <c r="AQ48" s="313">
        <f t="shared" si="137"/>
        <v>0</v>
      </c>
      <c r="AR48" s="309">
        <v>0</v>
      </c>
      <c r="AS48" s="314">
        <v>0</v>
      </c>
      <c r="AT48" s="309"/>
      <c r="AU48" s="310"/>
      <c r="AV48" s="310"/>
      <c r="AW48" s="309"/>
    </row>
    <row r="49" spans="1:49" x14ac:dyDescent="0.2">
      <c r="A49" s="86">
        <f t="shared" si="4"/>
        <v>42</v>
      </c>
      <c r="B49" s="725"/>
      <c r="C49" s="726" t="s">
        <v>8</v>
      </c>
      <c r="D49" s="157"/>
      <c r="E49" s="122">
        <f>'Rates in Detail'!R41-'Rates in Detail'!N41</f>
        <v>1.3630000000000003E-2</v>
      </c>
      <c r="F49" s="122">
        <f>'Rates in Detail'!V41</f>
        <v>-1.91E-3</v>
      </c>
      <c r="G49" s="157"/>
      <c r="H49" s="157"/>
      <c r="I49" s="373">
        <f>'Rev Req Proof Yr1'!H49</f>
        <v>5.391E-2</v>
      </c>
      <c r="J49" s="774">
        <f t="shared" si="11"/>
        <v>6.7540000000000003E-2</v>
      </c>
      <c r="K49" s="157"/>
      <c r="L49" s="155"/>
      <c r="M49" s="156"/>
      <c r="N49" s="122"/>
      <c r="O49" s="122"/>
      <c r="P49" s="122"/>
      <c r="Q49" s="774"/>
      <c r="R49" s="157"/>
      <c r="S49" s="298">
        <f>'Rev Req Proof Yr1'!R49</f>
        <v>0</v>
      </c>
      <c r="T49" s="299"/>
      <c r="U49" s="300"/>
      <c r="V49" s="301"/>
      <c r="W49" s="157"/>
      <c r="X49" s="313">
        <f t="shared" si="127"/>
        <v>0</v>
      </c>
      <c r="Y49" s="309">
        <f t="shared" si="128"/>
        <v>0</v>
      </c>
      <c r="Z49" s="314">
        <f t="shared" si="129"/>
        <v>0</v>
      </c>
      <c r="AA49" s="309"/>
      <c r="AB49" s="313">
        <f t="shared" si="130"/>
        <v>0</v>
      </c>
      <c r="AC49" s="309">
        <f t="shared" si="131"/>
        <v>0</v>
      </c>
      <c r="AD49" s="314">
        <f t="shared" si="132"/>
        <v>0</v>
      </c>
      <c r="AE49" s="309"/>
      <c r="AF49" s="313">
        <f t="shared" si="133"/>
        <v>0</v>
      </c>
      <c r="AG49" s="309">
        <v>0</v>
      </c>
      <c r="AH49" s="314">
        <v>0</v>
      </c>
      <c r="AI49" s="309"/>
      <c r="AJ49" s="313">
        <f t="shared" si="134"/>
        <v>0</v>
      </c>
      <c r="AK49" s="309">
        <f t="shared" si="135"/>
        <v>0</v>
      </c>
      <c r="AL49" s="314">
        <f t="shared" si="136"/>
        <v>0</v>
      </c>
      <c r="AM49" s="309"/>
      <c r="AN49" s="338"/>
      <c r="AO49" s="340">
        <f>AO48</f>
        <v>0.21759030183077685</v>
      </c>
      <c r="AP49" s="309"/>
      <c r="AQ49" s="313">
        <f t="shared" si="137"/>
        <v>0</v>
      </c>
      <c r="AR49" s="309">
        <v>0</v>
      </c>
      <c r="AS49" s="314">
        <v>0</v>
      </c>
      <c r="AT49" s="309"/>
      <c r="AU49" s="310"/>
      <c r="AV49" s="310"/>
      <c r="AW49" s="309"/>
    </row>
    <row r="50" spans="1:49" x14ac:dyDescent="0.2">
      <c r="A50" s="86">
        <f t="shared" si="4"/>
        <v>43</v>
      </c>
      <c r="B50" s="725"/>
      <c r="C50" s="726" t="s">
        <v>9</v>
      </c>
      <c r="D50" s="157"/>
      <c r="E50" s="122">
        <f>'Rates in Detail'!R42-'Rates in Detail'!N42</f>
        <v>5.11E-3</v>
      </c>
      <c r="F50" s="122">
        <f>'Rates in Detail'!V42</f>
        <v>-7.2000000000000005E-4</v>
      </c>
      <c r="G50" s="157"/>
      <c r="H50" s="157"/>
      <c r="I50" s="373">
        <f>'Rev Req Proof Yr1'!H50</f>
        <v>2.0199999999999999E-2</v>
      </c>
      <c r="J50" s="774">
        <f t="shared" si="11"/>
        <v>2.5309999999999999E-2</v>
      </c>
      <c r="K50" s="157"/>
      <c r="L50" s="155"/>
      <c r="M50" s="156"/>
      <c r="N50" s="122"/>
      <c r="O50" s="122"/>
      <c r="P50" s="122"/>
      <c r="Q50" s="774"/>
      <c r="R50" s="157"/>
      <c r="S50" s="298">
        <f>'Rev Req Proof Yr1'!R50</f>
        <v>0</v>
      </c>
      <c r="T50" s="299"/>
      <c r="U50" s="300"/>
      <c r="V50" s="301"/>
      <c r="W50" s="157"/>
      <c r="X50" s="313">
        <f t="shared" si="127"/>
        <v>0</v>
      </c>
      <c r="Y50" s="309">
        <f t="shared" si="128"/>
        <v>0</v>
      </c>
      <c r="Z50" s="314">
        <f t="shared" si="129"/>
        <v>0</v>
      </c>
      <c r="AA50" s="309"/>
      <c r="AB50" s="313">
        <f t="shared" si="130"/>
        <v>0</v>
      </c>
      <c r="AC50" s="309">
        <f t="shared" si="131"/>
        <v>0</v>
      </c>
      <c r="AD50" s="314">
        <f t="shared" si="132"/>
        <v>0</v>
      </c>
      <c r="AE50" s="309"/>
      <c r="AF50" s="313">
        <f t="shared" si="133"/>
        <v>0</v>
      </c>
      <c r="AG50" s="309">
        <v>0</v>
      </c>
      <c r="AH50" s="314">
        <v>0</v>
      </c>
      <c r="AI50" s="309"/>
      <c r="AJ50" s="313">
        <f t="shared" si="134"/>
        <v>0</v>
      </c>
      <c r="AK50" s="309">
        <f t="shared" si="135"/>
        <v>0</v>
      </c>
      <c r="AL50" s="314">
        <f t="shared" si="136"/>
        <v>0</v>
      </c>
      <c r="AM50" s="309"/>
      <c r="AN50" s="338"/>
      <c r="AO50" s="340">
        <f>AO49</f>
        <v>0.21759030183077685</v>
      </c>
      <c r="AP50" s="309"/>
      <c r="AQ50" s="313">
        <f t="shared" si="137"/>
        <v>0</v>
      </c>
      <c r="AR50" s="309">
        <v>0</v>
      </c>
      <c r="AS50" s="314">
        <v>0</v>
      </c>
      <c r="AT50" s="309"/>
      <c r="AU50" s="310"/>
      <c r="AV50" s="310"/>
      <c r="AW50" s="309"/>
    </row>
    <row r="51" spans="1:49" x14ac:dyDescent="0.2">
      <c r="A51" s="86">
        <f t="shared" si="4"/>
        <v>44</v>
      </c>
      <c r="B51" s="723"/>
      <c r="C51" s="742" t="s">
        <v>78</v>
      </c>
      <c r="D51" s="153"/>
      <c r="E51" s="123"/>
      <c r="F51" s="123"/>
      <c r="G51" s="153"/>
      <c r="H51" s="153"/>
      <c r="I51" s="368"/>
      <c r="J51" s="773"/>
      <c r="K51" s="157"/>
      <c r="L51" s="155"/>
      <c r="M51" s="156"/>
      <c r="N51" s="122"/>
      <c r="O51" s="122"/>
      <c r="P51" s="122"/>
      <c r="Q51" s="774"/>
      <c r="R51" s="157"/>
      <c r="S51" s="298"/>
      <c r="T51" s="299"/>
      <c r="U51" s="300"/>
      <c r="V51" s="301"/>
      <c r="W51" s="157"/>
      <c r="X51" s="315">
        <f>SUM(X45:X50)</f>
        <v>256403.19717700002</v>
      </c>
      <c r="Y51" s="316">
        <f>SUM(Y45:Y50)</f>
        <v>185900</v>
      </c>
      <c r="Z51" s="317">
        <f>SUM(Z45:Z50)</f>
        <v>41468.835359999997</v>
      </c>
      <c r="AA51" s="309"/>
      <c r="AB51" s="315">
        <f>SUM(AB45:AB50)</f>
        <v>321251.33393700002</v>
      </c>
      <c r="AC51" s="316">
        <f>SUM(AC45:AC50)</f>
        <v>185900</v>
      </c>
      <c r="AD51" s="317">
        <f>SUM(AD45:AD50)</f>
        <v>41468.835359999997</v>
      </c>
      <c r="AE51" s="309"/>
      <c r="AF51" s="315">
        <f>SUM(AF45:AF50)</f>
        <v>-9079.0412880000022</v>
      </c>
      <c r="AG51" s="316">
        <f>SUM(AG45:AG50)</f>
        <v>0</v>
      </c>
      <c r="AH51" s="317">
        <f>SUM(AH45:AH50)</f>
        <v>0</v>
      </c>
      <c r="AI51" s="309"/>
      <c r="AJ51" s="315">
        <f>SUM(AJ45:AJ50)</f>
        <v>55769.095472000008</v>
      </c>
      <c r="AK51" s="316">
        <f>SUM(AK45:AK50)</f>
        <v>0</v>
      </c>
      <c r="AL51" s="317">
        <f>SUM(AL45:AL50)</f>
        <v>0</v>
      </c>
      <c r="AM51" s="309"/>
      <c r="AN51" s="338">
        <f>SUM(AJ51:AL51)/SUM(X51:Z51)</f>
        <v>0.11527970143196456</v>
      </c>
      <c r="AO51" s="339">
        <f t="shared" ref="AO51:AO56" si="138">SUM(AJ51)/SUM(X51)</f>
        <v>0.21750546048574246</v>
      </c>
      <c r="AP51" s="309"/>
      <c r="AQ51" s="315">
        <f>SUM(AQ45:AQ50)</f>
        <v>0</v>
      </c>
      <c r="AR51" s="316">
        <f>SUM(AR45:AR50)</f>
        <v>0</v>
      </c>
      <c r="AS51" s="317">
        <f>SUM(AS45:AS50)</f>
        <v>0</v>
      </c>
      <c r="AT51" s="309"/>
      <c r="AU51" s="310"/>
      <c r="AV51" s="310"/>
      <c r="AW51" s="309"/>
    </row>
    <row r="52" spans="1:49" x14ac:dyDescent="0.2">
      <c r="A52" s="86">
        <f t="shared" si="4"/>
        <v>45</v>
      </c>
      <c r="B52" s="725" t="str">
        <f>'WA Volumes &amp; Revenues'!B45</f>
        <v>42C Firm Transpt</v>
      </c>
      <c r="C52" s="726" t="s">
        <v>4</v>
      </c>
      <c r="D52" s="157"/>
      <c r="E52" s="122">
        <f>'Rates in Detail'!R43-'Rates in Detail'!N43</f>
        <v>2.3650000000000004E-2</v>
      </c>
      <c r="F52" s="122">
        <f>'Rates in Detail'!V43</f>
        <v>-3.31E-3</v>
      </c>
      <c r="G52" s="157"/>
      <c r="H52" s="157"/>
      <c r="I52" s="373">
        <f>'Rev Req Proof Yr1'!H52</f>
        <v>0.13791999999999999</v>
      </c>
      <c r="J52" s="774">
        <f t="shared" si="11"/>
        <v>0.16156999999999999</v>
      </c>
      <c r="K52" s="157"/>
      <c r="L52" s="155">
        <f>'Rev Req Proof Yr1'!K52</f>
        <v>1550</v>
      </c>
      <c r="M52" s="156">
        <f>'Rev Req Proof Yr1'!L52</f>
        <v>1550</v>
      </c>
      <c r="N52" s="122">
        <f>'Rev Req Proof Yr1'!M52</f>
        <v>0.15748000000000001</v>
      </c>
      <c r="O52" s="122">
        <f>'Rev Req Proof Yr1'!N52</f>
        <v>0.15748000000000001</v>
      </c>
      <c r="P52" s="122">
        <f>'Rev Req Proof Yr1'!O52</f>
        <v>0</v>
      </c>
      <c r="Q52" s="774">
        <f>'Rev Req Proof Yr1'!P52</f>
        <v>0</v>
      </c>
      <c r="R52" s="157"/>
      <c r="S52" s="298">
        <f>'Rev Req Proof Yr1'!R52</f>
        <v>480000</v>
      </c>
      <c r="T52" s="299">
        <f>'Rev Req Proof Yr1'!S52</f>
        <v>10479</v>
      </c>
      <c r="U52" s="300">
        <f>'Rev Req Proof Yr1'!T52</f>
        <v>4</v>
      </c>
      <c r="V52" s="301">
        <f>'Rev Req Proof Yr1'!U52</f>
        <v>51470</v>
      </c>
      <c r="W52" s="157"/>
      <c r="X52" s="313">
        <f t="shared" ref="X52:X57" si="139">(I52*S52)</f>
        <v>66201.599999999991</v>
      </c>
      <c r="Y52" s="309">
        <f t="shared" ref="Y52:Y57" si="140">(L52*U52*12)</f>
        <v>74400</v>
      </c>
      <c r="Z52" s="314">
        <f t="shared" ref="Z52:Z57" si="141">(T52*(N52+P52))*12</f>
        <v>19802.795040000001</v>
      </c>
      <c r="AA52" s="309"/>
      <c r="AB52" s="313">
        <f t="shared" ref="AB52:AB57" si="142">(J52*S52)</f>
        <v>77553.599999999991</v>
      </c>
      <c r="AC52" s="309">
        <f t="shared" ref="AC52:AC57" si="143">(M52*U52*12)</f>
        <v>74400</v>
      </c>
      <c r="AD52" s="314">
        <f t="shared" ref="AD52:AD57" si="144">(T52*(O52+Q52))*12</f>
        <v>19802.795040000001</v>
      </c>
      <c r="AE52" s="309"/>
      <c r="AF52" s="313">
        <f t="shared" ref="AF52:AF57" si="145">(F52*S52)</f>
        <v>-1588.8</v>
      </c>
      <c r="AG52" s="309">
        <v>0</v>
      </c>
      <c r="AH52" s="314">
        <v>0</v>
      </c>
      <c r="AI52" s="309"/>
      <c r="AJ52" s="313">
        <f t="shared" ref="AJ52:AJ57" si="146">AB52-X52+AF52</f>
        <v>9763.2000000000007</v>
      </c>
      <c r="AK52" s="309">
        <f t="shared" ref="AK52:AK57" si="147">AC52-Y52-AG52</f>
        <v>0</v>
      </c>
      <c r="AL52" s="314">
        <f t="shared" ref="AL52:AL57" si="148">AD52-Z52-AH52</f>
        <v>0</v>
      </c>
      <c r="AM52" s="309"/>
      <c r="AN52" s="338"/>
      <c r="AO52" s="340">
        <f t="shared" si="138"/>
        <v>0.14747679814385153</v>
      </c>
      <c r="AP52" s="309"/>
      <c r="AQ52" s="313">
        <f t="shared" ref="AQ52:AQ57" si="149">(G52*S52)</f>
        <v>0</v>
      </c>
      <c r="AR52" s="309">
        <v>0</v>
      </c>
      <c r="AS52" s="314">
        <v>0</v>
      </c>
      <c r="AT52" s="309"/>
      <c r="AU52" s="310"/>
      <c r="AV52" s="310"/>
      <c r="AW52" s="309"/>
    </row>
    <row r="53" spans="1:49" x14ac:dyDescent="0.2">
      <c r="A53" s="86">
        <f t="shared" si="4"/>
        <v>46</v>
      </c>
      <c r="B53" s="725"/>
      <c r="C53" s="726" t="s">
        <v>5</v>
      </c>
      <c r="D53" s="157"/>
      <c r="E53" s="122">
        <f>'Rates in Detail'!R44-'Rates in Detail'!N44</f>
        <v>2.1170000000000008E-2</v>
      </c>
      <c r="F53" s="122">
        <f>'Rates in Detail'!V44</f>
        <v>-2.96E-3</v>
      </c>
      <c r="G53" s="157"/>
      <c r="H53" s="157"/>
      <c r="I53" s="373">
        <f>'Rev Req Proof Yr1'!H53</f>
        <v>0.12347</v>
      </c>
      <c r="J53" s="774">
        <f t="shared" si="11"/>
        <v>0.14463999999999999</v>
      </c>
      <c r="K53" s="157"/>
      <c r="L53" s="155"/>
      <c r="M53" s="156"/>
      <c r="N53" s="122"/>
      <c r="O53" s="122"/>
      <c r="P53" s="122"/>
      <c r="Q53" s="774"/>
      <c r="R53" s="157"/>
      <c r="S53" s="298">
        <f>'Rev Req Proof Yr1'!R53</f>
        <v>807846</v>
      </c>
      <c r="T53" s="299"/>
      <c r="U53" s="300"/>
      <c r="V53" s="301"/>
      <c r="W53" s="157"/>
      <c r="X53" s="313">
        <f t="shared" si="139"/>
        <v>99744.745620000002</v>
      </c>
      <c r="Y53" s="309">
        <f t="shared" si="140"/>
        <v>0</v>
      </c>
      <c r="Z53" s="314">
        <f t="shared" si="141"/>
        <v>0</v>
      </c>
      <c r="AA53" s="309"/>
      <c r="AB53" s="313">
        <f t="shared" si="142"/>
        <v>116846.84543999999</v>
      </c>
      <c r="AC53" s="309">
        <f t="shared" si="143"/>
        <v>0</v>
      </c>
      <c r="AD53" s="314">
        <f t="shared" si="144"/>
        <v>0</v>
      </c>
      <c r="AE53" s="309"/>
      <c r="AF53" s="313">
        <f t="shared" si="145"/>
        <v>-2391.2241599999998</v>
      </c>
      <c r="AG53" s="309">
        <v>0</v>
      </c>
      <c r="AH53" s="314">
        <v>0</v>
      </c>
      <c r="AI53" s="309"/>
      <c r="AJ53" s="313">
        <f t="shared" si="146"/>
        <v>14710.875659999989</v>
      </c>
      <c r="AK53" s="309">
        <f t="shared" si="147"/>
        <v>0</v>
      </c>
      <c r="AL53" s="314">
        <f t="shared" si="148"/>
        <v>0</v>
      </c>
      <c r="AM53" s="309"/>
      <c r="AN53" s="338"/>
      <c r="AO53" s="340">
        <f t="shared" si="138"/>
        <v>0.14748521908155815</v>
      </c>
      <c r="AP53" s="309"/>
      <c r="AQ53" s="313">
        <f t="shared" si="149"/>
        <v>0</v>
      </c>
      <c r="AR53" s="309">
        <v>0</v>
      </c>
      <c r="AS53" s="314">
        <v>0</v>
      </c>
      <c r="AT53" s="309"/>
      <c r="AU53" s="310"/>
      <c r="AV53" s="310"/>
      <c r="AW53" s="309"/>
    </row>
    <row r="54" spans="1:49" x14ac:dyDescent="0.2">
      <c r="A54" s="86">
        <f t="shared" si="4"/>
        <v>47</v>
      </c>
      <c r="B54" s="725"/>
      <c r="C54" s="726" t="s">
        <v>6</v>
      </c>
      <c r="D54" s="157"/>
      <c r="E54" s="122">
        <f>'Rates in Detail'!R45-'Rates in Detail'!N45</f>
        <v>1.6239999999999991E-2</v>
      </c>
      <c r="F54" s="122">
        <f>'Rates in Detail'!V45</f>
        <v>-2.2699999999999999E-3</v>
      </c>
      <c r="G54" s="157"/>
      <c r="H54" s="157"/>
      <c r="I54" s="373">
        <f>'Rev Req Proof Yr1'!H54</f>
        <v>9.4670000000000004E-2</v>
      </c>
      <c r="J54" s="774">
        <f t="shared" si="11"/>
        <v>0.11090999999999999</v>
      </c>
      <c r="K54" s="157"/>
      <c r="L54" s="155"/>
      <c r="M54" s="156"/>
      <c r="N54" s="122"/>
      <c r="O54" s="122"/>
      <c r="P54" s="122"/>
      <c r="Q54" s="774"/>
      <c r="R54" s="157"/>
      <c r="S54" s="298">
        <f>'Rev Req Proof Yr1'!R54</f>
        <v>583779</v>
      </c>
      <c r="T54" s="299"/>
      <c r="U54" s="300"/>
      <c r="V54" s="301"/>
      <c r="W54" s="157"/>
      <c r="X54" s="313">
        <f t="shared" si="139"/>
        <v>55266.357930000006</v>
      </c>
      <c r="Y54" s="309">
        <f t="shared" si="140"/>
        <v>0</v>
      </c>
      <c r="Z54" s="314">
        <f t="shared" si="141"/>
        <v>0</v>
      </c>
      <c r="AA54" s="309"/>
      <c r="AB54" s="313">
        <f t="shared" si="142"/>
        <v>64746.928889999996</v>
      </c>
      <c r="AC54" s="309">
        <f t="shared" si="143"/>
        <v>0</v>
      </c>
      <c r="AD54" s="314">
        <f t="shared" si="144"/>
        <v>0</v>
      </c>
      <c r="AE54" s="309"/>
      <c r="AF54" s="313">
        <f t="shared" si="145"/>
        <v>-1325.17833</v>
      </c>
      <c r="AG54" s="309">
        <v>0</v>
      </c>
      <c r="AH54" s="314">
        <v>0</v>
      </c>
      <c r="AI54" s="309"/>
      <c r="AJ54" s="313">
        <f t="shared" si="146"/>
        <v>8155.3926299999903</v>
      </c>
      <c r="AK54" s="309">
        <f t="shared" si="147"/>
        <v>0</v>
      </c>
      <c r="AL54" s="314">
        <f t="shared" si="148"/>
        <v>0</v>
      </c>
      <c r="AM54" s="309"/>
      <c r="AN54" s="338"/>
      <c r="AO54" s="340">
        <f t="shared" si="138"/>
        <v>0.14756522657652882</v>
      </c>
      <c r="AP54" s="309"/>
      <c r="AQ54" s="313">
        <f t="shared" si="149"/>
        <v>0</v>
      </c>
      <c r="AR54" s="309">
        <v>0</v>
      </c>
      <c r="AS54" s="314">
        <v>0</v>
      </c>
      <c r="AT54" s="309"/>
      <c r="AU54" s="310"/>
      <c r="AV54" s="310"/>
      <c r="AW54" s="309"/>
    </row>
    <row r="55" spans="1:49" x14ac:dyDescent="0.2">
      <c r="A55" s="86">
        <f t="shared" si="4"/>
        <v>48</v>
      </c>
      <c r="B55" s="725"/>
      <c r="C55" s="726" t="s">
        <v>7</v>
      </c>
      <c r="D55" s="157"/>
      <c r="E55" s="122">
        <f>'Rates in Detail'!R46-'Rates in Detail'!N46</f>
        <v>1.2990000000000002E-2</v>
      </c>
      <c r="F55" s="122">
        <f>'Rates in Detail'!V46</f>
        <v>-1.82E-3</v>
      </c>
      <c r="G55" s="157"/>
      <c r="H55" s="157"/>
      <c r="I55" s="373">
        <f>'Rev Req Proof Yr1'!H55</f>
        <v>7.5749999999999998E-2</v>
      </c>
      <c r="J55" s="774">
        <f t="shared" si="11"/>
        <v>8.8739999999999999E-2</v>
      </c>
      <c r="K55" s="157"/>
      <c r="L55" s="155"/>
      <c r="M55" s="156"/>
      <c r="N55" s="122"/>
      <c r="O55" s="122"/>
      <c r="P55" s="122"/>
      <c r="Q55" s="774"/>
      <c r="R55" s="157"/>
      <c r="S55" s="298">
        <f>'Rev Req Proof Yr1'!R55</f>
        <v>598933</v>
      </c>
      <c r="T55" s="299"/>
      <c r="U55" s="300"/>
      <c r="V55" s="301"/>
      <c r="W55" s="157"/>
      <c r="X55" s="313">
        <f t="shared" si="139"/>
        <v>45369.174749999998</v>
      </c>
      <c r="Y55" s="309">
        <f t="shared" si="140"/>
        <v>0</v>
      </c>
      <c r="Z55" s="314">
        <f t="shared" si="141"/>
        <v>0</v>
      </c>
      <c r="AA55" s="309"/>
      <c r="AB55" s="313">
        <f t="shared" si="142"/>
        <v>53149.314420000002</v>
      </c>
      <c r="AC55" s="309">
        <f t="shared" si="143"/>
        <v>0</v>
      </c>
      <c r="AD55" s="314">
        <f t="shared" si="144"/>
        <v>0</v>
      </c>
      <c r="AE55" s="309"/>
      <c r="AF55" s="313">
        <f t="shared" si="145"/>
        <v>-1090.0580600000001</v>
      </c>
      <c r="AG55" s="309">
        <v>0</v>
      </c>
      <c r="AH55" s="314">
        <v>0</v>
      </c>
      <c r="AI55" s="309"/>
      <c r="AJ55" s="313">
        <f t="shared" si="146"/>
        <v>6690.0816100000038</v>
      </c>
      <c r="AK55" s="309">
        <f t="shared" si="147"/>
        <v>0</v>
      </c>
      <c r="AL55" s="314">
        <f t="shared" si="148"/>
        <v>0</v>
      </c>
      <c r="AM55" s="309"/>
      <c r="AN55" s="338"/>
      <c r="AO55" s="340">
        <f t="shared" si="138"/>
        <v>0.14745874587458754</v>
      </c>
      <c r="AP55" s="309"/>
      <c r="AQ55" s="313">
        <f t="shared" si="149"/>
        <v>0</v>
      </c>
      <c r="AR55" s="309">
        <v>0</v>
      </c>
      <c r="AS55" s="314">
        <v>0</v>
      </c>
      <c r="AT55" s="309"/>
      <c r="AU55" s="310"/>
      <c r="AV55" s="310"/>
      <c r="AW55" s="309"/>
    </row>
    <row r="56" spans="1:49" x14ac:dyDescent="0.2">
      <c r="A56" s="86">
        <f t="shared" si="4"/>
        <v>49</v>
      </c>
      <c r="B56" s="725"/>
      <c r="C56" s="726" t="s">
        <v>8</v>
      </c>
      <c r="D56" s="157"/>
      <c r="E56" s="122">
        <f>'Rates in Detail'!R47-'Rates in Detail'!N47</f>
        <v>8.660000000000001E-3</v>
      </c>
      <c r="F56" s="122">
        <f>'Rates in Detail'!V47</f>
        <v>-1.2099999999999999E-3</v>
      </c>
      <c r="G56" s="157"/>
      <c r="H56" s="157"/>
      <c r="I56" s="373">
        <f>'Rev Req Proof Yr1'!H56</f>
        <v>5.0500000000000003E-2</v>
      </c>
      <c r="J56" s="774">
        <f t="shared" si="11"/>
        <v>5.9160000000000004E-2</v>
      </c>
      <c r="K56" s="157"/>
      <c r="L56" s="155"/>
      <c r="M56" s="156"/>
      <c r="N56" s="122"/>
      <c r="O56" s="122"/>
      <c r="P56" s="122"/>
      <c r="Q56" s="774"/>
      <c r="R56" s="157"/>
      <c r="S56" s="298">
        <f>'Rev Req Proof Yr1'!R56</f>
        <v>0</v>
      </c>
      <c r="T56" s="299"/>
      <c r="U56" s="300"/>
      <c r="V56" s="301"/>
      <c r="W56" s="157"/>
      <c r="X56" s="313">
        <f t="shared" si="139"/>
        <v>0</v>
      </c>
      <c r="Y56" s="309">
        <f t="shared" si="140"/>
        <v>0</v>
      </c>
      <c r="Z56" s="314">
        <f t="shared" si="141"/>
        <v>0</v>
      </c>
      <c r="AA56" s="309"/>
      <c r="AB56" s="313">
        <f t="shared" si="142"/>
        <v>0</v>
      </c>
      <c r="AC56" s="309">
        <f t="shared" si="143"/>
        <v>0</v>
      </c>
      <c r="AD56" s="314">
        <f t="shared" si="144"/>
        <v>0</v>
      </c>
      <c r="AE56" s="309"/>
      <c r="AF56" s="313">
        <f t="shared" si="145"/>
        <v>0</v>
      </c>
      <c r="AG56" s="309">
        <v>0</v>
      </c>
      <c r="AH56" s="314">
        <v>0</v>
      </c>
      <c r="AI56" s="309"/>
      <c r="AJ56" s="313">
        <f t="shared" si="146"/>
        <v>0</v>
      </c>
      <c r="AK56" s="309">
        <f t="shared" si="147"/>
        <v>0</v>
      </c>
      <c r="AL56" s="314">
        <f t="shared" si="148"/>
        <v>0</v>
      </c>
      <c r="AM56" s="309"/>
      <c r="AN56" s="338"/>
      <c r="AO56" s="340" t="e">
        <f t="shared" si="138"/>
        <v>#DIV/0!</v>
      </c>
      <c r="AP56" s="309"/>
      <c r="AQ56" s="313">
        <f t="shared" si="149"/>
        <v>0</v>
      </c>
      <c r="AR56" s="309">
        <v>0</v>
      </c>
      <c r="AS56" s="314">
        <v>0</v>
      </c>
      <c r="AT56" s="309"/>
      <c r="AU56" s="310"/>
      <c r="AV56" s="310"/>
      <c r="AW56" s="309"/>
    </row>
    <row r="57" spans="1:49" x14ac:dyDescent="0.2">
      <c r="A57" s="86">
        <f t="shared" si="4"/>
        <v>50</v>
      </c>
      <c r="B57" s="725"/>
      <c r="C57" s="726" t="s">
        <v>9</v>
      </c>
      <c r="D57" s="157"/>
      <c r="E57" s="122">
        <f>'Rates in Detail'!R48-'Rates in Detail'!N48</f>
        <v>3.2499999999999994E-3</v>
      </c>
      <c r="F57" s="122">
        <f>'Rates in Detail'!V48</f>
        <v>-4.4999999999999999E-4</v>
      </c>
      <c r="G57" s="157"/>
      <c r="H57" s="157"/>
      <c r="I57" s="373">
        <f>'Rev Req Proof Yr1'!H57</f>
        <v>1.8929999999999999E-2</v>
      </c>
      <c r="J57" s="774">
        <f t="shared" si="11"/>
        <v>2.2179999999999998E-2</v>
      </c>
      <c r="K57" s="157"/>
      <c r="L57" s="155"/>
      <c r="M57" s="156"/>
      <c r="N57" s="122"/>
      <c r="O57" s="122"/>
      <c r="P57" s="122"/>
      <c r="Q57" s="774"/>
      <c r="R57" s="157"/>
      <c r="S57" s="298">
        <f>'Rev Req Proof Yr1'!R57</f>
        <v>0</v>
      </c>
      <c r="T57" s="299"/>
      <c r="U57" s="300"/>
      <c r="V57" s="301"/>
      <c r="W57" s="157"/>
      <c r="X57" s="313">
        <f t="shared" si="139"/>
        <v>0</v>
      </c>
      <c r="Y57" s="309">
        <f t="shared" si="140"/>
        <v>0</v>
      </c>
      <c r="Z57" s="314">
        <f t="shared" si="141"/>
        <v>0</v>
      </c>
      <c r="AA57" s="309"/>
      <c r="AB57" s="313">
        <f t="shared" si="142"/>
        <v>0</v>
      </c>
      <c r="AC57" s="309">
        <f t="shared" si="143"/>
        <v>0</v>
      </c>
      <c r="AD57" s="314">
        <f t="shared" si="144"/>
        <v>0</v>
      </c>
      <c r="AE57" s="309"/>
      <c r="AF57" s="313">
        <f t="shared" si="145"/>
        <v>0</v>
      </c>
      <c r="AG57" s="309">
        <v>0</v>
      </c>
      <c r="AH57" s="314">
        <v>0</v>
      </c>
      <c r="AI57" s="309"/>
      <c r="AJ57" s="313">
        <f t="shared" si="146"/>
        <v>0</v>
      </c>
      <c r="AK57" s="309">
        <f t="shared" si="147"/>
        <v>0</v>
      </c>
      <c r="AL57" s="314">
        <f t="shared" si="148"/>
        <v>0</v>
      </c>
      <c r="AM57" s="309"/>
      <c r="AN57" s="338"/>
      <c r="AO57" s="340" t="e">
        <f>AO56</f>
        <v>#DIV/0!</v>
      </c>
      <c r="AP57" s="309"/>
      <c r="AQ57" s="313">
        <f t="shared" si="149"/>
        <v>0</v>
      </c>
      <c r="AR57" s="309">
        <v>0</v>
      </c>
      <c r="AS57" s="314">
        <v>0</v>
      </c>
      <c r="AT57" s="309"/>
      <c r="AU57" s="318"/>
      <c r="AV57" s="310"/>
      <c r="AW57" s="309"/>
    </row>
    <row r="58" spans="1:49" x14ac:dyDescent="0.2">
      <c r="A58" s="86">
        <f t="shared" si="4"/>
        <v>51</v>
      </c>
      <c r="B58" s="723"/>
      <c r="C58" s="742" t="s">
        <v>78</v>
      </c>
      <c r="D58" s="153"/>
      <c r="E58" s="123"/>
      <c r="F58" s="123"/>
      <c r="G58" s="153"/>
      <c r="H58" s="153"/>
      <c r="I58" s="368"/>
      <c r="J58" s="773"/>
      <c r="K58" s="157"/>
      <c r="L58" s="155"/>
      <c r="M58" s="156"/>
      <c r="N58" s="122"/>
      <c r="O58" s="122"/>
      <c r="P58" s="122"/>
      <c r="Q58" s="774"/>
      <c r="R58" s="157"/>
      <c r="S58" s="298"/>
      <c r="T58" s="299"/>
      <c r="U58" s="300"/>
      <c r="V58" s="301"/>
      <c r="W58" s="157"/>
      <c r="X58" s="315">
        <f>SUM(X52:X57)</f>
        <v>266581.87829999998</v>
      </c>
      <c r="Y58" s="316">
        <f>SUM(Y52:Y57)</f>
        <v>74400</v>
      </c>
      <c r="Z58" s="317">
        <f>SUM(Z52:Z57)</f>
        <v>19802.795040000001</v>
      </c>
      <c r="AA58" s="309"/>
      <c r="AB58" s="315">
        <f>SUM(AB52:AB57)</f>
        <v>312296.68874999997</v>
      </c>
      <c r="AC58" s="316">
        <f>SUM(AC52:AC57)</f>
        <v>74400</v>
      </c>
      <c r="AD58" s="317">
        <f>SUM(AD52:AD57)</f>
        <v>19802.795040000001</v>
      </c>
      <c r="AE58" s="309"/>
      <c r="AF58" s="315">
        <f>SUM(AF52:AF57)</f>
        <v>-6395.26055</v>
      </c>
      <c r="AG58" s="316">
        <f>SUM(AG52:AG57)</f>
        <v>0</v>
      </c>
      <c r="AH58" s="317">
        <f>SUM(AH52:AH57)</f>
        <v>0</v>
      </c>
      <c r="AI58" s="309"/>
      <c r="AJ58" s="315">
        <f>SUM(AJ52:AJ57)</f>
        <v>39319.549899999984</v>
      </c>
      <c r="AK58" s="316">
        <f>SUM(AK52:AK57)</f>
        <v>0</v>
      </c>
      <c r="AL58" s="317">
        <f>SUM(AL52:AL57)</f>
        <v>0</v>
      </c>
      <c r="AM58" s="309"/>
      <c r="AN58" s="338">
        <f>SUM(AJ58:AL58)/SUM(X58:Z58)</f>
        <v>0.1089834264188535</v>
      </c>
      <c r="AO58" s="339">
        <f t="shared" ref="AO58:AO70" si="150">SUM(AJ58)/SUM(X58)</f>
        <v>0.14749520916703657</v>
      </c>
      <c r="AP58" s="309"/>
      <c r="AQ58" s="315">
        <f>SUM(AQ52:AQ57)</f>
        <v>0</v>
      </c>
      <c r="AR58" s="316">
        <f>SUM(AR52:AR57)</f>
        <v>0</v>
      </c>
      <c r="AS58" s="317">
        <f>SUM(AS52:AS57)</f>
        <v>0</v>
      </c>
      <c r="AT58" s="309"/>
      <c r="AU58" s="310"/>
      <c r="AV58" s="310"/>
      <c r="AW58" s="309"/>
    </row>
    <row r="59" spans="1:49" x14ac:dyDescent="0.2">
      <c r="A59" s="86">
        <f t="shared" si="4"/>
        <v>52</v>
      </c>
      <c r="B59" s="725" t="str">
        <f>'WA Volumes &amp; Revenues'!B51</f>
        <v>42I Firm Transpt</v>
      </c>
      <c r="C59" s="726" t="s">
        <v>4</v>
      </c>
      <c r="D59" s="157"/>
      <c r="E59" s="122">
        <f>'Rates in Detail'!R49-'Rates in Detail'!N49</f>
        <v>2.3970000000000019E-2</v>
      </c>
      <c r="F59" s="122">
        <f>'Rates in Detail'!V49</f>
        <v>-3.3600000000000001E-3</v>
      </c>
      <c r="G59" s="157"/>
      <c r="H59" s="157"/>
      <c r="I59" s="373">
        <f>'Rev Req Proof Yr1'!H59</f>
        <v>0.13941000000000001</v>
      </c>
      <c r="J59" s="774">
        <f t="shared" si="11"/>
        <v>0.16338000000000003</v>
      </c>
      <c r="K59" s="157"/>
      <c r="L59" s="155">
        <f>'Rev Req Proof Yr1'!K59</f>
        <v>1550</v>
      </c>
      <c r="M59" s="156">
        <f>'Rev Req Proof Yr1'!L59</f>
        <v>1550</v>
      </c>
      <c r="N59" s="122">
        <f>'Rev Req Proof Yr1'!M59</f>
        <v>0.15748000000000001</v>
      </c>
      <c r="O59" s="122">
        <f>'Rev Req Proof Yr1'!N59</f>
        <v>0.15748000000000001</v>
      </c>
      <c r="P59" s="122">
        <f>'Rev Req Proof Yr1'!O59</f>
        <v>0</v>
      </c>
      <c r="Q59" s="774">
        <f>'Rev Req Proof Yr1'!P59</f>
        <v>0</v>
      </c>
      <c r="R59" s="157"/>
      <c r="S59" s="298">
        <f>'Rev Req Proof Yr1'!R59</f>
        <v>924395</v>
      </c>
      <c r="T59" s="299">
        <f>'Rev Req Proof Yr1'!S59</f>
        <v>26810</v>
      </c>
      <c r="U59" s="300">
        <f>'Rev Req Proof Yr1'!T59</f>
        <v>8.9166666666666661</v>
      </c>
      <c r="V59" s="301">
        <f>'Rev Req Proof Yr1'!U59</f>
        <v>63374</v>
      </c>
      <c r="W59" s="157"/>
      <c r="X59" s="313">
        <f t="shared" ref="X59:X64" si="151">(I59*S59)</f>
        <v>128869.90695</v>
      </c>
      <c r="Y59" s="309">
        <f t="shared" ref="Y59:Y64" si="152">(L59*U59*12)</f>
        <v>165850</v>
      </c>
      <c r="Z59" s="314">
        <f t="shared" ref="Z59:Z64" si="153">(T59*(N59+P59))*12</f>
        <v>50664.465600000003</v>
      </c>
      <c r="AA59" s="309"/>
      <c r="AB59" s="313">
        <f t="shared" ref="AB59:AB64" si="154">(J59*S59)</f>
        <v>151027.65510000003</v>
      </c>
      <c r="AC59" s="309">
        <f t="shared" ref="AC59:AC64" si="155">(M59*U59*12)</f>
        <v>165850</v>
      </c>
      <c r="AD59" s="314">
        <f t="shared" ref="AD59:AD64" si="156">(T59*(O59+Q59))*12</f>
        <v>50664.465600000003</v>
      </c>
      <c r="AE59" s="309"/>
      <c r="AF59" s="313">
        <f t="shared" ref="AF59:AF64" si="157">(F59*S59)</f>
        <v>-3105.9672</v>
      </c>
      <c r="AG59" s="309">
        <v>0</v>
      </c>
      <c r="AH59" s="314">
        <v>0</v>
      </c>
      <c r="AI59" s="309"/>
      <c r="AJ59" s="313">
        <f t="shared" ref="AJ59:AJ64" si="158">AB59-X59+AF59</f>
        <v>19051.780950000029</v>
      </c>
      <c r="AK59" s="309">
        <f t="shared" ref="AK59:AK64" si="159">AC59-Y59-AG59</f>
        <v>0</v>
      </c>
      <c r="AL59" s="314">
        <f t="shared" ref="AL59:AL64" si="160">AD59-Z59-AH59</f>
        <v>0</v>
      </c>
      <c r="AM59" s="309"/>
      <c r="AN59" s="338"/>
      <c r="AO59" s="340">
        <f t="shared" si="150"/>
        <v>0.14783731439638498</v>
      </c>
      <c r="AP59" s="309"/>
      <c r="AQ59" s="313">
        <f t="shared" ref="AQ59:AQ64" si="161">(G59*S59)</f>
        <v>0</v>
      </c>
      <c r="AR59" s="309">
        <v>0</v>
      </c>
      <c r="AS59" s="314">
        <v>0</v>
      </c>
      <c r="AT59" s="309"/>
      <c r="AU59" s="310"/>
      <c r="AV59" s="310"/>
      <c r="AW59" s="309"/>
    </row>
    <row r="60" spans="1:49" x14ac:dyDescent="0.2">
      <c r="A60" s="86">
        <f t="shared" si="4"/>
        <v>53</v>
      </c>
      <c r="B60" s="725"/>
      <c r="C60" s="726" t="s">
        <v>5</v>
      </c>
      <c r="D60" s="157"/>
      <c r="E60" s="122">
        <f>'Rates in Detail'!R50-'Rates in Detail'!N50</f>
        <v>2.1449999999999983E-2</v>
      </c>
      <c r="F60" s="122">
        <f>'Rates in Detail'!V50</f>
        <v>-3.0000000000000001E-3</v>
      </c>
      <c r="G60" s="157"/>
      <c r="H60" s="157"/>
      <c r="I60" s="373">
        <f>'Rev Req Proof Yr1'!H60</f>
        <v>0.12479</v>
      </c>
      <c r="J60" s="774">
        <f t="shared" si="11"/>
        <v>0.14623999999999998</v>
      </c>
      <c r="K60" s="157"/>
      <c r="L60" s="155"/>
      <c r="M60" s="156"/>
      <c r="N60" s="122"/>
      <c r="O60" s="122"/>
      <c r="P60" s="122"/>
      <c r="Q60" s="774"/>
      <c r="R60" s="157"/>
      <c r="S60" s="298">
        <f>'Rev Req Proof Yr1'!R60</f>
        <v>1036796</v>
      </c>
      <c r="T60" s="299"/>
      <c r="U60" s="300"/>
      <c r="V60" s="301"/>
      <c r="W60" s="157"/>
      <c r="X60" s="313">
        <f t="shared" si="151"/>
        <v>129381.77284000001</v>
      </c>
      <c r="Y60" s="309">
        <f t="shared" si="152"/>
        <v>0</v>
      </c>
      <c r="Z60" s="314">
        <f t="shared" si="153"/>
        <v>0</v>
      </c>
      <c r="AA60" s="309"/>
      <c r="AB60" s="313">
        <f t="shared" si="154"/>
        <v>151621.04703999998</v>
      </c>
      <c r="AC60" s="309">
        <f t="shared" si="155"/>
        <v>0</v>
      </c>
      <c r="AD60" s="314">
        <f t="shared" si="156"/>
        <v>0</v>
      </c>
      <c r="AE60" s="309"/>
      <c r="AF60" s="313">
        <f t="shared" si="157"/>
        <v>-3110.3879999999999</v>
      </c>
      <c r="AG60" s="309">
        <v>0</v>
      </c>
      <c r="AH60" s="314">
        <v>0</v>
      </c>
      <c r="AI60" s="309"/>
      <c r="AJ60" s="313">
        <f t="shared" si="158"/>
        <v>19128.886199999972</v>
      </c>
      <c r="AK60" s="309">
        <f t="shared" si="159"/>
        <v>0</v>
      </c>
      <c r="AL60" s="314">
        <f t="shared" si="160"/>
        <v>0</v>
      </c>
      <c r="AM60" s="309"/>
      <c r="AN60" s="338"/>
      <c r="AO60" s="340">
        <f t="shared" si="150"/>
        <v>0.14784838528728242</v>
      </c>
      <c r="AP60" s="309"/>
      <c r="AQ60" s="313">
        <f t="shared" si="161"/>
        <v>0</v>
      </c>
      <c r="AR60" s="309">
        <v>0</v>
      </c>
      <c r="AS60" s="314">
        <v>0</v>
      </c>
      <c r="AT60" s="309"/>
      <c r="AU60" s="310"/>
      <c r="AV60" s="310"/>
      <c r="AW60" s="309"/>
    </row>
    <row r="61" spans="1:49" x14ac:dyDescent="0.2">
      <c r="A61" s="86">
        <f t="shared" si="4"/>
        <v>54</v>
      </c>
      <c r="B61" s="725"/>
      <c r="C61" s="726" t="s">
        <v>6</v>
      </c>
      <c r="D61" s="157"/>
      <c r="E61" s="122">
        <f>'Rates in Detail'!R51-'Rates in Detail'!N51</f>
        <v>1.6450000000000006E-2</v>
      </c>
      <c r="F61" s="122">
        <f>'Rates in Detail'!V51</f>
        <v>-2.3E-3</v>
      </c>
      <c r="G61" s="157"/>
      <c r="H61" s="157"/>
      <c r="I61" s="373">
        <f>'Rev Req Proof Yr1'!H61</f>
        <v>9.5689999999999997E-2</v>
      </c>
      <c r="J61" s="774">
        <f t="shared" si="11"/>
        <v>0.11214</v>
      </c>
      <c r="K61" s="157"/>
      <c r="L61" s="155"/>
      <c r="M61" s="156"/>
      <c r="N61" s="122"/>
      <c r="O61" s="122"/>
      <c r="P61" s="122"/>
      <c r="Q61" s="774"/>
      <c r="R61" s="157"/>
      <c r="S61" s="298">
        <f>'Rev Req Proof Yr1'!R61</f>
        <v>937215</v>
      </c>
      <c r="T61" s="299"/>
      <c r="U61" s="300"/>
      <c r="V61" s="301"/>
      <c r="W61" s="157"/>
      <c r="X61" s="313">
        <f t="shared" si="151"/>
        <v>89682.10334999999</v>
      </c>
      <c r="Y61" s="309">
        <f t="shared" si="152"/>
        <v>0</v>
      </c>
      <c r="Z61" s="314">
        <f t="shared" si="153"/>
        <v>0</v>
      </c>
      <c r="AA61" s="309"/>
      <c r="AB61" s="313">
        <f t="shared" si="154"/>
        <v>105099.2901</v>
      </c>
      <c r="AC61" s="309">
        <f t="shared" si="155"/>
        <v>0</v>
      </c>
      <c r="AD61" s="314">
        <f t="shared" si="156"/>
        <v>0</v>
      </c>
      <c r="AE61" s="309"/>
      <c r="AF61" s="313">
        <f t="shared" si="157"/>
        <v>-2155.5945000000002</v>
      </c>
      <c r="AG61" s="309">
        <v>0</v>
      </c>
      <c r="AH61" s="314">
        <v>0</v>
      </c>
      <c r="AI61" s="309"/>
      <c r="AJ61" s="313">
        <f t="shared" si="158"/>
        <v>13261.592250000009</v>
      </c>
      <c r="AK61" s="309">
        <f t="shared" si="159"/>
        <v>0</v>
      </c>
      <c r="AL61" s="314">
        <f t="shared" si="160"/>
        <v>0</v>
      </c>
      <c r="AM61" s="309"/>
      <c r="AN61" s="338"/>
      <c r="AO61" s="340">
        <f t="shared" si="150"/>
        <v>0.1478733409969695</v>
      </c>
      <c r="AP61" s="309"/>
      <c r="AQ61" s="313">
        <f t="shared" si="161"/>
        <v>0</v>
      </c>
      <c r="AR61" s="309">
        <v>0</v>
      </c>
      <c r="AS61" s="314">
        <v>0</v>
      </c>
      <c r="AT61" s="309"/>
      <c r="AU61" s="310"/>
      <c r="AV61" s="310"/>
      <c r="AW61" s="309"/>
    </row>
    <row r="62" spans="1:49" x14ac:dyDescent="0.2">
      <c r="A62" s="86">
        <f t="shared" si="4"/>
        <v>55</v>
      </c>
      <c r="B62" s="725"/>
      <c r="C62" s="726" t="s">
        <v>7</v>
      </c>
      <c r="D62" s="157"/>
      <c r="E62" s="122">
        <f>'Rates in Detail'!R52-'Rates in Detail'!N52</f>
        <v>1.3170000000000001E-2</v>
      </c>
      <c r="F62" s="122">
        <f>'Rates in Detail'!V52</f>
        <v>-1.8400000000000001E-3</v>
      </c>
      <c r="G62" s="157"/>
      <c r="H62" s="157"/>
      <c r="I62" s="373">
        <f>'Rev Req Proof Yr1'!H62</f>
        <v>7.6560000000000003E-2</v>
      </c>
      <c r="J62" s="774">
        <f t="shared" si="11"/>
        <v>8.9730000000000004E-2</v>
      </c>
      <c r="K62" s="157"/>
      <c r="L62" s="155"/>
      <c r="M62" s="156"/>
      <c r="N62" s="122"/>
      <c r="O62" s="122"/>
      <c r="P62" s="122"/>
      <c r="Q62" s="774"/>
      <c r="R62" s="157"/>
      <c r="S62" s="298">
        <f>'Rev Req Proof Yr1'!R62</f>
        <v>2390318</v>
      </c>
      <c r="T62" s="299"/>
      <c r="U62" s="300"/>
      <c r="V62" s="301"/>
      <c r="W62" s="157"/>
      <c r="X62" s="313">
        <f t="shared" si="151"/>
        <v>183002.74608000001</v>
      </c>
      <c r="Y62" s="309">
        <f t="shared" si="152"/>
        <v>0</v>
      </c>
      <c r="Z62" s="314">
        <f t="shared" si="153"/>
        <v>0</v>
      </c>
      <c r="AA62" s="309"/>
      <c r="AB62" s="313">
        <f t="shared" si="154"/>
        <v>214483.23414000002</v>
      </c>
      <c r="AC62" s="309">
        <f t="shared" si="155"/>
        <v>0</v>
      </c>
      <c r="AD62" s="314">
        <f t="shared" si="156"/>
        <v>0</v>
      </c>
      <c r="AE62" s="309"/>
      <c r="AF62" s="313">
        <f t="shared" si="157"/>
        <v>-4398.1851200000001</v>
      </c>
      <c r="AG62" s="309">
        <v>0</v>
      </c>
      <c r="AH62" s="314">
        <v>0</v>
      </c>
      <c r="AI62" s="309"/>
      <c r="AJ62" s="313">
        <f t="shared" si="158"/>
        <v>27082.302940000001</v>
      </c>
      <c r="AK62" s="309">
        <f t="shared" si="159"/>
        <v>0</v>
      </c>
      <c r="AL62" s="314">
        <f t="shared" si="160"/>
        <v>0</v>
      </c>
      <c r="AM62" s="309"/>
      <c r="AN62" s="338"/>
      <c r="AO62" s="340">
        <f t="shared" si="150"/>
        <v>0.14798850574712644</v>
      </c>
      <c r="AP62" s="309"/>
      <c r="AQ62" s="313">
        <f t="shared" si="161"/>
        <v>0</v>
      </c>
      <c r="AR62" s="309">
        <v>0</v>
      </c>
      <c r="AS62" s="314">
        <v>0</v>
      </c>
      <c r="AT62" s="309"/>
      <c r="AU62" s="310"/>
      <c r="AV62" s="310"/>
      <c r="AW62" s="309"/>
    </row>
    <row r="63" spans="1:49" x14ac:dyDescent="0.2">
      <c r="A63" s="86">
        <f t="shared" si="4"/>
        <v>56</v>
      </c>
      <c r="B63" s="725"/>
      <c r="C63" s="726" t="s">
        <v>8</v>
      </c>
      <c r="D63" s="157"/>
      <c r="E63" s="122">
        <f>'Rates in Detail'!R53-'Rates in Detail'!N53</f>
        <v>8.77E-3</v>
      </c>
      <c r="F63" s="122">
        <f>'Rates in Detail'!V53</f>
        <v>-1.23E-3</v>
      </c>
      <c r="G63" s="157"/>
      <c r="H63" s="157"/>
      <c r="I63" s="373">
        <f>'Rev Req Proof Yr1'!H63</f>
        <v>5.1040000000000002E-2</v>
      </c>
      <c r="J63" s="774">
        <f t="shared" si="11"/>
        <v>5.9810000000000002E-2</v>
      </c>
      <c r="K63" s="157"/>
      <c r="L63" s="155"/>
      <c r="M63" s="156"/>
      <c r="N63" s="122"/>
      <c r="O63" s="122"/>
      <c r="P63" s="122"/>
      <c r="Q63" s="774"/>
      <c r="R63" s="157"/>
      <c r="S63" s="298">
        <f>'Rev Req Proof Yr1'!R63</f>
        <v>1492257</v>
      </c>
      <c r="T63" s="299"/>
      <c r="U63" s="300"/>
      <c r="V63" s="301"/>
      <c r="W63" s="157"/>
      <c r="X63" s="313">
        <f t="shared" si="151"/>
        <v>76164.797279999999</v>
      </c>
      <c r="Y63" s="309">
        <f t="shared" si="152"/>
        <v>0</v>
      </c>
      <c r="Z63" s="314">
        <f t="shared" si="153"/>
        <v>0</v>
      </c>
      <c r="AA63" s="309"/>
      <c r="AB63" s="313">
        <f t="shared" si="154"/>
        <v>89251.891170000003</v>
      </c>
      <c r="AC63" s="309">
        <f t="shared" si="155"/>
        <v>0</v>
      </c>
      <c r="AD63" s="314">
        <f t="shared" si="156"/>
        <v>0</v>
      </c>
      <c r="AE63" s="309"/>
      <c r="AF63" s="313">
        <f t="shared" si="157"/>
        <v>-1835.4761100000001</v>
      </c>
      <c r="AG63" s="309">
        <v>0</v>
      </c>
      <c r="AH63" s="314">
        <v>0</v>
      </c>
      <c r="AI63" s="309"/>
      <c r="AJ63" s="313">
        <f t="shared" si="158"/>
        <v>11251.617780000004</v>
      </c>
      <c r="AK63" s="309">
        <f t="shared" si="159"/>
        <v>0</v>
      </c>
      <c r="AL63" s="314">
        <f t="shared" si="160"/>
        <v>0</v>
      </c>
      <c r="AM63" s="309"/>
      <c r="AN63" s="338"/>
      <c r="AO63" s="340">
        <f t="shared" si="150"/>
        <v>0.14772727272727279</v>
      </c>
      <c r="AP63" s="309"/>
      <c r="AQ63" s="313">
        <f t="shared" si="161"/>
        <v>0</v>
      </c>
      <c r="AR63" s="309">
        <v>0</v>
      </c>
      <c r="AS63" s="314">
        <v>0</v>
      </c>
      <c r="AT63" s="309"/>
      <c r="AU63" s="310"/>
      <c r="AV63" s="310"/>
      <c r="AW63" s="309"/>
    </row>
    <row r="64" spans="1:49" x14ac:dyDescent="0.2">
      <c r="A64" s="86">
        <f t="shared" si="4"/>
        <v>57</v>
      </c>
      <c r="B64" s="725"/>
      <c r="C64" s="726" t="s">
        <v>9</v>
      </c>
      <c r="D64" s="157"/>
      <c r="E64" s="122">
        <f>'Rates in Detail'!R54-'Rates in Detail'!N54</f>
        <v>3.2900000000000013E-3</v>
      </c>
      <c r="F64" s="122">
        <f>'Rates in Detail'!V54</f>
        <v>-4.6000000000000001E-4</v>
      </c>
      <c r="G64" s="157"/>
      <c r="H64" s="157"/>
      <c r="I64" s="373">
        <f>'Rev Req Proof Yr1'!H64</f>
        <v>1.9140000000000001E-2</v>
      </c>
      <c r="J64" s="774">
        <f t="shared" si="11"/>
        <v>2.2430000000000002E-2</v>
      </c>
      <c r="K64" s="157"/>
      <c r="L64" s="155"/>
      <c r="M64" s="156"/>
      <c r="N64" s="122"/>
      <c r="O64" s="122"/>
      <c r="P64" s="122"/>
      <c r="Q64" s="774"/>
      <c r="R64" s="157"/>
      <c r="S64" s="298">
        <f>'Rev Req Proof Yr1'!R64</f>
        <v>0</v>
      </c>
      <c r="T64" s="299"/>
      <c r="U64" s="300"/>
      <c r="V64" s="301"/>
      <c r="W64" s="157"/>
      <c r="X64" s="313">
        <f t="shared" si="151"/>
        <v>0</v>
      </c>
      <c r="Y64" s="309">
        <f t="shared" si="152"/>
        <v>0</v>
      </c>
      <c r="Z64" s="314">
        <f t="shared" si="153"/>
        <v>0</v>
      </c>
      <c r="AA64" s="309"/>
      <c r="AB64" s="313">
        <f t="shared" si="154"/>
        <v>0</v>
      </c>
      <c r="AC64" s="309">
        <f t="shared" si="155"/>
        <v>0</v>
      </c>
      <c r="AD64" s="314">
        <f t="shared" si="156"/>
        <v>0</v>
      </c>
      <c r="AE64" s="309"/>
      <c r="AF64" s="313">
        <f t="shared" si="157"/>
        <v>0</v>
      </c>
      <c r="AG64" s="309">
        <v>0</v>
      </c>
      <c r="AH64" s="314">
        <v>0</v>
      </c>
      <c r="AI64" s="309"/>
      <c r="AJ64" s="313">
        <f t="shared" si="158"/>
        <v>0</v>
      </c>
      <c r="AK64" s="309">
        <f t="shared" si="159"/>
        <v>0</v>
      </c>
      <c r="AL64" s="314">
        <f t="shared" si="160"/>
        <v>0</v>
      </c>
      <c r="AM64" s="309"/>
      <c r="AN64" s="338"/>
      <c r="AO64" s="340" t="e">
        <f t="shared" si="150"/>
        <v>#DIV/0!</v>
      </c>
      <c r="AP64" s="309"/>
      <c r="AQ64" s="313">
        <f t="shared" si="161"/>
        <v>0</v>
      </c>
      <c r="AR64" s="309">
        <v>0</v>
      </c>
      <c r="AS64" s="314">
        <v>0</v>
      </c>
      <c r="AT64" s="309"/>
      <c r="AU64" s="310"/>
      <c r="AV64" s="310"/>
      <c r="AW64" s="309"/>
    </row>
    <row r="65" spans="1:49" x14ac:dyDescent="0.2">
      <c r="A65" s="86">
        <f t="shared" si="4"/>
        <v>58</v>
      </c>
      <c r="B65" s="723"/>
      <c r="C65" s="742" t="s">
        <v>78</v>
      </c>
      <c r="D65" s="153"/>
      <c r="E65" s="123"/>
      <c r="F65" s="123"/>
      <c r="G65" s="153"/>
      <c r="H65" s="153"/>
      <c r="I65" s="368"/>
      <c r="J65" s="773"/>
      <c r="K65" s="157"/>
      <c r="L65" s="155"/>
      <c r="M65" s="156"/>
      <c r="N65" s="122"/>
      <c r="O65" s="122"/>
      <c r="P65" s="122"/>
      <c r="Q65" s="774"/>
      <c r="R65" s="157"/>
      <c r="S65" s="298"/>
      <c r="T65" s="299"/>
      <c r="U65" s="300"/>
      <c r="V65" s="301"/>
      <c r="W65" s="157"/>
      <c r="X65" s="315">
        <f>SUM(X59:X64)</f>
        <v>607101.32649999997</v>
      </c>
      <c r="Y65" s="316">
        <f>SUM(Y59:Y64)</f>
        <v>165850</v>
      </c>
      <c r="Z65" s="317">
        <f>SUM(Z59:Z64)</f>
        <v>50664.465600000003</v>
      </c>
      <c r="AA65" s="309"/>
      <c r="AB65" s="315">
        <f>SUM(AB59:AB64)</f>
        <v>711483.11754999997</v>
      </c>
      <c r="AC65" s="316">
        <f>SUM(AC59:AC64)</f>
        <v>165850</v>
      </c>
      <c r="AD65" s="317">
        <f>SUM(AD59:AD64)</f>
        <v>50664.465600000003</v>
      </c>
      <c r="AE65" s="309"/>
      <c r="AF65" s="315">
        <f>SUM(AF59:AF64)</f>
        <v>-14605.610930000001</v>
      </c>
      <c r="AG65" s="316">
        <f>SUM(AG59:AG64)</f>
        <v>0</v>
      </c>
      <c r="AH65" s="317">
        <f>SUM(AH59:AH64)</f>
        <v>0</v>
      </c>
      <c r="AI65" s="309"/>
      <c r="AJ65" s="315">
        <f>SUM(AJ59:AJ64)</f>
        <v>89776.180120000005</v>
      </c>
      <c r="AK65" s="316">
        <f>SUM(AK59:AK64)</f>
        <v>0</v>
      </c>
      <c r="AL65" s="317">
        <f>SUM(AL59:AL64)</f>
        <v>0</v>
      </c>
      <c r="AM65" s="309"/>
      <c r="AN65" s="338">
        <f>SUM(AJ65:AL65)/SUM(X65:Z65)</f>
        <v>0.10900249968628548</v>
      </c>
      <c r="AO65" s="339">
        <f t="shared" si="150"/>
        <v>0.14787676488465062</v>
      </c>
      <c r="AP65" s="309"/>
      <c r="AQ65" s="315">
        <f>SUM(AQ59:AQ64)</f>
        <v>0</v>
      </c>
      <c r="AR65" s="316">
        <f>SUM(AR59:AR64)</f>
        <v>0</v>
      </c>
      <c r="AS65" s="317">
        <f>SUM(AS59:AS64)</f>
        <v>0</v>
      </c>
      <c r="AT65" s="309"/>
      <c r="AU65" s="310"/>
      <c r="AV65" s="310"/>
      <c r="AW65" s="309"/>
    </row>
    <row r="66" spans="1:49" x14ac:dyDescent="0.2">
      <c r="A66" s="86">
        <f t="shared" si="4"/>
        <v>59</v>
      </c>
      <c r="B66" s="725" t="str">
        <f>'WA Volumes &amp; Revenues'!B57</f>
        <v>42C Interr Sales</v>
      </c>
      <c r="C66" s="726" t="s">
        <v>4</v>
      </c>
      <c r="D66" s="157"/>
      <c r="E66" s="122">
        <f>'Rates in Detail'!R55-'Rates in Detail'!N55</f>
        <v>2.4859999999999993E-2</v>
      </c>
      <c r="F66" s="122">
        <f>'Rates in Detail'!V55</f>
        <v>-9.7800000000000005E-3</v>
      </c>
      <c r="G66" s="157"/>
      <c r="H66" s="157"/>
      <c r="I66" s="373">
        <f>'Rev Req Proof Yr1'!H66</f>
        <v>0.13682</v>
      </c>
      <c r="J66" s="774">
        <f t="shared" si="11"/>
        <v>0.16167999999999999</v>
      </c>
      <c r="K66" s="157"/>
      <c r="L66" s="155">
        <f>'Rev Req Proof Yr1'!K66</f>
        <v>1300</v>
      </c>
      <c r="M66" s="156">
        <f>'Rev Req Proof Yr1'!L66</f>
        <v>1300</v>
      </c>
      <c r="N66" s="122">
        <f>'Rev Req Proof Yr1'!M66</f>
        <v>0</v>
      </c>
      <c r="O66" s="122">
        <f>'Rev Req Proof Yr1'!N66</f>
        <v>0</v>
      </c>
      <c r="P66" s="122">
        <f>'Rev Req Proof Yr1'!O66</f>
        <v>0</v>
      </c>
      <c r="Q66" s="774">
        <f>'Rev Req Proof Yr1'!P66</f>
        <v>0</v>
      </c>
      <c r="R66" s="157"/>
      <c r="S66" s="298">
        <f>'Rev Req Proof Yr1'!R66</f>
        <v>240000</v>
      </c>
      <c r="T66" s="299">
        <f>'Rev Req Proof Yr1'!S66</f>
        <v>4620</v>
      </c>
      <c r="U66" s="300">
        <f>'Rev Req Proof Yr1'!T66</f>
        <v>2</v>
      </c>
      <c r="V66" s="301">
        <f>'Rev Req Proof Yr1'!U66</f>
        <v>39322</v>
      </c>
      <c r="W66" s="157"/>
      <c r="X66" s="313">
        <f t="shared" ref="X66:X71" si="162">(I66*S66)</f>
        <v>32836.800000000003</v>
      </c>
      <c r="Y66" s="309">
        <f t="shared" ref="Y66:Y71" si="163">(L66*U66*12)</f>
        <v>31200</v>
      </c>
      <c r="Z66" s="314">
        <f t="shared" ref="Z66:Z71" si="164">(T66*(N66+P66))*12</f>
        <v>0</v>
      </c>
      <c r="AA66" s="309"/>
      <c r="AB66" s="313">
        <f t="shared" ref="AB66:AB71" si="165">(J66*S66)</f>
        <v>38803.199999999997</v>
      </c>
      <c r="AC66" s="309">
        <f t="shared" ref="AC66:AC71" si="166">(M66*U66*12)</f>
        <v>31200</v>
      </c>
      <c r="AD66" s="314">
        <f t="shared" ref="AD66:AD71" si="167">(T66*(O66+Q66))*12</f>
        <v>0</v>
      </c>
      <c r="AE66" s="309"/>
      <c r="AF66" s="313">
        <f t="shared" ref="AF66:AF71" si="168">(F66*S66)</f>
        <v>-2347.2000000000003</v>
      </c>
      <c r="AG66" s="309">
        <v>0</v>
      </c>
      <c r="AH66" s="314">
        <v>0</v>
      </c>
      <c r="AI66" s="309"/>
      <c r="AJ66" s="313">
        <f t="shared" ref="AJ66:AJ71" si="169">AB66-X66+AF66</f>
        <v>3619.1999999999939</v>
      </c>
      <c r="AK66" s="309">
        <f t="shared" ref="AK66:AK71" si="170">AC66-Y66-AG66</f>
        <v>0</v>
      </c>
      <c r="AL66" s="314">
        <f t="shared" ref="AL66:AL71" si="171">AD66-Z66-AH66</f>
        <v>0</v>
      </c>
      <c r="AM66" s="309"/>
      <c r="AN66" s="338"/>
      <c r="AO66" s="340">
        <f t="shared" si="150"/>
        <v>0.11021780441455908</v>
      </c>
      <c r="AP66" s="309"/>
      <c r="AQ66" s="313">
        <f t="shared" ref="AQ66:AQ71" si="172">(G66*S66)</f>
        <v>0</v>
      </c>
      <c r="AR66" s="309">
        <v>0</v>
      </c>
      <c r="AS66" s="314">
        <v>0</v>
      </c>
      <c r="AT66" s="309"/>
      <c r="AU66" s="310"/>
      <c r="AV66" s="310"/>
      <c r="AW66" s="309"/>
    </row>
    <row r="67" spans="1:49" x14ac:dyDescent="0.2">
      <c r="A67" s="86">
        <f t="shared" si="4"/>
        <v>60</v>
      </c>
      <c r="B67" s="725"/>
      <c r="C67" s="726" t="s">
        <v>5</v>
      </c>
      <c r="D67" s="157"/>
      <c r="E67" s="122">
        <f>'Rates in Detail'!R56-'Rates in Detail'!N56</f>
        <v>2.2260000000000002E-2</v>
      </c>
      <c r="F67" s="122">
        <f>'Rates in Detail'!V56</f>
        <v>-8.7600000000000004E-3</v>
      </c>
      <c r="G67" s="157"/>
      <c r="H67" s="157"/>
      <c r="I67" s="373">
        <f>'Rev Req Proof Yr1'!H67</f>
        <v>0.12247</v>
      </c>
      <c r="J67" s="774">
        <f t="shared" si="11"/>
        <v>0.14473</v>
      </c>
      <c r="K67" s="157"/>
      <c r="L67" s="273"/>
      <c r="M67" s="55"/>
      <c r="N67" s="122"/>
      <c r="O67" s="122"/>
      <c r="P67" s="122"/>
      <c r="Q67" s="774"/>
      <c r="R67" s="157"/>
      <c r="S67" s="298">
        <f>'Rev Req Proof Yr1'!R67</f>
        <v>467511</v>
      </c>
      <c r="T67" s="299"/>
      <c r="U67" s="300"/>
      <c r="V67" s="301"/>
      <c r="W67" s="157"/>
      <c r="X67" s="313">
        <f t="shared" si="162"/>
        <v>57256.072169999999</v>
      </c>
      <c r="Y67" s="309">
        <f t="shared" si="163"/>
        <v>0</v>
      </c>
      <c r="Z67" s="314">
        <f t="shared" si="164"/>
        <v>0</v>
      </c>
      <c r="AA67" s="309"/>
      <c r="AB67" s="313">
        <f t="shared" si="165"/>
        <v>67662.867029999994</v>
      </c>
      <c r="AC67" s="309">
        <f t="shared" si="166"/>
        <v>0</v>
      </c>
      <c r="AD67" s="314">
        <f t="shared" si="167"/>
        <v>0</v>
      </c>
      <c r="AE67" s="309"/>
      <c r="AF67" s="313">
        <f t="shared" si="168"/>
        <v>-4095.3963600000002</v>
      </c>
      <c r="AG67" s="309">
        <v>0</v>
      </c>
      <c r="AH67" s="314">
        <v>0</v>
      </c>
      <c r="AI67" s="309"/>
      <c r="AJ67" s="313">
        <f t="shared" si="169"/>
        <v>6311.3984999999939</v>
      </c>
      <c r="AK67" s="309">
        <f t="shared" si="170"/>
        <v>0</v>
      </c>
      <c r="AL67" s="314">
        <f t="shared" si="171"/>
        <v>0</v>
      </c>
      <c r="AM67" s="309"/>
      <c r="AN67" s="338"/>
      <c r="AO67" s="340">
        <f t="shared" si="150"/>
        <v>0.11023107699844849</v>
      </c>
      <c r="AP67" s="309"/>
      <c r="AQ67" s="313">
        <f t="shared" si="172"/>
        <v>0</v>
      </c>
      <c r="AR67" s="309">
        <v>0</v>
      </c>
      <c r="AS67" s="314">
        <v>0</v>
      </c>
      <c r="AT67" s="309"/>
      <c r="AU67" s="310"/>
      <c r="AV67" s="310"/>
      <c r="AW67" s="309"/>
    </row>
    <row r="68" spans="1:49" x14ac:dyDescent="0.2">
      <c r="A68" s="86">
        <f t="shared" si="4"/>
        <v>61</v>
      </c>
      <c r="B68" s="725"/>
      <c r="C68" s="726" t="s">
        <v>6</v>
      </c>
      <c r="D68" s="157"/>
      <c r="E68" s="122">
        <f>'Rates in Detail'!R57-'Rates in Detail'!N57</f>
        <v>1.7070000000000002E-2</v>
      </c>
      <c r="F68" s="122">
        <f>'Rates in Detail'!V57</f>
        <v>-6.7100000000000007E-3</v>
      </c>
      <c r="G68" s="157"/>
      <c r="H68" s="157"/>
      <c r="I68" s="373">
        <f>'Rev Req Proof Yr1'!H68</f>
        <v>9.3909999999999993E-2</v>
      </c>
      <c r="J68" s="774">
        <f t="shared" si="11"/>
        <v>0.11098</v>
      </c>
      <c r="K68" s="157"/>
      <c r="L68" s="155"/>
      <c r="M68" s="156"/>
      <c r="N68" s="122"/>
      <c r="O68" s="122"/>
      <c r="P68" s="122"/>
      <c r="Q68" s="774"/>
      <c r="R68" s="157"/>
      <c r="S68" s="298">
        <f>'Rev Req Proof Yr1'!R68</f>
        <v>218004</v>
      </c>
      <c r="T68" s="299"/>
      <c r="U68" s="300"/>
      <c r="V68" s="301"/>
      <c r="W68" s="157"/>
      <c r="X68" s="313">
        <f t="shared" si="162"/>
        <v>20472.755639999999</v>
      </c>
      <c r="Y68" s="309">
        <f t="shared" si="163"/>
        <v>0</v>
      </c>
      <c r="Z68" s="314">
        <f t="shared" si="164"/>
        <v>0</v>
      </c>
      <c r="AA68" s="309"/>
      <c r="AB68" s="313">
        <f t="shared" si="165"/>
        <v>24194.083919999997</v>
      </c>
      <c r="AC68" s="309">
        <f t="shared" si="166"/>
        <v>0</v>
      </c>
      <c r="AD68" s="314">
        <f t="shared" si="167"/>
        <v>0</v>
      </c>
      <c r="AE68" s="309"/>
      <c r="AF68" s="313">
        <f t="shared" si="168"/>
        <v>-1462.8068400000002</v>
      </c>
      <c r="AG68" s="309">
        <v>0</v>
      </c>
      <c r="AH68" s="314">
        <v>0</v>
      </c>
      <c r="AI68" s="309"/>
      <c r="AJ68" s="313">
        <f t="shared" si="169"/>
        <v>2258.5214399999977</v>
      </c>
      <c r="AK68" s="309">
        <f t="shared" si="170"/>
        <v>0</v>
      </c>
      <c r="AL68" s="314">
        <f t="shared" si="171"/>
        <v>0</v>
      </c>
      <c r="AM68" s="309"/>
      <c r="AN68" s="338"/>
      <c r="AO68" s="340">
        <f t="shared" si="150"/>
        <v>0.11031838994782227</v>
      </c>
      <c r="AP68" s="309"/>
      <c r="AQ68" s="313">
        <f t="shared" si="172"/>
        <v>0</v>
      </c>
      <c r="AR68" s="309">
        <v>0</v>
      </c>
      <c r="AS68" s="314">
        <v>0</v>
      </c>
      <c r="AT68" s="309"/>
      <c r="AU68" s="310"/>
      <c r="AV68" s="310"/>
      <c r="AW68" s="309"/>
    </row>
    <row r="69" spans="1:49" x14ac:dyDescent="0.2">
      <c r="A69" s="86">
        <f t="shared" si="4"/>
        <v>62</v>
      </c>
      <c r="B69" s="725"/>
      <c r="C69" s="726" t="s">
        <v>7</v>
      </c>
      <c r="D69" s="157"/>
      <c r="E69" s="122">
        <f>'Rates in Detail'!R58-'Rates in Detail'!N58</f>
        <v>1.3649999999999995E-2</v>
      </c>
      <c r="F69" s="122">
        <f>'Rates in Detail'!V58</f>
        <v>-5.3699999999999998E-3</v>
      </c>
      <c r="G69" s="157"/>
      <c r="H69" s="157"/>
      <c r="I69" s="373">
        <f>'Rev Req Proof Yr1'!H69</f>
        <v>7.5130000000000002E-2</v>
      </c>
      <c r="J69" s="774">
        <f t="shared" si="11"/>
        <v>8.8779999999999998E-2</v>
      </c>
      <c r="K69" s="157"/>
      <c r="L69" s="155"/>
      <c r="M69" s="156"/>
      <c r="N69" s="122"/>
      <c r="O69" s="122"/>
      <c r="P69" s="122"/>
      <c r="Q69" s="774"/>
      <c r="R69" s="157"/>
      <c r="S69" s="298">
        <f>'Rev Req Proof Yr1'!R69</f>
        <v>18208</v>
      </c>
      <c r="T69" s="299"/>
      <c r="U69" s="300"/>
      <c r="V69" s="301"/>
      <c r="W69" s="157"/>
      <c r="X69" s="313">
        <f t="shared" si="162"/>
        <v>1367.96704</v>
      </c>
      <c r="Y69" s="309">
        <f t="shared" si="163"/>
        <v>0</v>
      </c>
      <c r="Z69" s="314">
        <f t="shared" si="164"/>
        <v>0</v>
      </c>
      <c r="AA69" s="309"/>
      <c r="AB69" s="313">
        <f t="shared" si="165"/>
        <v>1616.5062399999999</v>
      </c>
      <c r="AC69" s="309">
        <f t="shared" si="166"/>
        <v>0</v>
      </c>
      <c r="AD69" s="314">
        <f t="shared" si="167"/>
        <v>0</v>
      </c>
      <c r="AE69" s="309"/>
      <c r="AF69" s="313">
        <f t="shared" si="168"/>
        <v>-97.776960000000003</v>
      </c>
      <c r="AG69" s="309">
        <v>0</v>
      </c>
      <c r="AH69" s="314">
        <v>0</v>
      </c>
      <c r="AI69" s="309"/>
      <c r="AJ69" s="313">
        <f t="shared" si="169"/>
        <v>150.76223999999993</v>
      </c>
      <c r="AK69" s="309">
        <f t="shared" si="170"/>
        <v>0</v>
      </c>
      <c r="AL69" s="314">
        <f t="shared" si="171"/>
        <v>0</v>
      </c>
      <c r="AM69" s="309"/>
      <c r="AN69" s="338"/>
      <c r="AO69" s="340">
        <f t="shared" si="150"/>
        <v>0.11020897111673095</v>
      </c>
      <c r="AP69" s="309"/>
      <c r="AQ69" s="313">
        <f t="shared" si="172"/>
        <v>0</v>
      </c>
      <c r="AR69" s="309">
        <v>0</v>
      </c>
      <c r="AS69" s="314">
        <v>0</v>
      </c>
      <c r="AT69" s="309"/>
      <c r="AU69" s="310"/>
      <c r="AV69" s="310"/>
      <c r="AW69" s="309"/>
    </row>
    <row r="70" spans="1:49" x14ac:dyDescent="0.2">
      <c r="A70" s="86">
        <f t="shared" si="4"/>
        <v>63</v>
      </c>
      <c r="B70" s="725"/>
      <c r="C70" s="726" t="s">
        <v>8</v>
      </c>
      <c r="D70" s="157"/>
      <c r="E70" s="122">
        <f>'Rates in Detail'!R59-'Rates in Detail'!N59</f>
        <v>9.11E-3</v>
      </c>
      <c r="F70" s="122">
        <f>'Rates in Detail'!V59</f>
        <v>-3.5799999999999998E-3</v>
      </c>
      <c r="G70" s="157"/>
      <c r="H70" s="157"/>
      <c r="I70" s="373">
        <f>'Rev Req Proof Yr1'!H70</f>
        <v>5.0090000000000003E-2</v>
      </c>
      <c r="J70" s="774">
        <f t="shared" si="11"/>
        <v>5.9200000000000003E-2</v>
      </c>
      <c r="K70" s="157"/>
      <c r="L70" s="155"/>
      <c r="M70" s="156"/>
      <c r="N70" s="122"/>
      <c r="O70" s="122"/>
      <c r="P70" s="122"/>
      <c r="Q70" s="774"/>
      <c r="R70" s="157"/>
      <c r="S70" s="298">
        <f>'Rev Req Proof Yr1'!R70</f>
        <v>0</v>
      </c>
      <c r="T70" s="299"/>
      <c r="U70" s="300"/>
      <c r="V70" s="301"/>
      <c r="W70" s="157"/>
      <c r="X70" s="313">
        <f t="shared" si="162"/>
        <v>0</v>
      </c>
      <c r="Y70" s="309">
        <f t="shared" si="163"/>
        <v>0</v>
      </c>
      <c r="Z70" s="314">
        <f t="shared" si="164"/>
        <v>0</v>
      </c>
      <c r="AA70" s="309"/>
      <c r="AB70" s="313">
        <f t="shared" si="165"/>
        <v>0</v>
      </c>
      <c r="AC70" s="309">
        <f t="shared" si="166"/>
        <v>0</v>
      </c>
      <c r="AD70" s="314">
        <f t="shared" si="167"/>
        <v>0</v>
      </c>
      <c r="AE70" s="309"/>
      <c r="AF70" s="313">
        <f t="shared" si="168"/>
        <v>0</v>
      </c>
      <c r="AG70" s="309">
        <v>0</v>
      </c>
      <c r="AH70" s="314">
        <v>0</v>
      </c>
      <c r="AI70" s="309"/>
      <c r="AJ70" s="313">
        <f t="shared" si="169"/>
        <v>0</v>
      </c>
      <c r="AK70" s="309">
        <f t="shared" si="170"/>
        <v>0</v>
      </c>
      <c r="AL70" s="314">
        <f t="shared" si="171"/>
        <v>0</v>
      </c>
      <c r="AM70" s="309"/>
      <c r="AN70" s="338"/>
      <c r="AO70" s="340" t="e">
        <f t="shared" si="150"/>
        <v>#DIV/0!</v>
      </c>
      <c r="AP70" s="309"/>
      <c r="AQ70" s="313">
        <f t="shared" si="172"/>
        <v>0</v>
      </c>
      <c r="AR70" s="309">
        <v>0</v>
      </c>
      <c r="AS70" s="314">
        <v>0</v>
      </c>
      <c r="AT70" s="309"/>
      <c r="AU70" s="310"/>
      <c r="AV70" s="310"/>
      <c r="AW70" s="309"/>
    </row>
    <row r="71" spans="1:49" x14ac:dyDescent="0.2">
      <c r="A71" s="86">
        <f t="shared" si="4"/>
        <v>64</v>
      </c>
      <c r="B71" s="725"/>
      <c r="C71" s="726" t="s">
        <v>9</v>
      </c>
      <c r="D71" s="157"/>
      <c r="E71" s="122">
        <f>'Rates in Detail'!R60-'Rates in Detail'!N60</f>
        <v>3.4199999999999994E-3</v>
      </c>
      <c r="F71" s="122">
        <f>'Rates in Detail'!V60</f>
        <v>-1.3500000000000001E-3</v>
      </c>
      <c r="G71" s="157"/>
      <c r="H71" s="157"/>
      <c r="I71" s="373">
        <f>'Rev Req Proof Yr1'!H71</f>
        <v>1.8790000000000001E-2</v>
      </c>
      <c r="J71" s="774">
        <f t="shared" si="11"/>
        <v>2.2210000000000001E-2</v>
      </c>
      <c r="K71" s="157"/>
      <c r="L71" s="155"/>
      <c r="M71" s="156"/>
      <c r="N71" s="122"/>
      <c r="O71" s="122"/>
      <c r="P71" s="122"/>
      <c r="Q71" s="774"/>
      <c r="R71" s="157"/>
      <c r="S71" s="298">
        <f>'Rev Req Proof Yr1'!R71</f>
        <v>0</v>
      </c>
      <c r="T71" s="299"/>
      <c r="U71" s="300"/>
      <c r="V71" s="301"/>
      <c r="W71" s="157"/>
      <c r="X71" s="313">
        <f t="shared" si="162"/>
        <v>0</v>
      </c>
      <c r="Y71" s="309">
        <f t="shared" si="163"/>
        <v>0</v>
      </c>
      <c r="Z71" s="314">
        <f t="shared" si="164"/>
        <v>0</v>
      </c>
      <c r="AA71" s="309"/>
      <c r="AB71" s="313">
        <f t="shared" si="165"/>
        <v>0</v>
      </c>
      <c r="AC71" s="309">
        <f t="shared" si="166"/>
        <v>0</v>
      </c>
      <c r="AD71" s="314">
        <f t="shared" si="167"/>
        <v>0</v>
      </c>
      <c r="AE71" s="309"/>
      <c r="AF71" s="313">
        <f t="shared" si="168"/>
        <v>0</v>
      </c>
      <c r="AG71" s="309">
        <v>0</v>
      </c>
      <c r="AH71" s="314">
        <v>0</v>
      </c>
      <c r="AI71" s="309"/>
      <c r="AJ71" s="313">
        <f t="shared" si="169"/>
        <v>0</v>
      </c>
      <c r="AK71" s="309">
        <f t="shared" si="170"/>
        <v>0</v>
      </c>
      <c r="AL71" s="314">
        <f t="shared" si="171"/>
        <v>0</v>
      </c>
      <c r="AM71" s="309"/>
      <c r="AN71" s="338"/>
      <c r="AO71" s="340" t="e">
        <f>AO70</f>
        <v>#DIV/0!</v>
      </c>
      <c r="AP71" s="309"/>
      <c r="AQ71" s="313">
        <f t="shared" si="172"/>
        <v>0</v>
      </c>
      <c r="AR71" s="309">
        <v>0</v>
      </c>
      <c r="AS71" s="314">
        <v>0</v>
      </c>
      <c r="AT71" s="309"/>
      <c r="AU71" s="310"/>
      <c r="AV71" s="310"/>
      <c r="AW71" s="309"/>
    </row>
    <row r="72" spans="1:49" x14ac:dyDescent="0.2">
      <c r="A72" s="86">
        <f t="shared" si="4"/>
        <v>65</v>
      </c>
      <c r="B72" s="723"/>
      <c r="C72" s="742" t="s">
        <v>78</v>
      </c>
      <c r="D72" s="153"/>
      <c r="E72" s="123"/>
      <c r="F72" s="123"/>
      <c r="G72" s="153"/>
      <c r="H72" s="153"/>
      <c r="I72" s="368"/>
      <c r="J72" s="773"/>
      <c r="K72" s="157"/>
      <c r="L72" s="155"/>
      <c r="M72" s="156"/>
      <c r="N72" s="122"/>
      <c r="O72" s="122"/>
      <c r="P72" s="122"/>
      <c r="Q72" s="774"/>
      <c r="R72" s="157"/>
      <c r="S72" s="298"/>
      <c r="T72" s="299"/>
      <c r="U72" s="300"/>
      <c r="V72" s="301"/>
      <c r="W72" s="157"/>
      <c r="X72" s="315">
        <f>SUM(X66:X71)</f>
        <v>111933.59485000001</v>
      </c>
      <c r="Y72" s="316">
        <f>SUM(Y66:Y71)</f>
        <v>31200</v>
      </c>
      <c r="Z72" s="317">
        <f>SUM(Z66:Z71)</f>
        <v>0</v>
      </c>
      <c r="AA72" s="309"/>
      <c r="AB72" s="315">
        <f>SUM(AB66:AB71)</f>
        <v>132276.65718999997</v>
      </c>
      <c r="AC72" s="316">
        <f>SUM(AC66:AC71)</f>
        <v>31200</v>
      </c>
      <c r="AD72" s="317">
        <f>SUM(AD66:AD71)</f>
        <v>0</v>
      </c>
      <c r="AE72" s="309"/>
      <c r="AF72" s="315">
        <f>SUM(AF66:AF71)</f>
        <v>-8003.1801600000008</v>
      </c>
      <c r="AG72" s="316">
        <f>SUM(AG66:AG71)</f>
        <v>0</v>
      </c>
      <c r="AH72" s="317">
        <f>SUM(AH66:AH71)</f>
        <v>0</v>
      </c>
      <c r="AI72" s="309"/>
      <c r="AJ72" s="315">
        <f>SUM(AJ66:AJ71)</f>
        <v>12339.882179999986</v>
      </c>
      <c r="AK72" s="316">
        <f>SUM(AK66:AK71)</f>
        <v>0</v>
      </c>
      <c r="AL72" s="317">
        <f>SUM(AL66:AL71)</f>
        <v>0</v>
      </c>
      <c r="AM72" s="309"/>
      <c r="AN72" s="338">
        <f>SUM(AJ72:AL72)/SUM(X72:Z72)</f>
        <v>8.6212340247108568E-2</v>
      </c>
      <c r="AO72" s="339">
        <f t="shared" ref="AO72:AO77" si="173">SUM(AJ72)/SUM(X72)</f>
        <v>0.11024288281401502</v>
      </c>
      <c r="AP72" s="309"/>
      <c r="AQ72" s="315">
        <f>SUM(AQ66:AQ71)</f>
        <v>0</v>
      </c>
      <c r="AR72" s="316">
        <f>SUM(AR66:AR71)</f>
        <v>0</v>
      </c>
      <c r="AS72" s="317">
        <f>SUM(AS66:AS71)</f>
        <v>0</v>
      </c>
      <c r="AT72" s="309"/>
      <c r="AU72" s="319"/>
      <c r="AV72" s="310"/>
      <c r="AW72" s="309"/>
    </row>
    <row r="73" spans="1:49" x14ac:dyDescent="0.2">
      <c r="A73" s="86">
        <f t="shared" si="4"/>
        <v>66</v>
      </c>
      <c r="B73" s="725" t="str">
        <f>'WA Volumes &amp; Revenues'!B63</f>
        <v>42I Interr Sales</v>
      </c>
      <c r="C73" s="726" t="s">
        <v>4</v>
      </c>
      <c r="D73" s="157"/>
      <c r="E73" s="122">
        <f>'Rates in Detail'!R61-'Rates in Detail'!N61</f>
        <v>3.4300000000000025E-2</v>
      </c>
      <c r="F73" s="122">
        <f>'Rates in Detail'!V61</f>
        <v>-4.7999999999999996E-3</v>
      </c>
      <c r="G73" s="157"/>
      <c r="H73" s="157"/>
      <c r="I73" s="373">
        <f>'Rev Req Proof Yr1'!H73</f>
        <v>0.14584</v>
      </c>
      <c r="J73" s="774">
        <f t="shared" si="11"/>
        <v>0.18014000000000002</v>
      </c>
      <c r="K73" s="157"/>
      <c r="L73" s="155">
        <f>'Rev Req Proof Yr1'!K73</f>
        <v>1300</v>
      </c>
      <c r="M73" s="156">
        <f>'Rev Req Proof Yr1'!L73</f>
        <v>1300</v>
      </c>
      <c r="N73" s="122">
        <f>'Rev Req Proof Yr1'!M73</f>
        <v>0</v>
      </c>
      <c r="O73" s="122">
        <f>'Rev Req Proof Yr1'!N73</f>
        <v>0</v>
      </c>
      <c r="P73" s="122">
        <f>'Rev Req Proof Yr1'!O73</f>
        <v>0</v>
      </c>
      <c r="Q73" s="774">
        <f>'Rev Req Proof Yr1'!P73</f>
        <v>0</v>
      </c>
      <c r="R73" s="157"/>
      <c r="S73" s="298">
        <f>'Rev Req Proof Yr1'!R73</f>
        <v>156740</v>
      </c>
      <c r="T73" s="299">
        <f>'Rev Req Proof Yr1'!S73</f>
        <v>2934</v>
      </c>
      <c r="U73" s="300">
        <f>'Rev Req Proof Yr1'!T73</f>
        <v>1.9166666666666701</v>
      </c>
      <c r="V73" s="301">
        <f>'Rev Req Proof Yr1'!U73</f>
        <v>13758</v>
      </c>
      <c r="W73" s="157"/>
      <c r="X73" s="313">
        <f t="shared" ref="X73:X78" si="174">(I73*S73)</f>
        <v>22858.961599999999</v>
      </c>
      <c r="Y73" s="309">
        <f t="shared" ref="Y73:Y78" si="175">(L73*U73*12)</f>
        <v>29900.000000000051</v>
      </c>
      <c r="Z73" s="314">
        <f t="shared" ref="Z73:Z78" si="176">(T73*(N73+P73))*12</f>
        <v>0</v>
      </c>
      <c r="AA73" s="309"/>
      <c r="AB73" s="313">
        <f t="shared" ref="AB73:AB78" si="177">(J73*S73)</f>
        <v>28235.143600000003</v>
      </c>
      <c r="AC73" s="309">
        <f t="shared" ref="AC73:AC78" si="178">(M73*U73*12)</f>
        <v>29900.000000000051</v>
      </c>
      <c r="AD73" s="314">
        <f t="shared" ref="AD73:AD78" si="179">(T73*(O73+Q73))*12</f>
        <v>0</v>
      </c>
      <c r="AE73" s="309"/>
      <c r="AF73" s="313">
        <f t="shared" ref="AF73:AF78" si="180">(F73*S73)</f>
        <v>-752.35199999999998</v>
      </c>
      <c r="AG73" s="309">
        <v>0</v>
      </c>
      <c r="AH73" s="314">
        <v>0</v>
      </c>
      <c r="AI73" s="309"/>
      <c r="AJ73" s="313">
        <f t="shared" ref="AJ73:AJ78" si="181">AB73-X73+AF73</f>
        <v>4623.8300000000045</v>
      </c>
      <c r="AK73" s="309">
        <f t="shared" ref="AK73:AK78" si="182">AC73-Y73-AG73</f>
        <v>0</v>
      </c>
      <c r="AL73" s="314">
        <f t="shared" ref="AL73:AL78" si="183">AD73-Z73-AH73</f>
        <v>0</v>
      </c>
      <c r="AM73" s="309"/>
      <c r="AN73" s="338"/>
      <c r="AO73" s="340">
        <f t="shared" si="173"/>
        <v>0.20227646736149224</v>
      </c>
      <c r="AP73" s="309"/>
      <c r="AQ73" s="313">
        <f t="shared" ref="AQ73:AQ78" si="184">(G73*S73)</f>
        <v>0</v>
      </c>
      <c r="AR73" s="309">
        <v>0</v>
      </c>
      <c r="AS73" s="314">
        <v>0</v>
      </c>
      <c r="AT73" s="309"/>
      <c r="AU73" s="310"/>
      <c r="AV73" s="310"/>
      <c r="AW73" s="309"/>
    </row>
    <row r="74" spans="1:49" x14ac:dyDescent="0.2">
      <c r="A74" s="86">
        <f t="shared" ref="A74:A102" si="185">+A73+1</f>
        <v>67</v>
      </c>
      <c r="B74" s="725"/>
      <c r="C74" s="726" t="s">
        <v>5</v>
      </c>
      <c r="D74" s="157"/>
      <c r="E74" s="122">
        <f>'Rates in Detail'!R62-'Rates in Detail'!N62</f>
        <v>3.0710000000000015E-2</v>
      </c>
      <c r="F74" s="122">
        <f>'Rates in Detail'!V62</f>
        <v>-4.3E-3</v>
      </c>
      <c r="G74" s="157"/>
      <c r="H74" s="157"/>
      <c r="I74" s="373">
        <f>'Rev Req Proof Yr1'!H74</f>
        <v>0.13055</v>
      </c>
      <c r="J74" s="774">
        <f t="shared" si="11"/>
        <v>0.16126000000000001</v>
      </c>
      <c r="K74" s="157"/>
      <c r="L74" s="155"/>
      <c r="M74" s="156"/>
      <c r="N74" s="122"/>
      <c r="O74" s="122"/>
      <c r="P74" s="122"/>
      <c r="Q74" s="774"/>
      <c r="R74" s="157"/>
      <c r="S74" s="298">
        <f>'Rev Req Proof Yr1'!R74</f>
        <v>159690</v>
      </c>
      <c r="T74" s="299"/>
      <c r="U74" s="300"/>
      <c r="V74" s="301"/>
      <c r="W74" s="157"/>
      <c r="X74" s="313">
        <f t="shared" si="174"/>
        <v>20847.529500000001</v>
      </c>
      <c r="Y74" s="309">
        <f t="shared" si="175"/>
        <v>0</v>
      </c>
      <c r="Z74" s="314">
        <f t="shared" si="176"/>
        <v>0</v>
      </c>
      <c r="AA74" s="309"/>
      <c r="AB74" s="313">
        <f t="shared" si="177"/>
        <v>25751.609400000001</v>
      </c>
      <c r="AC74" s="309">
        <f t="shared" si="178"/>
        <v>0</v>
      </c>
      <c r="AD74" s="314">
        <f t="shared" si="179"/>
        <v>0</v>
      </c>
      <c r="AE74" s="309"/>
      <c r="AF74" s="313">
        <f t="shared" si="180"/>
        <v>-686.66700000000003</v>
      </c>
      <c r="AG74" s="309">
        <v>0</v>
      </c>
      <c r="AH74" s="314">
        <v>0</v>
      </c>
      <c r="AI74" s="309"/>
      <c r="AJ74" s="313">
        <f t="shared" si="181"/>
        <v>4217.4129000000003</v>
      </c>
      <c r="AK74" s="309">
        <f t="shared" si="182"/>
        <v>0</v>
      </c>
      <c r="AL74" s="314">
        <f t="shared" si="183"/>
        <v>0</v>
      </c>
      <c r="AM74" s="309"/>
      <c r="AN74" s="338"/>
      <c r="AO74" s="340">
        <f t="shared" si="173"/>
        <v>0.20229797012638837</v>
      </c>
      <c r="AP74" s="309"/>
      <c r="AQ74" s="313">
        <f t="shared" si="184"/>
        <v>0</v>
      </c>
      <c r="AR74" s="309">
        <v>0</v>
      </c>
      <c r="AS74" s="314">
        <v>0</v>
      </c>
      <c r="AT74" s="309"/>
      <c r="AU74" s="310"/>
      <c r="AV74" s="310"/>
      <c r="AW74" s="309"/>
    </row>
    <row r="75" spans="1:49" x14ac:dyDescent="0.2">
      <c r="A75" s="86">
        <f t="shared" si="185"/>
        <v>68</v>
      </c>
      <c r="B75" s="725"/>
      <c r="C75" s="726" t="s">
        <v>6</v>
      </c>
      <c r="D75" s="157"/>
      <c r="E75" s="122">
        <f>'Rates in Detail'!R63-'Rates in Detail'!N63</f>
        <v>2.3550000000000001E-2</v>
      </c>
      <c r="F75" s="122">
        <f>'Rates in Detail'!V63</f>
        <v>-3.3E-3</v>
      </c>
      <c r="G75" s="157"/>
      <c r="H75" s="157"/>
      <c r="I75" s="373">
        <f>'Rev Req Proof Yr1'!H75</f>
        <v>0.10011</v>
      </c>
      <c r="J75" s="774">
        <f t="shared" si="11"/>
        <v>0.12366000000000001</v>
      </c>
      <c r="K75" s="157"/>
      <c r="L75" s="155"/>
      <c r="M75" s="156"/>
      <c r="N75" s="122"/>
      <c r="O75" s="122"/>
      <c r="P75" s="122"/>
      <c r="Q75" s="774"/>
      <c r="R75" s="157"/>
      <c r="S75" s="298">
        <f>'Rev Req Proof Yr1'!R75</f>
        <v>0</v>
      </c>
      <c r="T75" s="299"/>
      <c r="U75" s="300"/>
      <c r="V75" s="301"/>
      <c r="W75" s="157"/>
      <c r="X75" s="313">
        <f t="shared" si="174"/>
        <v>0</v>
      </c>
      <c r="Y75" s="309">
        <f t="shared" si="175"/>
        <v>0</v>
      </c>
      <c r="Z75" s="314">
        <f t="shared" si="176"/>
        <v>0</v>
      </c>
      <c r="AA75" s="309"/>
      <c r="AB75" s="313">
        <f t="shared" si="177"/>
        <v>0</v>
      </c>
      <c r="AC75" s="309">
        <f t="shared" si="178"/>
        <v>0</v>
      </c>
      <c r="AD75" s="314">
        <f t="shared" si="179"/>
        <v>0</v>
      </c>
      <c r="AE75" s="309"/>
      <c r="AF75" s="313">
        <f t="shared" si="180"/>
        <v>0</v>
      </c>
      <c r="AG75" s="309">
        <v>0</v>
      </c>
      <c r="AH75" s="314">
        <v>0</v>
      </c>
      <c r="AI75" s="309"/>
      <c r="AJ75" s="313">
        <f t="shared" si="181"/>
        <v>0</v>
      </c>
      <c r="AK75" s="309">
        <f t="shared" si="182"/>
        <v>0</v>
      </c>
      <c r="AL75" s="314">
        <f t="shared" si="183"/>
        <v>0</v>
      </c>
      <c r="AM75" s="309"/>
      <c r="AN75" s="338"/>
      <c r="AO75" s="340" t="e">
        <f t="shared" si="173"/>
        <v>#DIV/0!</v>
      </c>
      <c r="AP75" s="309"/>
      <c r="AQ75" s="313">
        <f t="shared" si="184"/>
        <v>0</v>
      </c>
      <c r="AR75" s="309">
        <v>0</v>
      </c>
      <c r="AS75" s="314">
        <v>0</v>
      </c>
      <c r="AT75" s="309"/>
      <c r="AU75" s="310"/>
      <c r="AV75" s="310"/>
      <c r="AW75" s="309"/>
    </row>
    <row r="76" spans="1:49" x14ac:dyDescent="0.2">
      <c r="A76" s="86">
        <f t="shared" si="185"/>
        <v>69</v>
      </c>
      <c r="B76" s="725"/>
      <c r="C76" s="726" t="s">
        <v>7</v>
      </c>
      <c r="D76" s="157"/>
      <c r="E76" s="122">
        <f>'Rates in Detail'!R64-'Rates in Detail'!N64</f>
        <v>1.8839999999999996E-2</v>
      </c>
      <c r="F76" s="122">
        <f>'Rates in Detail'!V64</f>
        <v>-2.64E-3</v>
      </c>
      <c r="G76" s="157"/>
      <c r="H76" s="157"/>
      <c r="I76" s="373">
        <f>'Rev Req Proof Yr1'!H76</f>
        <v>8.0089999999999995E-2</v>
      </c>
      <c r="J76" s="774">
        <f t="shared" si="11"/>
        <v>9.892999999999999E-2</v>
      </c>
      <c r="K76" s="157"/>
      <c r="L76" s="155"/>
      <c r="M76" s="156"/>
      <c r="N76" s="122"/>
      <c r="O76" s="122"/>
      <c r="P76" s="122"/>
      <c r="Q76" s="774"/>
      <c r="R76" s="157"/>
      <c r="S76" s="298">
        <f>'Rev Req Proof Yr1'!R76</f>
        <v>0</v>
      </c>
      <c r="T76" s="299"/>
      <c r="U76" s="300"/>
      <c r="V76" s="301"/>
      <c r="W76" s="157"/>
      <c r="X76" s="313">
        <f t="shared" si="174"/>
        <v>0</v>
      </c>
      <c r="Y76" s="309">
        <f t="shared" si="175"/>
        <v>0</v>
      </c>
      <c r="Z76" s="314">
        <f t="shared" si="176"/>
        <v>0</v>
      </c>
      <c r="AA76" s="309"/>
      <c r="AB76" s="313">
        <f t="shared" si="177"/>
        <v>0</v>
      </c>
      <c r="AC76" s="309">
        <f t="shared" si="178"/>
        <v>0</v>
      </c>
      <c r="AD76" s="314">
        <f t="shared" si="179"/>
        <v>0</v>
      </c>
      <c r="AE76" s="309"/>
      <c r="AF76" s="313">
        <f t="shared" si="180"/>
        <v>0</v>
      </c>
      <c r="AG76" s="309">
        <v>0</v>
      </c>
      <c r="AH76" s="314">
        <v>0</v>
      </c>
      <c r="AI76" s="309"/>
      <c r="AJ76" s="313">
        <f t="shared" si="181"/>
        <v>0</v>
      </c>
      <c r="AK76" s="309">
        <f t="shared" si="182"/>
        <v>0</v>
      </c>
      <c r="AL76" s="314">
        <f t="shared" si="183"/>
        <v>0</v>
      </c>
      <c r="AM76" s="309"/>
      <c r="AN76" s="338"/>
      <c r="AO76" s="340" t="e">
        <f t="shared" si="173"/>
        <v>#DIV/0!</v>
      </c>
      <c r="AP76" s="309"/>
      <c r="AQ76" s="313">
        <f t="shared" si="184"/>
        <v>0</v>
      </c>
      <c r="AR76" s="309">
        <v>0</v>
      </c>
      <c r="AS76" s="314">
        <v>0</v>
      </c>
      <c r="AT76" s="309"/>
      <c r="AU76" s="310"/>
      <c r="AV76" s="310"/>
      <c r="AW76" s="309"/>
    </row>
    <row r="77" spans="1:49" x14ac:dyDescent="0.2">
      <c r="A77" s="86">
        <f t="shared" si="185"/>
        <v>70</v>
      </c>
      <c r="B77" s="725"/>
      <c r="C77" s="726" t="s">
        <v>8</v>
      </c>
      <c r="D77" s="157"/>
      <c r="E77" s="122">
        <f>'Rates in Detail'!R65-'Rates in Detail'!N65</f>
        <v>1.2560000000000002E-2</v>
      </c>
      <c r="F77" s="122">
        <f>'Rates in Detail'!V65</f>
        <v>-1.7600000000000001E-3</v>
      </c>
      <c r="G77" s="157"/>
      <c r="H77" s="157"/>
      <c r="I77" s="373">
        <f>'Rev Req Proof Yr1'!H77</f>
        <v>5.339E-2</v>
      </c>
      <c r="J77" s="774">
        <f t="shared" si="11"/>
        <v>6.5950000000000009E-2</v>
      </c>
      <c r="K77" s="157"/>
      <c r="L77" s="155"/>
      <c r="M77" s="156"/>
      <c r="N77" s="122"/>
      <c r="O77" s="122"/>
      <c r="P77" s="122"/>
      <c r="Q77" s="774"/>
      <c r="R77" s="157"/>
      <c r="S77" s="298">
        <f>'Rev Req Proof Yr1'!R77</f>
        <v>0</v>
      </c>
      <c r="T77" s="299"/>
      <c r="U77" s="300"/>
      <c r="V77" s="301"/>
      <c r="W77" s="157"/>
      <c r="X77" s="313">
        <f t="shared" si="174"/>
        <v>0</v>
      </c>
      <c r="Y77" s="309">
        <f t="shared" si="175"/>
        <v>0</v>
      </c>
      <c r="Z77" s="314">
        <f t="shared" si="176"/>
        <v>0</v>
      </c>
      <c r="AA77" s="309"/>
      <c r="AB77" s="313">
        <f t="shared" si="177"/>
        <v>0</v>
      </c>
      <c r="AC77" s="309">
        <f t="shared" si="178"/>
        <v>0</v>
      </c>
      <c r="AD77" s="314">
        <f t="shared" si="179"/>
        <v>0</v>
      </c>
      <c r="AE77" s="309"/>
      <c r="AF77" s="313">
        <f t="shared" si="180"/>
        <v>0</v>
      </c>
      <c r="AG77" s="309">
        <v>0</v>
      </c>
      <c r="AH77" s="314">
        <v>0</v>
      </c>
      <c r="AI77" s="309"/>
      <c r="AJ77" s="313">
        <f t="shared" si="181"/>
        <v>0</v>
      </c>
      <c r="AK77" s="309">
        <f t="shared" si="182"/>
        <v>0</v>
      </c>
      <c r="AL77" s="314">
        <f t="shared" si="183"/>
        <v>0</v>
      </c>
      <c r="AM77" s="309"/>
      <c r="AN77" s="338"/>
      <c r="AO77" s="340" t="e">
        <f t="shared" si="173"/>
        <v>#DIV/0!</v>
      </c>
      <c r="AP77" s="309"/>
      <c r="AQ77" s="313">
        <f t="shared" si="184"/>
        <v>0</v>
      </c>
      <c r="AR77" s="309">
        <v>0</v>
      </c>
      <c r="AS77" s="314">
        <v>0</v>
      </c>
      <c r="AT77" s="309"/>
      <c r="AU77" s="310"/>
      <c r="AV77" s="310"/>
      <c r="AW77" s="309"/>
    </row>
    <row r="78" spans="1:49" x14ac:dyDescent="0.2">
      <c r="A78" s="86">
        <f t="shared" si="185"/>
        <v>71</v>
      </c>
      <c r="B78" s="725"/>
      <c r="C78" s="726" t="s">
        <v>9</v>
      </c>
      <c r="D78" s="157"/>
      <c r="E78" s="122">
        <f>'Rates in Detail'!R66-'Rates in Detail'!N66</f>
        <v>4.7100000000000024E-3</v>
      </c>
      <c r="F78" s="122">
        <f>'Rates in Detail'!V66</f>
        <v>-6.6E-4</v>
      </c>
      <c r="G78" s="157"/>
      <c r="H78" s="157"/>
      <c r="I78" s="373">
        <f>'Rev Req Proof Yr1'!H78</f>
        <v>2.002E-2</v>
      </c>
      <c r="J78" s="774">
        <f t="shared" si="11"/>
        <v>2.4730000000000002E-2</v>
      </c>
      <c r="K78" s="157"/>
      <c r="L78" s="273"/>
      <c r="M78" s="55"/>
      <c r="N78" s="122"/>
      <c r="O78" s="122"/>
      <c r="P78" s="122"/>
      <c r="Q78" s="774"/>
      <c r="R78" s="157"/>
      <c r="S78" s="298">
        <f>'Rev Req Proof Yr1'!R78</f>
        <v>0</v>
      </c>
      <c r="T78" s="299"/>
      <c r="U78" s="300"/>
      <c r="V78" s="301"/>
      <c r="W78" s="157"/>
      <c r="X78" s="313">
        <f t="shared" si="174"/>
        <v>0</v>
      </c>
      <c r="Y78" s="309">
        <f t="shared" si="175"/>
        <v>0</v>
      </c>
      <c r="Z78" s="314">
        <f t="shared" si="176"/>
        <v>0</v>
      </c>
      <c r="AA78" s="309"/>
      <c r="AB78" s="313">
        <f t="shared" si="177"/>
        <v>0</v>
      </c>
      <c r="AC78" s="309">
        <f t="shared" si="178"/>
        <v>0</v>
      </c>
      <c r="AD78" s="314">
        <f t="shared" si="179"/>
        <v>0</v>
      </c>
      <c r="AE78" s="309"/>
      <c r="AF78" s="313">
        <f t="shared" si="180"/>
        <v>0</v>
      </c>
      <c r="AG78" s="309">
        <v>0</v>
      </c>
      <c r="AH78" s="314">
        <v>0</v>
      </c>
      <c r="AI78" s="309"/>
      <c r="AJ78" s="313">
        <f t="shared" si="181"/>
        <v>0</v>
      </c>
      <c r="AK78" s="309">
        <f t="shared" si="182"/>
        <v>0</v>
      </c>
      <c r="AL78" s="314">
        <f t="shared" si="183"/>
        <v>0</v>
      </c>
      <c r="AM78" s="309"/>
      <c r="AN78" s="338"/>
      <c r="AO78" s="340" t="e">
        <f>AO77</f>
        <v>#DIV/0!</v>
      </c>
      <c r="AP78" s="309"/>
      <c r="AQ78" s="313">
        <f t="shared" si="184"/>
        <v>0</v>
      </c>
      <c r="AR78" s="309">
        <v>0</v>
      </c>
      <c r="AS78" s="314">
        <v>0</v>
      </c>
      <c r="AT78" s="309"/>
      <c r="AU78" s="310"/>
      <c r="AV78" s="310"/>
      <c r="AW78" s="309"/>
    </row>
    <row r="79" spans="1:49" x14ac:dyDescent="0.2">
      <c r="A79" s="86">
        <f t="shared" si="185"/>
        <v>72</v>
      </c>
      <c r="B79" s="723"/>
      <c r="C79" s="742" t="s">
        <v>78</v>
      </c>
      <c r="D79" s="153"/>
      <c r="E79" s="123"/>
      <c r="F79" s="123"/>
      <c r="G79" s="153"/>
      <c r="H79" s="153"/>
      <c r="I79" s="368"/>
      <c r="J79" s="773"/>
      <c r="K79" s="157"/>
      <c r="L79" s="273"/>
      <c r="M79" s="55"/>
      <c r="N79" s="122"/>
      <c r="O79" s="122"/>
      <c r="P79" s="122"/>
      <c r="Q79" s="774"/>
      <c r="R79" s="157"/>
      <c r="S79" s="298"/>
      <c r="T79" s="299"/>
      <c r="U79" s="300"/>
      <c r="V79" s="301"/>
      <c r="W79" s="157"/>
      <c r="X79" s="315">
        <f>SUM(X73:X78)</f>
        <v>43706.491099999999</v>
      </c>
      <c r="Y79" s="316">
        <f>SUM(Y73:Y78)</f>
        <v>29900.000000000051</v>
      </c>
      <c r="Z79" s="317">
        <f>SUM(Z73:Z78)</f>
        <v>0</v>
      </c>
      <c r="AA79" s="309"/>
      <c r="AB79" s="315">
        <f>SUM(AB73:AB78)</f>
        <v>53986.753000000004</v>
      </c>
      <c r="AC79" s="316">
        <f>SUM(AC73:AC78)</f>
        <v>29900.000000000051</v>
      </c>
      <c r="AD79" s="317">
        <f>SUM(AD73:AD78)</f>
        <v>0</v>
      </c>
      <c r="AE79" s="309"/>
      <c r="AF79" s="315">
        <f>SUM(AF73:AF78)</f>
        <v>-1439.019</v>
      </c>
      <c r="AG79" s="316">
        <f>SUM(AG73:AG78)</f>
        <v>0</v>
      </c>
      <c r="AH79" s="317">
        <f>SUM(AH73:AH78)</f>
        <v>0</v>
      </c>
      <c r="AI79" s="309"/>
      <c r="AJ79" s="315">
        <f>SUM(AJ73:AJ78)</f>
        <v>8841.2429000000047</v>
      </c>
      <c r="AK79" s="316">
        <f>SUM(AK73:AK78)</f>
        <v>0</v>
      </c>
      <c r="AL79" s="317">
        <f>SUM(AL73:AL78)</f>
        <v>0</v>
      </c>
      <c r="AM79" s="309"/>
      <c r="AN79" s="338">
        <f>SUM(AJ79:AL79)/SUM(X79:Z79)</f>
        <v>0.1201149894238064</v>
      </c>
      <c r="AO79" s="339">
        <f t="shared" ref="AO79:AO93" si="186">SUM(AJ79)/SUM(X79)</f>
        <v>0.20228672395071323</v>
      </c>
      <c r="AP79" s="309"/>
      <c r="AQ79" s="315">
        <f>SUM(AQ73:AQ78)</f>
        <v>0</v>
      </c>
      <c r="AR79" s="316">
        <f>SUM(AR73:AR78)</f>
        <v>0</v>
      </c>
      <c r="AS79" s="317">
        <f>SUM(AS73:AS78)</f>
        <v>0</v>
      </c>
      <c r="AT79" s="309"/>
      <c r="AU79" s="310"/>
      <c r="AV79" s="310"/>
      <c r="AW79" s="309"/>
    </row>
    <row r="80" spans="1:49" x14ac:dyDescent="0.2">
      <c r="A80" s="86">
        <f t="shared" si="185"/>
        <v>73</v>
      </c>
      <c r="B80" s="725" t="str">
        <f>'WA Volumes &amp; Revenues'!B69</f>
        <v>42C Inter Transpt</v>
      </c>
      <c r="C80" s="726" t="s">
        <v>4</v>
      </c>
      <c r="D80" s="157"/>
      <c r="E80" s="122">
        <f>'Rates in Detail'!R67-'Rates in Detail'!N67</f>
        <v>1.5729999999999994E-2</v>
      </c>
      <c r="F80" s="122">
        <f>'Rates in Detail'!V67</f>
        <v>-2.3800000000000002E-3</v>
      </c>
      <c r="G80" s="157"/>
      <c r="H80" s="157"/>
      <c r="I80" s="373">
        <f>'Rev Req Proof Yr1'!H80</f>
        <v>0.13403000000000001</v>
      </c>
      <c r="J80" s="774">
        <f t="shared" ref="J80:J96" si="187">I80+E80</f>
        <v>0.14976</v>
      </c>
      <c r="K80" s="157"/>
      <c r="L80" s="155">
        <f>'Rev Req Proof Yr1'!K80</f>
        <v>1550</v>
      </c>
      <c r="M80" s="156">
        <f>'Rev Req Proof Yr1'!L80</f>
        <v>1550</v>
      </c>
      <c r="N80" s="122">
        <f>'Rev Req Proof Yr1'!M80</f>
        <v>0</v>
      </c>
      <c r="O80" s="122">
        <f>'Rev Req Proof Yr1'!N80</f>
        <v>0</v>
      </c>
      <c r="P80" s="122">
        <f>'Rev Req Proof Yr1'!O80</f>
        <v>0</v>
      </c>
      <c r="Q80" s="774">
        <f>'Rev Req Proof Yr1'!P80</f>
        <v>0</v>
      </c>
      <c r="R80" s="157"/>
      <c r="S80" s="298">
        <f>'Rev Req Proof Yr1'!R80</f>
        <v>0</v>
      </c>
      <c r="T80" s="299"/>
      <c r="U80" s="300">
        <f>'Rev Req Proof Yr1'!T80</f>
        <v>0</v>
      </c>
      <c r="V80" s="301">
        <f>'Rev Req Proof Yr1'!U80</f>
        <v>0</v>
      </c>
      <c r="W80" s="157"/>
      <c r="X80" s="313">
        <f t="shared" ref="X80:X85" si="188">(I80*S80)</f>
        <v>0</v>
      </c>
      <c r="Y80" s="309">
        <f t="shared" ref="Y80:Y85" si="189">(L80*U80*12)</f>
        <v>0</v>
      </c>
      <c r="Z80" s="314">
        <f t="shared" ref="Z80:Z85" si="190">(T80*(N80+P80))*12</f>
        <v>0</v>
      </c>
      <c r="AA80" s="309"/>
      <c r="AB80" s="313">
        <f t="shared" ref="AB80:AB85" si="191">(J80*S80)</f>
        <v>0</v>
      </c>
      <c r="AC80" s="309">
        <f t="shared" ref="AC80:AC85" si="192">(M80*U80*12)</f>
        <v>0</v>
      </c>
      <c r="AD80" s="314">
        <f t="shared" ref="AD80:AD85" si="193">(T80*(O80+Q80))*12</f>
        <v>0</v>
      </c>
      <c r="AE80" s="309"/>
      <c r="AF80" s="313">
        <f t="shared" ref="AF80:AF85" si="194">(F80*S80)</f>
        <v>0</v>
      </c>
      <c r="AG80" s="309">
        <v>0</v>
      </c>
      <c r="AH80" s="314">
        <v>0</v>
      </c>
      <c r="AI80" s="309"/>
      <c r="AJ80" s="313">
        <f t="shared" ref="AJ80:AJ85" si="195">AB80-X80+AF80</f>
        <v>0</v>
      </c>
      <c r="AK80" s="309">
        <f t="shared" ref="AK80:AK85" si="196">AC80-Y80-AG80</f>
        <v>0</v>
      </c>
      <c r="AL80" s="314">
        <f t="shared" ref="AL80:AL85" si="197">AD80-Z80-AH80</f>
        <v>0</v>
      </c>
      <c r="AM80" s="309"/>
      <c r="AN80" s="338"/>
      <c r="AO80" s="340" t="e">
        <f t="shared" ref="AO80:AO84" si="198">SUM(AJ80)/SUM(X80)</f>
        <v>#DIV/0!</v>
      </c>
      <c r="AP80" s="309"/>
      <c r="AQ80" s="313">
        <f t="shared" ref="AQ80:AQ85" si="199">(G80*S80)</f>
        <v>0</v>
      </c>
      <c r="AR80" s="309">
        <v>0</v>
      </c>
      <c r="AS80" s="314">
        <v>0</v>
      </c>
      <c r="AT80" s="309"/>
      <c r="AU80" s="310"/>
      <c r="AV80" s="310"/>
      <c r="AW80" s="309"/>
    </row>
    <row r="81" spans="1:49" x14ac:dyDescent="0.2">
      <c r="A81" s="86">
        <f t="shared" si="185"/>
        <v>74</v>
      </c>
      <c r="B81" s="725"/>
      <c r="C81" s="726" t="s">
        <v>5</v>
      </c>
      <c r="D81" s="157"/>
      <c r="E81" s="122">
        <f>'Rates in Detail'!R68-'Rates in Detail'!N68</f>
        <v>1.4089999999999978E-2</v>
      </c>
      <c r="F81" s="122">
        <f>'Rates in Detail'!V68</f>
        <v>-2.1299999999999999E-3</v>
      </c>
      <c r="G81" s="157"/>
      <c r="H81" s="157"/>
      <c r="I81" s="373">
        <f>'Rev Req Proof Yr1'!H81</f>
        <v>0.11998</v>
      </c>
      <c r="J81" s="774">
        <f t="shared" si="187"/>
        <v>0.13406999999999997</v>
      </c>
      <c r="K81" s="157"/>
      <c r="L81" s="155"/>
      <c r="M81" s="156"/>
      <c r="N81" s="122"/>
      <c r="O81" s="122"/>
      <c r="P81" s="122"/>
      <c r="Q81" s="774"/>
      <c r="R81" s="157"/>
      <c r="S81" s="298">
        <f>'Rev Req Proof Yr1'!R81</f>
        <v>0</v>
      </c>
      <c r="T81" s="299"/>
      <c r="U81" s="300"/>
      <c r="V81" s="301"/>
      <c r="W81" s="157"/>
      <c r="X81" s="313">
        <f t="shared" si="188"/>
        <v>0</v>
      </c>
      <c r="Y81" s="309">
        <f t="shared" si="189"/>
        <v>0</v>
      </c>
      <c r="Z81" s="314">
        <f t="shared" si="190"/>
        <v>0</v>
      </c>
      <c r="AA81" s="309"/>
      <c r="AB81" s="313">
        <f t="shared" si="191"/>
        <v>0</v>
      </c>
      <c r="AC81" s="309">
        <f t="shared" si="192"/>
        <v>0</v>
      </c>
      <c r="AD81" s="314">
        <f t="shared" si="193"/>
        <v>0</v>
      </c>
      <c r="AE81" s="309"/>
      <c r="AF81" s="313">
        <f t="shared" si="194"/>
        <v>0</v>
      </c>
      <c r="AG81" s="309">
        <v>0</v>
      </c>
      <c r="AH81" s="314">
        <v>0</v>
      </c>
      <c r="AI81" s="309"/>
      <c r="AJ81" s="313">
        <f t="shared" si="195"/>
        <v>0</v>
      </c>
      <c r="AK81" s="309">
        <f t="shared" si="196"/>
        <v>0</v>
      </c>
      <c r="AL81" s="314">
        <f t="shared" si="197"/>
        <v>0</v>
      </c>
      <c r="AM81" s="309"/>
      <c r="AN81" s="338"/>
      <c r="AO81" s="340" t="e">
        <f t="shared" si="198"/>
        <v>#DIV/0!</v>
      </c>
      <c r="AP81" s="309"/>
      <c r="AQ81" s="313">
        <f t="shared" si="199"/>
        <v>0</v>
      </c>
      <c r="AR81" s="309">
        <v>0</v>
      </c>
      <c r="AS81" s="314">
        <v>0</v>
      </c>
      <c r="AT81" s="309"/>
      <c r="AU81" s="310"/>
      <c r="AV81" s="310"/>
      <c r="AW81" s="309"/>
    </row>
    <row r="82" spans="1:49" x14ac:dyDescent="0.2">
      <c r="A82" s="86">
        <f t="shared" si="185"/>
        <v>75</v>
      </c>
      <c r="B82" s="725"/>
      <c r="C82" s="726" t="s">
        <v>6</v>
      </c>
      <c r="D82" s="157"/>
      <c r="E82" s="122">
        <f>'Rates in Detail'!R69-'Rates in Detail'!N69</f>
        <v>1.0800000000000004E-2</v>
      </c>
      <c r="F82" s="122">
        <f>'Rates in Detail'!V69</f>
        <v>-1.6299999999999999E-3</v>
      </c>
      <c r="G82" s="157"/>
      <c r="H82" s="157"/>
      <c r="I82" s="373">
        <f>'Rev Req Proof Yr1'!H82</f>
        <v>9.1999999999999998E-2</v>
      </c>
      <c r="J82" s="774">
        <f t="shared" si="187"/>
        <v>0.1028</v>
      </c>
      <c r="K82" s="157"/>
      <c r="L82" s="155"/>
      <c r="M82" s="156"/>
      <c r="N82" s="122"/>
      <c r="O82" s="122"/>
      <c r="P82" s="122"/>
      <c r="Q82" s="774"/>
      <c r="R82" s="157"/>
      <c r="S82" s="298">
        <f>'Rev Req Proof Yr1'!R82</f>
        <v>0</v>
      </c>
      <c r="T82" s="299"/>
      <c r="U82" s="300"/>
      <c r="V82" s="301"/>
      <c r="W82" s="157"/>
      <c r="X82" s="313">
        <f t="shared" si="188"/>
        <v>0</v>
      </c>
      <c r="Y82" s="309">
        <f t="shared" si="189"/>
        <v>0</v>
      </c>
      <c r="Z82" s="314">
        <f t="shared" si="190"/>
        <v>0</v>
      </c>
      <c r="AA82" s="309"/>
      <c r="AB82" s="313">
        <f t="shared" si="191"/>
        <v>0</v>
      </c>
      <c r="AC82" s="309">
        <f t="shared" si="192"/>
        <v>0</v>
      </c>
      <c r="AD82" s="314">
        <f t="shared" si="193"/>
        <v>0</v>
      </c>
      <c r="AE82" s="309"/>
      <c r="AF82" s="313">
        <f t="shared" si="194"/>
        <v>0</v>
      </c>
      <c r="AG82" s="309">
        <v>0</v>
      </c>
      <c r="AH82" s="314">
        <v>0</v>
      </c>
      <c r="AI82" s="309"/>
      <c r="AJ82" s="313">
        <f t="shared" si="195"/>
        <v>0</v>
      </c>
      <c r="AK82" s="309">
        <f t="shared" si="196"/>
        <v>0</v>
      </c>
      <c r="AL82" s="314">
        <f t="shared" si="197"/>
        <v>0</v>
      </c>
      <c r="AM82" s="309"/>
      <c r="AN82" s="338"/>
      <c r="AO82" s="340" t="e">
        <f t="shared" si="198"/>
        <v>#DIV/0!</v>
      </c>
      <c r="AP82" s="309"/>
      <c r="AQ82" s="313">
        <f t="shared" si="199"/>
        <v>0</v>
      </c>
      <c r="AR82" s="309">
        <v>0</v>
      </c>
      <c r="AS82" s="314">
        <v>0</v>
      </c>
      <c r="AT82" s="309"/>
      <c r="AU82" s="310"/>
      <c r="AV82" s="310"/>
      <c r="AW82" s="309"/>
    </row>
    <row r="83" spans="1:49" x14ac:dyDescent="0.2">
      <c r="A83" s="86">
        <f t="shared" si="185"/>
        <v>76</v>
      </c>
      <c r="B83" s="725"/>
      <c r="C83" s="726" t="s">
        <v>7</v>
      </c>
      <c r="D83" s="157"/>
      <c r="E83" s="122">
        <f>'Rates in Detail'!R70-'Rates in Detail'!N70</f>
        <v>8.6400000000000088E-3</v>
      </c>
      <c r="F83" s="122">
        <f>'Rates in Detail'!V70</f>
        <v>-1.31E-3</v>
      </c>
      <c r="G83" s="157"/>
      <c r="H83" s="157"/>
      <c r="I83" s="373">
        <f>'Rev Req Proof Yr1'!H83</f>
        <v>7.3609999999999995E-2</v>
      </c>
      <c r="J83" s="774">
        <f t="shared" si="187"/>
        <v>8.2250000000000004E-2</v>
      </c>
      <c r="K83" s="157"/>
      <c r="L83" s="155"/>
      <c r="M83" s="156"/>
      <c r="N83" s="122"/>
      <c r="O83" s="122"/>
      <c r="P83" s="122"/>
      <c r="Q83" s="774"/>
      <c r="R83" s="157"/>
      <c r="S83" s="298">
        <f>'Rev Req Proof Yr1'!R83</f>
        <v>0</v>
      </c>
      <c r="T83" s="299"/>
      <c r="U83" s="300"/>
      <c r="V83" s="301"/>
      <c r="W83" s="157"/>
      <c r="X83" s="313">
        <f t="shared" si="188"/>
        <v>0</v>
      </c>
      <c r="Y83" s="309">
        <f t="shared" si="189"/>
        <v>0</v>
      </c>
      <c r="Z83" s="314">
        <f t="shared" si="190"/>
        <v>0</v>
      </c>
      <c r="AA83" s="309"/>
      <c r="AB83" s="313">
        <f t="shared" si="191"/>
        <v>0</v>
      </c>
      <c r="AC83" s="309">
        <f t="shared" si="192"/>
        <v>0</v>
      </c>
      <c r="AD83" s="314">
        <f t="shared" si="193"/>
        <v>0</v>
      </c>
      <c r="AE83" s="309"/>
      <c r="AF83" s="313">
        <f t="shared" si="194"/>
        <v>0</v>
      </c>
      <c r="AG83" s="309">
        <v>0</v>
      </c>
      <c r="AH83" s="314">
        <v>0</v>
      </c>
      <c r="AI83" s="309"/>
      <c r="AJ83" s="313">
        <f t="shared" si="195"/>
        <v>0</v>
      </c>
      <c r="AK83" s="309">
        <f t="shared" si="196"/>
        <v>0</v>
      </c>
      <c r="AL83" s="314">
        <f t="shared" si="197"/>
        <v>0</v>
      </c>
      <c r="AM83" s="309"/>
      <c r="AN83" s="338"/>
      <c r="AO83" s="340" t="e">
        <f t="shared" si="198"/>
        <v>#DIV/0!</v>
      </c>
      <c r="AP83" s="309"/>
      <c r="AQ83" s="313">
        <f t="shared" si="199"/>
        <v>0</v>
      </c>
      <c r="AR83" s="309">
        <v>0</v>
      </c>
      <c r="AS83" s="314">
        <v>0</v>
      </c>
      <c r="AT83" s="309"/>
      <c r="AU83" s="310"/>
      <c r="AV83" s="310"/>
      <c r="AW83" s="309"/>
    </row>
    <row r="84" spans="1:49" x14ac:dyDescent="0.2">
      <c r="A84" s="86">
        <f t="shared" si="185"/>
        <v>77</v>
      </c>
      <c r="B84" s="725"/>
      <c r="C84" s="726" t="s">
        <v>8</v>
      </c>
      <c r="D84" s="157"/>
      <c r="E84" s="122">
        <f>'Rates in Detail'!R71-'Rates in Detail'!N71</f>
        <v>5.7600000000000012E-3</v>
      </c>
      <c r="F84" s="122">
        <f>'Rates in Detail'!V71</f>
        <v>-8.7000000000000001E-4</v>
      </c>
      <c r="G84" s="157"/>
      <c r="H84" s="157"/>
      <c r="I84" s="373">
        <f>'Rev Req Proof Yr1'!H84</f>
        <v>4.9079999999999999E-2</v>
      </c>
      <c r="J84" s="774">
        <f t="shared" si="187"/>
        <v>5.484E-2</v>
      </c>
      <c r="K84" s="157"/>
      <c r="L84" s="155"/>
      <c r="M84" s="156"/>
      <c r="N84" s="122"/>
      <c r="O84" s="122"/>
      <c r="P84" s="122"/>
      <c r="Q84" s="774"/>
      <c r="R84" s="157"/>
      <c r="S84" s="298">
        <f>'Rev Req Proof Yr1'!R84</f>
        <v>0</v>
      </c>
      <c r="T84" s="299"/>
      <c r="U84" s="300"/>
      <c r="V84" s="301"/>
      <c r="W84" s="157"/>
      <c r="X84" s="313">
        <f t="shared" si="188"/>
        <v>0</v>
      </c>
      <c r="Y84" s="309">
        <f t="shared" si="189"/>
        <v>0</v>
      </c>
      <c r="Z84" s="314">
        <f t="shared" si="190"/>
        <v>0</v>
      </c>
      <c r="AA84" s="309"/>
      <c r="AB84" s="313">
        <f t="shared" si="191"/>
        <v>0</v>
      </c>
      <c r="AC84" s="309">
        <f t="shared" si="192"/>
        <v>0</v>
      </c>
      <c r="AD84" s="314">
        <f t="shared" si="193"/>
        <v>0</v>
      </c>
      <c r="AE84" s="309"/>
      <c r="AF84" s="313">
        <f t="shared" si="194"/>
        <v>0</v>
      </c>
      <c r="AG84" s="309">
        <v>0</v>
      </c>
      <c r="AH84" s="314">
        <v>0</v>
      </c>
      <c r="AI84" s="309"/>
      <c r="AJ84" s="313">
        <f t="shared" si="195"/>
        <v>0</v>
      </c>
      <c r="AK84" s="309">
        <f t="shared" si="196"/>
        <v>0</v>
      </c>
      <c r="AL84" s="314">
        <f t="shared" si="197"/>
        <v>0</v>
      </c>
      <c r="AM84" s="309"/>
      <c r="AN84" s="338"/>
      <c r="AO84" s="340" t="e">
        <f t="shared" si="198"/>
        <v>#DIV/0!</v>
      </c>
      <c r="AP84" s="309"/>
      <c r="AQ84" s="313">
        <f t="shared" si="199"/>
        <v>0</v>
      </c>
      <c r="AR84" s="309">
        <v>0</v>
      </c>
      <c r="AS84" s="314">
        <v>0</v>
      </c>
      <c r="AT84" s="309"/>
      <c r="AU84" s="310"/>
      <c r="AV84" s="310"/>
      <c r="AW84" s="309"/>
    </row>
    <row r="85" spans="1:49" x14ac:dyDescent="0.2">
      <c r="A85" s="86">
        <f t="shared" si="185"/>
        <v>78</v>
      </c>
      <c r="B85" s="725"/>
      <c r="C85" s="726" t="s">
        <v>9</v>
      </c>
      <c r="D85" s="157"/>
      <c r="E85" s="122">
        <f>'Rates in Detail'!R72-'Rates in Detail'!N72</f>
        <v>2.1599999999999987E-3</v>
      </c>
      <c r="F85" s="122">
        <f>'Rates in Detail'!V72</f>
        <v>-3.3E-4</v>
      </c>
      <c r="G85" s="157"/>
      <c r="H85" s="157"/>
      <c r="I85" s="373">
        <f>'Rev Req Proof Yr1'!H85</f>
        <v>1.839E-2</v>
      </c>
      <c r="J85" s="774">
        <f t="shared" si="187"/>
        <v>2.0549999999999999E-2</v>
      </c>
      <c r="K85" s="157"/>
      <c r="L85" s="273"/>
      <c r="M85" s="55"/>
      <c r="N85" s="122"/>
      <c r="O85" s="122"/>
      <c r="P85" s="122"/>
      <c r="Q85" s="774"/>
      <c r="R85" s="157"/>
      <c r="S85" s="298">
        <f>'Rev Req Proof Yr1'!R85</f>
        <v>0</v>
      </c>
      <c r="T85" s="299"/>
      <c r="U85" s="300"/>
      <c r="V85" s="301"/>
      <c r="W85" s="157"/>
      <c r="X85" s="313">
        <f t="shared" si="188"/>
        <v>0</v>
      </c>
      <c r="Y85" s="309">
        <f t="shared" si="189"/>
        <v>0</v>
      </c>
      <c r="Z85" s="314">
        <f t="shared" si="190"/>
        <v>0</v>
      </c>
      <c r="AA85" s="309"/>
      <c r="AB85" s="313">
        <f t="shared" si="191"/>
        <v>0</v>
      </c>
      <c r="AC85" s="309">
        <f t="shared" si="192"/>
        <v>0</v>
      </c>
      <c r="AD85" s="314">
        <f t="shared" si="193"/>
        <v>0</v>
      </c>
      <c r="AE85" s="309"/>
      <c r="AF85" s="313">
        <f t="shared" si="194"/>
        <v>0</v>
      </c>
      <c r="AG85" s="309">
        <v>0</v>
      </c>
      <c r="AH85" s="314">
        <v>0</v>
      </c>
      <c r="AI85" s="309"/>
      <c r="AJ85" s="313">
        <f t="shared" si="195"/>
        <v>0</v>
      </c>
      <c r="AK85" s="309">
        <f t="shared" si="196"/>
        <v>0</v>
      </c>
      <c r="AL85" s="314">
        <f t="shared" si="197"/>
        <v>0</v>
      </c>
      <c r="AM85" s="309"/>
      <c r="AN85" s="338"/>
      <c r="AO85" s="340" t="e">
        <f>AO84</f>
        <v>#DIV/0!</v>
      </c>
      <c r="AP85" s="309"/>
      <c r="AQ85" s="313">
        <f t="shared" si="199"/>
        <v>0</v>
      </c>
      <c r="AR85" s="309">
        <v>0</v>
      </c>
      <c r="AS85" s="314">
        <v>0</v>
      </c>
      <c r="AT85" s="309"/>
      <c r="AU85" s="310"/>
      <c r="AV85" s="310"/>
      <c r="AW85" s="309"/>
    </row>
    <row r="86" spans="1:49" x14ac:dyDescent="0.2">
      <c r="A86" s="86">
        <f t="shared" si="185"/>
        <v>79</v>
      </c>
      <c r="B86" s="723"/>
      <c r="C86" s="742" t="s">
        <v>78</v>
      </c>
      <c r="D86" s="153"/>
      <c r="E86" s="123"/>
      <c r="F86" s="123"/>
      <c r="G86" s="153"/>
      <c r="H86" s="153"/>
      <c r="I86" s="368"/>
      <c r="J86" s="773"/>
      <c r="K86" s="157"/>
      <c r="L86" s="273"/>
      <c r="M86" s="55"/>
      <c r="N86" s="122"/>
      <c r="O86" s="122"/>
      <c r="P86" s="122"/>
      <c r="Q86" s="774"/>
      <c r="R86" s="157"/>
      <c r="S86" s="298"/>
      <c r="T86" s="299"/>
      <c r="U86" s="300"/>
      <c r="V86" s="301"/>
      <c r="W86" s="157"/>
      <c r="X86" s="315">
        <f>SUM(X80:X85)</f>
        <v>0</v>
      </c>
      <c r="Y86" s="316">
        <f>SUM(Y80:Y85)</f>
        <v>0</v>
      </c>
      <c r="Z86" s="317">
        <f>SUM(Z80:Z85)</f>
        <v>0</v>
      </c>
      <c r="AA86" s="309"/>
      <c r="AB86" s="315">
        <f>SUM(AB80:AB85)</f>
        <v>0</v>
      </c>
      <c r="AC86" s="316">
        <f>SUM(AC80:AC85)</f>
        <v>0</v>
      </c>
      <c r="AD86" s="317">
        <f>SUM(AD80:AD85)</f>
        <v>0</v>
      </c>
      <c r="AE86" s="309"/>
      <c r="AF86" s="315">
        <f>SUM(AF80:AF85)</f>
        <v>0</v>
      </c>
      <c r="AG86" s="316">
        <f>SUM(AG80:AG85)</f>
        <v>0</v>
      </c>
      <c r="AH86" s="317">
        <f>SUM(AH80:AH85)</f>
        <v>0</v>
      </c>
      <c r="AI86" s="309"/>
      <c r="AJ86" s="315">
        <f>SUM(AJ80:AJ85)</f>
        <v>0</v>
      </c>
      <c r="AK86" s="316">
        <f>SUM(AK80:AK85)</f>
        <v>0</v>
      </c>
      <c r="AL86" s="317">
        <f>SUM(AL80:AL85)</f>
        <v>0</v>
      </c>
      <c r="AM86" s="309"/>
      <c r="AN86" s="338"/>
      <c r="AO86" s="339"/>
      <c r="AP86" s="309"/>
      <c r="AQ86" s="315">
        <f>SUM(AQ80:AQ85)</f>
        <v>0</v>
      </c>
      <c r="AR86" s="316">
        <f>SUM(AR80:AR85)</f>
        <v>0</v>
      </c>
      <c r="AS86" s="317">
        <f>SUM(AS80:AS85)</f>
        <v>0</v>
      </c>
      <c r="AT86" s="309"/>
      <c r="AU86" s="310"/>
      <c r="AV86" s="310"/>
      <c r="AW86" s="309"/>
    </row>
    <row r="87" spans="1:49" x14ac:dyDescent="0.2">
      <c r="A87" s="86">
        <f t="shared" si="185"/>
        <v>80</v>
      </c>
      <c r="B87" s="725" t="str">
        <f>'WA Volumes &amp; Revenues'!B75</f>
        <v>42I Inter Transpt</v>
      </c>
      <c r="C87" s="726" t="s">
        <v>4</v>
      </c>
      <c r="D87" s="162"/>
      <c r="E87" s="122">
        <f>'Rates in Detail'!R73-'Rates in Detail'!N73</f>
        <v>2.0170000000000021E-2</v>
      </c>
      <c r="F87" s="122">
        <f>'Rates in Detail'!V73</f>
        <v>-2.82E-3</v>
      </c>
      <c r="G87" s="157"/>
      <c r="H87" s="162"/>
      <c r="I87" s="373">
        <f>'Rev Req Proof Yr1'!H87</f>
        <v>0.13403000000000001</v>
      </c>
      <c r="J87" s="774">
        <f t="shared" si="187"/>
        <v>0.15420000000000003</v>
      </c>
      <c r="K87" s="162"/>
      <c r="L87" s="155">
        <f>'Rev Req Proof Yr1'!K87</f>
        <v>1550</v>
      </c>
      <c r="M87" s="156">
        <f>'Rev Req Proof Yr1'!L87</f>
        <v>1550</v>
      </c>
      <c r="N87" s="122">
        <f>'Rev Req Proof Yr1'!M87</f>
        <v>0</v>
      </c>
      <c r="O87" s="122">
        <f>'Rev Req Proof Yr1'!N87</f>
        <v>0</v>
      </c>
      <c r="P87" s="122">
        <f>'Rev Req Proof Yr1'!O87</f>
        <v>0</v>
      </c>
      <c r="Q87" s="774">
        <f>'Rev Req Proof Yr1'!P87</f>
        <v>0</v>
      </c>
      <c r="R87" s="162"/>
      <c r="S87" s="298">
        <f>'Rev Req Proof Yr1'!R87</f>
        <v>844078</v>
      </c>
      <c r="T87" s="299"/>
      <c r="U87" s="300">
        <f>'Rev Req Proof Yr1'!T87</f>
        <v>7</v>
      </c>
      <c r="V87" s="301">
        <f>'Rev Req Proof Yr1'!U87</f>
        <v>95634</v>
      </c>
      <c r="W87" s="162"/>
      <c r="X87" s="313">
        <f t="shared" ref="X87:X92" si="200">(I87*S87)</f>
        <v>113131.77434</v>
      </c>
      <c r="Y87" s="309">
        <f t="shared" ref="Y87:Y92" si="201">(L87*U87*12)</f>
        <v>130200</v>
      </c>
      <c r="Z87" s="314">
        <f t="shared" ref="Z87:Z92" si="202">(T87*(N87+P87))*12</f>
        <v>0</v>
      </c>
      <c r="AA87" s="320"/>
      <c r="AB87" s="313">
        <f t="shared" ref="AB87:AB92" si="203">(J87*S87)</f>
        <v>130156.82760000003</v>
      </c>
      <c r="AC87" s="309">
        <f t="shared" ref="AC87:AC92" si="204">(M87*U87*12)</f>
        <v>130200</v>
      </c>
      <c r="AD87" s="314">
        <f t="shared" ref="AD87:AD92" si="205">(T87*(O87+Q87))*12</f>
        <v>0</v>
      </c>
      <c r="AE87" s="320"/>
      <c r="AF87" s="313">
        <f t="shared" ref="AF87:AF92" si="206">(F87*S87)</f>
        <v>-2380.2999599999998</v>
      </c>
      <c r="AG87" s="309">
        <v>0</v>
      </c>
      <c r="AH87" s="314">
        <v>0</v>
      </c>
      <c r="AI87" s="320"/>
      <c r="AJ87" s="313">
        <f t="shared" ref="AJ87:AJ92" si="207">AB87-X87+AF87</f>
        <v>14644.753300000029</v>
      </c>
      <c r="AK87" s="309">
        <f t="shared" ref="AK87:AK92" si="208">AC87-Y87-AG87</f>
        <v>0</v>
      </c>
      <c r="AL87" s="314">
        <f t="shared" ref="AL87:AL92" si="209">AD87-Z87-AH87</f>
        <v>0</v>
      </c>
      <c r="AM87" s="320"/>
      <c r="AN87" s="338"/>
      <c r="AO87" s="340">
        <f t="shared" si="186"/>
        <v>0.12944863090352932</v>
      </c>
      <c r="AP87" s="320"/>
      <c r="AQ87" s="313">
        <f t="shared" ref="AQ87:AQ92" si="210">(G87*S87)</f>
        <v>0</v>
      </c>
      <c r="AR87" s="309">
        <v>0</v>
      </c>
      <c r="AS87" s="314">
        <v>0</v>
      </c>
      <c r="AT87" s="320"/>
      <c r="AU87" s="310"/>
      <c r="AV87" s="310"/>
      <c r="AW87" s="320"/>
    </row>
    <row r="88" spans="1:49" x14ac:dyDescent="0.2">
      <c r="A88" s="86">
        <f t="shared" si="185"/>
        <v>81</v>
      </c>
      <c r="B88" s="725"/>
      <c r="C88" s="726" t="s">
        <v>5</v>
      </c>
      <c r="D88" s="162"/>
      <c r="E88" s="122">
        <f>'Rates in Detail'!R74-'Rates in Detail'!N74</f>
        <v>1.8060000000000007E-2</v>
      </c>
      <c r="F88" s="122">
        <f>'Rates in Detail'!V74</f>
        <v>-2.5300000000000001E-3</v>
      </c>
      <c r="G88" s="157"/>
      <c r="H88" s="162"/>
      <c r="I88" s="373">
        <f>'Rev Req Proof Yr1'!H88</f>
        <v>0.11998</v>
      </c>
      <c r="J88" s="774">
        <f t="shared" si="187"/>
        <v>0.13804</v>
      </c>
      <c r="K88" s="162"/>
      <c r="L88" s="273"/>
      <c r="M88" s="55"/>
      <c r="N88" s="122"/>
      <c r="O88" s="122"/>
      <c r="P88" s="122"/>
      <c r="Q88" s="774"/>
      <c r="R88" s="162"/>
      <c r="S88" s="298">
        <f>'Rev Req Proof Yr1'!R88</f>
        <v>1445175</v>
      </c>
      <c r="T88" s="299"/>
      <c r="U88" s="157"/>
      <c r="V88" s="158"/>
      <c r="W88" s="162"/>
      <c r="X88" s="313">
        <f t="shared" si="200"/>
        <v>173392.09650000001</v>
      </c>
      <c r="Y88" s="309">
        <f t="shared" si="201"/>
        <v>0</v>
      </c>
      <c r="Z88" s="314">
        <f t="shared" si="202"/>
        <v>0</v>
      </c>
      <c r="AA88" s="320"/>
      <c r="AB88" s="313">
        <f t="shared" si="203"/>
        <v>199491.95699999999</v>
      </c>
      <c r="AC88" s="309">
        <f t="shared" si="204"/>
        <v>0</v>
      </c>
      <c r="AD88" s="314">
        <f t="shared" si="205"/>
        <v>0</v>
      </c>
      <c r="AE88" s="320"/>
      <c r="AF88" s="313">
        <f t="shared" si="206"/>
        <v>-3656.2927500000001</v>
      </c>
      <c r="AG88" s="309">
        <v>0</v>
      </c>
      <c r="AH88" s="314">
        <v>0</v>
      </c>
      <c r="AI88" s="320"/>
      <c r="AJ88" s="313">
        <f t="shared" si="207"/>
        <v>22443.56774999998</v>
      </c>
      <c r="AK88" s="309">
        <f t="shared" si="208"/>
        <v>0</v>
      </c>
      <c r="AL88" s="314">
        <f t="shared" si="209"/>
        <v>0</v>
      </c>
      <c r="AM88" s="320"/>
      <c r="AN88" s="338"/>
      <c r="AO88" s="340">
        <f t="shared" si="186"/>
        <v>0.12943823970661764</v>
      </c>
      <c r="AP88" s="320"/>
      <c r="AQ88" s="313">
        <f t="shared" si="210"/>
        <v>0</v>
      </c>
      <c r="AR88" s="309">
        <v>0</v>
      </c>
      <c r="AS88" s="314">
        <v>0</v>
      </c>
      <c r="AT88" s="320"/>
      <c r="AU88" s="310"/>
      <c r="AV88" s="156"/>
      <c r="AW88" s="320"/>
    </row>
    <row r="89" spans="1:49" x14ac:dyDescent="0.2">
      <c r="A89" s="86">
        <f t="shared" si="185"/>
        <v>82</v>
      </c>
      <c r="B89" s="725"/>
      <c r="C89" s="726" t="s">
        <v>6</v>
      </c>
      <c r="D89" s="162"/>
      <c r="E89" s="122">
        <f>'Rates in Detail'!R75-'Rates in Detail'!N75</f>
        <v>1.3850000000000001E-2</v>
      </c>
      <c r="F89" s="122">
        <f>'Rates in Detail'!V75</f>
        <v>-1.9400000000000001E-3</v>
      </c>
      <c r="G89" s="157"/>
      <c r="H89" s="162"/>
      <c r="I89" s="373">
        <f>'Rev Req Proof Yr1'!H89</f>
        <v>9.1999999999999998E-2</v>
      </c>
      <c r="J89" s="774">
        <f t="shared" si="187"/>
        <v>0.10585</v>
      </c>
      <c r="K89" s="162"/>
      <c r="L89" s="155"/>
      <c r="M89" s="156"/>
      <c r="N89" s="122"/>
      <c r="O89" s="122"/>
      <c r="P89" s="122"/>
      <c r="Q89" s="774"/>
      <c r="R89" s="162"/>
      <c r="S89" s="298">
        <f>'Rev Req Proof Yr1'!R89</f>
        <v>1034978</v>
      </c>
      <c r="T89" s="299"/>
      <c r="U89" s="157"/>
      <c r="V89" s="158"/>
      <c r="W89" s="162"/>
      <c r="X89" s="313">
        <f t="shared" si="200"/>
        <v>95217.975999999995</v>
      </c>
      <c r="Y89" s="309">
        <f t="shared" si="201"/>
        <v>0</v>
      </c>
      <c r="Z89" s="314">
        <f t="shared" si="202"/>
        <v>0</v>
      </c>
      <c r="AA89" s="320"/>
      <c r="AB89" s="313">
        <f t="shared" si="203"/>
        <v>109552.4213</v>
      </c>
      <c r="AC89" s="309">
        <f t="shared" si="204"/>
        <v>0</v>
      </c>
      <c r="AD89" s="314">
        <f t="shared" si="205"/>
        <v>0</v>
      </c>
      <c r="AE89" s="320"/>
      <c r="AF89" s="313">
        <f t="shared" si="206"/>
        <v>-2007.8573200000001</v>
      </c>
      <c r="AG89" s="309">
        <v>0</v>
      </c>
      <c r="AH89" s="314">
        <v>0</v>
      </c>
      <c r="AI89" s="320"/>
      <c r="AJ89" s="313">
        <f t="shared" si="207"/>
        <v>12326.587980000008</v>
      </c>
      <c r="AK89" s="309">
        <f t="shared" si="208"/>
        <v>0</v>
      </c>
      <c r="AL89" s="314">
        <f t="shared" si="209"/>
        <v>0</v>
      </c>
      <c r="AM89" s="320"/>
      <c r="AN89" s="338"/>
      <c r="AO89" s="340">
        <f t="shared" si="186"/>
        <v>0.12945652173913053</v>
      </c>
      <c r="AP89" s="320"/>
      <c r="AQ89" s="313">
        <f t="shared" si="210"/>
        <v>0</v>
      </c>
      <c r="AR89" s="309">
        <v>0</v>
      </c>
      <c r="AS89" s="314">
        <v>0</v>
      </c>
      <c r="AT89" s="320"/>
      <c r="AU89" s="310"/>
      <c r="AV89" s="156"/>
      <c r="AW89" s="320"/>
    </row>
    <row r="90" spans="1:49" x14ac:dyDescent="0.2">
      <c r="A90" s="86">
        <f t="shared" si="185"/>
        <v>83</v>
      </c>
      <c r="B90" s="725"/>
      <c r="C90" s="726" t="s">
        <v>7</v>
      </c>
      <c r="D90" s="162"/>
      <c r="E90" s="122">
        <f>'Rates in Detail'!R76-'Rates in Detail'!N76</f>
        <v>1.1069999999999997E-2</v>
      </c>
      <c r="F90" s="122">
        <f>'Rates in Detail'!V76</f>
        <v>-1.5499999999999999E-3</v>
      </c>
      <c r="G90" s="157"/>
      <c r="H90" s="162"/>
      <c r="I90" s="373">
        <f>'Rev Req Proof Yr1'!H90</f>
        <v>7.3609999999999995E-2</v>
      </c>
      <c r="J90" s="774">
        <f t="shared" si="187"/>
        <v>8.4679999999999991E-2</v>
      </c>
      <c r="K90" s="162"/>
      <c r="L90" s="155"/>
      <c r="M90" s="156"/>
      <c r="N90" s="122"/>
      <c r="O90" s="122"/>
      <c r="P90" s="122"/>
      <c r="Q90" s="774"/>
      <c r="R90" s="162"/>
      <c r="S90" s="298">
        <f>'Rev Req Proof Yr1'!R90</f>
        <v>3359916</v>
      </c>
      <c r="T90" s="299"/>
      <c r="U90" s="157"/>
      <c r="V90" s="158"/>
      <c r="W90" s="162"/>
      <c r="X90" s="313">
        <f t="shared" si="200"/>
        <v>247323.41675999999</v>
      </c>
      <c r="Y90" s="309">
        <f t="shared" si="201"/>
        <v>0</v>
      </c>
      <c r="Z90" s="314">
        <f t="shared" si="202"/>
        <v>0</v>
      </c>
      <c r="AA90" s="320"/>
      <c r="AB90" s="313">
        <f t="shared" si="203"/>
        <v>284517.68687999999</v>
      </c>
      <c r="AC90" s="309">
        <f t="shared" si="204"/>
        <v>0</v>
      </c>
      <c r="AD90" s="314">
        <f t="shared" si="205"/>
        <v>0</v>
      </c>
      <c r="AE90" s="320"/>
      <c r="AF90" s="313">
        <f t="shared" si="206"/>
        <v>-5207.8697999999995</v>
      </c>
      <c r="AG90" s="309">
        <v>0</v>
      </c>
      <c r="AH90" s="314">
        <v>0</v>
      </c>
      <c r="AI90" s="320"/>
      <c r="AJ90" s="313">
        <f t="shared" si="207"/>
        <v>31986.400320000001</v>
      </c>
      <c r="AK90" s="309">
        <f t="shared" si="208"/>
        <v>0</v>
      </c>
      <c r="AL90" s="314">
        <f t="shared" si="209"/>
        <v>0</v>
      </c>
      <c r="AM90" s="320"/>
      <c r="AN90" s="338"/>
      <c r="AO90" s="340">
        <f t="shared" si="186"/>
        <v>0.12933025404157045</v>
      </c>
      <c r="AP90" s="320"/>
      <c r="AQ90" s="313">
        <f t="shared" si="210"/>
        <v>0</v>
      </c>
      <c r="AR90" s="309">
        <v>0</v>
      </c>
      <c r="AS90" s="314">
        <v>0</v>
      </c>
      <c r="AT90" s="320"/>
      <c r="AU90" s="310"/>
      <c r="AV90" s="156"/>
      <c r="AW90" s="320"/>
    </row>
    <row r="91" spans="1:49" x14ac:dyDescent="0.2">
      <c r="A91" s="86">
        <f t="shared" si="185"/>
        <v>84</v>
      </c>
      <c r="B91" s="725"/>
      <c r="C91" s="726" t="s">
        <v>8</v>
      </c>
      <c r="D91" s="162"/>
      <c r="E91" s="122">
        <f>'Rates in Detail'!R77-'Rates in Detail'!N77</f>
        <v>7.3799999999999977E-3</v>
      </c>
      <c r="F91" s="122">
        <f>'Rates in Detail'!V77</f>
        <v>-1.0300000000000001E-3</v>
      </c>
      <c r="G91" s="157"/>
      <c r="H91" s="162"/>
      <c r="I91" s="373">
        <f>'Rev Req Proof Yr1'!H91</f>
        <v>4.9079999999999999E-2</v>
      </c>
      <c r="J91" s="774">
        <f t="shared" si="187"/>
        <v>5.6459999999999996E-2</v>
      </c>
      <c r="K91" s="162"/>
      <c r="L91" s="155"/>
      <c r="M91" s="156"/>
      <c r="N91" s="122"/>
      <c r="O91" s="122"/>
      <c r="P91" s="122"/>
      <c r="Q91" s="774"/>
      <c r="R91" s="162"/>
      <c r="S91" s="298">
        <f>'Rev Req Proof Yr1'!R91</f>
        <v>1349120</v>
      </c>
      <c r="T91" s="299"/>
      <c r="U91" s="157"/>
      <c r="V91" s="158"/>
      <c r="W91" s="162"/>
      <c r="X91" s="313">
        <f t="shared" si="200"/>
        <v>66214.809599999993</v>
      </c>
      <c r="Y91" s="309">
        <f t="shared" si="201"/>
        <v>0</v>
      </c>
      <c r="Z91" s="314">
        <f t="shared" si="202"/>
        <v>0</v>
      </c>
      <c r="AA91" s="320"/>
      <c r="AB91" s="313">
        <f t="shared" si="203"/>
        <v>76171.315199999997</v>
      </c>
      <c r="AC91" s="309">
        <f t="shared" si="204"/>
        <v>0</v>
      </c>
      <c r="AD91" s="314">
        <f t="shared" si="205"/>
        <v>0</v>
      </c>
      <c r="AE91" s="320"/>
      <c r="AF91" s="313">
        <f t="shared" si="206"/>
        <v>-1389.5936000000002</v>
      </c>
      <c r="AG91" s="309">
        <v>0</v>
      </c>
      <c r="AH91" s="314">
        <v>0</v>
      </c>
      <c r="AI91" s="320"/>
      <c r="AJ91" s="313">
        <f t="shared" si="207"/>
        <v>8566.9120000000039</v>
      </c>
      <c r="AK91" s="309">
        <f t="shared" si="208"/>
        <v>0</v>
      </c>
      <c r="AL91" s="314">
        <f t="shared" si="209"/>
        <v>0</v>
      </c>
      <c r="AM91" s="320"/>
      <c r="AN91" s="338"/>
      <c r="AO91" s="340">
        <f t="shared" si="186"/>
        <v>0.1293806030969846</v>
      </c>
      <c r="AP91" s="320"/>
      <c r="AQ91" s="313">
        <f t="shared" si="210"/>
        <v>0</v>
      </c>
      <c r="AR91" s="309">
        <v>0</v>
      </c>
      <c r="AS91" s="314">
        <v>0</v>
      </c>
      <c r="AT91" s="320"/>
      <c r="AU91" s="310"/>
      <c r="AV91" s="154"/>
      <c r="AW91" s="320"/>
    </row>
    <row r="92" spans="1:49" x14ac:dyDescent="0.2">
      <c r="A92" s="86">
        <f t="shared" si="185"/>
        <v>85</v>
      </c>
      <c r="B92" s="725"/>
      <c r="C92" s="726" t="s">
        <v>9</v>
      </c>
      <c r="D92" s="162"/>
      <c r="E92" s="122">
        <f>'Rates in Detail'!R78-'Rates in Detail'!N78</f>
        <v>2.7700000000000016E-3</v>
      </c>
      <c r="F92" s="122">
        <f>'Rates in Detail'!V78</f>
        <v>-3.8999999999999999E-4</v>
      </c>
      <c r="G92" s="157"/>
      <c r="H92" s="162"/>
      <c r="I92" s="373">
        <f>'Rev Req Proof Yr1'!H92</f>
        <v>1.839E-2</v>
      </c>
      <c r="J92" s="774">
        <f t="shared" si="187"/>
        <v>2.1160000000000002E-2</v>
      </c>
      <c r="K92" s="162"/>
      <c r="L92" s="155"/>
      <c r="M92" s="156"/>
      <c r="N92" s="122"/>
      <c r="O92" s="122"/>
      <c r="P92" s="122"/>
      <c r="Q92" s="774"/>
      <c r="R92" s="162"/>
      <c r="S92" s="298">
        <f>'Rev Req Proof Yr1'!R92</f>
        <v>0</v>
      </c>
      <c r="T92" s="299"/>
      <c r="U92" s="157"/>
      <c r="V92" s="158"/>
      <c r="W92" s="162"/>
      <c r="X92" s="313">
        <f t="shared" si="200"/>
        <v>0</v>
      </c>
      <c r="Y92" s="309">
        <f t="shared" si="201"/>
        <v>0</v>
      </c>
      <c r="Z92" s="314">
        <f t="shared" si="202"/>
        <v>0</v>
      </c>
      <c r="AA92" s="320"/>
      <c r="AB92" s="313">
        <f t="shared" si="203"/>
        <v>0</v>
      </c>
      <c r="AC92" s="309">
        <f t="shared" si="204"/>
        <v>0</v>
      </c>
      <c r="AD92" s="314">
        <f t="shared" si="205"/>
        <v>0</v>
      </c>
      <c r="AE92" s="320"/>
      <c r="AF92" s="313">
        <f t="shared" si="206"/>
        <v>0</v>
      </c>
      <c r="AG92" s="309">
        <v>0</v>
      </c>
      <c r="AH92" s="314">
        <v>0</v>
      </c>
      <c r="AI92" s="320"/>
      <c r="AJ92" s="313">
        <f t="shared" si="207"/>
        <v>0</v>
      </c>
      <c r="AK92" s="309">
        <f t="shared" si="208"/>
        <v>0</v>
      </c>
      <c r="AL92" s="314">
        <f t="shared" si="209"/>
        <v>0</v>
      </c>
      <c r="AM92" s="320"/>
      <c r="AN92" s="338"/>
      <c r="AO92" s="340" t="e">
        <f t="shared" si="186"/>
        <v>#DIV/0!</v>
      </c>
      <c r="AP92" s="320"/>
      <c r="AQ92" s="313">
        <f t="shared" si="210"/>
        <v>0</v>
      </c>
      <c r="AR92" s="309">
        <v>0</v>
      </c>
      <c r="AS92" s="314">
        <v>0</v>
      </c>
      <c r="AT92" s="320"/>
      <c r="AU92" s="310"/>
      <c r="AV92" s="154"/>
      <c r="AW92" s="320"/>
    </row>
    <row r="93" spans="1:49" x14ac:dyDescent="0.2">
      <c r="A93" s="86">
        <f t="shared" si="185"/>
        <v>86</v>
      </c>
      <c r="B93" s="723"/>
      <c r="C93" s="742" t="s">
        <v>78</v>
      </c>
      <c r="D93" s="163"/>
      <c r="E93" s="123"/>
      <c r="F93" s="123"/>
      <c r="G93" s="153"/>
      <c r="H93" s="163"/>
      <c r="I93" s="368"/>
      <c r="J93" s="773"/>
      <c r="K93" s="162"/>
      <c r="L93" s="155"/>
      <c r="M93" s="156"/>
      <c r="N93" s="122"/>
      <c r="O93" s="122"/>
      <c r="P93" s="122"/>
      <c r="Q93" s="774"/>
      <c r="R93" s="162"/>
      <c r="S93" s="298"/>
      <c r="T93" s="157"/>
      <c r="U93" s="157"/>
      <c r="V93" s="158"/>
      <c r="W93" s="162"/>
      <c r="X93" s="315">
        <f>SUM(X87:X92)</f>
        <v>695280.07319999998</v>
      </c>
      <c r="Y93" s="316">
        <f>SUM(Y87:Y92)</f>
        <v>130200</v>
      </c>
      <c r="Z93" s="317">
        <f>SUM(Z87:Z92)</f>
        <v>0</v>
      </c>
      <c r="AA93" s="320"/>
      <c r="AB93" s="315">
        <f>SUM(AB87:AB92)</f>
        <v>799890.20797999995</v>
      </c>
      <c r="AC93" s="316">
        <f>SUM(AC87:AC92)</f>
        <v>130200</v>
      </c>
      <c r="AD93" s="317">
        <f>SUM(AD87:AD92)</f>
        <v>0</v>
      </c>
      <c r="AE93" s="320"/>
      <c r="AF93" s="315">
        <f>SUM(AF87:AF92)</f>
        <v>-14641.913430000001</v>
      </c>
      <c r="AG93" s="316">
        <f>SUM(AG87:AG92)</f>
        <v>0</v>
      </c>
      <c r="AH93" s="317">
        <f>SUM(AH87:AH92)</f>
        <v>0</v>
      </c>
      <c r="AI93" s="320"/>
      <c r="AJ93" s="315">
        <f>SUM(AJ87:AJ92)</f>
        <v>89968.221350000036</v>
      </c>
      <c r="AK93" s="316">
        <f>SUM(AK87:AK92)</f>
        <v>0</v>
      </c>
      <c r="AL93" s="317">
        <f>SUM(AL87:AL92)</f>
        <v>0</v>
      </c>
      <c r="AM93" s="320"/>
      <c r="AN93" s="338">
        <f>SUM(AJ93:AL93)/SUM(X93:Z93)</f>
        <v>0.10898896808161018</v>
      </c>
      <c r="AO93" s="339">
        <f t="shared" si="186"/>
        <v>0.12939853278970692</v>
      </c>
      <c r="AP93" s="320"/>
      <c r="AQ93" s="315">
        <f>SUM(AQ87:AQ92)</f>
        <v>0</v>
      </c>
      <c r="AR93" s="316">
        <f>SUM(AR87:AR92)</f>
        <v>0</v>
      </c>
      <c r="AS93" s="317">
        <f>SUM(AS87:AS92)</f>
        <v>0</v>
      </c>
      <c r="AT93" s="320"/>
      <c r="AU93" s="310"/>
      <c r="AV93" s="154"/>
      <c r="AW93" s="320"/>
    </row>
    <row r="94" spans="1:49" x14ac:dyDescent="0.2">
      <c r="A94" s="86">
        <f t="shared" si="185"/>
        <v>87</v>
      </c>
      <c r="B94" s="723" t="str">
        <f>'WA Volumes &amp; Revenues'!B81</f>
        <v>43 Firm Transpt</v>
      </c>
      <c r="C94" s="723" t="s">
        <v>283</v>
      </c>
      <c r="D94" s="162"/>
      <c r="E94" s="392">
        <f>'Rates in Detail'!R79-'Rates in Detail'!N79</f>
        <v>0</v>
      </c>
      <c r="F94" s="392">
        <f>'Rates in Detail'!V79</f>
        <v>0</v>
      </c>
      <c r="G94" s="164"/>
      <c r="H94" s="162"/>
      <c r="I94" s="393">
        <f>'Rev Req Proof Yr1'!H94</f>
        <v>4.9100000000000003E-3</v>
      </c>
      <c r="J94" s="775">
        <f t="shared" si="187"/>
        <v>4.9100000000000003E-3</v>
      </c>
      <c r="K94" s="162"/>
      <c r="L94" s="155">
        <f>'Rev Req Proof Yr1'!K94</f>
        <v>38000</v>
      </c>
      <c r="M94" s="156">
        <f>'Rev Req Proof Yr1'!L94</f>
        <v>38000</v>
      </c>
      <c r="N94" s="122">
        <f>'Rev Req Proof Yr1'!M94</f>
        <v>0.15748000000000001</v>
      </c>
      <c r="O94" s="122">
        <f>'Rev Req Proof Yr1'!N94</f>
        <v>0</v>
      </c>
      <c r="P94" s="122">
        <f>'Rev Req Proof Yr1'!O94</f>
        <v>0</v>
      </c>
      <c r="Q94" s="774">
        <f>'Rev Req Proof Yr1'!P94</f>
        <v>0</v>
      </c>
      <c r="R94" s="162"/>
      <c r="S94" s="298">
        <f>'Rev Req Proof Yr1'!R94</f>
        <v>0</v>
      </c>
      <c r="T94" s="299"/>
      <c r="U94" s="300">
        <f>'Rev Req Proof Yr1'!T94</f>
        <v>0</v>
      </c>
      <c r="V94" s="301">
        <f>'Rev Req Proof Yr1'!U94</f>
        <v>0</v>
      </c>
      <c r="W94" s="162"/>
      <c r="X94" s="306">
        <f t="shared" ref="X94:X96" si="211">(I94*S94)</f>
        <v>0</v>
      </c>
      <c r="Y94" s="307">
        <f t="shared" ref="Y94:Y96" si="212">(L94*U94*12)</f>
        <v>0</v>
      </c>
      <c r="Z94" s="308">
        <f t="shared" ref="Z94:Z96" si="213">(T94*(N94+P94))*12</f>
        <v>0</v>
      </c>
      <c r="AA94" s="321"/>
      <c r="AB94" s="306">
        <f t="shared" ref="AB94:AB96" si="214">(J94*S94)</f>
        <v>0</v>
      </c>
      <c r="AC94" s="307">
        <f t="shared" ref="AC94:AC96" si="215">(M94*U94*12)</f>
        <v>0</v>
      </c>
      <c r="AD94" s="308">
        <f t="shared" ref="AD94:AD96" si="216">(T94*(O94+Q94))*12</f>
        <v>0</v>
      </c>
      <c r="AE94" s="321"/>
      <c r="AF94" s="306">
        <f t="shared" ref="AF94:AF96" si="217">(F94*S94)</f>
        <v>0</v>
      </c>
      <c r="AG94" s="307">
        <v>0</v>
      </c>
      <c r="AH94" s="308">
        <v>0</v>
      </c>
      <c r="AI94" s="321"/>
      <c r="AJ94" s="306">
        <f t="shared" ref="AJ94:AJ96" si="218">AB94-X94+AF94</f>
        <v>0</v>
      </c>
      <c r="AK94" s="307">
        <f t="shared" ref="AK94:AK96" si="219">AC94-Y94-AG94</f>
        <v>0</v>
      </c>
      <c r="AL94" s="308">
        <f t="shared" ref="AL94:AL96" si="220">AD94-Z94-AH94</f>
        <v>0</v>
      </c>
      <c r="AM94" s="320"/>
      <c r="AN94" s="338"/>
      <c r="AO94" s="339"/>
      <c r="AP94" s="320"/>
      <c r="AQ94" s="306">
        <f t="shared" ref="AQ94:AQ96" si="221">(G94*S94)</f>
        <v>0</v>
      </c>
      <c r="AR94" s="307">
        <v>0</v>
      </c>
      <c r="AS94" s="308">
        <v>0</v>
      </c>
      <c r="AT94" s="320"/>
      <c r="AU94" s="154"/>
      <c r="AV94" s="154"/>
      <c r="AW94" s="320"/>
    </row>
    <row r="95" spans="1:49" x14ac:dyDescent="0.2">
      <c r="A95" s="86">
        <f t="shared" si="185"/>
        <v>88</v>
      </c>
      <c r="B95" s="723" t="str">
        <f>'WA Volumes &amp; Revenues'!B82</f>
        <v>43 Interr Transpt</v>
      </c>
      <c r="C95" s="724" t="s">
        <v>283</v>
      </c>
      <c r="D95" s="162"/>
      <c r="E95" s="392">
        <f>'Rates in Detail'!R80-'Rates in Detail'!N80</f>
        <v>0</v>
      </c>
      <c r="F95" s="392">
        <f>'Rates in Detail'!V80</f>
        <v>0</v>
      </c>
      <c r="G95" s="164"/>
      <c r="H95" s="162"/>
      <c r="I95" s="396">
        <f>'Rev Req Proof Yr1'!H95</f>
        <v>4.9100000000000003E-3</v>
      </c>
      <c r="J95" s="776">
        <f t="shared" si="187"/>
        <v>4.9100000000000003E-3</v>
      </c>
      <c r="K95" s="162"/>
      <c r="L95" s="155">
        <f>'Rev Req Proof Yr1'!K95</f>
        <v>38000</v>
      </c>
      <c r="M95" s="156">
        <f>'Rev Req Proof Yr1'!L95</f>
        <v>38000</v>
      </c>
      <c r="N95" s="122">
        <f>'Rev Req Proof Yr1'!M95</f>
        <v>0</v>
      </c>
      <c r="O95" s="122">
        <f>'Rev Req Proof Yr1'!N95</f>
        <v>0</v>
      </c>
      <c r="P95" s="122">
        <f>'Rev Req Proof Yr1'!O95</f>
        <v>0</v>
      </c>
      <c r="Q95" s="774">
        <f>'Rev Req Proof Yr1'!P95</f>
        <v>0</v>
      </c>
      <c r="R95" s="162"/>
      <c r="S95" s="298">
        <f>'Rev Req Proof Yr1'!R95</f>
        <v>0</v>
      </c>
      <c r="T95" s="299"/>
      <c r="U95" s="300">
        <f>'Rev Req Proof Yr1'!T95</f>
        <v>0</v>
      </c>
      <c r="V95" s="301">
        <f>'Rev Req Proof Yr1'!U95</f>
        <v>0</v>
      </c>
      <c r="W95" s="162"/>
      <c r="X95" s="322">
        <f t="shared" si="211"/>
        <v>0</v>
      </c>
      <c r="Y95" s="321">
        <f t="shared" si="212"/>
        <v>0</v>
      </c>
      <c r="Z95" s="323">
        <f t="shared" si="213"/>
        <v>0</v>
      </c>
      <c r="AA95" s="320"/>
      <c r="AB95" s="322">
        <f t="shared" si="214"/>
        <v>0</v>
      </c>
      <c r="AC95" s="321">
        <f t="shared" si="215"/>
        <v>0</v>
      </c>
      <c r="AD95" s="323">
        <f t="shared" si="216"/>
        <v>0</v>
      </c>
      <c r="AE95" s="320"/>
      <c r="AF95" s="322">
        <f t="shared" si="217"/>
        <v>0</v>
      </c>
      <c r="AG95" s="321">
        <v>0</v>
      </c>
      <c r="AH95" s="323">
        <v>0</v>
      </c>
      <c r="AI95" s="320"/>
      <c r="AJ95" s="322">
        <f t="shared" si="218"/>
        <v>0</v>
      </c>
      <c r="AK95" s="321">
        <f t="shared" si="219"/>
        <v>0</v>
      </c>
      <c r="AL95" s="323">
        <f t="shared" si="220"/>
        <v>0</v>
      </c>
      <c r="AM95" s="320"/>
      <c r="AN95" s="320"/>
      <c r="AO95" s="320"/>
      <c r="AP95" s="320"/>
      <c r="AQ95" s="322">
        <f t="shared" si="221"/>
        <v>0</v>
      </c>
      <c r="AR95" s="321">
        <v>0</v>
      </c>
      <c r="AS95" s="323">
        <v>0</v>
      </c>
      <c r="AT95" s="320"/>
      <c r="AU95" s="154"/>
      <c r="AV95" s="154"/>
      <c r="AW95" s="320"/>
    </row>
    <row r="96" spans="1:49" ht="13.5" thickBot="1" x14ac:dyDescent="0.25">
      <c r="A96" s="86">
        <f t="shared" si="185"/>
        <v>89</v>
      </c>
      <c r="B96" s="779" t="str">
        <f>'WA Volumes &amp; Revenues'!B83</f>
        <v>Special Contract</v>
      </c>
      <c r="C96" s="780" t="s">
        <v>283</v>
      </c>
      <c r="D96" s="166"/>
      <c r="E96" s="836">
        <f>'Rates in Detail'!R81-'Rates in Detail'!N81</f>
        <v>0</v>
      </c>
      <c r="F96" s="836">
        <f>'Rates in Detail'!V81</f>
        <v>0</v>
      </c>
      <c r="G96" s="166"/>
      <c r="H96" s="782"/>
      <c r="I96" s="777">
        <f>'Rev Req Proof Yr1'!H96</f>
        <v>0</v>
      </c>
      <c r="J96" s="778">
        <f t="shared" si="187"/>
        <v>0</v>
      </c>
      <c r="K96" s="162"/>
      <c r="L96" s="785">
        <f>'Rev Req Proof Yr1'!K96</f>
        <v>0</v>
      </c>
      <c r="M96" s="786">
        <f>'Rev Req Proof Yr1'!L96</f>
        <v>0</v>
      </c>
      <c r="N96" s="795">
        <f>'Rev Req Proof Yr1'!M96</f>
        <v>0</v>
      </c>
      <c r="O96" s="795">
        <f>'Rev Req Proof Yr1'!N96</f>
        <v>0</v>
      </c>
      <c r="P96" s="795">
        <f>'Rev Req Proof Yr1'!O96</f>
        <v>0</v>
      </c>
      <c r="Q96" s="778">
        <f>'Rev Req Proof Yr1'!P96</f>
        <v>0</v>
      </c>
      <c r="R96" s="162"/>
      <c r="S96" s="811">
        <f>'Rev Req Proof Yr1'!R96</f>
        <v>2895114</v>
      </c>
      <c r="T96" s="805"/>
      <c r="U96" s="801">
        <f>'Rev Req Proof Yr1'!T96</f>
        <v>1</v>
      </c>
      <c r="V96" s="802">
        <f>'Rev Req Proof Yr1'!U96</f>
        <v>241259.5</v>
      </c>
      <c r="W96" s="162"/>
      <c r="X96" s="324">
        <f t="shared" si="211"/>
        <v>0</v>
      </c>
      <c r="Y96" s="325">
        <f t="shared" si="212"/>
        <v>0</v>
      </c>
      <c r="Z96" s="326">
        <f t="shared" si="213"/>
        <v>0</v>
      </c>
      <c r="AA96" s="320"/>
      <c r="AB96" s="324">
        <f t="shared" si="214"/>
        <v>0</v>
      </c>
      <c r="AC96" s="325">
        <f t="shared" si="215"/>
        <v>0</v>
      </c>
      <c r="AD96" s="326">
        <f t="shared" si="216"/>
        <v>0</v>
      </c>
      <c r="AE96" s="320"/>
      <c r="AF96" s="324">
        <f t="shared" si="217"/>
        <v>0</v>
      </c>
      <c r="AG96" s="325">
        <v>0</v>
      </c>
      <c r="AH96" s="326">
        <v>0</v>
      </c>
      <c r="AI96" s="320"/>
      <c r="AJ96" s="324">
        <f t="shared" si="218"/>
        <v>0</v>
      </c>
      <c r="AK96" s="325">
        <f t="shared" si="219"/>
        <v>0</v>
      </c>
      <c r="AL96" s="326">
        <f t="shared" si="220"/>
        <v>0</v>
      </c>
      <c r="AM96" s="320"/>
      <c r="AN96" s="320"/>
      <c r="AO96" s="320"/>
      <c r="AP96" s="320"/>
      <c r="AQ96" s="324">
        <f t="shared" si="221"/>
        <v>0</v>
      </c>
      <c r="AR96" s="325">
        <v>0</v>
      </c>
      <c r="AS96" s="326">
        <v>0</v>
      </c>
      <c r="AT96" s="320"/>
      <c r="AU96" s="162"/>
      <c r="AV96" s="162"/>
      <c r="AW96" s="320"/>
    </row>
    <row r="97" spans="1:49" x14ac:dyDescent="0.2">
      <c r="A97" s="86">
        <f t="shared" si="185"/>
        <v>90</v>
      </c>
    </row>
    <row r="98" spans="1:49" x14ac:dyDescent="0.2">
      <c r="A98" s="86">
        <f t="shared" si="185"/>
        <v>91</v>
      </c>
      <c r="B98" s="168" t="s">
        <v>58</v>
      </c>
      <c r="AT98" s="55"/>
      <c r="AU98" s="55"/>
    </row>
    <row r="99" spans="1:49" x14ac:dyDescent="0.2">
      <c r="A99" s="86">
        <f t="shared" si="185"/>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65"/>
      <c r="AN99" s="765"/>
      <c r="AO99" s="765"/>
      <c r="AP99" s="765"/>
      <c r="AQ99" s="798"/>
      <c r="AR99" s="798"/>
      <c r="AS99" s="799"/>
      <c r="AT99" s="837"/>
      <c r="AU99" s="55"/>
      <c r="AW99" s="55"/>
    </row>
    <row r="100" spans="1:49" x14ac:dyDescent="0.2">
      <c r="A100" s="86">
        <f t="shared" si="185"/>
        <v>93</v>
      </c>
      <c r="B100" s="169"/>
      <c r="S100" s="327"/>
      <c r="T100" s="327"/>
      <c r="U100" s="327"/>
      <c r="AT100" s="55"/>
      <c r="AU100" s="55"/>
    </row>
    <row r="101" spans="1:49" x14ac:dyDescent="0.2">
      <c r="A101" s="86">
        <f t="shared" si="185"/>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800"/>
      <c r="AT101" s="55"/>
      <c r="AU101" s="55"/>
      <c r="AW101" s="55"/>
    </row>
    <row r="102" spans="1:49" x14ac:dyDescent="0.2">
      <c r="A102" s="86">
        <f t="shared" si="185"/>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765"/>
      <c r="AQ102" s="765"/>
      <c r="AR102" s="765"/>
      <c r="AS102" s="800"/>
      <c r="AT102" s="55"/>
      <c r="AU102" s="55"/>
      <c r="AW102" s="55"/>
    </row>
    <row r="103" spans="1:49" x14ac:dyDescent="0.2">
      <c r="A103" s="86"/>
      <c r="B103" s="169"/>
      <c r="AT103" s="55"/>
      <c r="AU103" s="55"/>
    </row>
    <row r="104" spans="1:49" x14ac:dyDescent="0.2">
      <c r="A104" s="86"/>
      <c r="B104" s="169"/>
    </row>
    <row r="105" spans="1:49" x14ac:dyDescent="0.2">
      <c r="A105" s="86"/>
      <c r="B105" s="169"/>
    </row>
  </sheetData>
  <customSheetViews>
    <customSheetView guid="{80646397-1CEF-4A79-B348-594AB32B8020}" hiddenColumns="1" topLeftCell="AG1">
      <selection activeCell="AY13" sqref="AY13"/>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hiddenColumns="1" topLeftCell="AG1">
      <selection activeCell="AY13" sqref="AY13"/>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U14:AW14"/>
    <mergeCell ref="AF10:AH10"/>
    <mergeCell ref="AU2:AV2"/>
    <mergeCell ref="I7:J7"/>
    <mergeCell ref="L7:Q7"/>
    <mergeCell ref="S7:V7"/>
    <mergeCell ref="X10:Z10"/>
    <mergeCell ref="AB10:AD10"/>
    <mergeCell ref="AJ10:AL10"/>
    <mergeCell ref="AQ10:AS10"/>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322DB5-4F5B-431D-A60C-7A36B23A75E7}">
  <sheetPr>
    <tabColor theme="8" tint="0.79998168889431442"/>
  </sheetPr>
  <dimension ref="A1:AZ105"/>
  <sheetViews>
    <sheetView zoomScaleNormal="100" workbookViewId="0">
      <pane xSplit="11" ySplit="13" topLeftCell="AM14" activePane="bottomRight" state="frozen"/>
      <selection pane="topRight" activeCell="L1" sqref="L1"/>
      <selection pane="bottomLeft" activeCell="A14" sqref="A14"/>
      <selection pane="bottomRight" activeCell="AX24" sqref="AX24"/>
    </sheetView>
  </sheetViews>
  <sheetFormatPr defaultColWidth="9.33203125" defaultRowHeight="12.75" x14ac:dyDescent="0.2"/>
  <cols>
    <col min="1" max="1" width="6.83203125" style="55" customWidth="1"/>
    <col min="2" max="2" width="19" style="56" customWidth="1"/>
    <col min="3" max="3" width="10.33203125" style="56" customWidth="1"/>
    <col min="4" max="4" width="2.83203125" style="56" customWidth="1"/>
    <col min="5" max="6" width="14.83203125" style="56" customWidth="1"/>
    <col min="7" max="7" width="14.83203125" style="56" hidden="1" customWidth="1"/>
    <col min="8" max="8" width="2.83203125" style="56" customWidth="1"/>
    <col min="9" max="10" width="15.83203125" style="56" customWidth="1"/>
    <col min="11" max="11" width="2.83203125" style="56" customWidth="1"/>
    <col min="12" max="17" width="15.83203125" style="56" customWidth="1"/>
    <col min="18" max="18" width="2.83203125" style="56" customWidth="1"/>
    <col min="19" max="19" width="17.1640625" style="56" customWidth="1"/>
    <col min="20" max="22" width="15.83203125" style="56" customWidth="1"/>
    <col min="23" max="23" width="2.83203125" style="56" customWidth="1"/>
    <col min="24"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8" width="15.83203125" style="56" customWidth="1"/>
    <col min="39" max="39" width="2.83203125" style="56" customWidth="1"/>
    <col min="40" max="40" width="15.6640625" style="56" hidden="1" customWidth="1"/>
    <col min="41" max="41" width="15.83203125" style="56" hidden="1" customWidth="1"/>
    <col min="42" max="42" width="2.83203125" style="56" customWidth="1"/>
    <col min="43" max="45" width="15.83203125" style="56" customWidth="1"/>
    <col min="46" max="46" width="2.83203125" style="56" customWidth="1"/>
    <col min="47" max="47" width="23.83203125" style="56" customWidth="1"/>
    <col min="48" max="48" width="15.33203125" style="56" customWidth="1"/>
    <col min="49" max="49" width="2.83203125" style="56" customWidth="1"/>
    <col min="50" max="50" width="9.33203125" style="55" customWidth="1"/>
    <col min="51" max="51" width="16.83203125" style="55" customWidth="1"/>
    <col min="52" max="52" width="18.5" style="55" customWidth="1"/>
    <col min="53" max="16384" width="9.33203125" style="55"/>
  </cols>
  <sheetData>
    <row r="1" spans="1:52" ht="15.75" thickBot="1" x14ac:dyDescent="0.3">
      <c r="A1" s="173" t="str">
        <f>+'WA Volumes &amp; Revenues'!A1</f>
        <v>NW Natural</v>
      </c>
    </row>
    <row r="2" spans="1:52" ht="15.75" thickBot="1" x14ac:dyDescent="0.3">
      <c r="A2" s="173" t="str">
        <f>+'WA Volumes &amp; Revenues'!A2</f>
        <v>Rates &amp; Regulatory Affairs</v>
      </c>
      <c r="E2" s="140"/>
      <c r="F2" s="140"/>
      <c r="G2" s="140"/>
      <c r="U2" s="265"/>
      <c r="X2" s="266" t="s">
        <v>114</v>
      </c>
      <c r="Y2" s="267" t="s">
        <v>115</v>
      </c>
      <c r="Z2" s="268" t="s">
        <v>99</v>
      </c>
      <c r="AB2" s="266" t="s">
        <v>114</v>
      </c>
      <c r="AC2" s="267" t="s">
        <v>115</v>
      </c>
      <c r="AD2" s="268" t="s">
        <v>99</v>
      </c>
      <c r="AF2" s="266" t="s">
        <v>114</v>
      </c>
      <c r="AG2" s="267" t="s">
        <v>115</v>
      </c>
      <c r="AH2" s="268" t="s">
        <v>99</v>
      </c>
      <c r="AJ2" s="266" t="s">
        <v>114</v>
      </c>
      <c r="AK2" s="267" t="s">
        <v>115</v>
      </c>
      <c r="AL2" s="268" t="s">
        <v>99</v>
      </c>
      <c r="AO2" s="145"/>
      <c r="AQ2" s="266" t="s">
        <v>114</v>
      </c>
      <c r="AR2" s="267" t="s">
        <v>115</v>
      </c>
      <c r="AS2" s="268" t="s">
        <v>99</v>
      </c>
      <c r="AU2" s="1583" t="s">
        <v>279</v>
      </c>
      <c r="AV2" s="1584"/>
    </row>
    <row r="3" spans="1:52" ht="15" x14ac:dyDescent="0.25">
      <c r="A3" s="173" t="str">
        <f>+'WA Volumes &amp; Revenues'!A3</f>
        <v>Test Year Ending September 30, 2020</v>
      </c>
      <c r="E3" s="140"/>
      <c r="F3" s="140"/>
      <c r="G3" s="140"/>
      <c r="U3" s="352"/>
      <c r="X3" s="269">
        <f>SUM(X14:X19)+X22+X28+X31+X37+X44+X51+X58+X65+X72+X79+X94+X93+X25+X34+X86+X95+X96</f>
        <v>43542835.679936796</v>
      </c>
      <c r="Y3" s="270">
        <f>SUM(Y14:Y19)+Y22+Y28+Y31+Y37+Y44+Y51+Y58+Y65+Y72+Y79+Y94+Y93+Y25+Y34+Y86+Y95+Y96</f>
        <v>10678018</v>
      </c>
      <c r="Z3" s="271">
        <f>SUM(Z14:Z19)+Z22+Z28+Z31+Z37+Z44+Z51+Z58+Z65+Z72+Z79+Z94+Z93+Z25+Z34+Z86+Z95+Z96</f>
        <v>141275.86116</v>
      </c>
      <c r="AB3" s="269">
        <f t="shared" ref="AB3:AD3" si="0">SUM(AB14:AB19)+AB22+AB28+AB31+AB37+AB44+AB51+AB58+AB65+AB72+AB79+AB94+AB93+AB25+AB34+AB86+AB95+AB96</f>
        <v>46693023.956143141</v>
      </c>
      <c r="AC3" s="270">
        <f t="shared" si="0"/>
        <v>10678018</v>
      </c>
      <c r="AD3" s="271">
        <f t="shared" si="0"/>
        <v>141275.86116</v>
      </c>
      <c r="AF3" s="269">
        <f t="shared" ref="AF3:AH3" si="1">SUM(AF14:AF19)+AF22+AF28+AF31+AF37+AF44+AF51+AF58+AF65+AF72+AF79+AF94+AF93+AF25+AF34+AF86+AF95+AF96</f>
        <v>-44306.090475598678</v>
      </c>
      <c r="AG3" s="270">
        <f t="shared" si="1"/>
        <v>0</v>
      </c>
      <c r="AH3" s="271">
        <f t="shared" si="1"/>
        <v>0</v>
      </c>
      <c r="AJ3" s="269">
        <f t="shared" ref="AJ3:AL3" si="2">SUM(AJ14:AJ19)+AJ22+AJ28+AJ31+AJ37+AJ44+AJ51+AJ58+AJ65+AJ72+AJ79+AJ94+AJ93+AJ25+AJ34+AJ86+AJ95+AJ96</f>
        <v>3105882.1857307479</v>
      </c>
      <c r="AK3" s="270">
        <f t="shared" si="2"/>
        <v>0</v>
      </c>
      <c r="AL3" s="271">
        <f t="shared" si="2"/>
        <v>0</v>
      </c>
      <c r="AO3" s="270"/>
      <c r="AQ3" s="269">
        <f t="shared" ref="AQ3:AS3" si="3">SUM(AQ14:AQ19)+AQ22+AQ28+AQ31+AQ37+AQ44+AQ51+AQ58+AQ65+AQ72+AQ79+AQ94+AQ93+AQ25+AQ34+AQ86+AQ95+AQ96</f>
        <v>0</v>
      </c>
      <c r="AR3" s="270">
        <f t="shared" si="3"/>
        <v>0</v>
      </c>
      <c r="AS3" s="271">
        <f t="shared" si="3"/>
        <v>0</v>
      </c>
      <c r="AU3" s="56" t="s">
        <v>100</v>
      </c>
      <c r="AV3" s="272">
        <f>AJ3</f>
        <v>3105882.1857307479</v>
      </c>
      <c r="AY3" s="272">
        <f>'Rate Spread Proposal'!D28</f>
        <v>3150116.0024598953</v>
      </c>
      <c r="AZ3" s="55" t="s">
        <v>178</v>
      </c>
    </row>
    <row r="4" spans="1:52" ht="15" x14ac:dyDescent="0.25">
      <c r="A4" s="173" t="s">
        <v>643</v>
      </c>
      <c r="D4" s="140"/>
      <c r="E4" s="140"/>
      <c r="F4" s="140"/>
      <c r="G4" s="140"/>
      <c r="H4" s="140"/>
      <c r="I4" s="140"/>
      <c r="K4" s="140"/>
      <c r="L4" s="140"/>
      <c r="M4" s="140"/>
      <c r="R4" s="140"/>
      <c r="U4" s="352"/>
      <c r="W4" s="140"/>
      <c r="X4" s="273"/>
      <c r="Y4" s="55"/>
      <c r="Z4" s="274" t="s">
        <v>78</v>
      </c>
      <c r="AA4" s="140"/>
      <c r="AB4" s="273"/>
      <c r="AC4" s="55"/>
      <c r="AD4" s="274" t="s">
        <v>78</v>
      </c>
      <c r="AE4" s="140"/>
      <c r="AF4" s="273"/>
      <c r="AG4" s="55"/>
      <c r="AH4" s="274" t="s">
        <v>78</v>
      </c>
      <c r="AI4" s="140"/>
      <c r="AJ4" s="273"/>
      <c r="AK4" s="55"/>
      <c r="AL4" s="274" t="s">
        <v>78</v>
      </c>
      <c r="AM4" s="140"/>
      <c r="AN4" s="140"/>
      <c r="AO4" s="145"/>
      <c r="AP4" s="140"/>
      <c r="AQ4" s="273"/>
      <c r="AR4" s="55"/>
      <c r="AS4" s="274" t="s">
        <v>78</v>
      </c>
      <c r="AT4" s="140"/>
      <c r="AU4" s="56" t="s">
        <v>101</v>
      </c>
      <c r="AV4" s="272">
        <f>AK3</f>
        <v>0</v>
      </c>
      <c r="AY4" s="272">
        <f>'Allocation = % of Margin'!V10</f>
        <v>-44544</v>
      </c>
      <c r="AZ4" s="299" t="s">
        <v>482</v>
      </c>
    </row>
    <row r="5" spans="1:52" ht="13.5" thickBot="1" x14ac:dyDescent="0.25">
      <c r="E5" s="140"/>
      <c r="F5" s="140"/>
      <c r="G5" s="140"/>
      <c r="X5" s="275"/>
      <c r="Y5" s="276"/>
      <c r="Z5" s="277">
        <f>SUM(X3:Z3)</f>
        <v>54362129.541096799</v>
      </c>
      <c r="AB5" s="275"/>
      <c r="AC5" s="276"/>
      <c r="AD5" s="277">
        <f>SUM(AB3:AD3)</f>
        <v>57512317.817303143</v>
      </c>
      <c r="AF5" s="275"/>
      <c r="AG5" s="276"/>
      <c r="AH5" s="277">
        <f>SUM(AF3:AH3)</f>
        <v>-44306.090475598678</v>
      </c>
      <c r="AJ5" s="555"/>
      <c r="AK5" s="556"/>
      <c r="AL5" s="557">
        <f>SUM(AJ3:AL3)</f>
        <v>3105882.1857307479</v>
      </c>
      <c r="AO5" s="270"/>
      <c r="AQ5" s="275"/>
      <c r="AR5" s="276"/>
      <c r="AS5" s="277">
        <f>SUM(AQ3:AS3)</f>
        <v>0</v>
      </c>
      <c r="AU5" s="56" t="s">
        <v>102</v>
      </c>
      <c r="AV5" s="272">
        <f>AL3</f>
        <v>0</v>
      </c>
      <c r="AY5" s="272"/>
    </row>
    <row r="6" spans="1:52" ht="15.75" thickBot="1" x14ac:dyDescent="0.3">
      <c r="A6" s="132"/>
      <c r="E6" s="140"/>
      <c r="F6" s="140"/>
      <c r="G6" s="140"/>
      <c r="X6" s="55"/>
      <c r="Y6" s="55"/>
      <c r="Z6" s="270"/>
      <c r="AB6" s="55"/>
      <c r="AC6" s="55"/>
      <c r="AD6" s="270"/>
      <c r="AF6" s="55"/>
      <c r="AG6" s="55"/>
      <c r="AH6" s="270"/>
      <c r="AJ6" s="55"/>
      <c r="AK6" s="55"/>
      <c r="AL6" s="270"/>
      <c r="AO6" s="270"/>
      <c r="AQ6" s="55"/>
      <c r="AR6" s="55"/>
      <c r="AS6" s="270"/>
      <c r="AV6" s="272"/>
      <c r="AY6" s="272"/>
    </row>
    <row r="7" spans="1:52" ht="13.5" thickBot="1" x14ac:dyDescent="0.25">
      <c r="E7" s="140"/>
      <c r="F7" s="140"/>
      <c r="G7" s="140"/>
      <c r="I7" s="1585" t="s">
        <v>123</v>
      </c>
      <c r="J7" s="1586"/>
      <c r="L7" s="1585" t="s">
        <v>125</v>
      </c>
      <c r="M7" s="1587"/>
      <c r="N7" s="1587"/>
      <c r="O7" s="1587"/>
      <c r="P7" s="1587"/>
      <c r="Q7" s="1586"/>
      <c r="S7" s="1585" t="s">
        <v>124</v>
      </c>
      <c r="T7" s="1587"/>
      <c r="U7" s="1587"/>
      <c r="V7" s="1586"/>
      <c r="X7" s="844"/>
      <c r="AC7" s="842" t="str">
        <f>J9</f>
        <v>UG-20XXXX</v>
      </c>
      <c r="AD7" s="280"/>
      <c r="AG7" s="842" t="str">
        <f>F8</f>
        <v>UG-20XXXX</v>
      </c>
      <c r="AH7" s="280"/>
      <c r="AS7" s="280"/>
      <c r="AU7" s="56" t="s">
        <v>103</v>
      </c>
      <c r="AV7" s="281">
        <f>SUM(AV3:AV5)</f>
        <v>3105882.1857307479</v>
      </c>
      <c r="AY7" s="272"/>
    </row>
    <row r="8" spans="1:52" x14ac:dyDescent="0.2">
      <c r="A8" s="86">
        <v>1</v>
      </c>
      <c r="D8" s="142"/>
      <c r="E8" s="518" t="s">
        <v>557</v>
      </c>
      <c r="F8" s="518" t="str">
        <f>E8</f>
        <v>UG-20XXXX</v>
      </c>
      <c r="G8" s="518" t="str">
        <f>E8</f>
        <v>UG-20XXXX</v>
      </c>
      <c r="H8" s="142"/>
      <c r="I8" s="148"/>
      <c r="J8" s="297"/>
      <c r="K8" s="142"/>
      <c r="L8" s="329" t="s">
        <v>17</v>
      </c>
      <c r="M8" s="330" t="s">
        <v>20</v>
      </c>
      <c r="N8" s="330" t="s">
        <v>17</v>
      </c>
      <c r="O8" s="330" t="s">
        <v>20</v>
      </c>
      <c r="P8" s="330" t="s">
        <v>17</v>
      </c>
      <c r="Q8" s="331" t="s">
        <v>20</v>
      </c>
      <c r="R8" s="142"/>
      <c r="S8" s="141"/>
      <c r="T8" s="282"/>
      <c r="U8" s="282"/>
      <c r="V8" s="283"/>
      <c r="W8" s="142"/>
      <c r="X8" s="278"/>
      <c r="Y8" s="838" t="s">
        <v>126</v>
      </c>
      <c r="Z8" s="278"/>
      <c r="AA8" s="145"/>
      <c r="AB8" s="278"/>
      <c r="AC8" s="840" t="s">
        <v>413</v>
      </c>
      <c r="AD8" s="278"/>
      <c r="AE8" s="145"/>
      <c r="AF8" s="278"/>
      <c r="AG8" s="841" t="s">
        <v>414</v>
      </c>
      <c r="AH8" s="278"/>
      <c r="AI8" s="142"/>
      <c r="AK8" s="841" t="s">
        <v>385</v>
      </c>
      <c r="AM8" s="142"/>
      <c r="AN8" s="142"/>
      <c r="AP8" s="142"/>
      <c r="AQ8" s="278"/>
      <c r="AR8" s="1253" t="s">
        <v>530</v>
      </c>
      <c r="AS8" s="278"/>
      <c r="AT8" s="145"/>
      <c r="AU8" s="56" t="s">
        <v>104</v>
      </c>
      <c r="AV8" s="272"/>
      <c r="AY8" s="272"/>
    </row>
    <row r="9" spans="1:52" ht="13.5" thickBot="1" x14ac:dyDescent="0.25">
      <c r="A9" s="86">
        <f>+A8+1</f>
        <v>2</v>
      </c>
      <c r="D9" s="143"/>
      <c r="E9" s="144" t="s">
        <v>189</v>
      </c>
      <c r="F9" s="144" t="s">
        <v>189</v>
      </c>
      <c r="G9" s="144" t="s">
        <v>382</v>
      </c>
      <c r="H9" s="143"/>
      <c r="I9" s="423" t="s">
        <v>118</v>
      </c>
      <c r="J9" s="1015" t="str">
        <f>E8</f>
        <v>UG-20XXXX</v>
      </c>
      <c r="K9" s="143"/>
      <c r="L9" s="332" t="str">
        <f>I9</f>
        <v>CURRENT</v>
      </c>
      <c r="M9" s="497" t="str">
        <f>E8</f>
        <v>UG-20XXXX</v>
      </c>
      <c r="N9" s="143" t="str">
        <f>L9</f>
        <v>CURRENT</v>
      </c>
      <c r="O9" s="497" t="str">
        <f>E8</f>
        <v>UG-20XXXX</v>
      </c>
      <c r="P9" s="143" t="str">
        <f>L9</f>
        <v>CURRENT</v>
      </c>
      <c r="Q9" s="1015" t="str">
        <f>E8</f>
        <v>UG-20XXXX</v>
      </c>
      <c r="R9" s="143"/>
      <c r="S9" s="1016" t="str">
        <f>J9</f>
        <v>UG-20XXXX</v>
      </c>
      <c r="T9" s="1017" t="str">
        <f>S9</f>
        <v>UG-20XXXX</v>
      </c>
      <c r="U9" s="1017" t="str">
        <f>T9</f>
        <v>UG-20XXXX</v>
      </c>
      <c r="V9" s="1018" t="str">
        <f>U9</f>
        <v>UG-20XXXX</v>
      </c>
      <c r="W9" s="143"/>
      <c r="X9" s="278"/>
      <c r="Y9" s="278"/>
      <c r="Z9" s="278"/>
      <c r="AA9" s="145"/>
      <c r="AB9" s="278"/>
      <c r="AC9" s="279"/>
      <c r="AD9" s="278"/>
      <c r="AE9" s="145"/>
      <c r="AF9" s="278"/>
      <c r="AG9" s="279"/>
      <c r="AH9" s="278"/>
      <c r="AI9" s="143"/>
      <c r="AJ9" s="278"/>
      <c r="AK9" s="278"/>
      <c r="AL9" s="278"/>
      <c r="AM9" s="143"/>
      <c r="AN9" s="143"/>
      <c r="AO9" s="278"/>
      <c r="AP9" s="143"/>
      <c r="AQ9" s="278"/>
      <c r="AR9" s="279"/>
      <c r="AS9" s="278"/>
      <c r="AT9" s="145"/>
      <c r="AU9" s="604" t="s">
        <v>253</v>
      </c>
      <c r="AV9" s="272">
        <f>AS5</f>
        <v>0</v>
      </c>
      <c r="AY9" s="272"/>
    </row>
    <row r="10" spans="1:52" ht="13.5" thickBot="1" x14ac:dyDescent="0.25">
      <c r="A10" s="86">
        <f t="shared" ref="A10:A73" si="4">+A9+1</f>
        <v>3</v>
      </c>
      <c r="D10" s="145"/>
      <c r="E10" s="59" t="s">
        <v>90</v>
      </c>
      <c r="F10" s="59" t="s">
        <v>190</v>
      </c>
      <c r="G10" s="1222" t="s">
        <v>375</v>
      </c>
      <c r="H10" s="145"/>
      <c r="I10" s="423" t="s">
        <v>105</v>
      </c>
      <c r="J10" s="424" t="s">
        <v>105</v>
      </c>
      <c r="K10" s="145"/>
      <c r="L10" s="289" t="s">
        <v>83</v>
      </c>
      <c r="M10" s="425" t="s">
        <v>83</v>
      </c>
      <c r="N10" s="145" t="s">
        <v>108</v>
      </c>
      <c r="O10" s="425" t="s">
        <v>108</v>
      </c>
      <c r="P10" s="145" t="s">
        <v>109</v>
      </c>
      <c r="Q10" s="424" t="s">
        <v>109</v>
      </c>
      <c r="R10" s="145"/>
      <c r="S10" s="284" t="s">
        <v>110</v>
      </c>
      <c r="T10" s="278" t="s">
        <v>110</v>
      </c>
      <c r="U10" s="278" t="s">
        <v>120</v>
      </c>
      <c r="V10" s="285" t="s">
        <v>70</v>
      </c>
      <c r="W10" s="145"/>
      <c r="X10" s="1580" t="s">
        <v>116</v>
      </c>
      <c r="Y10" s="1581"/>
      <c r="Z10" s="1582"/>
      <c r="AA10" s="143"/>
      <c r="AB10" s="1580" t="s">
        <v>117</v>
      </c>
      <c r="AC10" s="1581"/>
      <c r="AD10" s="1582"/>
      <c r="AE10" s="143"/>
      <c r="AF10" s="1580" t="s">
        <v>191</v>
      </c>
      <c r="AG10" s="1581"/>
      <c r="AH10" s="1582"/>
      <c r="AI10" s="145"/>
      <c r="AJ10" s="1580" t="s">
        <v>107</v>
      </c>
      <c r="AK10" s="1581"/>
      <c r="AL10" s="1582"/>
      <c r="AM10" s="145"/>
      <c r="AN10" s="58" t="s">
        <v>136</v>
      </c>
      <c r="AO10" s="58" t="s">
        <v>114</v>
      </c>
      <c r="AP10" s="145"/>
      <c r="AQ10" s="1580" t="s">
        <v>117</v>
      </c>
      <c r="AR10" s="1581"/>
      <c r="AS10" s="1582"/>
      <c r="AT10" s="143"/>
      <c r="AU10" s="60" t="s">
        <v>91</v>
      </c>
      <c r="AV10" s="281">
        <f>AV7+AV9</f>
        <v>3105882.1857307479</v>
      </c>
      <c r="AY10" s="272"/>
    </row>
    <row r="11" spans="1:52" s="57" customFormat="1" ht="15.75" thickBot="1" x14ac:dyDescent="0.4">
      <c r="A11" s="86">
        <f t="shared" si="4"/>
        <v>4</v>
      </c>
      <c r="B11" s="147"/>
      <c r="C11" s="147"/>
      <c r="D11" s="145"/>
      <c r="E11" s="172" t="s">
        <v>98</v>
      </c>
      <c r="F11" s="172" t="s">
        <v>98</v>
      </c>
      <c r="G11" s="1223"/>
      <c r="H11" s="145"/>
      <c r="I11" s="426" t="s">
        <v>106</v>
      </c>
      <c r="J11" s="427" t="s">
        <v>106</v>
      </c>
      <c r="K11" s="145"/>
      <c r="L11" s="333" t="s">
        <v>71</v>
      </c>
      <c r="M11" s="428" t="s">
        <v>71</v>
      </c>
      <c r="N11" s="334" t="s">
        <v>71</v>
      </c>
      <c r="O11" s="428" t="s">
        <v>71</v>
      </c>
      <c r="P11" s="334" t="s">
        <v>71</v>
      </c>
      <c r="Q11" s="427" t="s">
        <v>71</v>
      </c>
      <c r="R11" s="145"/>
      <c r="S11" s="286" t="s">
        <v>111</v>
      </c>
      <c r="T11" s="287" t="s">
        <v>113</v>
      </c>
      <c r="U11" s="287" t="s">
        <v>75</v>
      </c>
      <c r="V11" s="288" t="s">
        <v>112</v>
      </c>
      <c r="W11" s="145"/>
      <c r="X11" s="289" t="s">
        <v>114</v>
      </c>
      <c r="Y11" s="145" t="s">
        <v>115</v>
      </c>
      <c r="Z11" s="274" t="s">
        <v>99</v>
      </c>
      <c r="AA11" s="58"/>
      <c r="AB11" s="289" t="s">
        <v>114</v>
      </c>
      <c r="AC11" s="145" t="s">
        <v>115</v>
      </c>
      <c r="AD11" s="274" t="s">
        <v>99</v>
      </c>
      <c r="AE11" s="58"/>
      <c r="AF11" s="289" t="s">
        <v>114</v>
      </c>
      <c r="AG11" s="145" t="s">
        <v>115</v>
      </c>
      <c r="AH11" s="274" t="s">
        <v>99</v>
      </c>
      <c r="AI11" s="145"/>
      <c r="AJ11" s="289" t="s">
        <v>114</v>
      </c>
      <c r="AK11" s="145" t="s">
        <v>115</v>
      </c>
      <c r="AL11" s="274" t="s">
        <v>99</v>
      </c>
      <c r="AM11" s="145"/>
      <c r="AN11" s="58" t="s">
        <v>27</v>
      </c>
      <c r="AO11" s="58" t="s">
        <v>27</v>
      </c>
      <c r="AP11" s="145"/>
      <c r="AQ11" s="289" t="s">
        <v>114</v>
      </c>
      <c r="AR11" s="145" t="s">
        <v>115</v>
      </c>
      <c r="AS11" s="274" t="s">
        <v>99</v>
      </c>
      <c r="AT11" s="58"/>
      <c r="AU11" s="278"/>
      <c r="AV11" s="278"/>
      <c r="AW11" s="145"/>
      <c r="AY11" s="948"/>
      <c r="AZ11" s="843"/>
    </row>
    <row r="12" spans="1:52" s="57" customFormat="1" x14ac:dyDescent="0.2">
      <c r="A12" s="86">
        <f t="shared" si="4"/>
        <v>5</v>
      </c>
      <c r="B12" s="56"/>
      <c r="C12" s="56"/>
      <c r="D12" s="58"/>
      <c r="E12" s="150"/>
      <c r="F12" s="150"/>
      <c r="G12" s="150"/>
      <c r="H12" s="58"/>
      <c r="I12" s="151"/>
      <c r="J12" s="149"/>
      <c r="K12" s="58"/>
      <c r="L12" s="335"/>
      <c r="M12" s="336"/>
      <c r="N12" s="336"/>
      <c r="O12" s="336"/>
      <c r="P12" s="336"/>
      <c r="Q12" s="337"/>
      <c r="R12" s="58"/>
      <c r="S12" s="290"/>
      <c r="T12" s="146"/>
      <c r="U12" s="146"/>
      <c r="V12" s="291"/>
      <c r="W12" s="58"/>
      <c r="X12" s="151"/>
      <c r="Z12" s="149"/>
      <c r="AB12" s="151"/>
      <c r="AD12" s="149"/>
      <c r="AF12" s="151"/>
      <c r="AH12" s="149"/>
      <c r="AI12" s="58"/>
      <c r="AJ12" s="151"/>
      <c r="AL12" s="149"/>
      <c r="AM12" s="58"/>
      <c r="AN12" s="58" t="s">
        <v>128</v>
      </c>
      <c r="AO12" s="58" t="s">
        <v>128</v>
      </c>
      <c r="AP12" s="58"/>
      <c r="AQ12" s="151"/>
      <c r="AS12" s="149"/>
      <c r="AU12" s="145"/>
      <c r="AV12" s="292">
        <f>AY12</f>
        <v>3105572.0024598953</v>
      </c>
      <c r="AW12" s="293" t="s">
        <v>157</v>
      </c>
      <c r="AY12" s="272">
        <f>SUM(AY3:AY11)</f>
        <v>3105572.0024598953</v>
      </c>
      <c r="AZ12" s="55"/>
    </row>
    <row r="13" spans="1:52" s="57" customFormat="1" ht="13.5" thickBot="1" x14ac:dyDescent="0.25">
      <c r="A13" s="86">
        <f t="shared" si="4"/>
        <v>6</v>
      </c>
      <c r="B13" s="771" t="s">
        <v>2</v>
      </c>
      <c r="C13" s="771" t="s">
        <v>3</v>
      </c>
      <c r="D13" s="294"/>
      <c r="E13" s="294" t="s">
        <v>35</v>
      </c>
      <c r="F13" s="294" t="s">
        <v>36</v>
      </c>
      <c r="G13" s="294" t="s">
        <v>36</v>
      </c>
      <c r="H13" s="294"/>
      <c r="I13" s="295" t="s">
        <v>13</v>
      </c>
      <c r="J13" s="296" t="s">
        <v>37</v>
      </c>
      <c r="K13" s="294"/>
      <c r="L13" s="295" t="s">
        <v>38</v>
      </c>
      <c r="M13" s="294" t="s">
        <v>39</v>
      </c>
      <c r="N13" s="294" t="s">
        <v>40</v>
      </c>
      <c r="O13" s="294" t="s">
        <v>41</v>
      </c>
      <c r="P13" s="294" t="s">
        <v>42</v>
      </c>
      <c r="Q13" s="296" t="s">
        <v>129</v>
      </c>
      <c r="R13" s="294"/>
      <c r="S13" s="295" t="s">
        <v>130</v>
      </c>
      <c r="T13" s="294" t="s">
        <v>43</v>
      </c>
      <c r="U13" s="294" t="s">
        <v>131</v>
      </c>
      <c r="V13" s="296" t="s">
        <v>132</v>
      </c>
      <c r="W13" s="58"/>
      <c r="X13" s="148" t="s">
        <v>133</v>
      </c>
      <c r="Y13" s="58" t="s">
        <v>134</v>
      </c>
      <c r="Z13" s="297" t="s">
        <v>135</v>
      </c>
      <c r="AA13" s="58"/>
      <c r="AB13" s="148" t="s">
        <v>89</v>
      </c>
      <c r="AC13" s="58" t="s">
        <v>92</v>
      </c>
      <c r="AD13" s="297" t="s">
        <v>93</v>
      </c>
      <c r="AE13" s="58"/>
      <c r="AF13" s="148" t="s">
        <v>94</v>
      </c>
      <c r="AG13" s="58" t="s">
        <v>186</v>
      </c>
      <c r="AH13" s="297" t="s">
        <v>232</v>
      </c>
      <c r="AI13" s="58"/>
      <c r="AJ13" s="148" t="s">
        <v>227</v>
      </c>
      <c r="AK13" s="58" t="s">
        <v>233</v>
      </c>
      <c r="AL13" s="297" t="s">
        <v>234</v>
      </c>
      <c r="AM13" s="58"/>
      <c r="AN13" s="58" t="s">
        <v>127</v>
      </c>
      <c r="AO13" s="58" t="s">
        <v>127</v>
      </c>
      <c r="AP13" s="58"/>
      <c r="AQ13" s="148" t="s">
        <v>94</v>
      </c>
      <c r="AR13" s="58" t="s">
        <v>186</v>
      </c>
      <c r="AS13" s="297" t="s">
        <v>232</v>
      </c>
      <c r="AT13" s="58"/>
      <c r="AV13" s="931">
        <f>AV12-AV10</f>
        <v>-310.18327085254714</v>
      </c>
      <c r="AW13" s="293" t="s">
        <v>168</v>
      </c>
      <c r="AY13" s="651">
        <f>SUM(AY3,AY4,AY5,AY6)</f>
        <v>3105572.0024598953</v>
      </c>
      <c r="AZ13" s="610" t="s">
        <v>267</v>
      </c>
    </row>
    <row r="14" spans="1:52" ht="12.95" customHeight="1" x14ac:dyDescent="0.2">
      <c r="A14" s="86">
        <f t="shared" si="4"/>
        <v>7</v>
      </c>
      <c r="B14" s="723" t="str">
        <f>'WA Volumes &amp; Revenues'!B15</f>
        <v>1R</v>
      </c>
      <c r="C14" s="723" t="s">
        <v>283</v>
      </c>
      <c r="D14" s="154"/>
      <c r="E14" s="123">
        <f>'Rates in Detail'!Y13</f>
        <v>6.2010000000000003E-2</v>
      </c>
      <c r="F14" s="123">
        <f>'Rates in Detail'!Z13</f>
        <v>-8.8000000000000003E-4</v>
      </c>
      <c r="G14" s="153"/>
      <c r="H14" s="154"/>
      <c r="I14" s="368">
        <f>'Rev Req Proof Yr2'!H14</f>
        <v>0.79967999999999995</v>
      </c>
      <c r="J14" s="773">
        <f>I14+E14</f>
        <v>0.86168999999999996</v>
      </c>
      <c r="K14" s="154"/>
      <c r="L14" s="155">
        <f>'Rev Req Proof Yr1'!K14</f>
        <v>5.5</v>
      </c>
      <c r="M14" s="156">
        <f>'Rev Req Proof Yr1'!L14</f>
        <v>5.5</v>
      </c>
      <c r="N14" s="122">
        <f>'Rev Req Proof Yr1'!M14</f>
        <v>0</v>
      </c>
      <c r="O14" s="122">
        <f>'Rev Req Proof Yr1'!N14</f>
        <v>0</v>
      </c>
      <c r="P14" s="122">
        <f>'Rev Req Proof Yr1'!O14</f>
        <v>0</v>
      </c>
      <c r="Q14" s="774">
        <f>'Rev Req Proof Yr1'!P14</f>
        <v>0</v>
      </c>
      <c r="R14" s="154"/>
      <c r="S14" s="298">
        <f>'Rev Req Proof Yr1'!R14</f>
        <v>214704.20066131229</v>
      </c>
      <c r="T14" s="299"/>
      <c r="U14" s="300">
        <f>'Rev Req Proof Yr1'!T14</f>
        <v>911</v>
      </c>
      <c r="V14" s="301">
        <f>'Rev Req Proof Yr1'!U14</f>
        <v>19.639970000000002</v>
      </c>
      <c r="W14" s="154"/>
      <c r="X14" s="302">
        <f>(I14*S14)</f>
        <v>171694.65518483819</v>
      </c>
      <c r="Y14" s="303">
        <f>(L14*U14*12)</f>
        <v>60126</v>
      </c>
      <c r="Z14" s="304">
        <f t="shared" ref="Z14:Z21" si="5">(T14*(N14+P14))*12</f>
        <v>0</v>
      </c>
      <c r="AA14" s="305"/>
      <c r="AB14" s="302">
        <f>(J14*S14)</f>
        <v>185008.46266784618</v>
      </c>
      <c r="AC14" s="303">
        <f>(M14*U14*12)</f>
        <v>60126</v>
      </c>
      <c r="AD14" s="304">
        <f t="shared" ref="AD14:AD21" si="6">(T14*(O14+Q14))*12</f>
        <v>0</v>
      </c>
      <c r="AE14" s="305"/>
      <c r="AF14" s="302">
        <f>(F14*S14)</f>
        <v>-188.93969658195482</v>
      </c>
      <c r="AG14" s="303">
        <v>0</v>
      </c>
      <c r="AH14" s="304">
        <v>0</v>
      </c>
      <c r="AI14" s="305"/>
      <c r="AJ14" s="302">
        <f t="shared" ref="AJ14:AJ21" si="7">AB14-X14+AF14</f>
        <v>13124.867786426032</v>
      </c>
      <c r="AK14" s="303">
        <f t="shared" ref="AK14:AL21" si="8">AC14-Y14-AG14</f>
        <v>0</v>
      </c>
      <c r="AL14" s="304">
        <f t="shared" si="8"/>
        <v>0</v>
      </c>
      <c r="AM14" s="305"/>
      <c r="AN14" s="338"/>
      <c r="AO14" s="339"/>
      <c r="AP14" s="305"/>
      <c r="AQ14" s="302">
        <f t="shared" ref="AQ14:AQ21" si="9">(G14*S14)</f>
        <v>0</v>
      </c>
      <c r="AR14" s="303">
        <v>0</v>
      </c>
      <c r="AS14" s="304">
        <v>0</v>
      </c>
      <c r="AT14" s="305"/>
      <c r="AU14" s="1589"/>
      <c r="AV14" s="1589"/>
      <c r="AW14" s="1589"/>
      <c r="AY14" s="652"/>
      <c r="AZ14" s="139"/>
    </row>
    <row r="15" spans="1:52" x14ac:dyDescent="0.2">
      <c r="A15" s="86">
        <f t="shared" si="4"/>
        <v>8</v>
      </c>
      <c r="B15" s="723" t="str">
        <f>'WA Volumes &amp; Revenues'!B16</f>
        <v>1C</v>
      </c>
      <c r="C15" s="723" t="s">
        <v>283</v>
      </c>
      <c r="D15" s="157"/>
      <c r="E15" s="123">
        <f>'Rates in Detail'!Y14</f>
        <v>5.1569999999999998E-2</v>
      </c>
      <c r="F15" s="123">
        <f>'Rates in Detail'!Z14</f>
        <v>-7.2999999999999996E-4</v>
      </c>
      <c r="G15" s="153"/>
      <c r="H15" s="157"/>
      <c r="I15" s="368">
        <f>'Rev Req Proof Yr2'!H15</f>
        <v>0.83389999999999997</v>
      </c>
      <c r="J15" s="773">
        <f t="shared" ref="J15:J78" si="10">I15+E15</f>
        <v>0.88546999999999998</v>
      </c>
      <c r="K15" s="157"/>
      <c r="L15" s="155">
        <f>'Rev Req Proof Yr1'!K15</f>
        <v>7</v>
      </c>
      <c r="M15" s="156">
        <f>'Rev Req Proof Yr1'!L15</f>
        <v>7</v>
      </c>
      <c r="N15" s="122">
        <f>'Rev Req Proof Yr1'!M15</f>
        <v>0</v>
      </c>
      <c r="O15" s="122">
        <f>'Rev Req Proof Yr1'!N15</f>
        <v>0</v>
      </c>
      <c r="P15" s="122">
        <f>'Rev Req Proof Yr1'!O15</f>
        <v>0</v>
      </c>
      <c r="Q15" s="774">
        <f>'Rev Req Proof Yr1'!P15</f>
        <v>0</v>
      </c>
      <c r="R15" s="157"/>
      <c r="S15" s="298">
        <f>'Rev Req Proof Yr1'!R15</f>
        <v>46539.057144390383</v>
      </c>
      <c r="T15" s="299"/>
      <c r="U15" s="300">
        <f>'Rev Req Proof Yr1'!T15</f>
        <v>34</v>
      </c>
      <c r="V15" s="301">
        <f>'Rev Req Proof Yr1'!U15</f>
        <v>114.06632</v>
      </c>
      <c r="W15" s="157"/>
      <c r="X15" s="306">
        <f t="shared" ref="X15:X21" si="11">(I15*S15)</f>
        <v>38808.919752707137</v>
      </c>
      <c r="Y15" s="307">
        <f t="shared" ref="Y15:Y21" si="12">(L15*U15*12)</f>
        <v>2856</v>
      </c>
      <c r="Z15" s="308">
        <f t="shared" si="5"/>
        <v>0</v>
      </c>
      <c r="AA15" s="309"/>
      <c r="AB15" s="306">
        <f t="shared" ref="AB15" si="13">(J15*S15)</f>
        <v>41208.938929643351</v>
      </c>
      <c r="AC15" s="307">
        <f t="shared" ref="AC15:AC16" si="14">(M15*U15*12)</f>
        <v>2856</v>
      </c>
      <c r="AD15" s="308">
        <f t="shared" si="6"/>
        <v>0</v>
      </c>
      <c r="AE15" s="309"/>
      <c r="AF15" s="306">
        <f t="shared" ref="AF15" si="15">(F15*S15)</f>
        <v>-33.973511715404975</v>
      </c>
      <c r="AG15" s="307">
        <v>0</v>
      </c>
      <c r="AH15" s="308">
        <v>0</v>
      </c>
      <c r="AI15" s="309"/>
      <c r="AJ15" s="306">
        <f t="shared" si="7"/>
        <v>2366.0456652208086</v>
      </c>
      <c r="AK15" s="307">
        <f t="shared" si="8"/>
        <v>0</v>
      </c>
      <c r="AL15" s="308">
        <f t="shared" si="8"/>
        <v>0</v>
      </c>
      <c r="AM15" s="309"/>
      <c r="AN15" s="338"/>
      <c r="AO15" s="339"/>
      <c r="AP15" s="309"/>
      <c r="AQ15" s="306">
        <f t="shared" si="9"/>
        <v>0</v>
      </c>
      <c r="AR15" s="307">
        <v>0</v>
      </c>
      <c r="AS15" s="308">
        <v>0</v>
      </c>
      <c r="AT15" s="309"/>
      <c r="AU15" s="310"/>
      <c r="AV15" s="310"/>
      <c r="AW15" s="309"/>
    </row>
    <row r="16" spans="1:52" x14ac:dyDescent="0.2">
      <c r="A16" s="86">
        <f t="shared" si="4"/>
        <v>9</v>
      </c>
      <c r="B16" s="723" t="str">
        <f>'WA Volumes &amp; Revenues'!B17</f>
        <v>2R</v>
      </c>
      <c r="C16" s="723" t="s">
        <v>283</v>
      </c>
      <c r="D16" s="157"/>
      <c r="E16" s="123">
        <f>'Rates in Detail'!Y15</f>
        <v>3.925E-2</v>
      </c>
      <c r="F16" s="123">
        <f>'Rates in Detail'!Z15</f>
        <v>-5.5000000000000003E-4</v>
      </c>
      <c r="G16" s="159"/>
      <c r="H16" s="157"/>
      <c r="I16" s="368">
        <f>'Rev Req Proof Yr2'!H16</f>
        <v>0.53610000000000002</v>
      </c>
      <c r="J16" s="773">
        <f t="shared" si="10"/>
        <v>0.57535000000000003</v>
      </c>
      <c r="K16" s="157"/>
      <c r="L16" s="155">
        <f>'Rev Req Proof Yr1'!K16</f>
        <v>8</v>
      </c>
      <c r="M16" s="156">
        <f>'Rev Req Proof Yr1'!L16</f>
        <v>8</v>
      </c>
      <c r="N16" s="122">
        <f>'Rev Req Proof Yr1'!M16</f>
        <v>0</v>
      </c>
      <c r="O16" s="122">
        <f>'Rev Req Proof Yr1'!N16</f>
        <v>0</v>
      </c>
      <c r="P16" s="122">
        <f>'Rev Req Proof Yr1'!O16</f>
        <v>0</v>
      </c>
      <c r="Q16" s="774">
        <f>'Rev Req Proof Yr1'!P16</f>
        <v>0</v>
      </c>
      <c r="R16" s="157"/>
      <c r="S16" s="298">
        <f>'Rev Req Proof Yr1'!R16</f>
        <v>54953515.785084128</v>
      </c>
      <c r="T16" s="299"/>
      <c r="U16" s="300">
        <f>'Rev Req Proof Yr1'!T16</f>
        <v>81119</v>
      </c>
      <c r="V16" s="301">
        <f>'Rev Req Proof Yr1'!U16</f>
        <v>56.453600000000002</v>
      </c>
      <c r="W16" s="157"/>
      <c r="X16" s="306">
        <f>(I16*S16)</f>
        <v>29460579.812383603</v>
      </c>
      <c r="Y16" s="307">
        <f t="shared" si="12"/>
        <v>7787424</v>
      </c>
      <c r="Z16" s="308">
        <f t="shared" si="5"/>
        <v>0</v>
      </c>
      <c r="AA16" s="309"/>
      <c r="AB16" s="306">
        <f>(J16*S16)</f>
        <v>31617505.306948155</v>
      </c>
      <c r="AC16" s="307">
        <f t="shared" si="14"/>
        <v>7787424</v>
      </c>
      <c r="AD16" s="308">
        <f t="shared" si="6"/>
        <v>0</v>
      </c>
      <c r="AE16" s="309"/>
      <c r="AF16" s="306">
        <f>(F16*S16)</f>
        <v>-30224.433681796272</v>
      </c>
      <c r="AG16" s="307">
        <v>0</v>
      </c>
      <c r="AH16" s="308">
        <v>0</v>
      </c>
      <c r="AI16" s="309"/>
      <c r="AJ16" s="306">
        <f>AB16-X16+AF16</f>
        <v>2126701.0608827556</v>
      </c>
      <c r="AK16" s="307">
        <f t="shared" si="8"/>
        <v>0</v>
      </c>
      <c r="AL16" s="308">
        <f t="shared" si="8"/>
        <v>0</v>
      </c>
      <c r="AM16" s="309"/>
      <c r="AN16" s="338">
        <f>SUM(AJ16:AL16)/SUM(X16:Z16)</f>
        <v>5.7095705627470558E-2</v>
      </c>
      <c r="AO16" s="339">
        <f t="shared" ref="AO16:AO41" si="16">SUM(AJ16)/SUM(X16)</f>
        <v>7.2188024622271946E-2</v>
      </c>
      <c r="AP16" s="309"/>
      <c r="AQ16" s="306">
        <f t="shared" si="9"/>
        <v>0</v>
      </c>
      <c r="AR16" s="307">
        <v>0</v>
      </c>
      <c r="AS16" s="308">
        <v>0</v>
      </c>
      <c r="AT16" s="309"/>
      <c r="AU16" s="310"/>
      <c r="AV16" s="605"/>
      <c r="AW16" s="309"/>
    </row>
    <row r="17" spans="1:52" x14ac:dyDescent="0.2">
      <c r="A17" s="86">
        <f t="shared" si="4"/>
        <v>10</v>
      </c>
      <c r="B17" s="723" t="str">
        <f>'WA Volumes &amp; Revenues'!B18</f>
        <v>3 CFS</v>
      </c>
      <c r="C17" s="723" t="s">
        <v>283</v>
      </c>
      <c r="D17" s="157"/>
      <c r="E17" s="123">
        <f>'Rates in Detail'!Y16</f>
        <v>3.524E-2</v>
      </c>
      <c r="F17" s="123">
        <f>'Rates in Detail'!Z16</f>
        <v>-5.0000000000000001E-4</v>
      </c>
      <c r="G17" s="159"/>
      <c r="H17" s="157"/>
      <c r="I17" s="368">
        <f>'Rev Req Proof Yr2'!H17</f>
        <v>0.51366000000000001</v>
      </c>
      <c r="J17" s="773">
        <f t="shared" si="10"/>
        <v>0.54890000000000005</v>
      </c>
      <c r="K17" s="157"/>
      <c r="L17" s="155">
        <f>'Rev Req Proof Yr1'!K17</f>
        <v>22</v>
      </c>
      <c r="M17" s="156">
        <f>'Rev Req Proof Yr1'!L17</f>
        <v>22</v>
      </c>
      <c r="N17" s="122">
        <f>'Rev Req Proof Yr1'!M17</f>
        <v>0</v>
      </c>
      <c r="O17" s="122">
        <f>'Rev Req Proof Yr1'!N17</f>
        <v>0</v>
      </c>
      <c r="P17" s="122">
        <f>'Rev Req Proof Yr1'!O17</f>
        <v>0</v>
      </c>
      <c r="Q17" s="774">
        <f>'Rev Req Proof Yr1'!P17</f>
        <v>0</v>
      </c>
      <c r="R17" s="157"/>
      <c r="S17" s="298">
        <f>'Rev Req Proof Yr1'!R17</f>
        <v>17867210.60654201</v>
      </c>
      <c r="T17" s="299"/>
      <c r="U17" s="300">
        <f>'Rev Req Proof Yr1'!T17</f>
        <v>6318</v>
      </c>
      <c r="V17" s="301">
        <f>'Rev Req Proof Yr1'!U17</f>
        <v>235.66542999999999</v>
      </c>
      <c r="W17" s="157"/>
      <c r="X17" s="306">
        <f t="shared" si="11"/>
        <v>9177671.4001563694</v>
      </c>
      <c r="Y17" s="307">
        <f t="shared" si="12"/>
        <v>1667952</v>
      </c>
      <c r="Z17" s="308">
        <f t="shared" si="5"/>
        <v>0</v>
      </c>
      <c r="AA17" s="309"/>
      <c r="AB17" s="306">
        <f t="shared" ref="AB17:AB21" si="17">(J17*S17)</f>
        <v>9807311.9019309096</v>
      </c>
      <c r="AC17" s="307">
        <f>(M17*U17*12)</f>
        <v>1667952</v>
      </c>
      <c r="AD17" s="308">
        <f t="shared" si="6"/>
        <v>0</v>
      </c>
      <c r="AE17" s="309"/>
      <c r="AF17" s="306">
        <f t="shared" ref="AF17:AF21" si="18">(F17*S17)</f>
        <v>-8933.6053032710042</v>
      </c>
      <c r="AG17" s="307">
        <v>0</v>
      </c>
      <c r="AH17" s="308">
        <v>0</v>
      </c>
      <c r="AI17" s="309"/>
      <c r="AJ17" s="306">
        <f t="shared" si="7"/>
        <v>620706.8964712692</v>
      </c>
      <c r="AK17" s="307">
        <f t="shared" si="8"/>
        <v>0</v>
      </c>
      <c r="AL17" s="308">
        <f t="shared" si="8"/>
        <v>0</v>
      </c>
      <c r="AM17" s="309"/>
      <c r="AN17" s="338">
        <f>SUM(AJ17:AL17)/SUM(X17:Z17)</f>
        <v>5.7231094384332028E-2</v>
      </c>
      <c r="AO17" s="339">
        <f t="shared" si="16"/>
        <v>6.7632285947903256E-2</v>
      </c>
      <c r="AP17" s="309"/>
      <c r="AQ17" s="306">
        <f t="shared" si="9"/>
        <v>0</v>
      </c>
      <c r="AR17" s="307">
        <v>0</v>
      </c>
      <c r="AS17" s="308">
        <v>0</v>
      </c>
      <c r="AT17" s="309"/>
      <c r="AU17" s="310"/>
      <c r="AV17" s="310"/>
      <c r="AW17" s="309"/>
      <c r="AX17" s="653"/>
      <c r="AY17" s="474"/>
    </row>
    <row r="18" spans="1:52" x14ac:dyDescent="0.2">
      <c r="A18" s="86">
        <f t="shared" si="4"/>
        <v>11</v>
      </c>
      <c r="B18" s="723" t="str">
        <f>'WA Volumes &amp; Revenues'!B19</f>
        <v>3 IFS</v>
      </c>
      <c r="C18" s="723" t="s">
        <v>283</v>
      </c>
      <c r="D18" s="157"/>
      <c r="E18" s="123">
        <f>'Rates in Detail'!Y17</f>
        <v>3.1919999999999997E-2</v>
      </c>
      <c r="F18" s="123">
        <f>'Rates in Detail'!Z17</f>
        <v>-4.4999999999999999E-4</v>
      </c>
      <c r="G18" s="159"/>
      <c r="H18" s="157"/>
      <c r="I18" s="368">
        <f>'Rev Req Proof Yr2'!H18</f>
        <v>0.52588000000000001</v>
      </c>
      <c r="J18" s="773">
        <f t="shared" si="10"/>
        <v>0.55779999999999996</v>
      </c>
      <c r="K18" s="157"/>
      <c r="L18" s="155">
        <f>'Rev Req Proof Yr1'!K18</f>
        <v>22</v>
      </c>
      <c r="M18" s="156">
        <f>'Rev Req Proof Yr1'!L18</f>
        <v>22</v>
      </c>
      <c r="N18" s="122">
        <f>'Rev Req Proof Yr1'!M18</f>
        <v>0</v>
      </c>
      <c r="O18" s="122">
        <f>'Rev Req Proof Yr1'!N18</f>
        <v>0</v>
      </c>
      <c r="P18" s="122">
        <f>'Rev Req Proof Yr1'!O18</f>
        <v>0</v>
      </c>
      <c r="Q18" s="774">
        <f>'Rev Req Proof Yr1'!P18</f>
        <v>0</v>
      </c>
      <c r="R18" s="157"/>
      <c r="S18" s="298">
        <f>'Rev Req Proof Yr1'!R18</f>
        <v>283651.99999999994</v>
      </c>
      <c r="T18" s="299"/>
      <c r="U18" s="300">
        <f>'Rev Req Proof Yr1'!T18</f>
        <v>24.25</v>
      </c>
      <c r="V18" s="301">
        <f>'Rev Req Proof Yr1'!U18</f>
        <v>974.74914000000001</v>
      </c>
      <c r="W18" s="157"/>
      <c r="X18" s="306">
        <f t="shared" si="11"/>
        <v>149166.91375999997</v>
      </c>
      <c r="Y18" s="307">
        <f t="shared" si="12"/>
        <v>6402</v>
      </c>
      <c r="Z18" s="308">
        <f t="shared" si="5"/>
        <v>0</v>
      </c>
      <c r="AA18" s="309"/>
      <c r="AB18" s="306">
        <f t="shared" si="17"/>
        <v>158221.08559999996</v>
      </c>
      <c r="AC18" s="307">
        <f t="shared" ref="AC18:AC21" si="19">(M18*U18*12)</f>
        <v>6402</v>
      </c>
      <c r="AD18" s="308">
        <f t="shared" si="6"/>
        <v>0</v>
      </c>
      <c r="AE18" s="309"/>
      <c r="AF18" s="306">
        <f t="shared" si="18"/>
        <v>-127.64339999999997</v>
      </c>
      <c r="AG18" s="307">
        <v>0</v>
      </c>
      <c r="AH18" s="308">
        <v>0</v>
      </c>
      <c r="AI18" s="309"/>
      <c r="AJ18" s="306">
        <f t="shared" si="7"/>
        <v>8926.5284399999946</v>
      </c>
      <c r="AK18" s="307">
        <f t="shared" si="8"/>
        <v>0</v>
      </c>
      <c r="AL18" s="308">
        <f t="shared" si="8"/>
        <v>0</v>
      </c>
      <c r="AM18" s="309"/>
      <c r="AN18" s="338">
        <f>SUM(AJ18:AL18)/SUM(X18:Z18)</f>
        <v>5.7379898234496719E-2</v>
      </c>
      <c r="AO18" s="339">
        <f t="shared" si="16"/>
        <v>5.9842549631094526E-2</v>
      </c>
      <c r="AP18" s="309"/>
      <c r="AQ18" s="306">
        <f t="shared" si="9"/>
        <v>0</v>
      </c>
      <c r="AR18" s="307">
        <v>0</v>
      </c>
      <c r="AS18" s="308">
        <v>0</v>
      </c>
      <c r="AT18" s="309"/>
      <c r="AU18" s="310"/>
      <c r="AV18" s="310"/>
      <c r="AW18" s="309"/>
      <c r="AX18" s="653"/>
      <c r="AY18" s="474"/>
      <c r="AZ18" s="270"/>
    </row>
    <row r="19" spans="1:52" x14ac:dyDescent="0.2">
      <c r="A19" s="86">
        <f t="shared" si="4"/>
        <v>12</v>
      </c>
      <c r="B19" s="723" t="str">
        <f>'WA Volumes &amp; Revenues'!B20</f>
        <v>27R</v>
      </c>
      <c r="C19" s="723" t="s">
        <v>283</v>
      </c>
      <c r="D19" s="157"/>
      <c r="E19" s="123">
        <f>'Rates in Detail'!Y18</f>
        <v>2.793E-2</v>
      </c>
      <c r="F19" s="123">
        <f>'Rates in Detail'!Z18</f>
        <v>-3.8999999999999999E-4</v>
      </c>
      <c r="G19" s="159"/>
      <c r="H19" s="157"/>
      <c r="I19" s="368">
        <f>'Rev Req Proof Yr2'!H19</f>
        <v>0.29635</v>
      </c>
      <c r="J19" s="773">
        <f t="shared" si="10"/>
        <v>0.32428000000000001</v>
      </c>
      <c r="K19" s="157"/>
      <c r="L19" s="155">
        <f>'Rev Req Proof Yr1'!K19</f>
        <v>9</v>
      </c>
      <c r="M19" s="590">
        <f>'Rev Req Proof Yr1'!L19</f>
        <v>9</v>
      </c>
      <c r="N19" s="122">
        <f>'Rev Req Proof Yr1'!M19</f>
        <v>0</v>
      </c>
      <c r="O19" s="122">
        <f>'Rev Req Proof Yr1'!N19</f>
        <v>0</v>
      </c>
      <c r="P19" s="122">
        <f>'Rev Req Proof Yr1'!O19</f>
        <v>0</v>
      </c>
      <c r="Q19" s="774">
        <f>'Rev Req Proof Yr1'!P19</f>
        <v>0</v>
      </c>
      <c r="R19" s="157"/>
      <c r="S19" s="298">
        <f>'Rev Req Proof Yr1'!R19</f>
        <v>461371.76933137607</v>
      </c>
      <c r="T19" s="299"/>
      <c r="U19" s="300">
        <f>'Rev Req Proof Yr1'!T19</f>
        <v>776</v>
      </c>
      <c r="V19" s="301">
        <f>'Rev Req Proof Yr1'!U19</f>
        <v>49.545940000000002</v>
      </c>
      <c r="W19" s="157"/>
      <c r="X19" s="306">
        <f t="shared" si="11"/>
        <v>136727.52384135331</v>
      </c>
      <c r="Y19" s="307">
        <f t="shared" si="12"/>
        <v>83808</v>
      </c>
      <c r="Z19" s="308">
        <f t="shared" si="5"/>
        <v>0</v>
      </c>
      <c r="AA19" s="309"/>
      <c r="AB19" s="306">
        <f t="shared" si="17"/>
        <v>149613.63735877865</v>
      </c>
      <c r="AC19" s="307">
        <f t="shared" si="19"/>
        <v>83808</v>
      </c>
      <c r="AD19" s="308">
        <f t="shared" si="6"/>
        <v>0</v>
      </c>
      <c r="AE19" s="309"/>
      <c r="AF19" s="306">
        <f t="shared" si="18"/>
        <v>-179.93499003923665</v>
      </c>
      <c r="AG19" s="307">
        <v>0</v>
      </c>
      <c r="AH19" s="308">
        <v>0</v>
      </c>
      <c r="AI19" s="309"/>
      <c r="AJ19" s="306">
        <f t="shared" si="7"/>
        <v>12706.178527386106</v>
      </c>
      <c r="AK19" s="307">
        <f t="shared" si="8"/>
        <v>0</v>
      </c>
      <c r="AL19" s="308">
        <f t="shared" si="8"/>
        <v>0</v>
      </c>
      <c r="AM19" s="309"/>
      <c r="AN19" s="338">
        <f>SUM(AJ19:AL19)/SUM(X19:Z19)</f>
        <v>5.7615110282761305E-2</v>
      </c>
      <c r="AO19" s="339">
        <f t="shared" si="16"/>
        <v>9.2930656318542318E-2</v>
      </c>
      <c r="AP19" s="309"/>
      <c r="AQ19" s="306">
        <f t="shared" si="9"/>
        <v>0</v>
      </c>
      <c r="AR19" s="307">
        <v>0</v>
      </c>
      <c r="AS19" s="308">
        <v>0</v>
      </c>
      <c r="AT19" s="309"/>
      <c r="AU19" s="310"/>
      <c r="AV19" s="310"/>
      <c r="AW19" s="309"/>
      <c r="AX19" s="653"/>
      <c r="AY19" s="474"/>
    </row>
    <row r="20" spans="1:52" x14ac:dyDescent="0.2">
      <c r="A20" s="86">
        <f t="shared" si="4"/>
        <v>13</v>
      </c>
      <c r="B20" s="733" t="str">
        <f>'WA Volumes &amp; Revenues'!B21</f>
        <v>41C Firm Sales</v>
      </c>
      <c r="C20" s="726" t="s">
        <v>4</v>
      </c>
      <c r="D20" s="157"/>
      <c r="E20" s="122">
        <f>'Rates in Detail'!Y19</f>
        <v>2.7990000000000001E-2</v>
      </c>
      <c r="F20" s="122">
        <f>'Rates in Detail'!Z19</f>
        <v>-4.0000000000000002E-4</v>
      </c>
      <c r="G20" s="157"/>
      <c r="H20" s="157"/>
      <c r="I20" s="373">
        <f>'Rev Req Proof Yr2'!H20</f>
        <v>0.40031</v>
      </c>
      <c r="J20" s="774">
        <f t="shared" si="10"/>
        <v>0.42830000000000001</v>
      </c>
      <c r="K20" s="157"/>
      <c r="L20" s="155">
        <f>'Rev Req Proof Yr1'!K20</f>
        <v>250</v>
      </c>
      <c r="M20" s="156">
        <f>'Rev Req Proof Yr1'!L20</f>
        <v>250</v>
      </c>
      <c r="N20" s="122">
        <f>'Rev Req Proof Yr1'!M20</f>
        <v>0</v>
      </c>
      <c r="O20" s="122">
        <f>'Rev Req Proof Yr1'!N20</f>
        <v>0</v>
      </c>
      <c r="P20" s="122">
        <f>'Rev Req Proof Yr1'!O20</f>
        <v>0</v>
      </c>
      <c r="Q20" s="774">
        <f>'Rev Req Proof Yr1'!P20</f>
        <v>0</v>
      </c>
      <c r="R20" s="157"/>
      <c r="S20" s="298">
        <f>'Rev Req Proof Yr1'!R20</f>
        <v>1777065.1510316674</v>
      </c>
      <c r="T20" s="299"/>
      <c r="U20" s="300">
        <f>'Rev Req Proof Yr1'!T20</f>
        <v>91</v>
      </c>
      <c r="V20" s="301">
        <f>'Rev Req Proof Yr1'!U20</f>
        <v>3436</v>
      </c>
      <c r="W20" s="157"/>
      <c r="X20" s="313">
        <f t="shared" si="11"/>
        <v>711376.95060948678</v>
      </c>
      <c r="Y20" s="309">
        <f t="shared" si="12"/>
        <v>273000</v>
      </c>
      <c r="Z20" s="314">
        <f t="shared" si="5"/>
        <v>0</v>
      </c>
      <c r="AA20" s="309"/>
      <c r="AB20" s="313">
        <f t="shared" si="17"/>
        <v>761117.0041868632</v>
      </c>
      <c r="AC20" s="309">
        <f t="shared" si="19"/>
        <v>273000</v>
      </c>
      <c r="AD20" s="314">
        <f t="shared" si="6"/>
        <v>0</v>
      </c>
      <c r="AE20" s="309"/>
      <c r="AF20" s="313">
        <f t="shared" si="18"/>
        <v>-710.82606041266695</v>
      </c>
      <c r="AG20" s="309">
        <v>0</v>
      </c>
      <c r="AH20" s="314">
        <v>0</v>
      </c>
      <c r="AI20" s="309"/>
      <c r="AJ20" s="313">
        <f t="shared" si="7"/>
        <v>49029.227516963743</v>
      </c>
      <c r="AK20" s="309">
        <f t="shared" si="8"/>
        <v>0</v>
      </c>
      <c r="AL20" s="314">
        <f t="shared" si="8"/>
        <v>0</v>
      </c>
      <c r="AM20" s="309"/>
      <c r="AN20" s="338"/>
      <c r="AO20" s="340">
        <f t="shared" si="16"/>
        <v>6.8921585771027513E-2</v>
      </c>
      <c r="AP20" s="309"/>
      <c r="AQ20" s="313">
        <f t="shared" si="9"/>
        <v>0</v>
      </c>
      <c r="AR20" s="309">
        <v>0</v>
      </c>
      <c r="AS20" s="314">
        <v>0</v>
      </c>
      <c r="AT20" s="309"/>
      <c r="AU20" s="310"/>
      <c r="AV20" s="310"/>
      <c r="AW20" s="309"/>
      <c r="AX20" s="653"/>
      <c r="AY20" s="474"/>
    </row>
    <row r="21" spans="1:52" x14ac:dyDescent="0.2">
      <c r="A21" s="86">
        <f t="shared" si="4"/>
        <v>14</v>
      </c>
      <c r="B21" s="725"/>
      <c r="C21" s="726" t="s">
        <v>5</v>
      </c>
      <c r="D21" s="157"/>
      <c r="E21" s="122">
        <f>'Rates in Detail'!Y20</f>
        <v>2.4660000000000001E-2</v>
      </c>
      <c r="F21" s="122">
        <f>'Rates in Detail'!Z20</f>
        <v>-3.5E-4</v>
      </c>
      <c r="G21" s="157"/>
      <c r="H21" s="157"/>
      <c r="I21" s="373">
        <f>'Rev Req Proof Yr2'!H21</f>
        <v>0.35274</v>
      </c>
      <c r="J21" s="774">
        <f t="shared" si="10"/>
        <v>0.37740000000000001</v>
      </c>
      <c r="K21" s="157"/>
      <c r="L21" s="155"/>
      <c r="M21" s="156"/>
      <c r="N21" s="122"/>
      <c r="O21" s="122"/>
      <c r="P21" s="122"/>
      <c r="Q21" s="774"/>
      <c r="R21" s="157"/>
      <c r="S21" s="298">
        <f>'Rev Req Proof Yr1'!R21</f>
        <v>1974656.4658023661</v>
      </c>
      <c r="T21" s="299"/>
      <c r="U21" s="300">
        <f>'Rev Req Proof Yr1'!T21</f>
        <v>0</v>
      </c>
      <c r="V21" s="301">
        <f>'Rev Req Proof Yr1'!U21</f>
        <v>0</v>
      </c>
      <c r="W21" s="157"/>
      <c r="X21" s="313">
        <f t="shared" si="11"/>
        <v>696540.32174712664</v>
      </c>
      <c r="Y21" s="309">
        <f t="shared" si="12"/>
        <v>0</v>
      </c>
      <c r="Z21" s="314">
        <f t="shared" si="5"/>
        <v>0</v>
      </c>
      <c r="AA21" s="309"/>
      <c r="AB21" s="313">
        <f t="shared" si="17"/>
        <v>745235.35019381298</v>
      </c>
      <c r="AC21" s="309">
        <f t="shared" si="19"/>
        <v>0</v>
      </c>
      <c r="AD21" s="314">
        <f t="shared" si="6"/>
        <v>0</v>
      </c>
      <c r="AE21" s="309"/>
      <c r="AF21" s="313">
        <f t="shared" si="18"/>
        <v>-691.12976303082814</v>
      </c>
      <c r="AG21" s="309">
        <v>0</v>
      </c>
      <c r="AH21" s="314">
        <v>0</v>
      </c>
      <c r="AI21" s="309"/>
      <c r="AJ21" s="313">
        <f t="shared" si="7"/>
        <v>48003.898683655512</v>
      </c>
      <c r="AK21" s="309">
        <f t="shared" si="8"/>
        <v>0</v>
      </c>
      <c r="AL21" s="314">
        <f t="shared" si="8"/>
        <v>0</v>
      </c>
      <c r="AM21" s="309"/>
      <c r="AN21" s="338"/>
      <c r="AO21" s="340">
        <f t="shared" si="16"/>
        <v>6.8917616374666882E-2</v>
      </c>
      <c r="AP21" s="309"/>
      <c r="AQ21" s="313">
        <f t="shared" si="9"/>
        <v>0</v>
      </c>
      <c r="AR21" s="309">
        <v>0</v>
      </c>
      <c r="AS21" s="314">
        <v>0</v>
      </c>
      <c r="AT21" s="309"/>
      <c r="AU21" s="310"/>
      <c r="AV21" s="310"/>
      <c r="AW21" s="309"/>
      <c r="AX21" s="653"/>
      <c r="AY21" s="474"/>
    </row>
    <row r="22" spans="1:52" x14ac:dyDescent="0.2">
      <c r="A22" s="86">
        <f t="shared" si="4"/>
        <v>15</v>
      </c>
      <c r="B22" s="723"/>
      <c r="C22" s="742" t="s">
        <v>78</v>
      </c>
      <c r="D22" s="153"/>
      <c r="E22" s="123"/>
      <c r="F22" s="123"/>
      <c r="G22" s="153"/>
      <c r="H22" s="153"/>
      <c r="I22" s="368"/>
      <c r="J22" s="773"/>
      <c r="K22" s="157"/>
      <c r="L22" s="155"/>
      <c r="M22" s="156"/>
      <c r="N22" s="122"/>
      <c r="O22" s="122"/>
      <c r="P22" s="122"/>
      <c r="Q22" s="774"/>
      <c r="R22" s="157"/>
      <c r="S22" s="298"/>
      <c r="T22" s="299"/>
      <c r="U22" s="300"/>
      <c r="V22" s="301"/>
      <c r="W22" s="157"/>
      <c r="X22" s="315">
        <f>SUM(X20:X21)</f>
        <v>1407917.2723566135</v>
      </c>
      <c r="Y22" s="316">
        <f>SUM(Y20:Y21)</f>
        <v>273000</v>
      </c>
      <c r="Z22" s="317">
        <f t="shared" ref="Z22" si="20">SUM(Z20:Z21)</f>
        <v>0</v>
      </c>
      <c r="AA22" s="309"/>
      <c r="AB22" s="315">
        <f>SUM(AB20:AB21)</f>
        <v>1506352.3543806761</v>
      </c>
      <c r="AC22" s="316">
        <f t="shared" ref="AC22:AD22" si="21">SUM(AC20:AC21)</f>
        <v>273000</v>
      </c>
      <c r="AD22" s="317">
        <f t="shared" si="21"/>
        <v>0</v>
      </c>
      <c r="AE22" s="309"/>
      <c r="AF22" s="315">
        <f>SUM(AF20:AF21)</f>
        <v>-1401.9558234434951</v>
      </c>
      <c r="AG22" s="316">
        <f t="shared" ref="AG22:AH22" si="22">SUM(AG20:AG21)</f>
        <v>0</v>
      </c>
      <c r="AH22" s="317">
        <f t="shared" si="22"/>
        <v>0</v>
      </c>
      <c r="AI22" s="309"/>
      <c r="AJ22" s="315">
        <f>SUM(AJ20:AJ21)</f>
        <v>97033.126200619256</v>
      </c>
      <c r="AK22" s="316">
        <f t="shared" ref="AK22:AL22" si="23">SUM(AK20:AK21)</f>
        <v>0</v>
      </c>
      <c r="AL22" s="317">
        <f t="shared" si="23"/>
        <v>0</v>
      </c>
      <c r="AM22" s="309"/>
      <c r="AN22" s="338">
        <f>SUM(AJ22:AL22)/SUM(X22:Z22)</f>
        <v>5.7726294920261413E-2</v>
      </c>
      <c r="AO22" s="339">
        <f t="shared" si="16"/>
        <v>6.8919621987591884E-2</v>
      </c>
      <c r="AP22" s="309"/>
      <c r="AQ22" s="315">
        <f>SUM(AQ20:AQ21)</f>
        <v>0</v>
      </c>
      <c r="AR22" s="316">
        <f t="shared" ref="AR22:AS22" si="24">SUM(AR20:AR21)</f>
        <v>0</v>
      </c>
      <c r="AS22" s="317">
        <f t="shared" si="24"/>
        <v>0</v>
      </c>
      <c r="AT22" s="309"/>
      <c r="AU22" s="310"/>
      <c r="AV22" s="310"/>
      <c r="AW22" s="328"/>
      <c r="AX22" s="57"/>
      <c r="AY22" s="671"/>
    </row>
    <row r="23" spans="1:52" x14ac:dyDescent="0.2">
      <c r="A23" s="86">
        <f t="shared" si="4"/>
        <v>16</v>
      </c>
      <c r="B23" s="733" t="str">
        <f>'WA Volumes &amp; Revenues'!B23</f>
        <v>41I Firm Sales</v>
      </c>
      <c r="C23" s="726" t="s">
        <v>4</v>
      </c>
      <c r="D23" s="157"/>
      <c r="E23" s="122">
        <f>'Rates in Detail'!Y21</f>
        <v>2.664E-2</v>
      </c>
      <c r="F23" s="122">
        <f>'Rates in Detail'!Z21</f>
        <v>-3.8000000000000002E-4</v>
      </c>
      <c r="G23" s="157"/>
      <c r="H23" s="157"/>
      <c r="I23" s="373">
        <f>'Rev Req Proof Yr2'!H23</f>
        <v>0.39706000000000002</v>
      </c>
      <c r="J23" s="774">
        <f t="shared" si="10"/>
        <v>0.42370000000000002</v>
      </c>
      <c r="K23" s="157"/>
      <c r="L23" s="155">
        <f>'Rev Req Proof Yr1'!K23</f>
        <v>250</v>
      </c>
      <c r="M23" s="156">
        <f>'Rev Req Proof Yr1'!L23</f>
        <v>250</v>
      </c>
      <c r="N23" s="122">
        <f>'Rev Req Proof Yr1'!M23</f>
        <v>0</v>
      </c>
      <c r="O23" s="122">
        <f>'Rev Req Proof Yr1'!N23</f>
        <v>0</v>
      </c>
      <c r="P23" s="122">
        <f>'Rev Req Proof Yr1'!O23</f>
        <v>0</v>
      </c>
      <c r="Q23" s="774">
        <f>'Rev Req Proof Yr1'!P23</f>
        <v>0</v>
      </c>
      <c r="R23" s="157"/>
      <c r="S23" s="298">
        <f>'Rev Req Proof Yr1'!R23</f>
        <v>392890.20000000007</v>
      </c>
      <c r="T23" s="299"/>
      <c r="U23" s="300">
        <f>'Rev Req Proof Yr1'!T23</f>
        <v>17.833333333333332</v>
      </c>
      <c r="V23" s="301">
        <f>'Rev Req Proof Yr1'!U23</f>
        <v>4741</v>
      </c>
      <c r="W23" s="157"/>
      <c r="X23" s="313">
        <f t="shared" ref="X23:X24" si="25">(I23*S23)</f>
        <v>156000.98281200003</v>
      </c>
      <c r="Y23" s="309">
        <f t="shared" ref="Y23:Y24" si="26">(L23*U23*12)</f>
        <v>53500</v>
      </c>
      <c r="Z23" s="314">
        <f t="shared" ref="Z23:Z24" si="27">(T23*(N23+P23))*12</f>
        <v>0</v>
      </c>
      <c r="AA23" s="309"/>
      <c r="AB23" s="313">
        <f t="shared" ref="AB23:AB24" si="28">(J23*S23)</f>
        <v>166467.57774000004</v>
      </c>
      <c r="AC23" s="309">
        <f t="shared" ref="AC23:AC24" si="29">(M23*U23*12)</f>
        <v>53500</v>
      </c>
      <c r="AD23" s="314">
        <f t="shared" ref="AD23:AD24" si="30">(T23*(O23+Q23))*12</f>
        <v>0</v>
      </c>
      <c r="AE23" s="309"/>
      <c r="AF23" s="313">
        <f t="shared" ref="AF23:AF24" si="31">(F23*S23)</f>
        <v>-149.29827600000004</v>
      </c>
      <c r="AG23" s="309">
        <v>0</v>
      </c>
      <c r="AH23" s="314">
        <v>0</v>
      </c>
      <c r="AI23" s="309"/>
      <c r="AJ23" s="313">
        <f t="shared" ref="AJ23:AJ24" si="32">AB23-X23+AF23</f>
        <v>10317.296652000006</v>
      </c>
      <c r="AK23" s="309">
        <f t="shared" ref="AK23:AL24" si="33">AC23-Y23-AG23</f>
        <v>0</v>
      </c>
      <c r="AL23" s="314">
        <f t="shared" si="33"/>
        <v>0</v>
      </c>
      <c r="AM23" s="309"/>
      <c r="AN23" s="338"/>
      <c r="AO23" s="340">
        <f t="shared" ref="AO23:AO25" si="34">SUM(AJ23)/SUM(X23)</f>
        <v>6.6136100337480505E-2</v>
      </c>
      <c r="AP23" s="309"/>
      <c r="AQ23" s="313">
        <f t="shared" ref="AQ23:AQ24" si="35">(G23*S23)</f>
        <v>0</v>
      </c>
      <c r="AR23" s="309">
        <v>0</v>
      </c>
      <c r="AS23" s="314">
        <v>0</v>
      </c>
      <c r="AT23" s="309"/>
      <c r="AU23" s="310"/>
      <c r="AV23" s="310"/>
      <c r="AW23" s="309"/>
      <c r="AX23" s="653"/>
      <c r="AY23" s="474"/>
    </row>
    <row r="24" spans="1:52" x14ac:dyDescent="0.2">
      <c r="A24" s="86">
        <f t="shared" si="4"/>
        <v>17</v>
      </c>
      <c r="B24" s="725"/>
      <c r="C24" s="726" t="s">
        <v>5</v>
      </c>
      <c r="D24" s="157"/>
      <c r="E24" s="122">
        <f>'Rates in Detail'!Y22</f>
        <v>2.3470000000000001E-2</v>
      </c>
      <c r="F24" s="122">
        <f>'Rates in Detail'!Z22</f>
        <v>-3.3E-4</v>
      </c>
      <c r="G24" s="157"/>
      <c r="H24" s="157"/>
      <c r="I24" s="373">
        <f>'Rev Req Proof Yr2'!H24</f>
        <v>0.34986</v>
      </c>
      <c r="J24" s="774">
        <f t="shared" si="10"/>
        <v>0.37333</v>
      </c>
      <c r="K24" s="157"/>
      <c r="L24" s="155"/>
      <c r="M24" s="156"/>
      <c r="N24" s="122"/>
      <c r="O24" s="122"/>
      <c r="P24" s="122"/>
      <c r="Q24" s="774"/>
      <c r="R24" s="157"/>
      <c r="S24" s="298">
        <f>'Rev Req Proof Yr1'!R24</f>
        <v>621650.00000000012</v>
      </c>
      <c r="T24" s="299"/>
      <c r="U24" s="300"/>
      <c r="V24" s="301"/>
      <c r="W24" s="157"/>
      <c r="X24" s="313">
        <f t="shared" si="25"/>
        <v>217490.46900000004</v>
      </c>
      <c r="Y24" s="309">
        <f t="shared" si="26"/>
        <v>0</v>
      </c>
      <c r="Z24" s="314">
        <f t="shared" si="27"/>
        <v>0</v>
      </c>
      <c r="AA24" s="309"/>
      <c r="AB24" s="313">
        <f t="shared" si="28"/>
        <v>232080.59450000004</v>
      </c>
      <c r="AC24" s="309">
        <f t="shared" si="29"/>
        <v>0</v>
      </c>
      <c r="AD24" s="314">
        <f t="shared" si="30"/>
        <v>0</v>
      </c>
      <c r="AE24" s="309"/>
      <c r="AF24" s="313">
        <f t="shared" si="31"/>
        <v>-205.14450000000005</v>
      </c>
      <c r="AG24" s="309">
        <v>0</v>
      </c>
      <c r="AH24" s="314">
        <v>0</v>
      </c>
      <c r="AI24" s="309"/>
      <c r="AJ24" s="313">
        <f t="shared" si="32"/>
        <v>14384.980999999994</v>
      </c>
      <c r="AK24" s="309">
        <f t="shared" si="33"/>
        <v>0</v>
      </c>
      <c r="AL24" s="314">
        <f t="shared" si="33"/>
        <v>0</v>
      </c>
      <c r="AM24" s="309"/>
      <c r="AN24" s="338"/>
      <c r="AO24" s="340">
        <f t="shared" si="34"/>
        <v>6.6140742011090117E-2</v>
      </c>
      <c r="AP24" s="309"/>
      <c r="AQ24" s="313">
        <f t="shared" si="35"/>
        <v>0</v>
      </c>
      <c r="AR24" s="309">
        <v>0</v>
      </c>
      <c r="AS24" s="314">
        <v>0</v>
      </c>
      <c r="AT24" s="309"/>
      <c r="AU24" s="310"/>
      <c r="AV24" s="310"/>
      <c r="AW24" s="309"/>
      <c r="AX24" s="653"/>
      <c r="AY24" s="474"/>
    </row>
    <row r="25" spans="1:52" x14ac:dyDescent="0.2">
      <c r="A25" s="86">
        <f t="shared" si="4"/>
        <v>18</v>
      </c>
      <c r="B25" s="723"/>
      <c r="C25" s="742" t="s">
        <v>78</v>
      </c>
      <c r="D25" s="153"/>
      <c r="E25" s="123"/>
      <c r="F25" s="123"/>
      <c r="G25" s="153"/>
      <c r="H25" s="153"/>
      <c r="I25" s="368"/>
      <c r="J25" s="773"/>
      <c r="K25" s="157"/>
      <c r="L25" s="155"/>
      <c r="M25" s="156"/>
      <c r="N25" s="122"/>
      <c r="O25" s="122"/>
      <c r="P25" s="122"/>
      <c r="Q25" s="774"/>
      <c r="R25" s="157"/>
      <c r="S25" s="298"/>
      <c r="T25" s="299"/>
      <c r="U25" s="300"/>
      <c r="V25" s="301"/>
      <c r="W25" s="157"/>
      <c r="X25" s="315">
        <f>SUM(X23:X24)</f>
        <v>373491.45181200007</v>
      </c>
      <c r="Y25" s="316">
        <f t="shared" ref="Y25:Z25" si="36">SUM(Y23:Y24)</f>
        <v>53500</v>
      </c>
      <c r="Z25" s="317">
        <f t="shared" si="36"/>
        <v>0</v>
      </c>
      <c r="AA25" s="309"/>
      <c r="AB25" s="315">
        <f>SUM(AB23:AB24)</f>
        <v>398548.1722400001</v>
      </c>
      <c r="AC25" s="316">
        <f t="shared" ref="AC25:AD25" si="37">SUM(AC23:AC24)</f>
        <v>53500</v>
      </c>
      <c r="AD25" s="317">
        <f t="shared" si="37"/>
        <v>0</v>
      </c>
      <c r="AE25" s="309"/>
      <c r="AF25" s="315">
        <f>SUM(AF23:AF24)</f>
        <v>-354.44277600000009</v>
      </c>
      <c r="AG25" s="316">
        <f t="shared" ref="AG25:AH25" si="38">SUM(AG23:AG24)</f>
        <v>0</v>
      </c>
      <c r="AH25" s="317">
        <f t="shared" si="38"/>
        <v>0</v>
      </c>
      <c r="AI25" s="309"/>
      <c r="AJ25" s="315">
        <f>SUM(AJ23:AJ24)</f>
        <v>24702.277652000001</v>
      </c>
      <c r="AK25" s="316">
        <f t="shared" ref="AK25:AL25" si="39">SUM(AK23:AK24)</f>
        <v>0</v>
      </c>
      <c r="AL25" s="317">
        <f t="shared" si="39"/>
        <v>0</v>
      </c>
      <c r="AM25" s="309"/>
      <c r="AN25" s="338">
        <f>SUM(AJ25:AL25)/SUM(X25:Z25)</f>
        <v>5.7851925482752191E-2</v>
      </c>
      <c r="AO25" s="339">
        <f t="shared" si="34"/>
        <v>6.6138803263519105E-2</v>
      </c>
      <c r="AP25" s="309"/>
      <c r="AQ25" s="315">
        <f>SUM(AQ23:AQ24)</f>
        <v>0</v>
      </c>
      <c r="AR25" s="316">
        <f t="shared" ref="AR25:AS25" si="40">SUM(AR23:AR24)</f>
        <v>0</v>
      </c>
      <c r="AS25" s="317">
        <f t="shared" si="40"/>
        <v>0</v>
      </c>
      <c r="AT25" s="309"/>
      <c r="AU25" s="310"/>
      <c r="AV25" s="310"/>
      <c r="AW25" s="328"/>
      <c r="AX25" s="57"/>
      <c r="AY25" s="671"/>
    </row>
    <row r="26" spans="1:52" x14ac:dyDescent="0.2">
      <c r="A26" s="86">
        <f t="shared" si="4"/>
        <v>19</v>
      </c>
      <c r="B26" s="725" t="str">
        <f>'WA Volumes &amp; Revenues'!B25</f>
        <v>41C Interr Sales</v>
      </c>
      <c r="C26" s="726" t="s">
        <v>4</v>
      </c>
      <c r="D26" s="157"/>
      <c r="E26" s="122">
        <f>'Rates in Detail'!Y23</f>
        <v>2.1749999999999999E-2</v>
      </c>
      <c r="F26" s="122">
        <f>'Rates in Detail'!Z23</f>
        <v>-3.1E-4</v>
      </c>
      <c r="G26" s="157"/>
      <c r="H26" s="157"/>
      <c r="I26" s="373">
        <f>'Rev Req Proof Yr2'!H26</f>
        <v>0.38407000000000002</v>
      </c>
      <c r="J26" s="774">
        <f t="shared" si="10"/>
        <v>0.40582000000000001</v>
      </c>
      <c r="K26" s="157"/>
      <c r="L26" s="155">
        <f>'Rev Req Proof Yr1'!K26</f>
        <v>250</v>
      </c>
      <c r="M26" s="156">
        <f>'Rev Req Proof Yr1'!L26</f>
        <v>250</v>
      </c>
      <c r="N26" s="122">
        <f>'Rev Req Proof Yr1'!M26</f>
        <v>0</v>
      </c>
      <c r="O26" s="122">
        <f>'Rev Req Proof Yr1'!N26</f>
        <v>0</v>
      </c>
      <c r="P26" s="122">
        <f>'Rev Req Proof Yr1'!O26</f>
        <v>0</v>
      </c>
      <c r="Q26" s="774">
        <f>'Rev Req Proof Yr1'!P26</f>
        <v>0</v>
      </c>
      <c r="R26" s="157"/>
      <c r="S26" s="298">
        <f>'Rev Req Proof Yr1'!R26</f>
        <v>0</v>
      </c>
      <c r="T26" s="299"/>
      <c r="U26" s="300">
        <f>'Rev Req Proof Yr1'!T26</f>
        <v>0</v>
      </c>
      <c r="V26" s="301">
        <f>'Rev Req Proof Yr1'!U26</f>
        <v>0</v>
      </c>
      <c r="W26" s="157"/>
      <c r="X26" s="313">
        <f t="shared" ref="X26:X27" si="41">(I26*S26)</f>
        <v>0</v>
      </c>
      <c r="Y26" s="309">
        <f t="shared" ref="Y26:Y27" si="42">(L26*U26*12)</f>
        <v>0</v>
      </c>
      <c r="Z26" s="314">
        <f t="shared" ref="Z26:Z27" si="43">(T26*(N26+P26))*12</f>
        <v>0</v>
      </c>
      <c r="AA26" s="309"/>
      <c r="AB26" s="313">
        <f t="shared" ref="AB26:AB27" si="44">(J26*S26)</f>
        <v>0</v>
      </c>
      <c r="AC26" s="309">
        <f t="shared" ref="AC26:AC27" si="45">(M26*U26*12)</f>
        <v>0</v>
      </c>
      <c r="AD26" s="314">
        <f t="shared" ref="AD26:AD27" si="46">(T26*(O26+Q26))*12</f>
        <v>0</v>
      </c>
      <c r="AE26" s="309"/>
      <c r="AF26" s="313">
        <f t="shared" ref="AF26:AF27" si="47">(F26*S26)</f>
        <v>0</v>
      </c>
      <c r="AG26" s="309">
        <v>0</v>
      </c>
      <c r="AH26" s="314">
        <v>0</v>
      </c>
      <c r="AI26" s="309"/>
      <c r="AJ26" s="313">
        <f t="shared" ref="AJ26:AJ27" si="48">AB26-X26+AF26</f>
        <v>0</v>
      </c>
      <c r="AK26" s="309">
        <f t="shared" ref="AK26:AL27" si="49">AC26-Y26-AG26</f>
        <v>0</v>
      </c>
      <c r="AL26" s="314">
        <f t="shared" si="49"/>
        <v>0</v>
      </c>
      <c r="AM26" s="309"/>
      <c r="AN26" s="338"/>
      <c r="AO26" s="340" t="e">
        <f t="shared" si="16"/>
        <v>#DIV/0!</v>
      </c>
      <c r="AP26" s="309"/>
      <c r="AQ26" s="313">
        <f t="shared" ref="AQ26:AQ27" si="50">(G26*S26)</f>
        <v>0</v>
      </c>
      <c r="AR26" s="309">
        <v>0</v>
      </c>
      <c r="AS26" s="314">
        <v>0</v>
      </c>
      <c r="AT26" s="309"/>
      <c r="AU26" s="310"/>
      <c r="AV26" s="310"/>
      <c r="AW26" s="309"/>
      <c r="AX26" s="653"/>
      <c r="AY26" s="474"/>
    </row>
    <row r="27" spans="1:52" x14ac:dyDescent="0.2">
      <c r="A27" s="86">
        <f t="shared" si="4"/>
        <v>20</v>
      </c>
      <c r="B27" s="725"/>
      <c r="C27" s="726" t="s">
        <v>5</v>
      </c>
      <c r="D27" s="157"/>
      <c r="E27" s="122">
        <f>'Rates in Detail'!Y24</f>
        <v>1.917E-2</v>
      </c>
      <c r="F27" s="122">
        <f>'Rates in Detail'!Z24</f>
        <v>-2.7E-4</v>
      </c>
      <c r="G27" s="157"/>
      <c r="H27" s="157"/>
      <c r="I27" s="373">
        <f>'Rev Req Proof Yr2'!H27</f>
        <v>0.33839000000000002</v>
      </c>
      <c r="J27" s="774">
        <f t="shared" si="10"/>
        <v>0.35756000000000004</v>
      </c>
      <c r="K27" s="157"/>
      <c r="L27" s="155"/>
      <c r="M27" s="156"/>
      <c r="N27" s="122"/>
      <c r="O27" s="122"/>
      <c r="P27" s="122"/>
      <c r="Q27" s="774"/>
      <c r="R27" s="157"/>
      <c r="S27" s="298">
        <f>'Rev Req Proof Yr1'!R27</f>
        <v>0</v>
      </c>
      <c r="T27" s="299"/>
      <c r="U27" s="300"/>
      <c r="V27" s="301"/>
      <c r="W27" s="157"/>
      <c r="X27" s="313">
        <f t="shared" si="41"/>
        <v>0</v>
      </c>
      <c r="Y27" s="309">
        <f t="shared" si="42"/>
        <v>0</v>
      </c>
      <c r="Z27" s="314">
        <f t="shared" si="43"/>
        <v>0</v>
      </c>
      <c r="AA27" s="309"/>
      <c r="AB27" s="313">
        <f t="shared" si="44"/>
        <v>0</v>
      </c>
      <c r="AC27" s="309">
        <f t="shared" si="45"/>
        <v>0</v>
      </c>
      <c r="AD27" s="314">
        <f t="shared" si="46"/>
        <v>0</v>
      </c>
      <c r="AE27" s="309"/>
      <c r="AF27" s="313">
        <f t="shared" si="47"/>
        <v>0</v>
      </c>
      <c r="AG27" s="309">
        <v>0</v>
      </c>
      <c r="AH27" s="314">
        <v>0</v>
      </c>
      <c r="AI27" s="309"/>
      <c r="AJ27" s="313">
        <f t="shared" si="48"/>
        <v>0</v>
      </c>
      <c r="AK27" s="309">
        <f t="shared" si="49"/>
        <v>0</v>
      </c>
      <c r="AL27" s="314">
        <f t="shared" si="49"/>
        <v>0</v>
      </c>
      <c r="AM27" s="309"/>
      <c r="AN27" s="338"/>
      <c r="AO27" s="340" t="e">
        <f t="shared" si="16"/>
        <v>#DIV/0!</v>
      </c>
      <c r="AP27" s="309"/>
      <c r="AQ27" s="313">
        <f t="shared" si="50"/>
        <v>0</v>
      </c>
      <c r="AR27" s="309">
        <v>0</v>
      </c>
      <c r="AS27" s="314">
        <v>0</v>
      </c>
      <c r="AT27" s="309"/>
      <c r="AU27" s="310"/>
      <c r="AX27" s="653"/>
      <c r="AY27" s="474"/>
    </row>
    <row r="28" spans="1:52" x14ac:dyDescent="0.2">
      <c r="A28" s="86">
        <f t="shared" si="4"/>
        <v>21</v>
      </c>
      <c r="B28" s="723"/>
      <c r="C28" s="742" t="s">
        <v>78</v>
      </c>
      <c r="D28" s="153"/>
      <c r="E28" s="123"/>
      <c r="F28" s="123"/>
      <c r="G28" s="153"/>
      <c r="H28" s="153"/>
      <c r="I28" s="368"/>
      <c r="J28" s="773"/>
      <c r="K28" s="157"/>
      <c r="L28" s="155"/>
      <c r="M28" s="156"/>
      <c r="N28" s="122"/>
      <c r="O28" s="122"/>
      <c r="P28" s="122"/>
      <c r="Q28" s="774"/>
      <c r="R28" s="157"/>
      <c r="S28" s="298"/>
      <c r="T28" s="299"/>
      <c r="U28" s="300"/>
      <c r="V28" s="301"/>
      <c r="W28" s="157"/>
      <c r="X28" s="315">
        <f>SUM(X26:X27)</f>
        <v>0</v>
      </c>
      <c r="Y28" s="316">
        <f t="shared" ref="Y28:Z28" si="51">SUM(Y26:Y27)</f>
        <v>0</v>
      </c>
      <c r="Z28" s="317">
        <f t="shared" si="51"/>
        <v>0</v>
      </c>
      <c r="AA28" s="309"/>
      <c r="AB28" s="315">
        <f>SUM(AB26:AB27)</f>
        <v>0</v>
      </c>
      <c r="AC28" s="316">
        <f t="shared" ref="AC28:AD28" si="52">SUM(AC26:AC27)</f>
        <v>0</v>
      </c>
      <c r="AD28" s="317">
        <f t="shared" si="52"/>
        <v>0</v>
      </c>
      <c r="AE28" s="309"/>
      <c r="AF28" s="315">
        <f>SUM(AF26:AF27)</f>
        <v>0</v>
      </c>
      <c r="AG28" s="316">
        <f t="shared" ref="AG28:AH28" si="53">SUM(AG26:AG27)</f>
        <v>0</v>
      </c>
      <c r="AH28" s="317">
        <f t="shared" si="53"/>
        <v>0</v>
      </c>
      <c r="AI28" s="309"/>
      <c r="AJ28" s="315">
        <f>SUM(AJ26:AJ27)</f>
        <v>0</v>
      </c>
      <c r="AK28" s="316">
        <f t="shared" ref="AK28:AL28" si="54">SUM(AK26:AK27)</f>
        <v>0</v>
      </c>
      <c r="AL28" s="317">
        <f t="shared" si="54"/>
        <v>0</v>
      </c>
      <c r="AM28" s="309"/>
      <c r="AN28" s="338" t="e">
        <f>SUM(AJ28:AL28)/SUM(X28:Z28)</f>
        <v>#DIV/0!</v>
      </c>
      <c r="AO28" s="339" t="e">
        <f t="shared" si="16"/>
        <v>#DIV/0!</v>
      </c>
      <c r="AP28" s="309"/>
      <c r="AQ28" s="315">
        <f>SUM(AQ26:AQ27)</f>
        <v>0</v>
      </c>
      <c r="AR28" s="316">
        <f t="shared" ref="AR28:AS28" si="55">SUM(AR26:AR27)</f>
        <v>0</v>
      </c>
      <c r="AS28" s="317">
        <f t="shared" si="55"/>
        <v>0</v>
      </c>
      <c r="AT28" s="309"/>
      <c r="AU28" s="310"/>
      <c r="AV28" s="310"/>
      <c r="AW28" s="309"/>
      <c r="AX28" s="653"/>
      <c r="AY28" s="474"/>
    </row>
    <row r="29" spans="1:52" x14ac:dyDescent="0.2">
      <c r="A29" s="86">
        <f t="shared" si="4"/>
        <v>22</v>
      </c>
      <c r="B29" s="725" t="str">
        <f>'WA Volumes &amp; Revenues'!B27</f>
        <v>41I Interr Sales</v>
      </c>
      <c r="C29" s="726" t="s">
        <v>4</v>
      </c>
      <c r="D29" s="157"/>
      <c r="E29" s="122">
        <f>'Rates in Detail'!Y25</f>
        <v>2.1749999999999999E-2</v>
      </c>
      <c r="F29" s="122">
        <f>'Rates in Detail'!Z25</f>
        <v>-3.1E-4</v>
      </c>
      <c r="G29" s="157"/>
      <c r="H29" s="157"/>
      <c r="I29" s="373">
        <f>'Rev Req Proof Yr2'!H29</f>
        <v>0.38407000000000002</v>
      </c>
      <c r="J29" s="774">
        <f t="shared" si="10"/>
        <v>0.40582000000000001</v>
      </c>
      <c r="K29" s="157"/>
      <c r="L29" s="155">
        <f>'Rev Req Proof Yr1'!K29</f>
        <v>250</v>
      </c>
      <c r="M29" s="156">
        <f>'Rev Req Proof Yr1'!L29</f>
        <v>250</v>
      </c>
      <c r="N29" s="122">
        <f>'Rev Req Proof Yr1'!M29</f>
        <v>0</v>
      </c>
      <c r="O29" s="122">
        <f>'Rev Req Proof Yr1'!N29</f>
        <v>0</v>
      </c>
      <c r="P29" s="122">
        <f>'Rev Req Proof Yr1'!O29</f>
        <v>0</v>
      </c>
      <c r="Q29" s="774">
        <f>'Rev Req Proof Yr1'!P29</f>
        <v>0</v>
      </c>
      <c r="R29" s="157"/>
      <c r="S29" s="298">
        <f>'Rev Req Proof Yr1'!R29</f>
        <v>0</v>
      </c>
      <c r="T29" s="299"/>
      <c r="U29" s="300">
        <f>'Rev Req Proof Yr1'!T29</f>
        <v>0</v>
      </c>
      <c r="V29" s="301">
        <f>'Rev Req Proof Yr1'!U29</f>
        <v>0</v>
      </c>
      <c r="W29" s="157"/>
      <c r="X29" s="313">
        <f t="shared" ref="X29:X30" si="56">(I29*S29)</f>
        <v>0</v>
      </c>
      <c r="Y29" s="309">
        <f t="shared" ref="Y29:Y30" si="57">(L29*U29*12)</f>
        <v>0</v>
      </c>
      <c r="Z29" s="314">
        <f t="shared" ref="Z29:Z30" si="58">(T29*(N29+P29))*12</f>
        <v>0</v>
      </c>
      <c r="AA29" s="309"/>
      <c r="AB29" s="313">
        <f t="shared" ref="AB29:AB30" si="59">(J29*S29)</f>
        <v>0</v>
      </c>
      <c r="AC29" s="309">
        <f t="shared" ref="AC29:AC30" si="60">(M29*U29*12)</f>
        <v>0</v>
      </c>
      <c r="AD29" s="314">
        <f t="shared" ref="AD29:AD30" si="61">(T29*(O29+Q29))*12</f>
        <v>0</v>
      </c>
      <c r="AE29" s="309"/>
      <c r="AF29" s="313">
        <f t="shared" ref="AF29:AF30" si="62">(F29*S29)</f>
        <v>0</v>
      </c>
      <c r="AG29" s="309">
        <v>0</v>
      </c>
      <c r="AH29" s="314">
        <v>0</v>
      </c>
      <c r="AI29" s="309"/>
      <c r="AJ29" s="313">
        <f t="shared" ref="AJ29:AJ30" si="63">AB29-X29+AF29</f>
        <v>0</v>
      </c>
      <c r="AK29" s="309">
        <f t="shared" ref="AK29:AL30" si="64">AC29-Y29-AG29</f>
        <v>0</v>
      </c>
      <c r="AL29" s="314">
        <f t="shared" si="64"/>
        <v>0</v>
      </c>
      <c r="AM29" s="309"/>
      <c r="AN29" s="338"/>
      <c r="AO29" s="340" t="e">
        <f t="shared" si="16"/>
        <v>#DIV/0!</v>
      </c>
      <c r="AP29" s="309"/>
      <c r="AQ29" s="313">
        <f t="shared" ref="AQ29:AQ30" si="65">(G29*S29)</f>
        <v>0</v>
      </c>
      <c r="AR29" s="309">
        <v>0</v>
      </c>
      <c r="AS29" s="314">
        <v>0</v>
      </c>
      <c r="AT29" s="309"/>
      <c r="AU29" s="310"/>
      <c r="AV29" s="310"/>
      <c r="AW29" s="309"/>
      <c r="AX29" s="653"/>
      <c r="AY29" s="474"/>
    </row>
    <row r="30" spans="1:52" x14ac:dyDescent="0.2">
      <c r="A30" s="86">
        <f t="shared" si="4"/>
        <v>23</v>
      </c>
      <c r="B30" s="725"/>
      <c r="C30" s="726" t="s">
        <v>5</v>
      </c>
      <c r="D30" s="157"/>
      <c r="E30" s="122">
        <f>'Rates in Detail'!Y26</f>
        <v>1.917E-2</v>
      </c>
      <c r="F30" s="122">
        <f>'Rates in Detail'!Z26</f>
        <v>-2.7E-4</v>
      </c>
      <c r="G30" s="157"/>
      <c r="H30" s="157"/>
      <c r="I30" s="373">
        <f>'Rev Req Proof Yr2'!H30</f>
        <v>0.33839000000000002</v>
      </c>
      <c r="J30" s="774">
        <f t="shared" si="10"/>
        <v>0.35756000000000004</v>
      </c>
      <c r="K30" s="157"/>
      <c r="L30" s="155"/>
      <c r="M30" s="156"/>
      <c r="N30" s="122"/>
      <c r="O30" s="122"/>
      <c r="P30" s="122"/>
      <c r="Q30" s="774"/>
      <c r="R30" s="157"/>
      <c r="S30" s="298">
        <f>'Rev Req Proof Yr1'!R30</f>
        <v>0</v>
      </c>
      <c r="T30" s="299"/>
      <c r="U30" s="300"/>
      <c r="V30" s="301"/>
      <c r="W30" s="157"/>
      <c r="X30" s="313">
        <f t="shared" si="56"/>
        <v>0</v>
      </c>
      <c r="Y30" s="309">
        <f t="shared" si="57"/>
        <v>0</v>
      </c>
      <c r="Z30" s="314">
        <f t="shared" si="58"/>
        <v>0</v>
      </c>
      <c r="AA30" s="309"/>
      <c r="AB30" s="313">
        <f t="shared" si="59"/>
        <v>0</v>
      </c>
      <c r="AC30" s="309">
        <f t="shared" si="60"/>
        <v>0</v>
      </c>
      <c r="AD30" s="314">
        <f t="shared" si="61"/>
        <v>0</v>
      </c>
      <c r="AE30" s="309"/>
      <c r="AF30" s="313">
        <f t="shared" si="62"/>
        <v>0</v>
      </c>
      <c r="AG30" s="309">
        <v>0</v>
      </c>
      <c r="AH30" s="314">
        <v>0</v>
      </c>
      <c r="AI30" s="309"/>
      <c r="AJ30" s="313">
        <f t="shared" si="63"/>
        <v>0</v>
      </c>
      <c r="AK30" s="309">
        <f t="shared" si="64"/>
        <v>0</v>
      </c>
      <c r="AL30" s="314">
        <f t="shared" si="64"/>
        <v>0</v>
      </c>
      <c r="AM30" s="309"/>
      <c r="AN30" s="338"/>
      <c r="AO30" s="340" t="e">
        <f t="shared" si="16"/>
        <v>#DIV/0!</v>
      </c>
      <c r="AP30" s="309"/>
      <c r="AQ30" s="313">
        <f t="shared" si="65"/>
        <v>0</v>
      </c>
      <c r="AR30" s="309">
        <v>0</v>
      </c>
      <c r="AS30" s="314">
        <v>0</v>
      </c>
      <c r="AT30" s="309"/>
      <c r="AU30" s="310"/>
      <c r="AV30" s="310"/>
      <c r="AW30" s="309"/>
      <c r="AX30" s="57"/>
      <c r="AY30" s="652"/>
    </row>
    <row r="31" spans="1:52" x14ac:dyDescent="0.2">
      <c r="A31" s="86">
        <f t="shared" si="4"/>
        <v>24</v>
      </c>
      <c r="B31" s="723"/>
      <c r="C31" s="742" t="s">
        <v>78</v>
      </c>
      <c r="D31" s="153"/>
      <c r="E31" s="123"/>
      <c r="F31" s="123"/>
      <c r="G31" s="153"/>
      <c r="H31" s="153"/>
      <c r="I31" s="368"/>
      <c r="J31" s="773"/>
      <c r="K31" s="157"/>
      <c r="L31" s="155"/>
      <c r="M31" s="156"/>
      <c r="N31" s="122"/>
      <c r="O31" s="122"/>
      <c r="P31" s="122"/>
      <c r="Q31" s="774"/>
      <c r="R31" s="157"/>
      <c r="S31" s="298"/>
      <c r="T31" s="299"/>
      <c r="U31" s="300"/>
      <c r="V31" s="301"/>
      <c r="W31" s="157"/>
      <c r="X31" s="315">
        <f>SUM(X29:X30)</f>
        <v>0</v>
      </c>
      <c r="Y31" s="316">
        <f t="shared" ref="Y31:Z31" si="66">SUM(Y29:Y30)</f>
        <v>0</v>
      </c>
      <c r="Z31" s="317">
        <f t="shared" si="66"/>
        <v>0</v>
      </c>
      <c r="AA31" s="309"/>
      <c r="AB31" s="315">
        <f>SUM(AB29:AB30)</f>
        <v>0</v>
      </c>
      <c r="AC31" s="316">
        <f t="shared" ref="AC31:AD31" si="67">SUM(AC29:AC30)</f>
        <v>0</v>
      </c>
      <c r="AD31" s="317">
        <f t="shared" si="67"/>
        <v>0</v>
      </c>
      <c r="AE31" s="309"/>
      <c r="AF31" s="315">
        <f>SUM(AF29:AF30)</f>
        <v>0</v>
      </c>
      <c r="AG31" s="316">
        <f t="shared" ref="AG31:AH31" si="68">SUM(AG29:AG30)</f>
        <v>0</v>
      </c>
      <c r="AH31" s="317">
        <f t="shared" si="68"/>
        <v>0</v>
      </c>
      <c r="AI31" s="309"/>
      <c r="AJ31" s="315">
        <f>SUM(AJ29:AJ30)</f>
        <v>0</v>
      </c>
      <c r="AK31" s="316">
        <f t="shared" ref="AK31:AL31" si="69">SUM(AK29:AK30)</f>
        <v>0</v>
      </c>
      <c r="AL31" s="317">
        <f t="shared" si="69"/>
        <v>0</v>
      </c>
      <c r="AM31" s="309"/>
      <c r="AN31" s="338" t="e">
        <f>SUM(AJ31:AL31)/SUM(X31:Z31)</f>
        <v>#DIV/0!</v>
      </c>
      <c r="AO31" s="339" t="e">
        <f t="shared" si="16"/>
        <v>#DIV/0!</v>
      </c>
      <c r="AP31" s="309"/>
      <c r="AQ31" s="315">
        <f>SUM(AQ29:AQ30)</f>
        <v>0</v>
      </c>
      <c r="AR31" s="316">
        <f t="shared" ref="AR31:AS31" si="70">SUM(AR29:AR30)</f>
        <v>0</v>
      </c>
      <c r="AS31" s="317">
        <f t="shared" si="70"/>
        <v>0</v>
      </c>
      <c r="AT31" s="309"/>
      <c r="AU31" s="310"/>
      <c r="AV31" s="310"/>
      <c r="AW31" s="309"/>
    </row>
    <row r="32" spans="1:52" x14ac:dyDescent="0.2">
      <c r="A32" s="86">
        <f t="shared" si="4"/>
        <v>25</v>
      </c>
      <c r="B32" s="725" t="str">
        <f>'WA Volumes &amp; Revenues'!B29</f>
        <v>41C Firm Transpt</v>
      </c>
      <c r="C32" s="726" t="s">
        <v>4</v>
      </c>
      <c r="D32" s="157"/>
      <c r="E32" s="122">
        <f>'Rates in Detail'!Y27</f>
        <v>2.9610000000000001E-2</v>
      </c>
      <c r="F32" s="122">
        <f>'Rates in Detail'!Z27</f>
        <v>-4.2000000000000002E-4</v>
      </c>
      <c r="G32" s="157"/>
      <c r="H32" s="157"/>
      <c r="I32" s="373">
        <f>'Rev Req Proof Yr2'!H32</f>
        <v>0.40671000000000002</v>
      </c>
      <c r="J32" s="774">
        <f t="shared" si="10"/>
        <v>0.43632000000000004</v>
      </c>
      <c r="K32" s="157"/>
      <c r="L32" s="155">
        <f>'Rev Req Proof Yr1'!K32</f>
        <v>500</v>
      </c>
      <c r="M32" s="156">
        <f>'Rev Req Proof Yr1'!L32</f>
        <v>500</v>
      </c>
      <c r="N32" s="122">
        <f>'Rev Req Proof Yr1'!M32</f>
        <v>0</v>
      </c>
      <c r="O32" s="122">
        <f>'Rev Req Proof Yr1'!N32</f>
        <v>0</v>
      </c>
      <c r="P32" s="122">
        <f>'Rev Req Proof Yr1'!O32</f>
        <v>0</v>
      </c>
      <c r="Q32" s="774">
        <f>'Rev Req Proof Yr1'!P32</f>
        <v>0</v>
      </c>
      <c r="R32" s="157"/>
      <c r="S32" s="298">
        <f>'Rev Req Proof Yr1'!R32</f>
        <v>168721</v>
      </c>
      <c r="T32" s="299"/>
      <c r="U32" s="300">
        <f>'Rev Req Proof Yr1'!T32</f>
        <v>7.916666666666667</v>
      </c>
      <c r="V32" s="301">
        <f>'Rev Req Proof Yr1'!U32</f>
        <v>4648</v>
      </c>
      <c r="W32" s="157"/>
      <c r="X32" s="313">
        <f t="shared" ref="X32:X33" si="71">(I32*S32)</f>
        <v>68620.51791000001</v>
      </c>
      <c r="Y32" s="309">
        <f t="shared" ref="Y32:Y33" si="72">(L32*U32*12)</f>
        <v>47500</v>
      </c>
      <c r="Z32" s="314">
        <f t="shared" ref="Z32:Z33" si="73">(T32*(N32+P32))*12</f>
        <v>0</v>
      </c>
      <c r="AA32" s="309"/>
      <c r="AB32" s="313">
        <f t="shared" ref="AB32:AB33" si="74">(J32*S32)</f>
        <v>73616.346720000001</v>
      </c>
      <c r="AC32" s="309">
        <f t="shared" ref="AC32:AC33" si="75">(M32*U32*12)</f>
        <v>47500</v>
      </c>
      <c r="AD32" s="314">
        <f t="shared" ref="AD32:AD33" si="76">(T32*(O32+Q32))*12</f>
        <v>0</v>
      </c>
      <c r="AE32" s="309"/>
      <c r="AF32" s="313">
        <f t="shared" ref="AF32:AF33" si="77">(F32*S32)</f>
        <v>-70.862819999999999</v>
      </c>
      <c r="AG32" s="309">
        <v>0</v>
      </c>
      <c r="AH32" s="314">
        <v>0</v>
      </c>
      <c r="AI32" s="309"/>
      <c r="AJ32" s="313">
        <f t="shared" ref="AJ32:AJ33" si="78">AB32-X32+AF32</f>
        <v>4924.9659899999915</v>
      </c>
      <c r="AK32" s="309">
        <f t="shared" ref="AK32:AL33" si="79">AC32-Y32-AG32</f>
        <v>0</v>
      </c>
      <c r="AL32" s="314">
        <f t="shared" si="79"/>
        <v>0</v>
      </c>
      <c r="AM32" s="309"/>
      <c r="AN32" s="338"/>
      <c r="AO32" s="340">
        <f t="shared" ref="AO32:AO34" si="80">SUM(AJ32)/SUM(X32)</f>
        <v>7.1771040790735277E-2</v>
      </c>
      <c r="AP32" s="309"/>
      <c r="AQ32" s="313">
        <f t="shared" ref="AQ32:AQ33" si="81">(G32*S32)</f>
        <v>0</v>
      </c>
      <c r="AR32" s="309">
        <v>0</v>
      </c>
      <c r="AS32" s="314">
        <v>0</v>
      </c>
      <c r="AT32" s="309"/>
      <c r="AU32" s="310"/>
      <c r="AV32" s="310"/>
      <c r="AW32" s="309"/>
      <c r="AX32" s="653"/>
      <c r="AY32" s="474"/>
    </row>
    <row r="33" spans="1:51" x14ac:dyDescent="0.2">
      <c r="A33" s="86">
        <f t="shared" si="4"/>
        <v>26</v>
      </c>
      <c r="B33" s="725"/>
      <c r="C33" s="726" t="s">
        <v>5</v>
      </c>
      <c r="D33" s="157"/>
      <c r="E33" s="122">
        <f>'Rates in Detail'!Y28</f>
        <v>2.6089999999999999E-2</v>
      </c>
      <c r="F33" s="122">
        <f>'Rates in Detail'!Z28</f>
        <v>-3.6999999999999999E-4</v>
      </c>
      <c r="G33" s="157"/>
      <c r="H33" s="157"/>
      <c r="I33" s="373">
        <f>'Rev Req Proof Yr2'!H33</f>
        <v>0.35833999999999999</v>
      </c>
      <c r="J33" s="774">
        <f t="shared" si="10"/>
        <v>0.38442999999999999</v>
      </c>
      <c r="K33" s="157"/>
      <c r="L33" s="155"/>
      <c r="M33" s="156"/>
      <c r="N33" s="122"/>
      <c r="O33" s="122"/>
      <c r="P33" s="122"/>
      <c r="Q33" s="774"/>
      <c r="R33" s="157"/>
      <c r="S33" s="298">
        <f>'Rev Req Proof Yr1'!R33</f>
        <v>272866</v>
      </c>
      <c r="T33" s="299"/>
      <c r="U33" s="300"/>
      <c r="V33" s="301"/>
      <c r="W33" s="157"/>
      <c r="X33" s="313">
        <f t="shared" si="71"/>
        <v>97778.802439999999</v>
      </c>
      <c r="Y33" s="309">
        <f t="shared" si="72"/>
        <v>0</v>
      </c>
      <c r="Z33" s="314">
        <f t="shared" si="73"/>
        <v>0</v>
      </c>
      <c r="AA33" s="309"/>
      <c r="AB33" s="313">
        <f t="shared" si="74"/>
        <v>104897.87638</v>
      </c>
      <c r="AC33" s="309">
        <f t="shared" si="75"/>
        <v>0</v>
      </c>
      <c r="AD33" s="314">
        <f t="shared" si="76"/>
        <v>0</v>
      </c>
      <c r="AE33" s="309"/>
      <c r="AF33" s="313">
        <f t="shared" si="77"/>
        <v>-100.96042</v>
      </c>
      <c r="AG33" s="309">
        <v>0</v>
      </c>
      <c r="AH33" s="314">
        <v>0</v>
      </c>
      <c r="AI33" s="309"/>
      <c r="AJ33" s="313">
        <f t="shared" si="78"/>
        <v>7018.1135200000017</v>
      </c>
      <c r="AK33" s="309">
        <f t="shared" si="79"/>
        <v>0</v>
      </c>
      <c r="AL33" s="314">
        <f t="shared" si="79"/>
        <v>0</v>
      </c>
      <c r="AM33" s="309"/>
      <c r="AN33" s="338"/>
      <c r="AO33" s="340">
        <f t="shared" si="80"/>
        <v>7.1775408829603191E-2</v>
      </c>
      <c r="AP33" s="309"/>
      <c r="AQ33" s="313">
        <f t="shared" si="81"/>
        <v>0</v>
      </c>
      <c r="AR33" s="309">
        <v>0</v>
      </c>
      <c r="AS33" s="314">
        <v>0</v>
      </c>
      <c r="AT33" s="309"/>
      <c r="AU33" s="310"/>
      <c r="AV33" s="310"/>
      <c r="AW33" s="309"/>
      <c r="AX33" s="57"/>
      <c r="AY33" s="652"/>
    </row>
    <row r="34" spans="1:51" x14ac:dyDescent="0.2">
      <c r="A34" s="86">
        <f t="shared" si="4"/>
        <v>27</v>
      </c>
      <c r="B34" s="723"/>
      <c r="C34" s="742" t="s">
        <v>78</v>
      </c>
      <c r="D34" s="153"/>
      <c r="E34" s="123"/>
      <c r="F34" s="123"/>
      <c r="G34" s="153"/>
      <c r="H34" s="153"/>
      <c r="I34" s="368"/>
      <c r="J34" s="773"/>
      <c r="K34" s="157"/>
      <c r="L34" s="155"/>
      <c r="M34" s="156"/>
      <c r="N34" s="122"/>
      <c r="O34" s="122"/>
      <c r="P34" s="122"/>
      <c r="Q34" s="774"/>
      <c r="R34" s="157"/>
      <c r="S34" s="298"/>
      <c r="T34" s="299"/>
      <c r="U34" s="300"/>
      <c r="V34" s="301"/>
      <c r="W34" s="157"/>
      <c r="X34" s="315">
        <f>SUM(X32:X33)</f>
        <v>166399.32034999999</v>
      </c>
      <c r="Y34" s="316">
        <f t="shared" ref="Y34:Z34" si="82">SUM(Y32:Y33)</f>
        <v>47500</v>
      </c>
      <c r="Z34" s="317">
        <f t="shared" si="82"/>
        <v>0</v>
      </c>
      <c r="AA34" s="309"/>
      <c r="AB34" s="315">
        <f>SUM(AB32:AB33)</f>
        <v>178514.2231</v>
      </c>
      <c r="AC34" s="316">
        <f t="shared" ref="AC34:AD34" si="83">SUM(AC32:AC33)</f>
        <v>47500</v>
      </c>
      <c r="AD34" s="317">
        <f t="shared" si="83"/>
        <v>0</v>
      </c>
      <c r="AE34" s="309"/>
      <c r="AF34" s="315">
        <f>SUM(AF32:AF33)</f>
        <v>-171.82324</v>
      </c>
      <c r="AG34" s="316">
        <f t="shared" ref="AG34:AH34" si="84">SUM(AG32:AG33)</f>
        <v>0</v>
      </c>
      <c r="AH34" s="317">
        <f t="shared" si="84"/>
        <v>0</v>
      </c>
      <c r="AI34" s="309"/>
      <c r="AJ34" s="315">
        <f>SUM(AJ32:AJ33)</f>
        <v>11943.079509999992</v>
      </c>
      <c r="AK34" s="316">
        <f t="shared" ref="AK34:AL34" si="85">SUM(AK32:AK33)</f>
        <v>0</v>
      </c>
      <c r="AL34" s="317">
        <f t="shared" si="85"/>
        <v>0</v>
      </c>
      <c r="AM34" s="309"/>
      <c r="AN34" s="338">
        <f>SUM(AJ34:AL34)/SUM(X34:Z34)</f>
        <v>5.5835051230914264E-2</v>
      </c>
      <c r="AO34" s="339">
        <f t="shared" si="80"/>
        <v>7.1773607517622254E-2</v>
      </c>
      <c r="AP34" s="309"/>
      <c r="AQ34" s="315">
        <f>SUM(AQ32:AQ33)</f>
        <v>0</v>
      </c>
      <c r="AR34" s="316">
        <f t="shared" ref="AR34:AS34" si="86">SUM(AR32:AR33)</f>
        <v>0</v>
      </c>
      <c r="AS34" s="317">
        <f t="shared" si="86"/>
        <v>0</v>
      </c>
      <c r="AT34" s="309"/>
      <c r="AU34" s="310"/>
      <c r="AV34" s="310"/>
      <c r="AW34" s="309"/>
    </row>
    <row r="35" spans="1:51" x14ac:dyDescent="0.2">
      <c r="A35" s="86">
        <f t="shared" si="4"/>
        <v>28</v>
      </c>
      <c r="B35" s="725" t="str">
        <f>'WA Volumes &amp; Revenues'!B31</f>
        <v>41I Firm Transpt</v>
      </c>
      <c r="C35" s="726" t="s">
        <v>4</v>
      </c>
      <c r="D35" s="157"/>
      <c r="E35" s="122">
        <f>'Rates in Detail'!Y29</f>
        <v>2.2020000000000001E-2</v>
      </c>
      <c r="F35" s="122">
        <f>'Rates in Detail'!Z29</f>
        <v>-3.1E-4</v>
      </c>
      <c r="G35" s="157"/>
      <c r="H35" s="157"/>
      <c r="I35" s="373">
        <f>'Rev Req Proof Yr2'!H35</f>
        <v>0.38873999999999997</v>
      </c>
      <c r="J35" s="774">
        <f t="shared" si="10"/>
        <v>0.41075999999999996</v>
      </c>
      <c r="K35" s="157"/>
      <c r="L35" s="155">
        <f>'Rev Req Proof Yr1'!K35</f>
        <v>500</v>
      </c>
      <c r="M35" s="156">
        <f>'Rev Req Proof Yr1'!L35</f>
        <v>500</v>
      </c>
      <c r="N35" s="122">
        <f>'Rev Req Proof Yr1'!M35</f>
        <v>0</v>
      </c>
      <c r="O35" s="122">
        <f>'Rev Req Proof Yr1'!N35</f>
        <v>0</v>
      </c>
      <c r="P35" s="122">
        <f>'Rev Req Proof Yr1'!O35</f>
        <v>0</v>
      </c>
      <c r="Q35" s="774">
        <f>'Rev Req Proof Yr1'!P35</f>
        <v>0</v>
      </c>
      <c r="R35" s="157"/>
      <c r="S35" s="298">
        <f>'Rev Req Proof Yr1'!R35</f>
        <v>0</v>
      </c>
      <c r="T35" s="299"/>
      <c r="U35" s="300">
        <f>'Rev Req Proof Yr1'!T35</f>
        <v>0</v>
      </c>
      <c r="V35" s="301">
        <f>'Rev Req Proof Yr1'!U35</f>
        <v>0</v>
      </c>
      <c r="W35" s="157"/>
      <c r="X35" s="313">
        <f t="shared" ref="X35:X36" si="87">(I35*S35)</f>
        <v>0</v>
      </c>
      <c r="Y35" s="309">
        <f t="shared" ref="Y35:Y36" si="88">(L35*U35*12)</f>
        <v>0</v>
      </c>
      <c r="Z35" s="314">
        <f t="shared" ref="Z35:Z36" si="89">(T35*(N35+P35))*12</f>
        <v>0</v>
      </c>
      <c r="AA35" s="309"/>
      <c r="AB35" s="313">
        <f t="shared" ref="AB35:AB36" si="90">(J35*S35)</f>
        <v>0</v>
      </c>
      <c r="AC35" s="309">
        <f t="shared" ref="AC35:AC36" si="91">(M35*U35*12)</f>
        <v>0</v>
      </c>
      <c r="AD35" s="314">
        <f t="shared" ref="AD35:AD36" si="92">(T35*(O35+Q35))*12</f>
        <v>0</v>
      </c>
      <c r="AE35" s="309"/>
      <c r="AF35" s="313">
        <f t="shared" ref="AF35:AF36" si="93">(F35*S35)</f>
        <v>0</v>
      </c>
      <c r="AG35" s="309">
        <v>0</v>
      </c>
      <c r="AH35" s="314">
        <v>0</v>
      </c>
      <c r="AI35" s="309"/>
      <c r="AJ35" s="313">
        <f t="shared" ref="AJ35:AJ36" si="94">AB35-X35+AF35</f>
        <v>0</v>
      </c>
      <c r="AK35" s="309">
        <f t="shared" ref="AK35:AL36" si="95">AC35-Y35-AG35</f>
        <v>0</v>
      </c>
      <c r="AL35" s="314">
        <f t="shared" si="95"/>
        <v>0</v>
      </c>
      <c r="AM35" s="309"/>
      <c r="AN35" s="338"/>
      <c r="AO35" s="340" t="e">
        <f t="shared" si="16"/>
        <v>#DIV/0!</v>
      </c>
      <c r="AP35" s="309"/>
      <c r="AQ35" s="313">
        <f t="shared" ref="AQ35:AQ36" si="96">(G35*S35)</f>
        <v>0</v>
      </c>
      <c r="AR35" s="309">
        <v>0</v>
      </c>
      <c r="AS35" s="314">
        <v>0</v>
      </c>
      <c r="AT35" s="309"/>
      <c r="AU35" s="310"/>
      <c r="AV35" s="310"/>
      <c r="AW35" s="309"/>
    </row>
    <row r="36" spans="1:51" x14ac:dyDescent="0.2">
      <c r="A36" s="86">
        <f t="shared" si="4"/>
        <v>29</v>
      </c>
      <c r="B36" s="725"/>
      <c r="C36" s="726" t="s">
        <v>5</v>
      </c>
      <c r="D36" s="157"/>
      <c r="E36" s="122">
        <f>'Rates in Detail'!Y30</f>
        <v>1.9400000000000001E-2</v>
      </c>
      <c r="F36" s="122">
        <f>'Rates in Detail'!Z30</f>
        <v>-2.7999999999999998E-4</v>
      </c>
      <c r="G36" s="157"/>
      <c r="H36" s="157"/>
      <c r="I36" s="373">
        <f>'Rev Req Proof Yr2'!H36</f>
        <v>0.34250999999999998</v>
      </c>
      <c r="J36" s="774">
        <f t="shared" si="10"/>
        <v>0.36190999999999995</v>
      </c>
      <c r="K36" s="157"/>
      <c r="L36" s="273"/>
      <c r="M36" s="55"/>
      <c r="N36" s="122"/>
      <c r="O36" s="122"/>
      <c r="P36" s="122"/>
      <c r="Q36" s="774"/>
      <c r="R36" s="157"/>
      <c r="S36" s="298">
        <f>'Rev Req Proof Yr1'!R36</f>
        <v>0</v>
      </c>
      <c r="T36" s="299"/>
      <c r="U36" s="300"/>
      <c r="V36" s="301"/>
      <c r="W36" s="157"/>
      <c r="X36" s="313">
        <f t="shared" si="87"/>
        <v>0</v>
      </c>
      <c r="Y36" s="309">
        <f t="shared" si="88"/>
        <v>0</v>
      </c>
      <c r="Z36" s="314">
        <f t="shared" si="89"/>
        <v>0</v>
      </c>
      <c r="AA36" s="309"/>
      <c r="AB36" s="313">
        <f t="shared" si="90"/>
        <v>0</v>
      </c>
      <c r="AC36" s="309">
        <f t="shared" si="91"/>
        <v>0</v>
      </c>
      <c r="AD36" s="314">
        <f t="shared" si="92"/>
        <v>0</v>
      </c>
      <c r="AE36" s="309"/>
      <c r="AF36" s="313">
        <f t="shared" si="93"/>
        <v>0</v>
      </c>
      <c r="AG36" s="309">
        <v>0</v>
      </c>
      <c r="AH36" s="314">
        <v>0</v>
      </c>
      <c r="AI36" s="309"/>
      <c r="AJ36" s="313">
        <f t="shared" si="94"/>
        <v>0</v>
      </c>
      <c r="AK36" s="309">
        <f t="shared" si="95"/>
        <v>0</v>
      </c>
      <c r="AL36" s="314">
        <f t="shared" si="95"/>
        <v>0</v>
      </c>
      <c r="AM36" s="309"/>
      <c r="AN36" s="338"/>
      <c r="AO36" s="340" t="e">
        <f t="shared" si="16"/>
        <v>#DIV/0!</v>
      </c>
      <c r="AP36" s="309"/>
      <c r="AQ36" s="313">
        <f t="shared" si="96"/>
        <v>0</v>
      </c>
      <c r="AR36" s="309">
        <v>0</v>
      </c>
      <c r="AS36" s="314">
        <v>0</v>
      </c>
      <c r="AT36" s="309"/>
      <c r="AU36" s="310"/>
      <c r="AV36" s="310"/>
      <c r="AW36" s="309"/>
    </row>
    <row r="37" spans="1:51" x14ac:dyDescent="0.2">
      <c r="A37" s="86">
        <f t="shared" si="4"/>
        <v>30</v>
      </c>
      <c r="B37" s="723"/>
      <c r="C37" s="742" t="s">
        <v>78</v>
      </c>
      <c r="D37" s="153"/>
      <c r="E37" s="123"/>
      <c r="F37" s="123"/>
      <c r="G37" s="153"/>
      <c r="H37" s="153"/>
      <c r="I37" s="368"/>
      <c r="J37" s="773"/>
      <c r="K37" s="157"/>
      <c r="L37" s="273"/>
      <c r="M37" s="55"/>
      <c r="N37" s="122"/>
      <c r="O37" s="122"/>
      <c r="P37" s="122"/>
      <c r="Q37" s="774"/>
      <c r="R37" s="157"/>
      <c r="S37" s="298"/>
      <c r="T37" s="299"/>
      <c r="U37" s="300"/>
      <c r="V37" s="301"/>
      <c r="W37" s="157"/>
      <c r="X37" s="315">
        <f>SUM(X35:X36)</f>
        <v>0</v>
      </c>
      <c r="Y37" s="316">
        <f t="shared" ref="Y37:Z37" si="97">SUM(Y35:Y36)</f>
        <v>0</v>
      </c>
      <c r="Z37" s="317">
        <f t="shared" si="97"/>
        <v>0</v>
      </c>
      <c r="AA37" s="309"/>
      <c r="AB37" s="315">
        <f>SUM(AB35:AB36)</f>
        <v>0</v>
      </c>
      <c r="AC37" s="316">
        <f t="shared" ref="AC37:AD37" si="98">SUM(AC35:AC36)</f>
        <v>0</v>
      </c>
      <c r="AD37" s="317">
        <f t="shared" si="98"/>
        <v>0</v>
      </c>
      <c r="AE37" s="309"/>
      <c r="AF37" s="315">
        <f>SUM(AF35:AF36)</f>
        <v>0</v>
      </c>
      <c r="AG37" s="316">
        <f t="shared" ref="AG37:AH37" si="99">SUM(AG35:AG36)</f>
        <v>0</v>
      </c>
      <c r="AH37" s="317">
        <f t="shared" si="99"/>
        <v>0</v>
      </c>
      <c r="AI37" s="309"/>
      <c r="AJ37" s="315">
        <f>SUM(AJ35:AJ36)</f>
        <v>0</v>
      </c>
      <c r="AK37" s="316">
        <f t="shared" ref="AK37:AL37" si="100">SUM(AK35:AK36)</f>
        <v>0</v>
      </c>
      <c r="AL37" s="317">
        <f t="shared" si="100"/>
        <v>0</v>
      </c>
      <c r="AM37" s="309"/>
      <c r="AN37" s="338" t="e">
        <f>SUM(AJ37:AL37)/SUM(X37:Z37)</f>
        <v>#DIV/0!</v>
      </c>
      <c r="AO37" s="339" t="e">
        <f t="shared" si="16"/>
        <v>#DIV/0!</v>
      </c>
      <c r="AP37" s="309"/>
      <c r="AQ37" s="315">
        <f>SUM(AQ35:AQ36)</f>
        <v>0</v>
      </c>
      <c r="AR37" s="316">
        <f t="shared" ref="AR37:AS37" si="101">SUM(AR35:AR36)</f>
        <v>0</v>
      </c>
      <c r="AS37" s="317">
        <f t="shared" si="101"/>
        <v>0</v>
      </c>
      <c r="AT37" s="309"/>
      <c r="AU37" s="310"/>
      <c r="AV37" s="310"/>
      <c r="AW37" s="309"/>
    </row>
    <row r="38" spans="1:51" x14ac:dyDescent="0.2">
      <c r="A38" s="86">
        <f t="shared" si="4"/>
        <v>31</v>
      </c>
      <c r="B38" s="725" t="str">
        <f>'WA Volumes &amp; Revenues'!B33</f>
        <v>42C Firm Sales</v>
      </c>
      <c r="C38" s="726" t="s">
        <v>4</v>
      </c>
      <c r="D38" s="157"/>
      <c r="E38" s="122">
        <f>'Rates in Detail'!Y31</f>
        <v>2.1080000000000002E-2</v>
      </c>
      <c r="F38" s="122">
        <f>'Rates in Detail'!Z31</f>
        <v>-2.9999999999999997E-4</v>
      </c>
      <c r="G38" s="157"/>
      <c r="H38" s="157"/>
      <c r="I38" s="373">
        <f>'Rev Req Proof Yr2'!H38</f>
        <v>0.19431999999999999</v>
      </c>
      <c r="J38" s="774">
        <f t="shared" si="10"/>
        <v>0.21539999999999998</v>
      </c>
      <c r="K38" s="157"/>
      <c r="L38" s="155">
        <f>'Rev Req Proof Yr1'!K38</f>
        <v>1300</v>
      </c>
      <c r="M38" s="156">
        <f>'Rev Req Proof Yr1'!L38</f>
        <v>1300</v>
      </c>
      <c r="N38" s="122">
        <f>'Rev Req Proof Yr1'!M38</f>
        <v>0.15748000000000001</v>
      </c>
      <c r="O38" s="122">
        <f>'Rev Req Proof Yr1'!N38</f>
        <v>0.15748000000000001</v>
      </c>
      <c r="P38" s="122">
        <f>'Rev Req Proof Yr1'!O38</f>
        <v>0.20415</v>
      </c>
      <c r="Q38" s="774">
        <f>'Rev Req Proof Yr1'!P38</f>
        <v>0.20415</v>
      </c>
      <c r="R38" s="157"/>
      <c r="S38" s="298">
        <f>'Rev Req Proof Yr1'!R38</f>
        <v>350769.66174469434</v>
      </c>
      <c r="T38" s="299">
        <f>'Rev Req Proof Yr1'!S38</f>
        <v>6761</v>
      </c>
      <c r="U38" s="300">
        <f>'Rev Req Proof Yr1'!T38</f>
        <v>5</v>
      </c>
      <c r="V38" s="301">
        <f>'Rev Req Proof Yr1'!U38</f>
        <v>11949</v>
      </c>
      <c r="W38" s="157"/>
      <c r="X38" s="313">
        <f t="shared" ref="X38:X43" si="102">(I38*S38)</f>
        <v>68161.560670228995</v>
      </c>
      <c r="Y38" s="309">
        <f t="shared" ref="Y38:Y43" si="103">(L38*U38*12)</f>
        <v>78000</v>
      </c>
      <c r="Z38" s="314">
        <f t="shared" ref="Z38:Z43" si="104">(T38*(N38+P38))*12</f>
        <v>29339.765160000003</v>
      </c>
      <c r="AA38" s="309"/>
      <c r="AB38" s="313">
        <f t="shared" ref="AB38:AB43" si="105">(J38*S38)</f>
        <v>75555.785139807151</v>
      </c>
      <c r="AC38" s="309">
        <f t="shared" ref="AC38:AC43" si="106">(M38*U38*12)</f>
        <v>78000</v>
      </c>
      <c r="AD38" s="314">
        <f t="shared" ref="AD38:AD43" si="107">(T38*(O38+Q38))*12</f>
        <v>29339.765160000003</v>
      </c>
      <c r="AE38" s="309"/>
      <c r="AF38" s="313">
        <f t="shared" ref="AF38:AF43" si="108">(F38*S38)</f>
        <v>-105.2308985234083</v>
      </c>
      <c r="AG38" s="309">
        <v>0</v>
      </c>
      <c r="AH38" s="314">
        <v>0</v>
      </c>
      <c r="AI38" s="309"/>
      <c r="AJ38" s="313">
        <f t="shared" ref="AJ38:AJ43" si="109">AB38-X38+AF38</f>
        <v>7288.993571054747</v>
      </c>
      <c r="AK38" s="309">
        <f t="shared" ref="AK38:AL43" si="110">AC38-Y38-AG38</f>
        <v>0</v>
      </c>
      <c r="AL38" s="314">
        <f t="shared" si="110"/>
        <v>0</v>
      </c>
      <c r="AM38" s="309"/>
      <c r="AN38" s="338"/>
      <c r="AO38" s="340">
        <f t="shared" si="16"/>
        <v>0.10693701111568546</v>
      </c>
      <c r="AP38" s="309"/>
      <c r="AQ38" s="313">
        <f t="shared" ref="AQ38:AQ43" si="111">(G38*S38)</f>
        <v>0</v>
      </c>
      <c r="AR38" s="309">
        <v>0</v>
      </c>
      <c r="AS38" s="314">
        <v>0</v>
      </c>
      <c r="AT38" s="309"/>
      <c r="AU38" s="310"/>
      <c r="AV38" s="310"/>
      <c r="AW38" s="309"/>
    </row>
    <row r="39" spans="1:51" x14ac:dyDescent="0.2">
      <c r="A39" s="86">
        <f t="shared" si="4"/>
        <v>32</v>
      </c>
      <c r="B39" s="725"/>
      <c r="C39" s="726" t="s">
        <v>5</v>
      </c>
      <c r="D39" s="157"/>
      <c r="E39" s="122">
        <f>'Rates in Detail'!Y32</f>
        <v>1.8859999999999998E-2</v>
      </c>
      <c r="F39" s="122">
        <f>'Rates in Detail'!Z32</f>
        <v>-2.7E-4</v>
      </c>
      <c r="G39" s="157"/>
      <c r="H39" s="157"/>
      <c r="I39" s="373">
        <f>'Rev Req Proof Yr2'!H39</f>
        <v>0.17393</v>
      </c>
      <c r="J39" s="774">
        <f t="shared" si="10"/>
        <v>0.19278999999999999</v>
      </c>
      <c r="K39" s="157"/>
      <c r="L39" s="155"/>
      <c r="M39" s="156"/>
      <c r="N39" s="122"/>
      <c r="O39" s="122"/>
      <c r="P39" s="122"/>
      <c r="Q39" s="774"/>
      <c r="R39" s="157"/>
      <c r="S39" s="298">
        <f>'Rev Req Proof Yr1'!R39</f>
        <v>303088.75426472601</v>
      </c>
      <c r="T39" s="299"/>
      <c r="U39" s="300"/>
      <c r="V39" s="301"/>
      <c r="W39" s="157"/>
      <c r="X39" s="313">
        <f t="shared" si="102"/>
        <v>52716.227029263799</v>
      </c>
      <c r="Y39" s="309">
        <f t="shared" si="103"/>
        <v>0</v>
      </c>
      <c r="Z39" s="314">
        <f t="shared" si="104"/>
        <v>0</v>
      </c>
      <c r="AA39" s="309"/>
      <c r="AB39" s="313">
        <f t="shared" si="105"/>
        <v>58432.480934696527</v>
      </c>
      <c r="AC39" s="309">
        <f t="shared" si="106"/>
        <v>0</v>
      </c>
      <c r="AD39" s="314">
        <f t="shared" si="107"/>
        <v>0</v>
      </c>
      <c r="AE39" s="309"/>
      <c r="AF39" s="313">
        <f t="shared" si="108"/>
        <v>-81.833963651476026</v>
      </c>
      <c r="AG39" s="309">
        <v>0</v>
      </c>
      <c r="AH39" s="314">
        <v>0</v>
      </c>
      <c r="AI39" s="309"/>
      <c r="AJ39" s="313">
        <f t="shared" si="109"/>
        <v>5634.4199417812524</v>
      </c>
      <c r="AK39" s="309">
        <f t="shared" si="110"/>
        <v>0</v>
      </c>
      <c r="AL39" s="314">
        <f t="shared" si="110"/>
        <v>0</v>
      </c>
      <c r="AM39" s="309"/>
      <c r="AN39" s="338"/>
      <c r="AO39" s="340">
        <f t="shared" si="16"/>
        <v>0.10688207899729768</v>
      </c>
      <c r="AP39" s="309"/>
      <c r="AQ39" s="313">
        <f t="shared" si="111"/>
        <v>0</v>
      </c>
      <c r="AR39" s="309">
        <v>0</v>
      </c>
      <c r="AS39" s="314">
        <v>0</v>
      </c>
      <c r="AT39" s="309"/>
      <c r="AU39" s="310"/>
      <c r="AV39" s="310"/>
      <c r="AW39" s="309"/>
    </row>
    <row r="40" spans="1:51" x14ac:dyDescent="0.2">
      <c r="A40" s="86">
        <f t="shared" si="4"/>
        <v>33</v>
      </c>
      <c r="B40" s="725"/>
      <c r="C40" s="726" t="s">
        <v>6</v>
      </c>
      <c r="D40" s="157"/>
      <c r="E40" s="122">
        <f>'Rates in Detail'!Y33</f>
        <v>1.447E-2</v>
      </c>
      <c r="F40" s="122">
        <f>'Rates in Detail'!Z33</f>
        <v>-2.0000000000000001E-4</v>
      </c>
      <c r="G40" s="157"/>
      <c r="H40" s="157"/>
      <c r="I40" s="373">
        <f>'Rev Req Proof Yr2'!H40</f>
        <v>0.13341</v>
      </c>
      <c r="J40" s="774">
        <f t="shared" si="10"/>
        <v>0.14788000000000001</v>
      </c>
      <c r="K40" s="157"/>
      <c r="L40" s="273"/>
      <c r="M40" s="55"/>
      <c r="N40" s="122"/>
      <c r="O40" s="122"/>
      <c r="P40" s="122"/>
      <c r="Q40" s="774"/>
      <c r="R40" s="157"/>
      <c r="S40" s="298">
        <f>'Rev Req Proof Yr1'!R40</f>
        <v>59441.942130257296</v>
      </c>
      <c r="T40" s="299"/>
      <c r="U40" s="300"/>
      <c r="V40" s="301"/>
      <c r="W40" s="157"/>
      <c r="X40" s="313">
        <f t="shared" si="102"/>
        <v>7930.1494995976254</v>
      </c>
      <c r="Y40" s="309">
        <f t="shared" si="103"/>
        <v>0</v>
      </c>
      <c r="Z40" s="314">
        <f t="shared" si="104"/>
        <v>0</v>
      </c>
      <c r="AA40" s="309"/>
      <c r="AB40" s="313">
        <f t="shared" si="105"/>
        <v>8790.2744022224488</v>
      </c>
      <c r="AC40" s="309">
        <f t="shared" si="106"/>
        <v>0</v>
      </c>
      <c r="AD40" s="314">
        <f t="shared" si="107"/>
        <v>0</v>
      </c>
      <c r="AE40" s="309"/>
      <c r="AF40" s="313">
        <f t="shared" si="108"/>
        <v>-11.88838842605146</v>
      </c>
      <c r="AG40" s="309">
        <v>0</v>
      </c>
      <c r="AH40" s="314">
        <v>0</v>
      </c>
      <c r="AI40" s="309"/>
      <c r="AJ40" s="313">
        <f t="shared" si="109"/>
        <v>848.23651419877183</v>
      </c>
      <c r="AK40" s="309">
        <f t="shared" si="110"/>
        <v>0</v>
      </c>
      <c r="AL40" s="314">
        <f t="shared" si="110"/>
        <v>0</v>
      </c>
      <c r="AM40" s="309"/>
      <c r="AN40" s="338"/>
      <c r="AO40" s="340">
        <f t="shared" si="16"/>
        <v>0.1069634959898059</v>
      </c>
      <c r="AP40" s="309"/>
      <c r="AQ40" s="313">
        <f t="shared" si="111"/>
        <v>0</v>
      </c>
      <c r="AR40" s="309">
        <v>0</v>
      </c>
      <c r="AS40" s="314">
        <v>0</v>
      </c>
      <c r="AT40" s="309"/>
      <c r="AU40" s="310"/>
      <c r="AV40" s="310"/>
      <c r="AW40" s="309"/>
    </row>
    <row r="41" spans="1:51" x14ac:dyDescent="0.2">
      <c r="A41" s="86">
        <f t="shared" si="4"/>
        <v>34</v>
      </c>
      <c r="B41" s="725"/>
      <c r="C41" s="726" t="s">
        <v>7</v>
      </c>
      <c r="D41" s="157"/>
      <c r="E41" s="122">
        <f>'Rates in Detail'!Y34</f>
        <v>1.157E-2</v>
      </c>
      <c r="F41" s="122">
        <f>'Rates in Detail'!Z34</f>
        <v>-1.6000000000000001E-4</v>
      </c>
      <c r="G41" s="157"/>
      <c r="H41" s="157"/>
      <c r="I41" s="373">
        <f>'Rev Req Proof Yr2'!H41</f>
        <v>0.10671</v>
      </c>
      <c r="J41" s="774">
        <f t="shared" si="10"/>
        <v>0.11828</v>
      </c>
      <c r="K41" s="157"/>
      <c r="L41" s="155"/>
      <c r="M41" s="156"/>
      <c r="N41" s="122"/>
      <c r="O41" s="122"/>
      <c r="P41" s="122"/>
      <c r="Q41" s="774"/>
      <c r="R41" s="157"/>
      <c r="S41" s="298">
        <f>'Rev Req Proof Yr1'!R41</f>
        <v>3614.6071898605187</v>
      </c>
      <c r="T41" s="299"/>
      <c r="U41" s="300"/>
      <c r="V41" s="301"/>
      <c r="W41" s="157"/>
      <c r="X41" s="313">
        <f t="shared" si="102"/>
        <v>385.71473323001595</v>
      </c>
      <c r="Y41" s="309">
        <f t="shared" si="103"/>
        <v>0</v>
      </c>
      <c r="Z41" s="314">
        <f t="shared" si="104"/>
        <v>0</v>
      </c>
      <c r="AA41" s="309"/>
      <c r="AB41" s="313">
        <f t="shared" si="105"/>
        <v>427.53573841670215</v>
      </c>
      <c r="AC41" s="309">
        <f t="shared" si="106"/>
        <v>0</v>
      </c>
      <c r="AD41" s="314">
        <f t="shared" si="107"/>
        <v>0</v>
      </c>
      <c r="AE41" s="309"/>
      <c r="AF41" s="313">
        <f t="shared" si="108"/>
        <v>-0.57833715037768307</v>
      </c>
      <c r="AG41" s="309">
        <v>0</v>
      </c>
      <c r="AH41" s="314">
        <v>0</v>
      </c>
      <c r="AI41" s="309"/>
      <c r="AJ41" s="313">
        <f t="shared" si="109"/>
        <v>41.242668036308508</v>
      </c>
      <c r="AK41" s="309">
        <f t="shared" si="110"/>
        <v>0</v>
      </c>
      <c r="AL41" s="314">
        <f t="shared" si="110"/>
        <v>0</v>
      </c>
      <c r="AM41" s="309"/>
      <c r="AN41" s="338"/>
      <c r="AO41" s="340">
        <f t="shared" si="16"/>
        <v>0.10692531159216566</v>
      </c>
      <c r="AP41" s="309"/>
      <c r="AQ41" s="313">
        <f t="shared" si="111"/>
        <v>0</v>
      </c>
      <c r="AR41" s="309">
        <v>0</v>
      </c>
      <c r="AS41" s="314">
        <v>0</v>
      </c>
      <c r="AT41" s="309"/>
      <c r="AU41" s="310"/>
      <c r="AV41" s="310"/>
      <c r="AW41" s="309"/>
    </row>
    <row r="42" spans="1:51" x14ac:dyDescent="0.2">
      <c r="A42" s="86">
        <f t="shared" si="4"/>
        <v>35</v>
      </c>
      <c r="B42" s="725"/>
      <c r="C42" s="726" t="s">
        <v>8</v>
      </c>
      <c r="D42" s="157"/>
      <c r="E42" s="122">
        <f>'Rates in Detail'!Y35</f>
        <v>7.7099999999999998E-3</v>
      </c>
      <c r="F42" s="122">
        <f>'Rates in Detail'!Z35</f>
        <v>-1.1E-4</v>
      </c>
      <c r="G42" s="157"/>
      <c r="H42" s="157"/>
      <c r="I42" s="373">
        <f>'Rev Req Proof Yr2'!H42</f>
        <v>7.1129999999999999E-2</v>
      </c>
      <c r="J42" s="774">
        <f t="shared" si="10"/>
        <v>7.8839999999999993E-2</v>
      </c>
      <c r="K42" s="157"/>
      <c r="L42" s="155"/>
      <c r="M42" s="156"/>
      <c r="N42" s="122"/>
      <c r="O42" s="122"/>
      <c r="P42" s="122"/>
      <c r="Q42" s="774"/>
      <c r="R42" s="157"/>
      <c r="S42" s="298">
        <f>'Rev Req Proof Yr1'!R42</f>
        <v>0</v>
      </c>
      <c r="T42" s="299"/>
      <c r="U42" s="300"/>
      <c r="V42" s="301"/>
      <c r="W42" s="157"/>
      <c r="X42" s="313">
        <f t="shared" si="102"/>
        <v>0</v>
      </c>
      <c r="Y42" s="309">
        <f t="shared" si="103"/>
        <v>0</v>
      </c>
      <c r="Z42" s="314">
        <f t="shared" si="104"/>
        <v>0</v>
      </c>
      <c r="AA42" s="309"/>
      <c r="AB42" s="313">
        <f t="shared" si="105"/>
        <v>0</v>
      </c>
      <c r="AC42" s="309">
        <f t="shared" si="106"/>
        <v>0</v>
      </c>
      <c r="AD42" s="314">
        <f t="shared" si="107"/>
        <v>0</v>
      </c>
      <c r="AE42" s="309"/>
      <c r="AF42" s="313">
        <f t="shared" si="108"/>
        <v>0</v>
      </c>
      <c r="AG42" s="309">
        <v>0</v>
      </c>
      <c r="AH42" s="314">
        <v>0</v>
      </c>
      <c r="AI42" s="309"/>
      <c r="AJ42" s="313">
        <f t="shared" si="109"/>
        <v>0</v>
      </c>
      <c r="AK42" s="309">
        <f t="shared" si="110"/>
        <v>0</v>
      </c>
      <c r="AL42" s="314">
        <f t="shared" si="110"/>
        <v>0</v>
      </c>
      <c r="AM42" s="309"/>
      <c r="AN42" s="338"/>
      <c r="AO42" s="340">
        <f>AO41</f>
        <v>0.10692531159216566</v>
      </c>
      <c r="AP42" s="309"/>
      <c r="AQ42" s="313">
        <f t="shared" si="111"/>
        <v>0</v>
      </c>
      <c r="AR42" s="309">
        <v>0</v>
      </c>
      <c r="AS42" s="314">
        <v>0</v>
      </c>
      <c r="AT42" s="309"/>
      <c r="AU42" s="310"/>
      <c r="AV42" s="310"/>
      <c r="AW42" s="309"/>
    </row>
    <row r="43" spans="1:51" x14ac:dyDescent="0.2">
      <c r="A43" s="86">
        <f t="shared" si="4"/>
        <v>36</v>
      </c>
      <c r="B43" s="725"/>
      <c r="C43" s="726" t="s">
        <v>9</v>
      </c>
      <c r="D43" s="157"/>
      <c r="E43" s="122">
        <f>'Rates in Detail'!Y36</f>
        <v>2.8900000000000002E-3</v>
      </c>
      <c r="F43" s="122">
        <f>'Rates in Detail'!Z36</f>
        <v>-4.0000000000000003E-5</v>
      </c>
      <c r="G43" s="157"/>
      <c r="H43" s="157"/>
      <c r="I43" s="373">
        <f>'Rev Req Proof Yr2'!H43</f>
        <v>2.6669999999999999E-2</v>
      </c>
      <c r="J43" s="774">
        <f t="shared" si="10"/>
        <v>2.9559999999999999E-2</v>
      </c>
      <c r="K43" s="157"/>
      <c r="L43" s="273"/>
      <c r="M43" s="55"/>
      <c r="N43" s="122"/>
      <c r="O43" s="122"/>
      <c r="P43" s="122"/>
      <c r="Q43" s="774"/>
      <c r="R43" s="157"/>
      <c r="S43" s="298">
        <f>'Rev Req Proof Yr1'!R43</f>
        <v>0</v>
      </c>
      <c r="T43" s="299"/>
      <c r="U43" s="300"/>
      <c r="V43" s="301"/>
      <c r="W43" s="157"/>
      <c r="X43" s="313">
        <f t="shared" si="102"/>
        <v>0</v>
      </c>
      <c r="Y43" s="309">
        <f t="shared" si="103"/>
        <v>0</v>
      </c>
      <c r="Z43" s="314">
        <f t="shared" si="104"/>
        <v>0</v>
      </c>
      <c r="AA43" s="309"/>
      <c r="AB43" s="313">
        <f t="shared" si="105"/>
        <v>0</v>
      </c>
      <c r="AC43" s="309">
        <f t="shared" si="106"/>
        <v>0</v>
      </c>
      <c r="AD43" s="314">
        <f t="shared" si="107"/>
        <v>0</v>
      </c>
      <c r="AE43" s="309"/>
      <c r="AF43" s="313">
        <f t="shared" si="108"/>
        <v>0</v>
      </c>
      <c r="AG43" s="309">
        <v>0</v>
      </c>
      <c r="AH43" s="314">
        <v>0</v>
      </c>
      <c r="AI43" s="309"/>
      <c r="AJ43" s="313">
        <f t="shared" si="109"/>
        <v>0</v>
      </c>
      <c r="AK43" s="309">
        <f t="shared" si="110"/>
        <v>0</v>
      </c>
      <c r="AL43" s="314">
        <f t="shared" si="110"/>
        <v>0</v>
      </c>
      <c r="AM43" s="309"/>
      <c r="AN43" s="338"/>
      <c r="AO43" s="340">
        <f>AO42</f>
        <v>0.10692531159216566</v>
      </c>
      <c r="AP43" s="309"/>
      <c r="AQ43" s="313">
        <f t="shared" si="111"/>
        <v>0</v>
      </c>
      <c r="AR43" s="309">
        <v>0</v>
      </c>
      <c r="AS43" s="314">
        <v>0</v>
      </c>
      <c r="AT43" s="309"/>
      <c r="AU43" s="310"/>
      <c r="AV43" s="310"/>
      <c r="AW43" s="309"/>
    </row>
    <row r="44" spans="1:51" x14ac:dyDescent="0.2">
      <c r="A44" s="86">
        <f t="shared" si="4"/>
        <v>37</v>
      </c>
      <c r="B44" s="723"/>
      <c r="C44" s="742" t="s">
        <v>78</v>
      </c>
      <c r="D44" s="153"/>
      <c r="E44" s="123"/>
      <c r="F44" s="123"/>
      <c r="G44" s="153"/>
      <c r="H44" s="153"/>
      <c r="I44" s="368"/>
      <c r="J44" s="773"/>
      <c r="K44" s="157"/>
      <c r="L44" s="273"/>
      <c r="M44" s="55"/>
      <c r="N44" s="122"/>
      <c r="O44" s="122"/>
      <c r="P44" s="122"/>
      <c r="Q44" s="774"/>
      <c r="R44" s="157"/>
      <c r="S44" s="298"/>
      <c r="T44" s="299"/>
      <c r="U44" s="300"/>
      <c r="V44" s="301"/>
      <c r="W44" s="157"/>
      <c r="X44" s="315">
        <f>SUM(X38:X43)</f>
        <v>129193.65193232044</v>
      </c>
      <c r="Y44" s="316">
        <f>SUM(Y38:Y43)</f>
        <v>78000</v>
      </c>
      <c r="Z44" s="317">
        <f>SUM(Z38:Z43)</f>
        <v>29339.765160000003</v>
      </c>
      <c r="AA44" s="309"/>
      <c r="AB44" s="315">
        <f>SUM(AB38:AB43)</f>
        <v>143206.07621514285</v>
      </c>
      <c r="AC44" s="316">
        <f>SUM(AC38:AC43)</f>
        <v>78000</v>
      </c>
      <c r="AD44" s="317">
        <f>SUM(AD38:AD43)</f>
        <v>29339.765160000003</v>
      </c>
      <c r="AE44" s="309"/>
      <c r="AF44" s="315">
        <f>SUM(AF38:AF43)</f>
        <v>-199.53158775131345</v>
      </c>
      <c r="AG44" s="316">
        <f>SUM(AG38:AG43)</f>
        <v>0</v>
      </c>
      <c r="AH44" s="317">
        <f>SUM(AH38:AH43)</f>
        <v>0</v>
      </c>
      <c r="AI44" s="309"/>
      <c r="AJ44" s="315">
        <f>SUM(AJ38:AJ43)</f>
        <v>13812.892695071079</v>
      </c>
      <c r="AK44" s="316">
        <f>SUM(AK38:AK43)</f>
        <v>0</v>
      </c>
      <c r="AL44" s="317">
        <f>SUM(AL38:AL43)</f>
        <v>0</v>
      </c>
      <c r="AM44" s="309"/>
      <c r="AN44" s="338">
        <f>SUM(AJ44:AL44)/SUM(X44:Z44)</f>
        <v>5.8397214503013849E-2</v>
      </c>
      <c r="AO44" s="339">
        <f>SUM(AJ44)/SUM(X44)</f>
        <v>0.10691618735498799</v>
      </c>
      <c r="AP44" s="309"/>
      <c r="AQ44" s="315">
        <f>SUM(AQ38:AQ43)</f>
        <v>0</v>
      </c>
      <c r="AR44" s="316">
        <f>SUM(AR38:AR43)</f>
        <v>0</v>
      </c>
      <c r="AS44" s="317">
        <f>SUM(AS38:AS43)</f>
        <v>0</v>
      </c>
      <c r="AT44" s="309"/>
      <c r="AU44" s="310"/>
      <c r="AV44" s="310"/>
      <c r="AW44" s="309"/>
    </row>
    <row r="45" spans="1:51" x14ac:dyDescent="0.2">
      <c r="A45" s="86">
        <f t="shared" si="4"/>
        <v>38</v>
      </c>
      <c r="B45" s="725" t="str">
        <f>'WA Volumes &amp; Revenues'!B39</f>
        <v>42I Firm Sales</v>
      </c>
      <c r="C45" s="726" t="s">
        <v>4</v>
      </c>
      <c r="D45" s="157"/>
      <c r="E45" s="122">
        <f>'Rates in Detail'!Y37</f>
        <v>1.8749999999999999E-2</v>
      </c>
      <c r="F45" s="122">
        <f>'Rates in Detail'!Z37</f>
        <v>-2.7E-4</v>
      </c>
      <c r="G45" s="157"/>
      <c r="H45" s="157"/>
      <c r="I45" s="373">
        <f>'Rev Req Proof Yr2'!H45</f>
        <v>0.18443999999999999</v>
      </c>
      <c r="J45" s="774">
        <f t="shared" si="10"/>
        <v>0.20318999999999998</v>
      </c>
      <c r="K45" s="157"/>
      <c r="L45" s="155">
        <f>'Rev Req Proof Yr1'!K45</f>
        <v>1300</v>
      </c>
      <c r="M45" s="156">
        <f>'Rev Req Proof Yr1'!L45</f>
        <v>1300</v>
      </c>
      <c r="N45" s="122">
        <f>'Rev Req Proof Yr1'!M45</f>
        <v>0.15748000000000001</v>
      </c>
      <c r="O45" s="122">
        <f>'Rev Req Proof Yr1'!N45</f>
        <v>0.15748000000000001</v>
      </c>
      <c r="P45" s="122">
        <f>'Rev Req Proof Yr1'!O45</f>
        <v>0.20415</v>
      </c>
      <c r="Q45" s="774">
        <f>'Rev Req Proof Yr1'!P45</f>
        <v>0.20415</v>
      </c>
      <c r="R45" s="157"/>
      <c r="S45" s="298">
        <f>'Rev Req Proof Yr1'!R45</f>
        <v>1093724.2000000002</v>
      </c>
      <c r="T45" s="299">
        <f>'Rev Req Proof Yr1'!S45</f>
        <v>9556</v>
      </c>
      <c r="U45" s="300">
        <f>'Rev Req Proof Yr1'!T45</f>
        <v>11.916666666666666</v>
      </c>
      <c r="V45" s="301">
        <f>'Rev Req Proof Yr1'!U45</f>
        <v>12869</v>
      </c>
      <c r="W45" s="157"/>
      <c r="X45" s="313">
        <f t="shared" ref="X45:X50" si="112">(I45*S45)</f>
        <v>201726.49144800002</v>
      </c>
      <c r="Y45" s="309">
        <f t="shared" ref="Y45:Y50" si="113">(L45*U45*12)</f>
        <v>185900</v>
      </c>
      <c r="Z45" s="314">
        <f t="shared" ref="Z45:Z50" si="114">(T45*(N45+P45))*12</f>
        <v>41468.835359999997</v>
      </c>
      <c r="AA45" s="309"/>
      <c r="AB45" s="313">
        <f t="shared" ref="AB45:AB50" si="115">(J45*S45)</f>
        <v>222233.82019800003</v>
      </c>
      <c r="AC45" s="309">
        <f t="shared" ref="AC45:AC50" si="116">(M45*U45*12)</f>
        <v>185900</v>
      </c>
      <c r="AD45" s="314">
        <f t="shared" ref="AD45:AD50" si="117">(T45*(O45+Q45))*12</f>
        <v>41468.835359999997</v>
      </c>
      <c r="AE45" s="309"/>
      <c r="AF45" s="313">
        <f t="shared" ref="AF45:AF50" si="118">(F45*S45)</f>
        <v>-295.30553400000008</v>
      </c>
      <c r="AG45" s="309">
        <v>0</v>
      </c>
      <c r="AH45" s="314">
        <v>0</v>
      </c>
      <c r="AI45" s="309"/>
      <c r="AJ45" s="313">
        <f t="shared" ref="AJ45:AJ50" si="119">AB45-X45+AF45</f>
        <v>20212.023216000016</v>
      </c>
      <c r="AK45" s="309">
        <f t="shared" ref="AK45:AL50" si="120">AC45-Y45-AG45</f>
        <v>0</v>
      </c>
      <c r="AL45" s="314">
        <f t="shared" si="120"/>
        <v>0</v>
      </c>
      <c r="AM45" s="309"/>
      <c r="AN45" s="338"/>
      <c r="AO45" s="340">
        <f>SUM(AJ45)/SUM(X45)</f>
        <v>0.10019518542615492</v>
      </c>
      <c r="AP45" s="309"/>
      <c r="AQ45" s="313">
        <f t="shared" ref="AQ45:AQ50" si="121">(G45*S45)</f>
        <v>0</v>
      </c>
      <c r="AR45" s="309">
        <v>0</v>
      </c>
      <c r="AS45" s="314">
        <v>0</v>
      </c>
      <c r="AT45" s="309"/>
      <c r="AU45" s="310"/>
      <c r="AV45" s="310"/>
      <c r="AW45" s="309"/>
    </row>
    <row r="46" spans="1:51" x14ac:dyDescent="0.2">
      <c r="A46" s="86">
        <f t="shared" si="4"/>
        <v>39</v>
      </c>
      <c r="B46" s="725"/>
      <c r="C46" s="726" t="s">
        <v>5</v>
      </c>
      <c r="D46" s="157"/>
      <c r="E46" s="122">
        <f>'Rates in Detail'!Y38</f>
        <v>1.678E-2</v>
      </c>
      <c r="F46" s="122">
        <f>'Rates in Detail'!Z38</f>
        <v>-2.4000000000000001E-4</v>
      </c>
      <c r="G46" s="157"/>
      <c r="H46" s="157"/>
      <c r="I46" s="373">
        <f>'Rev Req Proof Yr2'!H46</f>
        <v>0.1651</v>
      </c>
      <c r="J46" s="774">
        <f t="shared" si="10"/>
        <v>0.18187999999999999</v>
      </c>
      <c r="K46" s="157"/>
      <c r="L46" s="155"/>
      <c r="M46" s="156"/>
      <c r="N46" s="122"/>
      <c r="O46" s="122"/>
      <c r="P46" s="122"/>
      <c r="Q46" s="774"/>
      <c r="R46" s="157"/>
      <c r="S46" s="298">
        <f>'Rev Req Proof Yr1'!R46</f>
        <v>655939.80000000005</v>
      </c>
      <c r="T46" s="299"/>
      <c r="U46" s="300"/>
      <c r="V46" s="301"/>
      <c r="W46" s="157"/>
      <c r="X46" s="313">
        <f t="shared" si="112"/>
        <v>108295.66098</v>
      </c>
      <c r="Y46" s="309">
        <f t="shared" si="113"/>
        <v>0</v>
      </c>
      <c r="Z46" s="314">
        <f t="shared" si="114"/>
        <v>0</v>
      </c>
      <c r="AA46" s="309"/>
      <c r="AB46" s="313">
        <f t="shared" si="115"/>
        <v>119302.330824</v>
      </c>
      <c r="AC46" s="309">
        <f t="shared" si="116"/>
        <v>0</v>
      </c>
      <c r="AD46" s="314">
        <f t="shared" si="117"/>
        <v>0</v>
      </c>
      <c r="AE46" s="309"/>
      <c r="AF46" s="313">
        <f t="shared" si="118"/>
        <v>-157.42555200000001</v>
      </c>
      <c r="AG46" s="309">
        <v>0</v>
      </c>
      <c r="AH46" s="314">
        <v>0</v>
      </c>
      <c r="AI46" s="309"/>
      <c r="AJ46" s="313">
        <f t="shared" si="119"/>
        <v>10849.244292000003</v>
      </c>
      <c r="AK46" s="309">
        <f t="shared" si="120"/>
        <v>0</v>
      </c>
      <c r="AL46" s="314">
        <f t="shared" si="120"/>
        <v>0</v>
      </c>
      <c r="AM46" s="309"/>
      <c r="AN46" s="338"/>
      <c r="AO46" s="340">
        <f>SUM(AJ46)/SUM(X46)</f>
        <v>0.10018170805572384</v>
      </c>
      <c r="AP46" s="309"/>
      <c r="AQ46" s="313">
        <f t="shared" si="121"/>
        <v>0</v>
      </c>
      <c r="AR46" s="309">
        <v>0</v>
      </c>
      <c r="AS46" s="314">
        <v>0</v>
      </c>
      <c r="AT46" s="309"/>
      <c r="AU46" s="310"/>
      <c r="AV46" s="310"/>
      <c r="AW46" s="309"/>
    </row>
    <row r="47" spans="1:51" x14ac:dyDescent="0.2">
      <c r="A47" s="86">
        <f t="shared" si="4"/>
        <v>40</v>
      </c>
      <c r="B47" s="725"/>
      <c r="C47" s="726" t="s">
        <v>6</v>
      </c>
      <c r="D47" s="157"/>
      <c r="E47" s="122">
        <f>'Rates in Detail'!Y39</f>
        <v>1.2869999999999999E-2</v>
      </c>
      <c r="F47" s="122">
        <f>'Rates in Detail'!Z39</f>
        <v>-1.8000000000000001E-4</v>
      </c>
      <c r="G47" s="157"/>
      <c r="H47" s="157"/>
      <c r="I47" s="373">
        <f>'Rev Req Proof Yr2'!H47</f>
        <v>0.12659999999999999</v>
      </c>
      <c r="J47" s="774">
        <f t="shared" si="10"/>
        <v>0.13946999999999998</v>
      </c>
      <c r="K47" s="157"/>
      <c r="L47" s="155"/>
      <c r="M47" s="156"/>
      <c r="N47" s="122"/>
      <c r="O47" s="122"/>
      <c r="P47" s="122"/>
      <c r="Q47" s="774"/>
      <c r="R47" s="157"/>
      <c r="S47" s="298">
        <f>'Rev Req Proof Yr1'!R47</f>
        <v>81241.3</v>
      </c>
      <c r="T47" s="299"/>
      <c r="U47" s="300"/>
      <c r="V47" s="301"/>
      <c r="W47" s="157"/>
      <c r="X47" s="313">
        <f t="shared" si="112"/>
        <v>10285.148579999999</v>
      </c>
      <c r="Y47" s="309">
        <f t="shared" si="113"/>
        <v>0</v>
      </c>
      <c r="Z47" s="314">
        <f t="shared" si="114"/>
        <v>0</v>
      </c>
      <c r="AA47" s="309"/>
      <c r="AB47" s="313">
        <f t="shared" si="115"/>
        <v>11330.724111</v>
      </c>
      <c r="AC47" s="309">
        <f t="shared" si="116"/>
        <v>0</v>
      </c>
      <c r="AD47" s="314">
        <f t="shared" si="117"/>
        <v>0</v>
      </c>
      <c r="AE47" s="309"/>
      <c r="AF47" s="313">
        <f t="shared" si="118"/>
        <v>-14.623434000000001</v>
      </c>
      <c r="AG47" s="309">
        <v>0</v>
      </c>
      <c r="AH47" s="314">
        <v>0</v>
      </c>
      <c r="AI47" s="309"/>
      <c r="AJ47" s="313">
        <f t="shared" si="119"/>
        <v>1030.9520970000003</v>
      </c>
      <c r="AK47" s="309">
        <f t="shared" si="120"/>
        <v>0</v>
      </c>
      <c r="AL47" s="314">
        <f t="shared" si="120"/>
        <v>0</v>
      </c>
      <c r="AM47" s="309"/>
      <c r="AN47" s="338"/>
      <c r="AO47" s="340">
        <f>SUM(AJ47)/SUM(X47)</f>
        <v>0.10023696682464459</v>
      </c>
      <c r="AP47" s="309"/>
      <c r="AQ47" s="313">
        <f t="shared" si="121"/>
        <v>0</v>
      </c>
      <c r="AR47" s="309">
        <v>0</v>
      </c>
      <c r="AS47" s="314">
        <v>0</v>
      </c>
      <c r="AT47" s="309"/>
      <c r="AU47" s="310"/>
      <c r="AV47" s="310"/>
      <c r="AW47" s="309"/>
    </row>
    <row r="48" spans="1:51" x14ac:dyDescent="0.2">
      <c r="A48" s="86">
        <f t="shared" si="4"/>
        <v>41</v>
      </c>
      <c r="B48" s="725"/>
      <c r="C48" s="726" t="s">
        <v>7</v>
      </c>
      <c r="D48" s="157"/>
      <c r="E48" s="122">
        <f>'Rates in Detail'!Y40</f>
        <v>1.03E-2</v>
      </c>
      <c r="F48" s="122">
        <f>'Rates in Detail'!Z40</f>
        <v>-1.4999999999999999E-4</v>
      </c>
      <c r="G48" s="157"/>
      <c r="H48" s="157"/>
      <c r="I48" s="373">
        <f>'Rev Req Proof Yr2'!H48</f>
        <v>0.10129000000000001</v>
      </c>
      <c r="J48" s="774">
        <f t="shared" si="10"/>
        <v>0.11159000000000001</v>
      </c>
      <c r="K48" s="157"/>
      <c r="L48" s="155"/>
      <c r="M48" s="156"/>
      <c r="N48" s="122"/>
      <c r="O48" s="122"/>
      <c r="P48" s="122"/>
      <c r="Q48" s="774"/>
      <c r="R48" s="157"/>
      <c r="S48" s="298">
        <f>'Rev Req Proof Yr1'!R48</f>
        <v>9320.1</v>
      </c>
      <c r="T48" s="299"/>
      <c r="U48" s="300"/>
      <c r="V48" s="301"/>
      <c r="W48" s="157"/>
      <c r="X48" s="313">
        <f t="shared" si="112"/>
        <v>944.03292900000008</v>
      </c>
      <c r="Y48" s="309">
        <f t="shared" si="113"/>
        <v>0</v>
      </c>
      <c r="Z48" s="314">
        <f t="shared" si="114"/>
        <v>0</v>
      </c>
      <c r="AA48" s="309"/>
      <c r="AB48" s="313">
        <f t="shared" si="115"/>
        <v>1040.0299590000002</v>
      </c>
      <c r="AC48" s="309">
        <f t="shared" si="116"/>
        <v>0</v>
      </c>
      <c r="AD48" s="314">
        <f t="shared" si="117"/>
        <v>0</v>
      </c>
      <c r="AE48" s="309"/>
      <c r="AF48" s="313">
        <f t="shared" si="118"/>
        <v>-1.398015</v>
      </c>
      <c r="AG48" s="309">
        <v>0</v>
      </c>
      <c r="AH48" s="314">
        <v>0</v>
      </c>
      <c r="AI48" s="309"/>
      <c r="AJ48" s="313">
        <f t="shared" si="119"/>
        <v>94.599015000000108</v>
      </c>
      <c r="AK48" s="309">
        <f t="shared" si="120"/>
        <v>0</v>
      </c>
      <c r="AL48" s="314">
        <f t="shared" si="120"/>
        <v>0</v>
      </c>
      <c r="AM48" s="309"/>
      <c r="AN48" s="338"/>
      <c r="AO48" s="340">
        <f>SUM(AJ48)/SUM(X48)</f>
        <v>0.10020732550103674</v>
      </c>
      <c r="AP48" s="309"/>
      <c r="AQ48" s="313">
        <f t="shared" si="121"/>
        <v>0</v>
      </c>
      <c r="AR48" s="309">
        <v>0</v>
      </c>
      <c r="AS48" s="314">
        <v>0</v>
      </c>
      <c r="AT48" s="309"/>
      <c r="AU48" s="310"/>
      <c r="AV48" s="310"/>
      <c r="AW48" s="309"/>
    </row>
    <row r="49" spans="1:49" x14ac:dyDescent="0.2">
      <c r="A49" s="86">
        <f t="shared" si="4"/>
        <v>42</v>
      </c>
      <c r="B49" s="725"/>
      <c r="C49" s="726" t="s">
        <v>8</v>
      </c>
      <c r="D49" s="157"/>
      <c r="E49" s="122">
        <f>'Rates in Detail'!Y41</f>
        <v>6.8700000000000002E-3</v>
      </c>
      <c r="F49" s="122">
        <f>'Rates in Detail'!Z41</f>
        <v>-1E-4</v>
      </c>
      <c r="G49" s="157"/>
      <c r="H49" s="157"/>
      <c r="I49" s="373">
        <f>'Rev Req Proof Yr2'!H49</f>
        <v>6.7540000000000003E-2</v>
      </c>
      <c r="J49" s="774">
        <f t="shared" si="10"/>
        <v>7.4410000000000004E-2</v>
      </c>
      <c r="K49" s="157"/>
      <c r="L49" s="155"/>
      <c r="M49" s="156"/>
      <c r="N49" s="122"/>
      <c r="O49" s="122"/>
      <c r="P49" s="122"/>
      <c r="Q49" s="774"/>
      <c r="R49" s="157"/>
      <c r="S49" s="298">
        <f>'Rev Req Proof Yr1'!R49</f>
        <v>0</v>
      </c>
      <c r="T49" s="299"/>
      <c r="U49" s="300"/>
      <c r="V49" s="301"/>
      <c r="W49" s="157"/>
      <c r="X49" s="313">
        <f t="shared" si="112"/>
        <v>0</v>
      </c>
      <c r="Y49" s="309">
        <f t="shared" si="113"/>
        <v>0</v>
      </c>
      <c r="Z49" s="314">
        <f t="shared" si="114"/>
        <v>0</v>
      </c>
      <c r="AA49" s="309"/>
      <c r="AB49" s="313">
        <f t="shared" si="115"/>
        <v>0</v>
      </c>
      <c r="AC49" s="309">
        <f t="shared" si="116"/>
        <v>0</v>
      </c>
      <c r="AD49" s="314">
        <f t="shared" si="117"/>
        <v>0</v>
      </c>
      <c r="AE49" s="309"/>
      <c r="AF49" s="313">
        <f t="shared" si="118"/>
        <v>0</v>
      </c>
      <c r="AG49" s="309">
        <v>0</v>
      </c>
      <c r="AH49" s="314">
        <v>0</v>
      </c>
      <c r="AI49" s="309"/>
      <c r="AJ49" s="313">
        <f t="shared" si="119"/>
        <v>0</v>
      </c>
      <c r="AK49" s="309">
        <f t="shared" si="120"/>
        <v>0</v>
      </c>
      <c r="AL49" s="314">
        <f t="shared" si="120"/>
        <v>0</v>
      </c>
      <c r="AM49" s="309"/>
      <c r="AN49" s="338"/>
      <c r="AO49" s="340">
        <f>AO48</f>
        <v>0.10020732550103674</v>
      </c>
      <c r="AP49" s="309"/>
      <c r="AQ49" s="313">
        <f t="shared" si="121"/>
        <v>0</v>
      </c>
      <c r="AR49" s="309">
        <v>0</v>
      </c>
      <c r="AS49" s="314">
        <v>0</v>
      </c>
      <c r="AT49" s="309"/>
      <c r="AU49" s="310"/>
      <c r="AV49" s="310"/>
      <c r="AW49" s="309"/>
    </row>
    <row r="50" spans="1:49" x14ac:dyDescent="0.2">
      <c r="A50" s="86">
        <f t="shared" si="4"/>
        <v>43</v>
      </c>
      <c r="B50" s="725"/>
      <c r="C50" s="726" t="s">
        <v>9</v>
      </c>
      <c r="D50" s="157"/>
      <c r="E50" s="122">
        <f>'Rates in Detail'!Y42</f>
        <v>2.5699999999999998E-3</v>
      </c>
      <c r="F50" s="122">
        <f>'Rates in Detail'!Z42</f>
        <v>-4.0000000000000003E-5</v>
      </c>
      <c r="G50" s="157"/>
      <c r="H50" s="157"/>
      <c r="I50" s="373">
        <f>'Rev Req Proof Yr2'!H50</f>
        <v>2.5309999999999999E-2</v>
      </c>
      <c r="J50" s="774">
        <f t="shared" si="10"/>
        <v>2.7879999999999999E-2</v>
      </c>
      <c r="K50" s="157"/>
      <c r="L50" s="155"/>
      <c r="M50" s="156"/>
      <c r="N50" s="122"/>
      <c r="O50" s="122"/>
      <c r="P50" s="122"/>
      <c r="Q50" s="774"/>
      <c r="R50" s="157"/>
      <c r="S50" s="298">
        <f>'Rev Req Proof Yr1'!R50</f>
        <v>0</v>
      </c>
      <c r="T50" s="299"/>
      <c r="U50" s="300"/>
      <c r="V50" s="301"/>
      <c r="W50" s="157"/>
      <c r="X50" s="313">
        <f t="shared" si="112"/>
        <v>0</v>
      </c>
      <c r="Y50" s="309">
        <f t="shared" si="113"/>
        <v>0</v>
      </c>
      <c r="Z50" s="314">
        <f t="shared" si="114"/>
        <v>0</v>
      </c>
      <c r="AA50" s="309"/>
      <c r="AB50" s="313">
        <f t="shared" si="115"/>
        <v>0</v>
      </c>
      <c r="AC50" s="309">
        <f t="shared" si="116"/>
        <v>0</v>
      </c>
      <c r="AD50" s="314">
        <f t="shared" si="117"/>
        <v>0</v>
      </c>
      <c r="AE50" s="309"/>
      <c r="AF50" s="313">
        <f t="shared" si="118"/>
        <v>0</v>
      </c>
      <c r="AG50" s="309">
        <v>0</v>
      </c>
      <c r="AH50" s="314">
        <v>0</v>
      </c>
      <c r="AI50" s="309"/>
      <c r="AJ50" s="313">
        <f t="shared" si="119"/>
        <v>0</v>
      </c>
      <c r="AK50" s="309">
        <f t="shared" si="120"/>
        <v>0</v>
      </c>
      <c r="AL50" s="314">
        <f t="shared" si="120"/>
        <v>0</v>
      </c>
      <c r="AM50" s="309"/>
      <c r="AN50" s="338"/>
      <c r="AO50" s="340">
        <f>AO49</f>
        <v>0.10020732550103674</v>
      </c>
      <c r="AP50" s="309"/>
      <c r="AQ50" s="313">
        <f t="shared" si="121"/>
        <v>0</v>
      </c>
      <c r="AR50" s="309">
        <v>0</v>
      </c>
      <c r="AS50" s="314">
        <v>0</v>
      </c>
      <c r="AT50" s="309"/>
      <c r="AU50" s="310"/>
      <c r="AV50" s="310"/>
      <c r="AW50" s="309"/>
    </row>
    <row r="51" spans="1:49" x14ac:dyDescent="0.2">
      <c r="A51" s="86">
        <f t="shared" si="4"/>
        <v>44</v>
      </c>
      <c r="B51" s="723"/>
      <c r="C51" s="742" t="s">
        <v>78</v>
      </c>
      <c r="D51" s="153"/>
      <c r="E51" s="123"/>
      <c r="F51" s="123"/>
      <c r="G51" s="153"/>
      <c r="H51" s="153"/>
      <c r="I51" s="368"/>
      <c r="J51" s="773"/>
      <c r="K51" s="157"/>
      <c r="L51" s="155"/>
      <c r="M51" s="156"/>
      <c r="N51" s="122"/>
      <c r="O51" s="122"/>
      <c r="P51" s="122"/>
      <c r="Q51" s="774"/>
      <c r="R51" s="157"/>
      <c r="S51" s="298"/>
      <c r="T51" s="299"/>
      <c r="U51" s="300"/>
      <c r="V51" s="301"/>
      <c r="W51" s="157"/>
      <c r="X51" s="315">
        <f>SUM(X45:X50)</f>
        <v>321251.33393699996</v>
      </c>
      <c r="Y51" s="316">
        <f>SUM(Y45:Y50)</f>
        <v>185900</v>
      </c>
      <c r="Z51" s="317">
        <f>SUM(Z45:Z50)</f>
        <v>41468.835359999997</v>
      </c>
      <c r="AA51" s="309"/>
      <c r="AB51" s="315">
        <f>SUM(AB45:AB50)</f>
        <v>353906.90509200003</v>
      </c>
      <c r="AC51" s="316">
        <f>SUM(AC45:AC50)</f>
        <v>185900</v>
      </c>
      <c r="AD51" s="317">
        <f>SUM(AD45:AD50)</f>
        <v>41468.835359999997</v>
      </c>
      <c r="AE51" s="309"/>
      <c r="AF51" s="315">
        <f>SUM(AF45:AF50)</f>
        <v>-468.75253500000008</v>
      </c>
      <c r="AG51" s="316">
        <f>SUM(AG45:AG50)</f>
        <v>0</v>
      </c>
      <c r="AH51" s="317">
        <f>SUM(AH45:AH50)</f>
        <v>0</v>
      </c>
      <c r="AI51" s="309"/>
      <c r="AJ51" s="315">
        <f>SUM(AJ45:AJ50)</f>
        <v>32186.81862000002</v>
      </c>
      <c r="AK51" s="316">
        <f>SUM(AK45:AK50)</f>
        <v>0</v>
      </c>
      <c r="AL51" s="317">
        <f>SUM(AL45:AL50)</f>
        <v>0</v>
      </c>
      <c r="AM51" s="309"/>
      <c r="AN51" s="338">
        <f>SUM(AJ51:AL51)/SUM(X51:Z51)</f>
        <v>5.8668675381082148E-2</v>
      </c>
      <c r="AO51" s="339">
        <f t="shared" ref="AO51:AO56" si="122">SUM(AJ51)/SUM(X51)</f>
        <v>0.10019201547132602</v>
      </c>
      <c r="AP51" s="309"/>
      <c r="AQ51" s="315">
        <f>SUM(AQ45:AQ50)</f>
        <v>0</v>
      </c>
      <c r="AR51" s="316">
        <f>SUM(AR45:AR50)</f>
        <v>0</v>
      </c>
      <c r="AS51" s="317">
        <f>SUM(AS45:AS50)</f>
        <v>0</v>
      </c>
      <c r="AT51" s="309"/>
      <c r="AU51" s="310"/>
      <c r="AV51" s="310"/>
      <c r="AW51" s="309"/>
    </row>
    <row r="52" spans="1:49" x14ac:dyDescent="0.2">
      <c r="A52" s="86">
        <f t="shared" si="4"/>
        <v>45</v>
      </c>
      <c r="B52" s="725" t="str">
        <f>'WA Volumes &amp; Revenues'!B45</f>
        <v>42C Firm Transpt</v>
      </c>
      <c r="C52" s="726" t="s">
        <v>4</v>
      </c>
      <c r="D52" s="157"/>
      <c r="E52" s="122">
        <f>'Rates in Detail'!Y43</f>
        <v>1.191E-2</v>
      </c>
      <c r="F52" s="122">
        <f>'Rates in Detail'!Z43</f>
        <v>-1.7000000000000001E-4</v>
      </c>
      <c r="G52" s="157"/>
      <c r="H52" s="157"/>
      <c r="I52" s="373">
        <f>'Rev Req Proof Yr2'!H52</f>
        <v>0.16156999999999999</v>
      </c>
      <c r="J52" s="774">
        <f t="shared" si="10"/>
        <v>0.17348</v>
      </c>
      <c r="K52" s="157"/>
      <c r="L52" s="155">
        <f>'Rev Req Proof Yr1'!K52</f>
        <v>1550</v>
      </c>
      <c r="M52" s="156">
        <f>'Rev Req Proof Yr1'!L52</f>
        <v>1550</v>
      </c>
      <c r="N52" s="122">
        <f>'Rev Req Proof Yr1'!M52</f>
        <v>0.15748000000000001</v>
      </c>
      <c r="O52" s="122">
        <f>'Rev Req Proof Yr1'!N52</f>
        <v>0.15748000000000001</v>
      </c>
      <c r="P52" s="122">
        <f>'Rev Req Proof Yr1'!O52</f>
        <v>0</v>
      </c>
      <c r="Q52" s="774">
        <f>'Rev Req Proof Yr1'!P52</f>
        <v>0</v>
      </c>
      <c r="R52" s="157"/>
      <c r="S52" s="298">
        <f>'Rev Req Proof Yr1'!R52</f>
        <v>480000</v>
      </c>
      <c r="T52" s="299">
        <f>'Rev Req Proof Yr1'!S52</f>
        <v>10479</v>
      </c>
      <c r="U52" s="300">
        <f>'Rev Req Proof Yr1'!T52</f>
        <v>4</v>
      </c>
      <c r="V52" s="301">
        <f>'Rev Req Proof Yr1'!U52</f>
        <v>51470</v>
      </c>
      <c r="W52" s="157"/>
      <c r="X52" s="313">
        <f t="shared" ref="X52:X57" si="123">(I52*S52)</f>
        <v>77553.599999999991</v>
      </c>
      <c r="Y52" s="309">
        <f t="shared" ref="Y52:Y57" si="124">(L52*U52*12)</f>
        <v>74400</v>
      </c>
      <c r="Z52" s="314">
        <f t="shared" ref="Z52:Z57" si="125">(T52*(N52+P52))*12</f>
        <v>19802.795040000001</v>
      </c>
      <c r="AA52" s="309"/>
      <c r="AB52" s="313">
        <f t="shared" ref="AB52:AB57" si="126">(J52*S52)</f>
        <v>83270.399999999994</v>
      </c>
      <c r="AC52" s="309">
        <f t="shared" ref="AC52:AC57" si="127">(M52*U52*12)</f>
        <v>74400</v>
      </c>
      <c r="AD52" s="314">
        <f t="shared" ref="AD52:AD57" si="128">(T52*(O52+Q52))*12</f>
        <v>19802.795040000001</v>
      </c>
      <c r="AE52" s="309"/>
      <c r="AF52" s="313">
        <f t="shared" ref="AF52:AF57" si="129">(F52*S52)</f>
        <v>-81.600000000000009</v>
      </c>
      <c r="AG52" s="309">
        <v>0</v>
      </c>
      <c r="AH52" s="314">
        <v>0</v>
      </c>
      <c r="AI52" s="309"/>
      <c r="AJ52" s="313">
        <f t="shared" ref="AJ52:AJ57" si="130">AB52-X52+AF52</f>
        <v>5635.2000000000025</v>
      </c>
      <c r="AK52" s="309">
        <f t="shared" ref="AK52:AL57" si="131">AC52-Y52-AG52</f>
        <v>0</v>
      </c>
      <c r="AL52" s="314">
        <f t="shared" si="131"/>
        <v>0</v>
      </c>
      <c r="AM52" s="309"/>
      <c r="AN52" s="338"/>
      <c r="AO52" s="340">
        <f t="shared" si="122"/>
        <v>7.2662004084916798E-2</v>
      </c>
      <c r="AP52" s="309"/>
      <c r="AQ52" s="313">
        <f t="shared" ref="AQ52:AQ57" si="132">(G52*S52)</f>
        <v>0</v>
      </c>
      <c r="AR52" s="309">
        <v>0</v>
      </c>
      <c r="AS52" s="314">
        <v>0</v>
      </c>
      <c r="AT52" s="309"/>
      <c r="AU52" s="310"/>
      <c r="AV52" s="310"/>
      <c r="AW52" s="309"/>
    </row>
    <row r="53" spans="1:49" x14ac:dyDescent="0.2">
      <c r="A53" s="86">
        <f t="shared" si="4"/>
        <v>46</v>
      </c>
      <c r="B53" s="725"/>
      <c r="C53" s="726" t="s">
        <v>5</v>
      </c>
      <c r="D53" s="157"/>
      <c r="E53" s="122">
        <f>'Rates in Detail'!Y44</f>
        <v>1.0659999999999999E-2</v>
      </c>
      <c r="F53" s="122">
        <f>'Rates in Detail'!Z44</f>
        <v>-1.4999999999999999E-4</v>
      </c>
      <c r="G53" s="157"/>
      <c r="H53" s="157"/>
      <c r="I53" s="373">
        <f>'Rev Req Proof Yr2'!H53</f>
        <v>0.14463999999999999</v>
      </c>
      <c r="J53" s="774">
        <f t="shared" si="10"/>
        <v>0.15529999999999999</v>
      </c>
      <c r="K53" s="157"/>
      <c r="L53" s="155"/>
      <c r="M53" s="156"/>
      <c r="N53" s="122"/>
      <c r="O53" s="122"/>
      <c r="P53" s="122"/>
      <c r="Q53" s="774"/>
      <c r="R53" s="157"/>
      <c r="S53" s="298">
        <f>'Rev Req Proof Yr1'!R53</f>
        <v>807846</v>
      </c>
      <c r="T53" s="299"/>
      <c r="U53" s="300"/>
      <c r="V53" s="301"/>
      <c r="W53" s="157"/>
      <c r="X53" s="313">
        <f t="shared" si="123"/>
        <v>116846.84543999999</v>
      </c>
      <c r="Y53" s="309">
        <f t="shared" si="124"/>
        <v>0</v>
      </c>
      <c r="Z53" s="314">
        <f t="shared" si="125"/>
        <v>0</v>
      </c>
      <c r="AA53" s="309"/>
      <c r="AB53" s="313">
        <f t="shared" si="126"/>
        <v>125458.4838</v>
      </c>
      <c r="AC53" s="309">
        <f t="shared" si="127"/>
        <v>0</v>
      </c>
      <c r="AD53" s="314">
        <f t="shared" si="128"/>
        <v>0</v>
      </c>
      <c r="AE53" s="309"/>
      <c r="AF53" s="313">
        <f t="shared" si="129"/>
        <v>-121.17689999999999</v>
      </c>
      <c r="AG53" s="309">
        <v>0</v>
      </c>
      <c r="AH53" s="314">
        <v>0</v>
      </c>
      <c r="AI53" s="309"/>
      <c r="AJ53" s="313">
        <f t="shared" si="130"/>
        <v>8490.4614600000114</v>
      </c>
      <c r="AK53" s="309">
        <f t="shared" si="131"/>
        <v>0</v>
      </c>
      <c r="AL53" s="314">
        <f t="shared" si="131"/>
        <v>0</v>
      </c>
      <c r="AM53" s="309"/>
      <c r="AN53" s="338"/>
      <c r="AO53" s="340">
        <f t="shared" si="122"/>
        <v>7.2663163716814264E-2</v>
      </c>
      <c r="AP53" s="309"/>
      <c r="AQ53" s="313">
        <f t="shared" si="132"/>
        <v>0</v>
      </c>
      <c r="AR53" s="309">
        <v>0</v>
      </c>
      <c r="AS53" s="314">
        <v>0</v>
      </c>
      <c r="AT53" s="309"/>
      <c r="AU53" s="310"/>
      <c r="AV53" s="310"/>
      <c r="AW53" s="309"/>
    </row>
    <row r="54" spans="1:49" x14ac:dyDescent="0.2">
      <c r="A54" s="86">
        <f t="shared" si="4"/>
        <v>47</v>
      </c>
      <c r="B54" s="725"/>
      <c r="C54" s="726" t="s">
        <v>6</v>
      </c>
      <c r="D54" s="157"/>
      <c r="E54" s="122">
        <f>'Rates in Detail'!Y45</f>
        <v>8.1799999999999998E-3</v>
      </c>
      <c r="F54" s="122">
        <f>'Rates in Detail'!Z45</f>
        <v>-1.2E-4</v>
      </c>
      <c r="G54" s="157"/>
      <c r="H54" s="157"/>
      <c r="I54" s="373">
        <f>'Rev Req Proof Yr2'!H54</f>
        <v>0.11090999999999999</v>
      </c>
      <c r="J54" s="774">
        <f t="shared" si="10"/>
        <v>0.11909</v>
      </c>
      <c r="K54" s="157"/>
      <c r="L54" s="155"/>
      <c r="M54" s="156"/>
      <c r="N54" s="122"/>
      <c r="O54" s="122"/>
      <c r="P54" s="122"/>
      <c r="Q54" s="774"/>
      <c r="R54" s="157"/>
      <c r="S54" s="298">
        <f>'Rev Req Proof Yr1'!R54</f>
        <v>583779</v>
      </c>
      <c r="T54" s="299"/>
      <c r="U54" s="300"/>
      <c r="V54" s="301"/>
      <c r="W54" s="157"/>
      <c r="X54" s="313">
        <f t="shared" si="123"/>
        <v>64746.928889999996</v>
      </c>
      <c r="Y54" s="309">
        <f t="shared" si="124"/>
        <v>0</v>
      </c>
      <c r="Z54" s="314">
        <f t="shared" si="125"/>
        <v>0</v>
      </c>
      <c r="AA54" s="309"/>
      <c r="AB54" s="313">
        <f t="shared" si="126"/>
        <v>69522.241110000003</v>
      </c>
      <c r="AC54" s="309">
        <f t="shared" si="127"/>
        <v>0</v>
      </c>
      <c r="AD54" s="314">
        <f t="shared" si="128"/>
        <v>0</v>
      </c>
      <c r="AE54" s="309"/>
      <c r="AF54" s="313">
        <f t="shared" si="129"/>
        <v>-70.053480000000008</v>
      </c>
      <c r="AG54" s="309">
        <v>0</v>
      </c>
      <c r="AH54" s="314">
        <v>0</v>
      </c>
      <c r="AI54" s="309"/>
      <c r="AJ54" s="313">
        <f t="shared" si="130"/>
        <v>4705.2587400000075</v>
      </c>
      <c r="AK54" s="309">
        <f t="shared" si="131"/>
        <v>0</v>
      </c>
      <c r="AL54" s="314">
        <f t="shared" si="131"/>
        <v>0</v>
      </c>
      <c r="AM54" s="309"/>
      <c r="AN54" s="338"/>
      <c r="AO54" s="340">
        <f t="shared" si="122"/>
        <v>7.2671535479217508E-2</v>
      </c>
      <c r="AP54" s="309"/>
      <c r="AQ54" s="313">
        <f t="shared" si="132"/>
        <v>0</v>
      </c>
      <c r="AR54" s="309">
        <v>0</v>
      </c>
      <c r="AS54" s="314">
        <v>0</v>
      </c>
      <c r="AT54" s="309"/>
      <c r="AU54" s="310"/>
      <c r="AV54" s="310"/>
      <c r="AW54" s="309"/>
    </row>
    <row r="55" spans="1:49" x14ac:dyDescent="0.2">
      <c r="A55" s="86">
        <f t="shared" si="4"/>
        <v>48</v>
      </c>
      <c r="B55" s="725"/>
      <c r="C55" s="726" t="s">
        <v>7</v>
      </c>
      <c r="D55" s="157"/>
      <c r="E55" s="122">
        <f>'Rates in Detail'!Y46</f>
        <v>6.5399999999999998E-3</v>
      </c>
      <c r="F55" s="122">
        <f>'Rates in Detail'!Z46</f>
        <v>-9.0000000000000006E-5</v>
      </c>
      <c r="G55" s="157"/>
      <c r="H55" s="157"/>
      <c r="I55" s="373">
        <f>'Rev Req Proof Yr2'!H55</f>
        <v>8.8739999999999999E-2</v>
      </c>
      <c r="J55" s="774">
        <f t="shared" si="10"/>
        <v>9.5280000000000004E-2</v>
      </c>
      <c r="K55" s="157"/>
      <c r="L55" s="155"/>
      <c r="M55" s="156"/>
      <c r="N55" s="122"/>
      <c r="O55" s="122"/>
      <c r="P55" s="122"/>
      <c r="Q55" s="774"/>
      <c r="R55" s="157"/>
      <c r="S55" s="298">
        <f>'Rev Req Proof Yr1'!R55</f>
        <v>598933</v>
      </c>
      <c r="T55" s="299"/>
      <c r="U55" s="300"/>
      <c r="V55" s="301"/>
      <c r="W55" s="157"/>
      <c r="X55" s="313">
        <f t="shared" si="123"/>
        <v>53149.314420000002</v>
      </c>
      <c r="Y55" s="309">
        <f t="shared" si="124"/>
        <v>0</v>
      </c>
      <c r="Z55" s="314">
        <f t="shared" si="125"/>
        <v>0</v>
      </c>
      <c r="AA55" s="309"/>
      <c r="AB55" s="313">
        <f t="shared" si="126"/>
        <v>57066.336240000004</v>
      </c>
      <c r="AC55" s="309">
        <f t="shared" si="127"/>
        <v>0</v>
      </c>
      <c r="AD55" s="314">
        <f t="shared" si="128"/>
        <v>0</v>
      </c>
      <c r="AE55" s="309"/>
      <c r="AF55" s="313">
        <f t="shared" si="129"/>
        <v>-53.903970000000001</v>
      </c>
      <c r="AG55" s="309">
        <v>0</v>
      </c>
      <c r="AH55" s="314">
        <v>0</v>
      </c>
      <c r="AI55" s="309"/>
      <c r="AJ55" s="313">
        <f t="shared" si="130"/>
        <v>3863.1178500000019</v>
      </c>
      <c r="AK55" s="309">
        <f t="shared" si="131"/>
        <v>0</v>
      </c>
      <c r="AL55" s="314">
        <f t="shared" si="131"/>
        <v>0</v>
      </c>
      <c r="AM55" s="309"/>
      <c r="AN55" s="338"/>
      <c r="AO55" s="340">
        <f t="shared" si="122"/>
        <v>7.2684246112238032E-2</v>
      </c>
      <c r="AP55" s="309"/>
      <c r="AQ55" s="313">
        <f t="shared" si="132"/>
        <v>0</v>
      </c>
      <c r="AR55" s="309">
        <v>0</v>
      </c>
      <c r="AS55" s="314">
        <v>0</v>
      </c>
      <c r="AT55" s="309"/>
      <c r="AU55" s="310"/>
      <c r="AV55" s="310"/>
      <c r="AW55" s="309"/>
    </row>
    <row r="56" spans="1:49" x14ac:dyDescent="0.2">
      <c r="A56" s="86">
        <f t="shared" si="4"/>
        <v>49</v>
      </c>
      <c r="B56" s="725"/>
      <c r="C56" s="726" t="s">
        <v>8</v>
      </c>
      <c r="D56" s="157"/>
      <c r="E56" s="122">
        <f>'Rates in Detail'!Y47</f>
        <v>4.3600000000000002E-3</v>
      </c>
      <c r="F56" s="122">
        <f>'Rates in Detail'!Z47</f>
        <v>-6.0000000000000002E-5</v>
      </c>
      <c r="G56" s="157"/>
      <c r="H56" s="157"/>
      <c r="I56" s="373">
        <f>'Rev Req Proof Yr2'!H56</f>
        <v>5.9159999999999997E-2</v>
      </c>
      <c r="J56" s="774">
        <f t="shared" si="10"/>
        <v>6.3519999999999993E-2</v>
      </c>
      <c r="K56" s="157"/>
      <c r="L56" s="155"/>
      <c r="M56" s="156"/>
      <c r="N56" s="122"/>
      <c r="O56" s="122"/>
      <c r="P56" s="122"/>
      <c r="Q56" s="774"/>
      <c r="R56" s="157"/>
      <c r="S56" s="298">
        <f>'Rev Req Proof Yr1'!R56</f>
        <v>0</v>
      </c>
      <c r="T56" s="299"/>
      <c r="U56" s="300"/>
      <c r="V56" s="301"/>
      <c r="W56" s="157"/>
      <c r="X56" s="313">
        <f t="shared" si="123"/>
        <v>0</v>
      </c>
      <c r="Y56" s="309">
        <f t="shared" si="124"/>
        <v>0</v>
      </c>
      <c r="Z56" s="314">
        <f t="shared" si="125"/>
        <v>0</v>
      </c>
      <c r="AA56" s="309"/>
      <c r="AB56" s="313">
        <f t="shared" si="126"/>
        <v>0</v>
      </c>
      <c r="AC56" s="309">
        <f t="shared" si="127"/>
        <v>0</v>
      </c>
      <c r="AD56" s="314">
        <f t="shared" si="128"/>
        <v>0</v>
      </c>
      <c r="AE56" s="309"/>
      <c r="AF56" s="313">
        <f t="shared" si="129"/>
        <v>0</v>
      </c>
      <c r="AG56" s="309">
        <v>0</v>
      </c>
      <c r="AH56" s="314">
        <v>0</v>
      </c>
      <c r="AI56" s="309"/>
      <c r="AJ56" s="313">
        <f t="shared" si="130"/>
        <v>0</v>
      </c>
      <c r="AK56" s="309">
        <f t="shared" si="131"/>
        <v>0</v>
      </c>
      <c r="AL56" s="314">
        <f t="shared" si="131"/>
        <v>0</v>
      </c>
      <c r="AM56" s="309"/>
      <c r="AN56" s="338"/>
      <c r="AO56" s="340" t="e">
        <f t="shared" si="122"/>
        <v>#DIV/0!</v>
      </c>
      <c r="AP56" s="309"/>
      <c r="AQ56" s="313">
        <f t="shared" si="132"/>
        <v>0</v>
      </c>
      <c r="AR56" s="309">
        <v>0</v>
      </c>
      <c r="AS56" s="314">
        <v>0</v>
      </c>
      <c r="AT56" s="309"/>
      <c r="AU56" s="310"/>
      <c r="AV56" s="310"/>
      <c r="AW56" s="309"/>
    </row>
    <row r="57" spans="1:49" x14ac:dyDescent="0.2">
      <c r="A57" s="86">
        <f t="shared" si="4"/>
        <v>50</v>
      </c>
      <c r="B57" s="725"/>
      <c r="C57" s="726" t="s">
        <v>9</v>
      </c>
      <c r="D57" s="157"/>
      <c r="E57" s="122">
        <f>'Rates in Detail'!Y48</f>
        <v>1.64E-3</v>
      </c>
      <c r="F57" s="122">
        <f>'Rates in Detail'!Z48</f>
        <v>-2.0000000000000002E-5</v>
      </c>
      <c r="G57" s="157"/>
      <c r="H57" s="157"/>
      <c r="I57" s="373">
        <f>'Rev Req Proof Yr2'!H57</f>
        <v>2.2179999999999998E-2</v>
      </c>
      <c r="J57" s="774">
        <f t="shared" si="10"/>
        <v>2.3819999999999997E-2</v>
      </c>
      <c r="K57" s="157"/>
      <c r="L57" s="155"/>
      <c r="M57" s="156"/>
      <c r="N57" s="122"/>
      <c r="O57" s="122"/>
      <c r="P57" s="122"/>
      <c r="Q57" s="774"/>
      <c r="R57" s="157"/>
      <c r="S57" s="298">
        <f>'Rev Req Proof Yr1'!R57</f>
        <v>0</v>
      </c>
      <c r="T57" s="299"/>
      <c r="U57" s="300"/>
      <c r="V57" s="301"/>
      <c r="W57" s="157"/>
      <c r="X57" s="313">
        <f t="shared" si="123"/>
        <v>0</v>
      </c>
      <c r="Y57" s="309">
        <f t="shared" si="124"/>
        <v>0</v>
      </c>
      <c r="Z57" s="314">
        <f t="shared" si="125"/>
        <v>0</v>
      </c>
      <c r="AA57" s="309"/>
      <c r="AB57" s="313">
        <f t="shared" si="126"/>
        <v>0</v>
      </c>
      <c r="AC57" s="309">
        <f t="shared" si="127"/>
        <v>0</v>
      </c>
      <c r="AD57" s="314">
        <f t="shared" si="128"/>
        <v>0</v>
      </c>
      <c r="AE57" s="309"/>
      <c r="AF57" s="313">
        <f t="shared" si="129"/>
        <v>0</v>
      </c>
      <c r="AG57" s="309">
        <v>0</v>
      </c>
      <c r="AH57" s="314">
        <v>0</v>
      </c>
      <c r="AI57" s="309"/>
      <c r="AJ57" s="313">
        <f t="shared" si="130"/>
        <v>0</v>
      </c>
      <c r="AK57" s="309">
        <f t="shared" si="131"/>
        <v>0</v>
      </c>
      <c r="AL57" s="314">
        <f t="shared" si="131"/>
        <v>0</v>
      </c>
      <c r="AM57" s="309"/>
      <c r="AN57" s="338"/>
      <c r="AO57" s="340" t="e">
        <f>AO56</f>
        <v>#DIV/0!</v>
      </c>
      <c r="AP57" s="309"/>
      <c r="AQ57" s="313">
        <f t="shared" si="132"/>
        <v>0</v>
      </c>
      <c r="AR57" s="309">
        <v>0</v>
      </c>
      <c r="AS57" s="314">
        <v>0</v>
      </c>
      <c r="AT57" s="309"/>
      <c r="AU57" s="318"/>
      <c r="AV57" s="310"/>
      <c r="AW57" s="309"/>
    </row>
    <row r="58" spans="1:49" x14ac:dyDescent="0.2">
      <c r="A58" s="86">
        <f t="shared" si="4"/>
        <v>51</v>
      </c>
      <c r="B58" s="723"/>
      <c r="C58" s="742" t="s">
        <v>78</v>
      </c>
      <c r="D58" s="153"/>
      <c r="E58" s="123"/>
      <c r="F58" s="123"/>
      <c r="G58" s="153"/>
      <c r="H58" s="153"/>
      <c r="I58" s="368"/>
      <c r="J58" s="773"/>
      <c r="K58" s="157"/>
      <c r="L58" s="155"/>
      <c r="M58" s="156"/>
      <c r="N58" s="122"/>
      <c r="O58" s="122"/>
      <c r="P58" s="122"/>
      <c r="Q58" s="774"/>
      <c r="R58" s="157"/>
      <c r="S58" s="298"/>
      <c r="T58" s="299"/>
      <c r="U58" s="300"/>
      <c r="V58" s="301"/>
      <c r="W58" s="157"/>
      <c r="X58" s="315">
        <f>SUM(X52:X57)</f>
        <v>312296.68874999997</v>
      </c>
      <c r="Y58" s="316">
        <f>SUM(Y52:Y57)</f>
        <v>74400</v>
      </c>
      <c r="Z58" s="317">
        <f>SUM(Z52:Z57)</f>
        <v>19802.795040000001</v>
      </c>
      <c r="AA58" s="309"/>
      <c r="AB58" s="315">
        <f>SUM(AB52:AB57)</f>
        <v>335317.46114999999</v>
      </c>
      <c r="AC58" s="316">
        <f>SUM(AC52:AC57)</f>
        <v>74400</v>
      </c>
      <c r="AD58" s="317">
        <f>SUM(AD52:AD57)</f>
        <v>19802.795040000001</v>
      </c>
      <c r="AE58" s="309"/>
      <c r="AF58" s="315">
        <f>SUM(AF52:AF57)</f>
        <v>-326.73435000000001</v>
      </c>
      <c r="AG58" s="316">
        <f>SUM(AG52:AG57)</f>
        <v>0</v>
      </c>
      <c r="AH58" s="317">
        <f>SUM(AH52:AH57)</f>
        <v>0</v>
      </c>
      <c r="AI58" s="309"/>
      <c r="AJ58" s="315">
        <f>SUM(AJ52:AJ57)</f>
        <v>22694.038050000025</v>
      </c>
      <c r="AK58" s="316">
        <f>SUM(AK52:AK57)</f>
        <v>0</v>
      </c>
      <c r="AL58" s="317">
        <f>SUM(AL52:AL57)</f>
        <v>0</v>
      </c>
      <c r="AM58" s="309"/>
      <c r="AN58" s="338">
        <f>SUM(AJ58:AL58)/SUM(X58:Z58)</f>
        <v>5.5827962777251397E-2</v>
      </c>
      <c r="AO58" s="339">
        <f t="shared" ref="AO58:AO70" si="133">SUM(AJ58)/SUM(X58)</f>
        <v>7.2668199399856831E-2</v>
      </c>
      <c r="AP58" s="309"/>
      <c r="AQ58" s="315">
        <f>SUM(AQ52:AQ57)</f>
        <v>0</v>
      </c>
      <c r="AR58" s="316">
        <f>SUM(AR52:AR57)</f>
        <v>0</v>
      </c>
      <c r="AS58" s="317">
        <f>SUM(AS52:AS57)</f>
        <v>0</v>
      </c>
      <c r="AT58" s="309"/>
      <c r="AU58" s="310"/>
      <c r="AV58" s="310"/>
      <c r="AW58" s="309"/>
    </row>
    <row r="59" spans="1:49" x14ac:dyDescent="0.2">
      <c r="A59" s="86">
        <f t="shared" si="4"/>
        <v>52</v>
      </c>
      <c r="B59" s="725" t="str">
        <f>'WA Volumes &amp; Revenues'!B51</f>
        <v>42I Firm Transpt</v>
      </c>
      <c r="C59" s="726" t="s">
        <v>4</v>
      </c>
      <c r="D59" s="157"/>
      <c r="E59" s="122">
        <f>'Rates in Detail'!Y49</f>
        <v>1.2070000000000001E-2</v>
      </c>
      <c r="F59" s="122">
        <f>'Rates in Detail'!Z49</f>
        <v>-1.7000000000000001E-4</v>
      </c>
      <c r="G59" s="157"/>
      <c r="H59" s="157"/>
      <c r="I59" s="373">
        <f>'Rev Req Proof Yr2'!H59</f>
        <v>0.16338</v>
      </c>
      <c r="J59" s="774">
        <f t="shared" si="10"/>
        <v>0.17544999999999999</v>
      </c>
      <c r="K59" s="157"/>
      <c r="L59" s="155">
        <f>'Rev Req Proof Yr1'!K59</f>
        <v>1550</v>
      </c>
      <c r="M59" s="156">
        <f>'Rev Req Proof Yr1'!L59</f>
        <v>1550</v>
      </c>
      <c r="N59" s="122">
        <f>'Rev Req Proof Yr1'!M59</f>
        <v>0.15748000000000001</v>
      </c>
      <c r="O59" s="122">
        <f>'Rev Req Proof Yr1'!N59</f>
        <v>0.15748000000000001</v>
      </c>
      <c r="P59" s="122">
        <f>'Rev Req Proof Yr1'!O59</f>
        <v>0</v>
      </c>
      <c r="Q59" s="774">
        <f>'Rev Req Proof Yr1'!P59</f>
        <v>0</v>
      </c>
      <c r="R59" s="157"/>
      <c r="S59" s="298">
        <f>'Rev Req Proof Yr1'!R59</f>
        <v>924395</v>
      </c>
      <c r="T59" s="299">
        <f>'Rev Req Proof Yr1'!S59</f>
        <v>26810</v>
      </c>
      <c r="U59" s="300">
        <f>'Rev Req Proof Yr1'!T59</f>
        <v>8.9166666666666661</v>
      </c>
      <c r="V59" s="301">
        <f>'Rev Req Proof Yr1'!U59</f>
        <v>63374</v>
      </c>
      <c r="W59" s="157"/>
      <c r="X59" s="313">
        <f t="shared" ref="X59:X64" si="134">(I59*S59)</f>
        <v>151027.6551</v>
      </c>
      <c r="Y59" s="309">
        <f t="shared" ref="Y59:Y64" si="135">(L59*U59*12)</f>
        <v>165850</v>
      </c>
      <c r="Z59" s="314">
        <f t="shared" ref="Z59:Z64" si="136">(T59*(N59+P59))*12</f>
        <v>50664.465600000003</v>
      </c>
      <c r="AA59" s="309"/>
      <c r="AB59" s="313">
        <f t="shared" ref="AB59:AB64" si="137">(J59*S59)</f>
        <v>162185.10274999999</v>
      </c>
      <c r="AC59" s="309">
        <f t="shared" ref="AC59:AC64" si="138">(M59*U59*12)</f>
        <v>165850</v>
      </c>
      <c r="AD59" s="314">
        <f t="shared" ref="AD59:AD64" si="139">(T59*(O59+Q59))*12</f>
        <v>50664.465600000003</v>
      </c>
      <c r="AE59" s="309"/>
      <c r="AF59" s="313">
        <f t="shared" ref="AF59:AF64" si="140">(F59*S59)</f>
        <v>-157.14715000000001</v>
      </c>
      <c r="AG59" s="309">
        <v>0</v>
      </c>
      <c r="AH59" s="314">
        <v>0</v>
      </c>
      <c r="AI59" s="309"/>
      <c r="AJ59" s="313">
        <f t="shared" ref="AJ59:AJ64" si="141">AB59-X59+AF59</f>
        <v>11000.300499999987</v>
      </c>
      <c r="AK59" s="309">
        <f t="shared" ref="AK59:AL64" si="142">AC59-Y59-AG59</f>
        <v>0</v>
      </c>
      <c r="AL59" s="314">
        <f t="shared" si="142"/>
        <v>0</v>
      </c>
      <c r="AM59" s="309"/>
      <c r="AN59" s="338"/>
      <c r="AO59" s="340">
        <f t="shared" si="133"/>
        <v>7.2836332476435214E-2</v>
      </c>
      <c r="AP59" s="309"/>
      <c r="AQ59" s="313">
        <f t="shared" ref="AQ59:AQ64" si="143">(G59*S59)</f>
        <v>0</v>
      </c>
      <c r="AR59" s="309">
        <v>0</v>
      </c>
      <c r="AS59" s="314">
        <v>0</v>
      </c>
      <c r="AT59" s="309"/>
      <c r="AU59" s="310"/>
      <c r="AV59" s="310"/>
      <c r="AW59" s="309"/>
    </row>
    <row r="60" spans="1:49" x14ac:dyDescent="0.2">
      <c r="A60" s="86">
        <f t="shared" si="4"/>
        <v>53</v>
      </c>
      <c r="B60" s="725"/>
      <c r="C60" s="726" t="s">
        <v>5</v>
      </c>
      <c r="D60" s="157"/>
      <c r="E60" s="122">
        <f>'Rates in Detail'!Y50</f>
        <v>1.0800000000000001E-2</v>
      </c>
      <c r="F60" s="122">
        <f>'Rates in Detail'!Z50</f>
        <v>-1.4999999999999999E-4</v>
      </c>
      <c r="G60" s="157"/>
      <c r="H60" s="157"/>
      <c r="I60" s="373">
        <f>'Rev Req Proof Yr2'!H60</f>
        <v>0.14624000000000001</v>
      </c>
      <c r="J60" s="774">
        <f t="shared" si="10"/>
        <v>0.15704000000000001</v>
      </c>
      <c r="K60" s="157"/>
      <c r="L60" s="155"/>
      <c r="M60" s="156"/>
      <c r="N60" s="122"/>
      <c r="O60" s="122"/>
      <c r="P60" s="122"/>
      <c r="Q60" s="774"/>
      <c r="R60" s="157"/>
      <c r="S60" s="298">
        <f>'Rev Req Proof Yr1'!R60</f>
        <v>1036796</v>
      </c>
      <c r="T60" s="299"/>
      <c r="U60" s="300"/>
      <c r="V60" s="301"/>
      <c r="W60" s="157"/>
      <c r="X60" s="313">
        <f t="shared" si="134"/>
        <v>151621.04704</v>
      </c>
      <c r="Y60" s="309">
        <f t="shared" si="135"/>
        <v>0</v>
      </c>
      <c r="Z60" s="314">
        <f t="shared" si="136"/>
        <v>0</v>
      </c>
      <c r="AA60" s="309"/>
      <c r="AB60" s="313">
        <f t="shared" si="137"/>
        <v>162818.44384000002</v>
      </c>
      <c r="AC60" s="309">
        <f t="shared" si="138"/>
        <v>0</v>
      </c>
      <c r="AD60" s="314">
        <f t="shared" si="139"/>
        <v>0</v>
      </c>
      <c r="AE60" s="309"/>
      <c r="AF60" s="313">
        <f t="shared" si="140"/>
        <v>-155.51939999999999</v>
      </c>
      <c r="AG60" s="309">
        <v>0</v>
      </c>
      <c r="AH60" s="314">
        <v>0</v>
      </c>
      <c r="AI60" s="309"/>
      <c r="AJ60" s="313">
        <f t="shared" si="141"/>
        <v>11041.877400000018</v>
      </c>
      <c r="AK60" s="309">
        <f t="shared" si="142"/>
        <v>0</v>
      </c>
      <c r="AL60" s="314">
        <f t="shared" si="142"/>
        <v>0</v>
      </c>
      <c r="AM60" s="309"/>
      <c r="AN60" s="338"/>
      <c r="AO60" s="340">
        <f t="shared" si="133"/>
        <v>7.2825492341356782E-2</v>
      </c>
      <c r="AP60" s="309"/>
      <c r="AQ60" s="313">
        <f t="shared" si="143"/>
        <v>0</v>
      </c>
      <c r="AR60" s="309">
        <v>0</v>
      </c>
      <c r="AS60" s="314">
        <v>0</v>
      </c>
      <c r="AT60" s="309"/>
      <c r="AU60" s="310"/>
      <c r="AV60" s="310"/>
      <c r="AW60" s="309"/>
    </row>
    <row r="61" spans="1:49" x14ac:dyDescent="0.2">
      <c r="A61" s="86">
        <f t="shared" si="4"/>
        <v>54</v>
      </c>
      <c r="B61" s="725"/>
      <c r="C61" s="726" t="s">
        <v>6</v>
      </c>
      <c r="D61" s="157"/>
      <c r="E61" s="122">
        <f>'Rates in Detail'!Y51</f>
        <v>8.2799999999999992E-3</v>
      </c>
      <c r="F61" s="122">
        <f>'Rates in Detail'!Z51</f>
        <v>-1.2E-4</v>
      </c>
      <c r="G61" s="157"/>
      <c r="H61" s="157"/>
      <c r="I61" s="373">
        <f>'Rev Req Proof Yr2'!H61</f>
        <v>0.11214</v>
      </c>
      <c r="J61" s="774">
        <f t="shared" si="10"/>
        <v>0.12042</v>
      </c>
      <c r="K61" s="157"/>
      <c r="L61" s="155"/>
      <c r="M61" s="156"/>
      <c r="N61" s="122"/>
      <c r="O61" s="122"/>
      <c r="P61" s="122"/>
      <c r="Q61" s="774"/>
      <c r="R61" s="157"/>
      <c r="S61" s="298">
        <f>'Rev Req Proof Yr1'!R61</f>
        <v>937215</v>
      </c>
      <c r="T61" s="299"/>
      <c r="U61" s="300"/>
      <c r="V61" s="301"/>
      <c r="W61" s="157"/>
      <c r="X61" s="313">
        <f t="shared" si="134"/>
        <v>105099.2901</v>
      </c>
      <c r="Y61" s="309">
        <f t="shared" si="135"/>
        <v>0</v>
      </c>
      <c r="Z61" s="314">
        <f t="shared" si="136"/>
        <v>0</v>
      </c>
      <c r="AA61" s="309"/>
      <c r="AB61" s="313">
        <f t="shared" si="137"/>
        <v>112859.43029999999</v>
      </c>
      <c r="AC61" s="309">
        <f t="shared" si="138"/>
        <v>0</v>
      </c>
      <c r="AD61" s="314">
        <f t="shared" si="139"/>
        <v>0</v>
      </c>
      <c r="AE61" s="309"/>
      <c r="AF61" s="313">
        <f t="shared" si="140"/>
        <v>-112.4658</v>
      </c>
      <c r="AG61" s="309">
        <v>0</v>
      </c>
      <c r="AH61" s="314">
        <v>0</v>
      </c>
      <c r="AI61" s="309"/>
      <c r="AJ61" s="313">
        <f t="shared" si="141"/>
        <v>7647.6743999999944</v>
      </c>
      <c r="AK61" s="309">
        <f t="shared" si="142"/>
        <v>0</v>
      </c>
      <c r="AL61" s="314">
        <f t="shared" si="142"/>
        <v>0</v>
      </c>
      <c r="AM61" s="309"/>
      <c r="AN61" s="338"/>
      <c r="AO61" s="340">
        <f t="shared" si="133"/>
        <v>7.2766185125735641E-2</v>
      </c>
      <c r="AP61" s="309"/>
      <c r="AQ61" s="313">
        <f t="shared" si="143"/>
        <v>0</v>
      </c>
      <c r="AR61" s="309">
        <v>0</v>
      </c>
      <c r="AS61" s="314">
        <v>0</v>
      </c>
      <c r="AT61" s="309"/>
      <c r="AU61" s="310"/>
      <c r="AV61" s="310"/>
      <c r="AW61" s="309"/>
    </row>
    <row r="62" spans="1:49" x14ac:dyDescent="0.2">
      <c r="A62" s="86">
        <f t="shared" si="4"/>
        <v>55</v>
      </c>
      <c r="B62" s="725"/>
      <c r="C62" s="726" t="s">
        <v>7</v>
      </c>
      <c r="D62" s="157"/>
      <c r="E62" s="122">
        <f>'Rates in Detail'!Y52</f>
        <v>6.6299999999999996E-3</v>
      </c>
      <c r="F62" s="122">
        <f>'Rates in Detail'!Z52</f>
        <v>-9.0000000000000006E-5</v>
      </c>
      <c r="G62" s="157"/>
      <c r="H62" s="157"/>
      <c r="I62" s="373">
        <f>'Rev Req Proof Yr2'!H62</f>
        <v>8.9730000000000004E-2</v>
      </c>
      <c r="J62" s="774">
        <f t="shared" si="10"/>
        <v>9.6360000000000001E-2</v>
      </c>
      <c r="K62" s="157"/>
      <c r="L62" s="155"/>
      <c r="M62" s="156"/>
      <c r="N62" s="122"/>
      <c r="O62" s="122"/>
      <c r="P62" s="122"/>
      <c r="Q62" s="774"/>
      <c r="R62" s="157"/>
      <c r="S62" s="298">
        <f>'Rev Req Proof Yr1'!R62</f>
        <v>2390318</v>
      </c>
      <c r="T62" s="299"/>
      <c r="U62" s="300"/>
      <c r="V62" s="301"/>
      <c r="W62" s="157"/>
      <c r="X62" s="313">
        <f t="shared" si="134"/>
        <v>214483.23414000002</v>
      </c>
      <c r="Y62" s="309">
        <f t="shared" si="135"/>
        <v>0</v>
      </c>
      <c r="Z62" s="314">
        <f t="shared" si="136"/>
        <v>0</v>
      </c>
      <c r="AA62" s="309"/>
      <c r="AB62" s="313">
        <f t="shared" si="137"/>
        <v>230331.04248</v>
      </c>
      <c r="AC62" s="309">
        <f t="shared" si="138"/>
        <v>0</v>
      </c>
      <c r="AD62" s="314">
        <f t="shared" si="139"/>
        <v>0</v>
      </c>
      <c r="AE62" s="309"/>
      <c r="AF62" s="313">
        <f t="shared" si="140"/>
        <v>-215.12862000000001</v>
      </c>
      <c r="AG62" s="309">
        <v>0</v>
      </c>
      <c r="AH62" s="314">
        <v>0</v>
      </c>
      <c r="AI62" s="309"/>
      <c r="AJ62" s="313">
        <f t="shared" si="141"/>
        <v>15632.679719999989</v>
      </c>
      <c r="AK62" s="309">
        <f t="shared" si="142"/>
        <v>0</v>
      </c>
      <c r="AL62" s="314">
        <f t="shared" si="142"/>
        <v>0</v>
      </c>
      <c r="AM62" s="309"/>
      <c r="AN62" s="338"/>
      <c r="AO62" s="340">
        <f t="shared" si="133"/>
        <v>7.2885322634570315E-2</v>
      </c>
      <c r="AP62" s="309"/>
      <c r="AQ62" s="313">
        <f t="shared" si="143"/>
        <v>0</v>
      </c>
      <c r="AR62" s="309">
        <v>0</v>
      </c>
      <c r="AS62" s="314">
        <v>0</v>
      </c>
      <c r="AT62" s="309"/>
      <c r="AU62" s="310"/>
      <c r="AV62" s="310"/>
      <c r="AW62" s="309"/>
    </row>
    <row r="63" spans="1:49" x14ac:dyDescent="0.2">
      <c r="A63" s="86">
        <f t="shared" si="4"/>
        <v>56</v>
      </c>
      <c r="B63" s="725"/>
      <c r="C63" s="726" t="s">
        <v>8</v>
      </c>
      <c r="D63" s="157"/>
      <c r="E63" s="122">
        <f>'Rates in Detail'!Y53</f>
        <v>4.4200000000000003E-3</v>
      </c>
      <c r="F63" s="122">
        <f>'Rates in Detail'!Z53</f>
        <v>-6.0000000000000002E-5</v>
      </c>
      <c r="G63" s="157"/>
      <c r="H63" s="157"/>
      <c r="I63" s="373">
        <f>'Rev Req Proof Yr2'!H63</f>
        <v>5.9810000000000002E-2</v>
      </c>
      <c r="J63" s="774">
        <f t="shared" si="10"/>
        <v>6.4230000000000009E-2</v>
      </c>
      <c r="K63" s="157"/>
      <c r="L63" s="155"/>
      <c r="M63" s="156"/>
      <c r="N63" s="122"/>
      <c r="O63" s="122"/>
      <c r="P63" s="122"/>
      <c r="Q63" s="774"/>
      <c r="R63" s="157"/>
      <c r="S63" s="298">
        <f>'Rev Req Proof Yr1'!R63</f>
        <v>1492257</v>
      </c>
      <c r="T63" s="299"/>
      <c r="U63" s="300"/>
      <c r="V63" s="301"/>
      <c r="W63" s="157"/>
      <c r="X63" s="313">
        <f t="shared" si="134"/>
        <v>89251.891170000003</v>
      </c>
      <c r="Y63" s="309">
        <f t="shared" si="135"/>
        <v>0</v>
      </c>
      <c r="Z63" s="314">
        <f t="shared" si="136"/>
        <v>0</v>
      </c>
      <c r="AA63" s="309"/>
      <c r="AB63" s="313">
        <f t="shared" si="137"/>
        <v>95847.667110000009</v>
      </c>
      <c r="AC63" s="309">
        <f t="shared" si="138"/>
        <v>0</v>
      </c>
      <c r="AD63" s="314">
        <f t="shared" si="139"/>
        <v>0</v>
      </c>
      <c r="AE63" s="309"/>
      <c r="AF63" s="313">
        <f t="shared" si="140"/>
        <v>-89.535420000000002</v>
      </c>
      <c r="AG63" s="309">
        <v>0</v>
      </c>
      <c r="AH63" s="314">
        <v>0</v>
      </c>
      <c r="AI63" s="309"/>
      <c r="AJ63" s="313">
        <f t="shared" si="141"/>
        <v>6506.2405200000067</v>
      </c>
      <c r="AK63" s="309">
        <f t="shared" si="142"/>
        <v>0</v>
      </c>
      <c r="AL63" s="314">
        <f t="shared" si="142"/>
        <v>0</v>
      </c>
      <c r="AM63" s="309"/>
      <c r="AN63" s="338"/>
      <c r="AO63" s="340">
        <f t="shared" si="133"/>
        <v>7.2897508777796424E-2</v>
      </c>
      <c r="AP63" s="309"/>
      <c r="AQ63" s="313">
        <f t="shared" si="143"/>
        <v>0</v>
      </c>
      <c r="AR63" s="309">
        <v>0</v>
      </c>
      <c r="AS63" s="314">
        <v>0</v>
      </c>
      <c r="AT63" s="309"/>
      <c r="AU63" s="310"/>
      <c r="AV63" s="310"/>
      <c r="AW63" s="309"/>
    </row>
    <row r="64" spans="1:49" x14ac:dyDescent="0.2">
      <c r="A64" s="86">
        <f t="shared" si="4"/>
        <v>57</v>
      </c>
      <c r="B64" s="725"/>
      <c r="C64" s="726" t="s">
        <v>9</v>
      </c>
      <c r="D64" s="157"/>
      <c r="E64" s="122">
        <f>'Rates in Detail'!Y54</f>
        <v>1.66E-3</v>
      </c>
      <c r="F64" s="122">
        <f>'Rates in Detail'!Z54</f>
        <v>-2.0000000000000002E-5</v>
      </c>
      <c r="G64" s="157"/>
      <c r="H64" s="157"/>
      <c r="I64" s="373">
        <f>'Rev Req Proof Yr2'!H64</f>
        <v>2.2429999999999999E-2</v>
      </c>
      <c r="J64" s="774">
        <f t="shared" si="10"/>
        <v>2.409E-2</v>
      </c>
      <c r="K64" s="157"/>
      <c r="L64" s="155"/>
      <c r="M64" s="156"/>
      <c r="N64" s="122"/>
      <c r="O64" s="122"/>
      <c r="P64" s="122"/>
      <c r="Q64" s="774"/>
      <c r="R64" s="157"/>
      <c r="S64" s="298">
        <f>'Rev Req Proof Yr1'!R64</f>
        <v>0</v>
      </c>
      <c r="T64" s="299"/>
      <c r="U64" s="300"/>
      <c r="V64" s="301"/>
      <c r="W64" s="157"/>
      <c r="X64" s="313">
        <f t="shared" si="134"/>
        <v>0</v>
      </c>
      <c r="Y64" s="309">
        <f t="shared" si="135"/>
        <v>0</v>
      </c>
      <c r="Z64" s="314">
        <f t="shared" si="136"/>
        <v>0</v>
      </c>
      <c r="AA64" s="309"/>
      <c r="AB64" s="313">
        <f t="shared" si="137"/>
        <v>0</v>
      </c>
      <c r="AC64" s="309">
        <f t="shared" si="138"/>
        <v>0</v>
      </c>
      <c r="AD64" s="314">
        <f t="shared" si="139"/>
        <v>0</v>
      </c>
      <c r="AE64" s="309"/>
      <c r="AF64" s="313">
        <f t="shared" si="140"/>
        <v>0</v>
      </c>
      <c r="AG64" s="309">
        <v>0</v>
      </c>
      <c r="AH64" s="314">
        <v>0</v>
      </c>
      <c r="AI64" s="309"/>
      <c r="AJ64" s="313">
        <f t="shared" si="141"/>
        <v>0</v>
      </c>
      <c r="AK64" s="309">
        <f t="shared" si="142"/>
        <v>0</v>
      </c>
      <c r="AL64" s="314">
        <f t="shared" si="142"/>
        <v>0</v>
      </c>
      <c r="AM64" s="309"/>
      <c r="AN64" s="338"/>
      <c r="AO64" s="340" t="e">
        <f t="shared" si="133"/>
        <v>#DIV/0!</v>
      </c>
      <c r="AP64" s="309"/>
      <c r="AQ64" s="313">
        <f t="shared" si="143"/>
        <v>0</v>
      </c>
      <c r="AR64" s="309">
        <v>0</v>
      </c>
      <c r="AS64" s="314">
        <v>0</v>
      </c>
      <c r="AT64" s="309"/>
      <c r="AU64" s="310"/>
      <c r="AV64" s="310"/>
      <c r="AW64" s="309"/>
    </row>
    <row r="65" spans="1:49" x14ac:dyDescent="0.2">
      <c r="A65" s="86">
        <f t="shared" si="4"/>
        <v>58</v>
      </c>
      <c r="B65" s="723"/>
      <c r="C65" s="742" t="s">
        <v>78</v>
      </c>
      <c r="D65" s="153"/>
      <c r="E65" s="123"/>
      <c r="F65" s="123"/>
      <c r="G65" s="153"/>
      <c r="H65" s="153"/>
      <c r="I65" s="368"/>
      <c r="J65" s="773"/>
      <c r="K65" s="157"/>
      <c r="L65" s="155"/>
      <c r="M65" s="156"/>
      <c r="N65" s="122"/>
      <c r="O65" s="122"/>
      <c r="P65" s="122"/>
      <c r="Q65" s="774"/>
      <c r="R65" s="157"/>
      <c r="S65" s="298"/>
      <c r="T65" s="299"/>
      <c r="U65" s="300"/>
      <c r="V65" s="301"/>
      <c r="W65" s="157"/>
      <c r="X65" s="315">
        <f>SUM(X59:X64)</f>
        <v>711483.11754999997</v>
      </c>
      <c r="Y65" s="316">
        <f>SUM(Y59:Y64)</f>
        <v>165850</v>
      </c>
      <c r="Z65" s="317">
        <f>SUM(Z59:Z64)</f>
        <v>50664.465600000003</v>
      </c>
      <c r="AA65" s="309"/>
      <c r="AB65" s="315">
        <f>SUM(AB59:AB64)</f>
        <v>764041.68648000015</v>
      </c>
      <c r="AC65" s="316">
        <f>SUM(AC59:AC64)</f>
        <v>165850</v>
      </c>
      <c r="AD65" s="317">
        <f>SUM(AD59:AD64)</f>
        <v>50664.465600000003</v>
      </c>
      <c r="AE65" s="309"/>
      <c r="AF65" s="315">
        <f>SUM(AF59:AF64)</f>
        <v>-729.79639000000009</v>
      </c>
      <c r="AG65" s="316">
        <f>SUM(AG59:AG64)</f>
        <v>0</v>
      </c>
      <c r="AH65" s="317">
        <f>SUM(AH59:AH64)</f>
        <v>0</v>
      </c>
      <c r="AI65" s="309"/>
      <c r="AJ65" s="315">
        <f>SUM(AJ59:AJ64)</f>
        <v>51828.772539999991</v>
      </c>
      <c r="AK65" s="316">
        <f>SUM(AK59:AK64)</f>
        <v>0</v>
      </c>
      <c r="AL65" s="317">
        <f>SUM(AL59:AL64)</f>
        <v>0</v>
      </c>
      <c r="AM65" s="309"/>
      <c r="AN65" s="338">
        <f>SUM(AJ65:AL65)/SUM(X65:Z65)</f>
        <v>5.5850115863526423E-2</v>
      </c>
      <c r="AO65" s="339">
        <f t="shared" si="133"/>
        <v>7.2846103107088389E-2</v>
      </c>
      <c r="AP65" s="309"/>
      <c r="AQ65" s="315">
        <f>SUM(AQ59:AQ64)</f>
        <v>0</v>
      </c>
      <c r="AR65" s="316">
        <f>SUM(AR59:AR64)</f>
        <v>0</v>
      </c>
      <c r="AS65" s="317">
        <f>SUM(AS59:AS64)</f>
        <v>0</v>
      </c>
      <c r="AT65" s="309"/>
      <c r="AU65" s="310"/>
      <c r="AV65" s="310"/>
      <c r="AW65" s="309"/>
    </row>
    <row r="66" spans="1:49" x14ac:dyDescent="0.2">
      <c r="A66" s="86">
        <f t="shared" si="4"/>
        <v>59</v>
      </c>
      <c r="B66" s="725" t="str">
        <f>'WA Volumes &amp; Revenues'!B57</f>
        <v>42C Interr Sales</v>
      </c>
      <c r="C66" s="726" t="s">
        <v>4</v>
      </c>
      <c r="D66" s="157"/>
      <c r="E66" s="122">
        <f>'Rates in Detail'!Y55</f>
        <v>1.252E-2</v>
      </c>
      <c r="F66" s="122">
        <f>'Rates in Detail'!Z55</f>
        <v>-1.8000000000000001E-4</v>
      </c>
      <c r="G66" s="157"/>
      <c r="H66" s="157"/>
      <c r="I66" s="373">
        <f>'Rev Req Proof Yr2'!H66</f>
        <v>0.16167999999999999</v>
      </c>
      <c r="J66" s="774">
        <f t="shared" si="10"/>
        <v>0.17419999999999999</v>
      </c>
      <c r="K66" s="157"/>
      <c r="L66" s="155">
        <f>'Rev Req Proof Yr1'!K66</f>
        <v>1300</v>
      </c>
      <c r="M66" s="156">
        <f>'Rev Req Proof Yr1'!L66</f>
        <v>1300</v>
      </c>
      <c r="N66" s="122">
        <f>'Rev Req Proof Yr1'!M66</f>
        <v>0</v>
      </c>
      <c r="O66" s="122">
        <f>'Rev Req Proof Yr1'!N66</f>
        <v>0</v>
      </c>
      <c r="P66" s="122">
        <f>'Rev Req Proof Yr1'!O66</f>
        <v>0</v>
      </c>
      <c r="Q66" s="774">
        <f>'Rev Req Proof Yr1'!P66</f>
        <v>0</v>
      </c>
      <c r="R66" s="157"/>
      <c r="S66" s="298">
        <f>'Rev Req Proof Yr1'!R66</f>
        <v>240000</v>
      </c>
      <c r="T66" s="299">
        <f>'Rev Req Proof Yr1'!S66</f>
        <v>4620</v>
      </c>
      <c r="U66" s="300">
        <f>'Rev Req Proof Yr1'!T66</f>
        <v>2</v>
      </c>
      <c r="V66" s="301">
        <f>'Rev Req Proof Yr1'!U66</f>
        <v>39322</v>
      </c>
      <c r="W66" s="157"/>
      <c r="X66" s="313">
        <f t="shared" ref="X66:X71" si="144">(I66*S66)</f>
        <v>38803.199999999997</v>
      </c>
      <c r="Y66" s="309">
        <f t="shared" ref="Y66:Y71" si="145">(L66*U66*12)</f>
        <v>31200</v>
      </c>
      <c r="Z66" s="314">
        <f t="shared" ref="Z66:Z71" si="146">(T66*(N66+P66))*12</f>
        <v>0</v>
      </c>
      <c r="AA66" s="309"/>
      <c r="AB66" s="313">
        <f t="shared" ref="AB66:AB71" si="147">(J66*S66)</f>
        <v>41808</v>
      </c>
      <c r="AC66" s="309">
        <f t="shared" ref="AC66:AC71" si="148">(M66*U66*12)</f>
        <v>31200</v>
      </c>
      <c r="AD66" s="314">
        <f t="shared" ref="AD66:AD71" si="149">(T66*(O66+Q66))*12</f>
        <v>0</v>
      </c>
      <c r="AE66" s="309"/>
      <c r="AF66" s="313">
        <f t="shared" ref="AF66:AF71" si="150">(F66*S66)</f>
        <v>-43.2</v>
      </c>
      <c r="AG66" s="309">
        <v>0</v>
      </c>
      <c r="AH66" s="314">
        <v>0</v>
      </c>
      <c r="AI66" s="309"/>
      <c r="AJ66" s="313">
        <f t="shared" ref="AJ66:AJ71" si="151">AB66-X66+AF66</f>
        <v>2961.6000000000031</v>
      </c>
      <c r="AK66" s="309">
        <f t="shared" ref="AK66:AL71" si="152">AC66-Y66-AG66</f>
        <v>0</v>
      </c>
      <c r="AL66" s="314">
        <f t="shared" si="152"/>
        <v>0</v>
      </c>
      <c r="AM66" s="309"/>
      <c r="AN66" s="338"/>
      <c r="AO66" s="340">
        <f t="shared" si="133"/>
        <v>7.6323602177140112E-2</v>
      </c>
      <c r="AP66" s="309"/>
      <c r="AQ66" s="313">
        <f t="shared" ref="AQ66:AQ71" si="153">(G66*S66)</f>
        <v>0</v>
      </c>
      <c r="AR66" s="309">
        <v>0</v>
      </c>
      <c r="AS66" s="314">
        <v>0</v>
      </c>
      <c r="AT66" s="309"/>
      <c r="AU66" s="310"/>
      <c r="AV66" s="310"/>
      <c r="AW66" s="309"/>
    </row>
    <row r="67" spans="1:49" x14ac:dyDescent="0.2">
      <c r="A67" s="86">
        <f t="shared" si="4"/>
        <v>60</v>
      </c>
      <c r="B67" s="725"/>
      <c r="C67" s="726" t="s">
        <v>5</v>
      </c>
      <c r="D67" s="157"/>
      <c r="E67" s="122">
        <f>'Rates in Detail'!Y56</f>
        <v>1.1209999999999999E-2</v>
      </c>
      <c r="F67" s="122">
        <f>'Rates in Detail'!Z56</f>
        <v>-1.6000000000000001E-4</v>
      </c>
      <c r="G67" s="157"/>
      <c r="H67" s="157"/>
      <c r="I67" s="373">
        <f>'Rev Req Proof Yr2'!H67</f>
        <v>0.14473</v>
      </c>
      <c r="J67" s="774">
        <f t="shared" si="10"/>
        <v>0.15594</v>
      </c>
      <c r="K67" s="157"/>
      <c r="L67" s="273"/>
      <c r="M67" s="55"/>
      <c r="N67" s="122"/>
      <c r="O67" s="122"/>
      <c r="P67" s="122"/>
      <c r="Q67" s="774"/>
      <c r="R67" s="157"/>
      <c r="S67" s="298">
        <f>'Rev Req Proof Yr1'!R67</f>
        <v>467511</v>
      </c>
      <c r="T67" s="299"/>
      <c r="U67" s="300"/>
      <c r="V67" s="301"/>
      <c r="W67" s="157"/>
      <c r="X67" s="313">
        <f t="shared" si="144"/>
        <v>67662.867029999994</v>
      </c>
      <c r="Y67" s="309">
        <f t="shared" si="145"/>
        <v>0</v>
      </c>
      <c r="Z67" s="314">
        <f t="shared" si="146"/>
        <v>0</v>
      </c>
      <c r="AA67" s="309"/>
      <c r="AB67" s="313">
        <f t="shared" si="147"/>
        <v>72903.665339999992</v>
      </c>
      <c r="AC67" s="309">
        <f t="shared" si="148"/>
        <v>0</v>
      </c>
      <c r="AD67" s="314">
        <f t="shared" si="149"/>
        <v>0</v>
      </c>
      <c r="AE67" s="309"/>
      <c r="AF67" s="313">
        <f t="shared" si="150"/>
        <v>-74.801760000000002</v>
      </c>
      <c r="AG67" s="309">
        <v>0</v>
      </c>
      <c r="AH67" s="314">
        <v>0</v>
      </c>
      <c r="AI67" s="309"/>
      <c r="AJ67" s="313">
        <f t="shared" si="151"/>
        <v>5165.996549999998</v>
      </c>
      <c r="AK67" s="309">
        <f t="shared" si="152"/>
        <v>0</v>
      </c>
      <c r="AL67" s="314">
        <f t="shared" si="152"/>
        <v>0</v>
      </c>
      <c r="AM67" s="309"/>
      <c r="AN67" s="338"/>
      <c r="AO67" s="340">
        <f t="shared" si="133"/>
        <v>7.6349063773923836E-2</v>
      </c>
      <c r="AP67" s="309"/>
      <c r="AQ67" s="313">
        <f t="shared" si="153"/>
        <v>0</v>
      </c>
      <c r="AR67" s="309">
        <v>0</v>
      </c>
      <c r="AS67" s="314">
        <v>0</v>
      </c>
      <c r="AT67" s="309"/>
      <c r="AU67" s="310"/>
      <c r="AV67" s="310"/>
      <c r="AW67" s="309"/>
    </row>
    <row r="68" spans="1:49" x14ac:dyDescent="0.2">
      <c r="A68" s="86">
        <f t="shared" si="4"/>
        <v>61</v>
      </c>
      <c r="B68" s="725"/>
      <c r="C68" s="726" t="s">
        <v>6</v>
      </c>
      <c r="D68" s="157"/>
      <c r="E68" s="122">
        <f>'Rates in Detail'!Y57</f>
        <v>8.5900000000000004E-3</v>
      </c>
      <c r="F68" s="122">
        <f>'Rates in Detail'!Z57</f>
        <v>-1.2E-4</v>
      </c>
      <c r="G68" s="157"/>
      <c r="H68" s="157"/>
      <c r="I68" s="373">
        <f>'Rev Req Proof Yr2'!H68</f>
        <v>0.11098</v>
      </c>
      <c r="J68" s="774">
        <f t="shared" si="10"/>
        <v>0.11957</v>
      </c>
      <c r="K68" s="157"/>
      <c r="L68" s="155"/>
      <c r="M68" s="156"/>
      <c r="N68" s="122"/>
      <c r="O68" s="122"/>
      <c r="P68" s="122"/>
      <c r="Q68" s="774"/>
      <c r="R68" s="157"/>
      <c r="S68" s="298">
        <f>'Rev Req Proof Yr1'!R68</f>
        <v>218004</v>
      </c>
      <c r="T68" s="299"/>
      <c r="U68" s="300"/>
      <c r="V68" s="301"/>
      <c r="W68" s="157"/>
      <c r="X68" s="313">
        <f t="shared" si="144"/>
        <v>24194.083919999997</v>
      </c>
      <c r="Y68" s="309">
        <f t="shared" si="145"/>
        <v>0</v>
      </c>
      <c r="Z68" s="314">
        <f t="shared" si="146"/>
        <v>0</v>
      </c>
      <c r="AA68" s="309"/>
      <c r="AB68" s="313">
        <f t="shared" si="147"/>
        <v>26066.738279999998</v>
      </c>
      <c r="AC68" s="309">
        <f t="shared" si="148"/>
        <v>0</v>
      </c>
      <c r="AD68" s="314">
        <f t="shared" si="149"/>
        <v>0</v>
      </c>
      <c r="AE68" s="309"/>
      <c r="AF68" s="313">
        <f t="shared" si="150"/>
        <v>-26.16048</v>
      </c>
      <c r="AG68" s="309">
        <v>0</v>
      </c>
      <c r="AH68" s="314">
        <v>0</v>
      </c>
      <c r="AI68" s="309"/>
      <c r="AJ68" s="313">
        <f t="shared" si="151"/>
        <v>1846.4938800000004</v>
      </c>
      <c r="AK68" s="309">
        <f t="shared" si="152"/>
        <v>0</v>
      </c>
      <c r="AL68" s="314">
        <f t="shared" si="152"/>
        <v>0</v>
      </c>
      <c r="AM68" s="309"/>
      <c r="AN68" s="338"/>
      <c r="AO68" s="340">
        <f t="shared" si="133"/>
        <v>7.6320057668048322E-2</v>
      </c>
      <c r="AP68" s="309"/>
      <c r="AQ68" s="313">
        <f t="shared" si="153"/>
        <v>0</v>
      </c>
      <c r="AR68" s="309">
        <v>0</v>
      </c>
      <c r="AS68" s="314">
        <v>0</v>
      </c>
      <c r="AT68" s="309"/>
      <c r="AU68" s="310"/>
      <c r="AV68" s="310"/>
      <c r="AW68" s="309"/>
    </row>
    <row r="69" spans="1:49" x14ac:dyDescent="0.2">
      <c r="A69" s="86">
        <f t="shared" si="4"/>
        <v>62</v>
      </c>
      <c r="B69" s="725"/>
      <c r="C69" s="726" t="s">
        <v>7</v>
      </c>
      <c r="D69" s="157"/>
      <c r="E69" s="122">
        <f>'Rates in Detail'!Y58</f>
        <v>6.8799999999999998E-3</v>
      </c>
      <c r="F69" s="122">
        <f>'Rates in Detail'!Z58</f>
        <v>-1E-4</v>
      </c>
      <c r="G69" s="157"/>
      <c r="H69" s="157"/>
      <c r="I69" s="373">
        <f>'Rev Req Proof Yr2'!H69</f>
        <v>8.8779999999999998E-2</v>
      </c>
      <c r="J69" s="774">
        <f t="shared" si="10"/>
        <v>9.5659999999999995E-2</v>
      </c>
      <c r="K69" s="157"/>
      <c r="L69" s="155"/>
      <c r="M69" s="156"/>
      <c r="N69" s="122"/>
      <c r="O69" s="122"/>
      <c r="P69" s="122"/>
      <c r="Q69" s="774"/>
      <c r="R69" s="157"/>
      <c r="S69" s="298">
        <f>'Rev Req Proof Yr1'!R69</f>
        <v>18208</v>
      </c>
      <c r="T69" s="299"/>
      <c r="U69" s="300"/>
      <c r="V69" s="301"/>
      <c r="W69" s="157"/>
      <c r="X69" s="313">
        <f t="shared" si="144"/>
        <v>1616.5062399999999</v>
      </c>
      <c r="Y69" s="309">
        <f t="shared" si="145"/>
        <v>0</v>
      </c>
      <c r="Z69" s="314">
        <f t="shared" si="146"/>
        <v>0</v>
      </c>
      <c r="AA69" s="309"/>
      <c r="AB69" s="313">
        <f t="shared" si="147"/>
        <v>1741.77728</v>
      </c>
      <c r="AC69" s="309">
        <f t="shared" si="148"/>
        <v>0</v>
      </c>
      <c r="AD69" s="314">
        <f t="shared" si="149"/>
        <v>0</v>
      </c>
      <c r="AE69" s="309"/>
      <c r="AF69" s="313">
        <f t="shared" si="150"/>
        <v>-1.8208000000000002</v>
      </c>
      <c r="AG69" s="309">
        <v>0</v>
      </c>
      <c r="AH69" s="314">
        <v>0</v>
      </c>
      <c r="AI69" s="309"/>
      <c r="AJ69" s="313">
        <f t="shared" si="151"/>
        <v>123.45024000000008</v>
      </c>
      <c r="AK69" s="309">
        <f t="shared" si="152"/>
        <v>0</v>
      </c>
      <c r="AL69" s="314">
        <f t="shared" si="152"/>
        <v>0</v>
      </c>
      <c r="AM69" s="309"/>
      <c r="AN69" s="338"/>
      <c r="AO69" s="340">
        <f t="shared" si="133"/>
        <v>7.6368551475557614E-2</v>
      </c>
      <c r="AP69" s="309"/>
      <c r="AQ69" s="313">
        <f t="shared" si="153"/>
        <v>0</v>
      </c>
      <c r="AR69" s="309">
        <v>0</v>
      </c>
      <c r="AS69" s="314">
        <v>0</v>
      </c>
      <c r="AT69" s="309"/>
      <c r="AU69" s="310"/>
      <c r="AV69" s="310"/>
      <c r="AW69" s="309"/>
    </row>
    <row r="70" spans="1:49" x14ac:dyDescent="0.2">
      <c r="A70" s="86">
        <f t="shared" si="4"/>
        <v>63</v>
      </c>
      <c r="B70" s="725"/>
      <c r="C70" s="726" t="s">
        <v>8</v>
      </c>
      <c r="D70" s="157"/>
      <c r="E70" s="122">
        <f>'Rates in Detail'!Y59</f>
        <v>4.5799999999999999E-3</v>
      </c>
      <c r="F70" s="122">
        <f>'Rates in Detail'!Z59</f>
        <v>-6.0000000000000002E-5</v>
      </c>
      <c r="G70" s="157"/>
      <c r="H70" s="157"/>
      <c r="I70" s="373">
        <f>'Rev Req Proof Yr2'!H70</f>
        <v>5.9200000000000003E-2</v>
      </c>
      <c r="J70" s="774">
        <f t="shared" si="10"/>
        <v>6.3780000000000003E-2</v>
      </c>
      <c r="K70" s="157"/>
      <c r="L70" s="155"/>
      <c r="M70" s="156"/>
      <c r="N70" s="122"/>
      <c r="O70" s="122"/>
      <c r="P70" s="122"/>
      <c r="Q70" s="774"/>
      <c r="R70" s="157"/>
      <c r="S70" s="298">
        <f>'Rev Req Proof Yr1'!R70</f>
        <v>0</v>
      </c>
      <c r="T70" s="299"/>
      <c r="U70" s="300"/>
      <c r="V70" s="301"/>
      <c r="W70" s="157"/>
      <c r="X70" s="313">
        <f t="shared" si="144"/>
        <v>0</v>
      </c>
      <c r="Y70" s="309">
        <f t="shared" si="145"/>
        <v>0</v>
      </c>
      <c r="Z70" s="314">
        <f t="shared" si="146"/>
        <v>0</v>
      </c>
      <c r="AA70" s="309"/>
      <c r="AB70" s="313">
        <f t="shared" si="147"/>
        <v>0</v>
      </c>
      <c r="AC70" s="309">
        <f t="shared" si="148"/>
        <v>0</v>
      </c>
      <c r="AD70" s="314">
        <f t="shared" si="149"/>
        <v>0</v>
      </c>
      <c r="AE70" s="309"/>
      <c r="AF70" s="313">
        <f t="shared" si="150"/>
        <v>0</v>
      </c>
      <c r="AG70" s="309">
        <v>0</v>
      </c>
      <c r="AH70" s="314">
        <v>0</v>
      </c>
      <c r="AI70" s="309"/>
      <c r="AJ70" s="313">
        <f t="shared" si="151"/>
        <v>0</v>
      </c>
      <c r="AK70" s="309">
        <f t="shared" si="152"/>
        <v>0</v>
      </c>
      <c r="AL70" s="314">
        <f t="shared" si="152"/>
        <v>0</v>
      </c>
      <c r="AM70" s="309"/>
      <c r="AN70" s="338"/>
      <c r="AO70" s="340" t="e">
        <f t="shared" si="133"/>
        <v>#DIV/0!</v>
      </c>
      <c r="AP70" s="309"/>
      <c r="AQ70" s="313">
        <f t="shared" si="153"/>
        <v>0</v>
      </c>
      <c r="AR70" s="309">
        <v>0</v>
      </c>
      <c r="AS70" s="314">
        <v>0</v>
      </c>
      <c r="AT70" s="309"/>
      <c r="AU70" s="310"/>
      <c r="AV70" s="310"/>
      <c r="AW70" s="309"/>
    </row>
    <row r="71" spans="1:49" x14ac:dyDescent="0.2">
      <c r="A71" s="86">
        <f t="shared" si="4"/>
        <v>64</v>
      </c>
      <c r="B71" s="725"/>
      <c r="C71" s="726" t="s">
        <v>9</v>
      </c>
      <c r="D71" s="157"/>
      <c r="E71" s="122">
        <f>'Rates in Detail'!Y60</f>
        <v>1.72E-3</v>
      </c>
      <c r="F71" s="122">
        <f>'Rates in Detail'!Z60</f>
        <v>-2.0000000000000002E-5</v>
      </c>
      <c r="G71" s="157"/>
      <c r="H71" s="157"/>
      <c r="I71" s="373">
        <f>'Rev Req Proof Yr2'!H71</f>
        <v>2.2210000000000001E-2</v>
      </c>
      <c r="J71" s="774">
        <f t="shared" si="10"/>
        <v>2.393E-2</v>
      </c>
      <c r="K71" s="157"/>
      <c r="L71" s="155"/>
      <c r="M71" s="156"/>
      <c r="N71" s="122"/>
      <c r="O71" s="122"/>
      <c r="P71" s="122"/>
      <c r="Q71" s="774"/>
      <c r="R71" s="157"/>
      <c r="S71" s="298">
        <f>'Rev Req Proof Yr1'!R71</f>
        <v>0</v>
      </c>
      <c r="T71" s="299"/>
      <c r="U71" s="300"/>
      <c r="V71" s="301"/>
      <c r="W71" s="157"/>
      <c r="X71" s="313">
        <f t="shared" si="144"/>
        <v>0</v>
      </c>
      <c r="Y71" s="309">
        <f t="shared" si="145"/>
        <v>0</v>
      </c>
      <c r="Z71" s="314">
        <f t="shared" si="146"/>
        <v>0</v>
      </c>
      <c r="AA71" s="309"/>
      <c r="AB71" s="313">
        <f t="shared" si="147"/>
        <v>0</v>
      </c>
      <c r="AC71" s="309">
        <f t="shared" si="148"/>
        <v>0</v>
      </c>
      <c r="AD71" s="314">
        <f t="shared" si="149"/>
        <v>0</v>
      </c>
      <c r="AE71" s="309"/>
      <c r="AF71" s="313">
        <f t="shared" si="150"/>
        <v>0</v>
      </c>
      <c r="AG71" s="309">
        <v>0</v>
      </c>
      <c r="AH71" s="314">
        <v>0</v>
      </c>
      <c r="AI71" s="309"/>
      <c r="AJ71" s="313">
        <f t="shared" si="151"/>
        <v>0</v>
      </c>
      <c r="AK71" s="309">
        <f t="shared" si="152"/>
        <v>0</v>
      </c>
      <c r="AL71" s="314">
        <f t="shared" si="152"/>
        <v>0</v>
      </c>
      <c r="AM71" s="309"/>
      <c r="AN71" s="338"/>
      <c r="AO71" s="340" t="e">
        <f>AO70</f>
        <v>#DIV/0!</v>
      </c>
      <c r="AP71" s="309"/>
      <c r="AQ71" s="313">
        <f t="shared" si="153"/>
        <v>0</v>
      </c>
      <c r="AR71" s="309">
        <v>0</v>
      </c>
      <c r="AS71" s="314">
        <v>0</v>
      </c>
      <c r="AT71" s="309"/>
      <c r="AU71" s="310"/>
      <c r="AV71" s="310"/>
      <c r="AW71" s="309"/>
    </row>
    <row r="72" spans="1:49" x14ac:dyDescent="0.2">
      <c r="A72" s="86">
        <f t="shared" si="4"/>
        <v>65</v>
      </c>
      <c r="B72" s="723"/>
      <c r="C72" s="742" t="s">
        <v>78</v>
      </c>
      <c r="D72" s="153"/>
      <c r="E72" s="123"/>
      <c r="F72" s="123"/>
      <c r="G72" s="153"/>
      <c r="H72" s="153"/>
      <c r="I72" s="368"/>
      <c r="J72" s="773"/>
      <c r="K72" s="157"/>
      <c r="L72" s="155"/>
      <c r="M72" s="156"/>
      <c r="N72" s="122"/>
      <c r="O72" s="122"/>
      <c r="P72" s="122"/>
      <c r="Q72" s="774"/>
      <c r="R72" s="157"/>
      <c r="S72" s="298"/>
      <c r="T72" s="299"/>
      <c r="U72" s="300"/>
      <c r="V72" s="301"/>
      <c r="W72" s="157"/>
      <c r="X72" s="315">
        <f>SUM(X66:X71)</f>
        <v>132276.65718999997</v>
      </c>
      <c r="Y72" s="316">
        <f>SUM(Y66:Y71)</f>
        <v>31200</v>
      </c>
      <c r="Z72" s="317">
        <f>SUM(Z66:Z71)</f>
        <v>0</v>
      </c>
      <c r="AA72" s="309"/>
      <c r="AB72" s="315">
        <f>SUM(AB66:AB71)</f>
        <v>142520.18090000001</v>
      </c>
      <c r="AC72" s="316">
        <f>SUM(AC66:AC71)</f>
        <v>31200</v>
      </c>
      <c r="AD72" s="317">
        <f>SUM(AD66:AD71)</f>
        <v>0</v>
      </c>
      <c r="AE72" s="309"/>
      <c r="AF72" s="315">
        <f>SUM(AF66:AF71)</f>
        <v>-145.98303999999999</v>
      </c>
      <c r="AG72" s="316">
        <f>SUM(AG66:AG71)</f>
        <v>0</v>
      </c>
      <c r="AH72" s="317">
        <f>SUM(AH66:AH71)</f>
        <v>0</v>
      </c>
      <c r="AI72" s="309"/>
      <c r="AJ72" s="315">
        <f>SUM(AJ66:AJ71)</f>
        <v>10097.540670000002</v>
      </c>
      <c r="AK72" s="316">
        <f>SUM(AK66:AK71)</f>
        <v>0</v>
      </c>
      <c r="AL72" s="317">
        <f>SUM(AL66:AL71)</f>
        <v>0</v>
      </c>
      <c r="AM72" s="309"/>
      <c r="AN72" s="338">
        <f>SUM(AJ72:AL72)/SUM(X72:Z72)</f>
        <v>6.1767477042695973E-2</v>
      </c>
      <c r="AO72" s="339">
        <f t="shared" ref="AO72:AO77" si="154">SUM(AJ72)/SUM(X72)</f>
        <v>7.633652743050548E-2</v>
      </c>
      <c r="AP72" s="309"/>
      <c r="AQ72" s="315">
        <f>SUM(AQ66:AQ71)</f>
        <v>0</v>
      </c>
      <c r="AR72" s="316">
        <f>SUM(AR66:AR71)</f>
        <v>0</v>
      </c>
      <c r="AS72" s="317">
        <f>SUM(AS66:AS71)</f>
        <v>0</v>
      </c>
      <c r="AT72" s="309"/>
      <c r="AU72" s="319"/>
      <c r="AV72" s="310"/>
      <c r="AW72" s="309"/>
    </row>
    <row r="73" spans="1:49" x14ac:dyDescent="0.2">
      <c r="A73" s="86">
        <f t="shared" si="4"/>
        <v>66</v>
      </c>
      <c r="B73" s="725" t="str">
        <f>'WA Volumes &amp; Revenues'!B63</f>
        <v>42I Interr Sales</v>
      </c>
      <c r="C73" s="726" t="s">
        <v>4</v>
      </c>
      <c r="D73" s="157"/>
      <c r="E73" s="122">
        <f>'Rates in Detail'!Y61</f>
        <v>1.728E-2</v>
      </c>
      <c r="F73" s="122">
        <f>'Rates in Detail'!Z61</f>
        <v>-2.4000000000000001E-4</v>
      </c>
      <c r="G73" s="157"/>
      <c r="H73" s="157"/>
      <c r="I73" s="373">
        <f>'Rev Req Proof Yr2'!H73</f>
        <v>0.18013999999999999</v>
      </c>
      <c r="J73" s="774">
        <f t="shared" si="10"/>
        <v>0.19741999999999998</v>
      </c>
      <c r="K73" s="157"/>
      <c r="L73" s="155">
        <f>'Rev Req Proof Yr1'!K73</f>
        <v>1300</v>
      </c>
      <c r="M73" s="156">
        <f>'Rev Req Proof Yr1'!L73</f>
        <v>1300</v>
      </c>
      <c r="N73" s="122">
        <f>'Rev Req Proof Yr1'!M73</f>
        <v>0</v>
      </c>
      <c r="O73" s="122">
        <f>'Rev Req Proof Yr1'!N73</f>
        <v>0</v>
      </c>
      <c r="P73" s="122">
        <f>'Rev Req Proof Yr1'!O73</f>
        <v>0</v>
      </c>
      <c r="Q73" s="774">
        <f>'Rev Req Proof Yr1'!P73</f>
        <v>0</v>
      </c>
      <c r="R73" s="157"/>
      <c r="S73" s="298">
        <f>'Rev Req Proof Yr1'!R73</f>
        <v>156740</v>
      </c>
      <c r="T73" s="299">
        <f>'Rev Req Proof Yr1'!S73</f>
        <v>2934</v>
      </c>
      <c r="U73" s="300">
        <f>'Rev Req Proof Yr1'!T73</f>
        <v>1.9166666666666701</v>
      </c>
      <c r="V73" s="301">
        <f>'Rev Req Proof Yr1'!U73</f>
        <v>13758</v>
      </c>
      <c r="W73" s="157"/>
      <c r="X73" s="313">
        <f t="shared" ref="X73:X78" si="155">(I73*S73)</f>
        <v>28235.143599999999</v>
      </c>
      <c r="Y73" s="309">
        <f t="shared" ref="Y73:Y78" si="156">(L73*U73*12)</f>
        <v>29900.000000000051</v>
      </c>
      <c r="Z73" s="314">
        <f t="shared" ref="Z73:Z78" si="157">(T73*(N73+P73))*12</f>
        <v>0</v>
      </c>
      <c r="AA73" s="309"/>
      <c r="AB73" s="313">
        <f t="shared" ref="AB73:AB78" si="158">(J73*S73)</f>
        <v>30943.610799999999</v>
      </c>
      <c r="AC73" s="309">
        <f t="shared" ref="AC73:AC78" si="159">(M73*U73*12)</f>
        <v>29900.000000000051</v>
      </c>
      <c r="AD73" s="314">
        <f t="shared" ref="AD73:AD78" si="160">(T73*(O73+Q73))*12</f>
        <v>0</v>
      </c>
      <c r="AE73" s="309"/>
      <c r="AF73" s="313">
        <f t="shared" ref="AF73:AF78" si="161">(F73*S73)</f>
        <v>-37.617600000000003</v>
      </c>
      <c r="AG73" s="309">
        <v>0</v>
      </c>
      <c r="AH73" s="314">
        <v>0</v>
      </c>
      <c r="AI73" s="309"/>
      <c r="AJ73" s="313">
        <f t="shared" ref="AJ73:AJ78" si="162">AB73-X73+AF73</f>
        <v>2670.8495999999991</v>
      </c>
      <c r="AK73" s="309">
        <f t="shared" ref="AK73:AL78" si="163">AC73-Y73-AG73</f>
        <v>0</v>
      </c>
      <c r="AL73" s="314">
        <f t="shared" si="163"/>
        <v>0</v>
      </c>
      <c r="AM73" s="309"/>
      <c r="AN73" s="338"/>
      <c r="AO73" s="340">
        <f t="shared" si="154"/>
        <v>9.4593094260019953E-2</v>
      </c>
      <c r="AP73" s="309"/>
      <c r="AQ73" s="313">
        <f t="shared" ref="AQ73:AQ78" si="164">(G73*S73)</f>
        <v>0</v>
      </c>
      <c r="AR73" s="309">
        <v>0</v>
      </c>
      <c r="AS73" s="314">
        <v>0</v>
      </c>
      <c r="AT73" s="309"/>
      <c r="AU73" s="310"/>
      <c r="AV73" s="310"/>
      <c r="AW73" s="309"/>
    </row>
    <row r="74" spans="1:49" x14ac:dyDescent="0.2">
      <c r="A74" s="86">
        <f t="shared" ref="A74:A102" si="165">+A73+1</f>
        <v>67</v>
      </c>
      <c r="B74" s="725"/>
      <c r="C74" s="726" t="s">
        <v>5</v>
      </c>
      <c r="D74" s="157"/>
      <c r="E74" s="122">
        <f>'Rates in Detail'!Y62</f>
        <v>1.546E-2</v>
      </c>
      <c r="F74" s="122">
        <f>'Rates in Detail'!Z62</f>
        <v>-2.2000000000000001E-4</v>
      </c>
      <c r="G74" s="157"/>
      <c r="H74" s="157"/>
      <c r="I74" s="373">
        <f>'Rev Req Proof Yr2'!H74</f>
        <v>0.16125999999999999</v>
      </c>
      <c r="J74" s="774">
        <f t="shared" si="10"/>
        <v>0.17671999999999999</v>
      </c>
      <c r="K74" s="157"/>
      <c r="L74" s="155"/>
      <c r="M74" s="156"/>
      <c r="N74" s="122"/>
      <c r="O74" s="122"/>
      <c r="P74" s="122"/>
      <c r="Q74" s="774"/>
      <c r="R74" s="157"/>
      <c r="S74" s="298">
        <f>'Rev Req Proof Yr1'!R74</f>
        <v>159690</v>
      </c>
      <c r="T74" s="299"/>
      <c r="U74" s="300"/>
      <c r="V74" s="301"/>
      <c r="W74" s="157"/>
      <c r="X74" s="313">
        <f t="shared" si="155"/>
        <v>25751.609399999998</v>
      </c>
      <c r="Y74" s="309">
        <f t="shared" si="156"/>
        <v>0</v>
      </c>
      <c r="Z74" s="314">
        <f t="shared" si="157"/>
        <v>0</v>
      </c>
      <c r="AA74" s="309"/>
      <c r="AB74" s="313">
        <f t="shared" si="158"/>
        <v>28220.416799999999</v>
      </c>
      <c r="AC74" s="309">
        <f t="shared" si="159"/>
        <v>0</v>
      </c>
      <c r="AD74" s="314">
        <f t="shared" si="160"/>
        <v>0</v>
      </c>
      <c r="AE74" s="309"/>
      <c r="AF74" s="313">
        <f t="shared" si="161"/>
        <v>-35.131799999999998</v>
      </c>
      <c r="AG74" s="309">
        <v>0</v>
      </c>
      <c r="AH74" s="314">
        <v>0</v>
      </c>
      <c r="AI74" s="309"/>
      <c r="AJ74" s="313">
        <f t="shared" si="162"/>
        <v>2433.6756000000014</v>
      </c>
      <c r="AK74" s="309">
        <f t="shared" si="163"/>
        <v>0</v>
      </c>
      <c r="AL74" s="314">
        <f t="shared" si="163"/>
        <v>0</v>
      </c>
      <c r="AM74" s="309"/>
      <c r="AN74" s="338"/>
      <c r="AO74" s="340">
        <f t="shared" si="154"/>
        <v>9.4505767084211892E-2</v>
      </c>
      <c r="AP74" s="309"/>
      <c r="AQ74" s="313">
        <f t="shared" si="164"/>
        <v>0</v>
      </c>
      <c r="AR74" s="309">
        <v>0</v>
      </c>
      <c r="AS74" s="314">
        <v>0</v>
      </c>
      <c r="AT74" s="309"/>
      <c r="AU74" s="310"/>
      <c r="AV74" s="310"/>
      <c r="AW74" s="309"/>
    </row>
    <row r="75" spans="1:49" x14ac:dyDescent="0.2">
      <c r="A75" s="86">
        <f t="shared" si="165"/>
        <v>68</v>
      </c>
      <c r="B75" s="725"/>
      <c r="C75" s="726" t="s">
        <v>6</v>
      </c>
      <c r="D75" s="157"/>
      <c r="E75" s="122">
        <f>'Rates in Detail'!Y63</f>
        <v>1.1860000000000001E-2</v>
      </c>
      <c r="F75" s="122">
        <f>'Rates in Detail'!Z63</f>
        <v>-1.7000000000000001E-4</v>
      </c>
      <c r="G75" s="157"/>
      <c r="H75" s="157"/>
      <c r="I75" s="373">
        <f>'Rev Req Proof Yr2'!H75</f>
        <v>0.12366000000000001</v>
      </c>
      <c r="J75" s="774">
        <f t="shared" si="10"/>
        <v>0.13552</v>
      </c>
      <c r="K75" s="157"/>
      <c r="L75" s="155"/>
      <c r="M75" s="156"/>
      <c r="N75" s="122"/>
      <c r="O75" s="122"/>
      <c r="P75" s="122"/>
      <c r="Q75" s="774"/>
      <c r="R75" s="157"/>
      <c r="S75" s="298">
        <f>'Rev Req Proof Yr1'!R75</f>
        <v>0</v>
      </c>
      <c r="T75" s="299"/>
      <c r="U75" s="300"/>
      <c r="V75" s="301"/>
      <c r="W75" s="157"/>
      <c r="X75" s="313">
        <f t="shared" si="155"/>
        <v>0</v>
      </c>
      <c r="Y75" s="309">
        <f t="shared" si="156"/>
        <v>0</v>
      </c>
      <c r="Z75" s="314">
        <f t="shared" si="157"/>
        <v>0</v>
      </c>
      <c r="AA75" s="309"/>
      <c r="AB75" s="313">
        <f t="shared" si="158"/>
        <v>0</v>
      </c>
      <c r="AC75" s="309">
        <f t="shared" si="159"/>
        <v>0</v>
      </c>
      <c r="AD75" s="314">
        <f t="shared" si="160"/>
        <v>0</v>
      </c>
      <c r="AE75" s="309"/>
      <c r="AF75" s="313">
        <f t="shared" si="161"/>
        <v>0</v>
      </c>
      <c r="AG75" s="309">
        <v>0</v>
      </c>
      <c r="AH75" s="314">
        <v>0</v>
      </c>
      <c r="AI75" s="309"/>
      <c r="AJ75" s="313">
        <f t="shared" si="162"/>
        <v>0</v>
      </c>
      <c r="AK75" s="309">
        <f t="shared" si="163"/>
        <v>0</v>
      </c>
      <c r="AL75" s="314">
        <f t="shared" si="163"/>
        <v>0</v>
      </c>
      <c r="AM75" s="309"/>
      <c r="AN75" s="338"/>
      <c r="AO75" s="340" t="e">
        <f t="shared" si="154"/>
        <v>#DIV/0!</v>
      </c>
      <c r="AP75" s="309"/>
      <c r="AQ75" s="313">
        <f t="shared" si="164"/>
        <v>0</v>
      </c>
      <c r="AR75" s="309">
        <v>0</v>
      </c>
      <c r="AS75" s="314">
        <v>0</v>
      </c>
      <c r="AT75" s="309"/>
      <c r="AU75" s="310"/>
      <c r="AV75" s="310"/>
      <c r="AW75" s="309"/>
    </row>
    <row r="76" spans="1:49" x14ac:dyDescent="0.2">
      <c r="A76" s="86">
        <f t="shared" si="165"/>
        <v>69</v>
      </c>
      <c r="B76" s="725"/>
      <c r="C76" s="726" t="s">
        <v>7</v>
      </c>
      <c r="D76" s="157"/>
      <c r="E76" s="122">
        <f>'Rates in Detail'!Y64</f>
        <v>9.4900000000000002E-3</v>
      </c>
      <c r="F76" s="122">
        <f>'Rates in Detail'!Z64</f>
        <v>-1.2999999999999999E-4</v>
      </c>
      <c r="G76" s="157"/>
      <c r="H76" s="157"/>
      <c r="I76" s="373">
        <f>'Rev Req Proof Yr2'!H76</f>
        <v>9.8930000000000004E-2</v>
      </c>
      <c r="J76" s="774">
        <f t="shared" si="10"/>
        <v>0.10842</v>
      </c>
      <c r="K76" s="157"/>
      <c r="L76" s="155"/>
      <c r="M76" s="156"/>
      <c r="N76" s="122"/>
      <c r="O76" s="122"/>
      <c r="P76" s="122"/>
      <c r="Q76" s="774"/>
      <c r="R76" s="157"/>
      <c r="S76" s="298">
        <f>'Rev Req Proof Yr1'!R76</f>
        <v>0</v>
      </c>
      <c r="T76" s="299"/>
      <c r="U76" s="300"/>
      <c r="V76" s="301"/>
      <c r="W76" s="157"/>
      <c r="X76" s="313">
        <f t="shared" si="155"/>
        <v>0</v>
      </c>
      <c r="Y76" s="309">
        <f t="shared" si="156"/>
        <v>0</v>
      </c>
      <c r="Z76" s="314">
        <f t="shared" si="157"/>
        <v>0</v>
      </c>
      <c r="AA76" s="309"/>
      <c r="AB76" s="313">
        <f t="shared" si="158"/>
        <v>0</v>
      </c>
      <c r="AC76" s="309">
        <f t="shared" si="159"/>
        <v>0</v>
      </c>
      <c r="AD76" s="314">
        <f t="shared" si="160"/>
        <v>0</v>
      </c>
      <c r="AE76" s="309"/>
      <c r="AF76" s="313">
        <f t="shared" si="161"/>
        <v>0</v>
      </c>
      <c r="AG76" s="309">
        <v>0</v>
      </c>
      <c r="AH76" s="314">
        <v>0</v>
      </c>
      <c r="AI76" s="309"/>
      <c r="AJ76" s="313">
        <f t="shared" si="162"/>
        <v>0</v>
      </c>
      <c r="AK76" s="309">
        <f t="shared" si="163"/>
        <v>0</v>
      </c>
      <c r="AL76" s="314">
        <f t="shared" si="163"/>
        <v>0</v>
      </c>
      <c r="AM76" s="309"/>
      <c r="AN76" s="338"/>
      <c r="AO76" s="340" t="e">
        <f t="shared" si="154"/>
        <v>#DIV/0!</v>
      </c>
      <c r="AP76" s="309"/>
      <c r="AQ76" s="313">
        <f t="shared" si="164"/>
        <v>0</v>
      </c>
      <c r="AR76" s="309">
        <v>0</v>
      </c>
      <c r="AS76" s="314">
        <v>0</v>
      </c>
      <c r="AT76" s="309"/>
      <c r="AU76" s="310"/>
      <c r="AV76" s="310"/>
      <c r="AW76" s="309"/>
    </row>
    <row r="77" spans="1:49" x14ac:dyDescent="0.2">
      <c r="A77" s="86">
        <f t="shared" si="165"/>
        <v>70</v>
      </c>
      <c r="B77" s="725"/>
      <c r="C77" s="726" t="s">
        <v>8</v>
      </c>
      <c r="D77" s="157"/>
      <c r="E77" s="122">
        <f>'Rates in Detail'!Y65</f>
        <v>6.3200000000000001E-3</v>
      </c>
      <c r="F77" s="122">
        <f>'Rates in Detail'!Z65</f>
        <v>-9.0000000000000006E-5</v>
      </c>
      <c r="G77" s="157"/>
      <c r="H77" s="157"/>
      <c r="I77" s="373">
        <f>'Rev Req Proof Yr2'!H77</f>
        <v>6.5949999999999995E-2</v>
      </c>
      <c r="J77" s="774">
        <f t="shared" si="10"/>
        <v>7.2270000000000001E-2</v>
      </c>
      <c r="K77" s="157"/>
      <c r="L77" s="155"/>
      <c r="M77" s="156"/>
      <c r="N77" s="122"/>
      <c r="O77" s="122"/>
      <c r="P77" s="122"/>
      <c r="Q77" s="774"/>
      <c r="R77" s="157"/>
      <c r="S77" s="298">
        <f>'Rev Req Proof Yr1'!R77</f>
        <v>0</v>
      </c>
      <c r="T77" s="299"/>
      <c r="U77" s="300"/>
      <c r="V77" s="301"/>
      <c r="W77" s="157"/>
      <c r="X77" s="313">
        <f t="shared" si="155"/>
        <v>0</v>
      </c>
      <c r="Y77" s="309">
        <f t="shared" si="156"/>
        <v>0</v>
      </c>
      <c r="Z77" s="314">
        <f t="shared" si="157"/>
        <v>0</v>
      </c>
      <c r="AA77" s="309"/>
      <c r="AB77" s="313">
        <f t="shared" si="158"/>
        <v>0</v>
      </c>
      <c r="AC77" s="309">
        <f t="shared" si="159"/>
        <v>0</v>
      </c>
      <c r="AD77" s="314">
        <f t="shared" si="160"/>
        <v>0</v>
      </c>
      <c r="AE77" s="309"/>
      <c r="AF77" s="313">
        <f t="shared" si="161"/>
        <v>0</v>
      </c>
      <c r="AG77" s="309">
        <v>0</v>
      </c>
      <c r="AH77" s="314">
        <v>0</v>
      </c>
      <c r="AI77" s="309"/>
      <c r="AJ77" s="313">
        <f t="shared" si="162"/>
        <v>0</v>
      </c>
      <c r="AK77" s="309">
        <f t="shared" si="163"/>
        <v>0</v>
      </c>
      <c r="AL77" s="314">
        <f t="shared" si="163"/>
        <v>0</v>
      </c>
      <c r="AM77" s="309"/>
      <c r="AN77" s="338"/>
      <c r="AO77" s="340" t="e">
        <f t="shared" si="154"/>
        <v>#DIV/0!</v>
      </c>
      <c r="AP77" s="309"/>
      <c r="AQ77" s="313">
        <f t="shared" si="164"/>
        <v>0</v>
      </c>
      <c r="AR77" s="309">
        <v>0</v>
      </c>
      <c r="AS77" s="314">
        <v>0</v>
      </c>
      <c r="AT77" s="309"/>
      <c r="AU77" s="310"/>
      <c r="AV77" s="310"/>
      <c r="AW77" s="309"/>
    </row>
    <row r="78" spans="1:49" x14ac:dyDescent="0.2">
      <c r="A78" s="86">
        <f t="shared" si="165"/>
        <v>71</v>
      </c>
      <c r="B78" s="725"/>
      <c r="C78" s="726" t="s">
        <v>9</v>
      </c>
      <c r="D78" s="157"/>
      <c r="E78" s="122">
        <f>'Rates in Detail'!Y66</f>
        <v>2.3700000000000001E-3</v>
      </c>
      <c r="F78" s="122">
        <f>'Rates in Detail'!Z66</f>
        <v>-3.0000000000000001E-5</v>
      </c>
      <c r="G78" s="157"/>
      <c r="H78" s="157"/>
      <c r="I78" s="373">
        <f>'Rev Req Proof Yr2'!H78</f>
        <v>2.4729999999999999E-2</v>
      </c>
      <c r="J78" s="774">
        <f t="shared" si="10"/>
        <v>2.7099999999999999E-2</v>
      </c>
      <c r="K78" s="157"/>
      <c r="L78" s="273"/>
      <c r="M78" s="55"/>
      <c r="N78" s="122"/>
      <c r="O78" s="122"/>
      <c r="P78" s="122"/>
      <c r="Q78" s="774"/>
      <c r="R78" s="157"/>
      <c r="S78" s="298">
        <f>'Rev Req Proof Yr1'!R78</f>
        <v>0</v>
      </c>
      <c r="T78" s="299"/>
      <c r="U78" s="300"/>
      <c r="V78" s="301"/>
      <c r="W78" s="157"/>
      <c r="X78" s="313">
        <f t="shared" si="155"/>
        <v>0</v>
      </c>
      <c r="Y78" s="309">
        <f t="shared" si="156"/>
        <v>0</v>
      </c>
      <c r="Z78" s="314">
        <f t="shared" si="157"/>
        <v>0</v>
      </c>
      <c r="AA78" s="309"/>
      <c r="AB78" s="313">
        <f t="shared" si="158"/>
        <v>0</v>
      </c>
      <c r="AC78" s="309">
        <f t="shared" si="159"/>
        <v>0</v>
      </c>
      <c r="AD78" s="314">
        <f t="shared" si="160"/>
        <v>0</v>
      </c>
      <c r="AE78" s="309"/>
      <c r="AF78" s="313">
        <f t="shared" si="161"/>
        <v>0</v>
      </c>
      <c r="AG78" s="309">
        <v>0</v>
      </c>
      <c r="AH78" s="314">
        <v>0</v>
      </c>
      <c r="AI78" s="309"/>
      <c r="AJ78" s="313">
        <f t="shared" si="162"/>
        <v>0</v>
      </c>
      <c r="AK78" s="309">
        <f t="shared" si="163"/>
        <v>0</v>
      </c>
      <c r="AL78" s="314">
        <f t="shared" si="163"/>
        <v>0</v>
      </c>
      <c r="AM78" s="309"/>
      <c r="AN78" s="338"/>
      <c r="AO78" s="340" t="e">
        <f>AO77</f>
        <v>#DIV/0!</v>
      </c>
      <c r="AP78" s="309"/>
      <c r="AQ78" s="313">
        <f t="shared" si="164"/>
        <v>0</v>
      </c>
      <c r="AR78" s="309">
        <v>0</v>
      </c>
      <c r="AS78" s="314">
        <v>0</v>
      </c>
      <c r="AT78" s="309"/>
      <c r="AU78" s="310"/>
      <c r="AV78" s="310"/>
      <c r="AW78" s="309"/>
    </row>
    <row r="79" spans="1:49" x14ac:dyDescent="0.2">
      <c r="A79" s="86">
        <f t="shared" si="165"/>
        <v>72</v>
      </c>
      <c r="B79" s="723"/>
      <c r="C79" s="742" t="s">
        <v>78</v>
      </c>
      <c r="D79" s="153"/>
      <c r="E79" s="123"/>
      <c r="F79" s="123"/>
      <c r="G79" s="153"/>
      <c r="H79" s="153"/>
      <c r="I79" s="368"/>
      <c r="J79" s="773"/>
      <c r="K79" s="157"/>
      <c r="L79" s="273"/>
      <c r="M79" s="55"/>
      <c r="N79" s="122"/>
      <c r="O79" s="122"/>
      <c r="P79" s="122"/>
      <c r="Q79" s="774"/>
      <c r="R79" s="157"/>
      <c r="S79" s="298"/>
      <c r="T79" s="299"/>
      <c r="U79" s="300"/>
      <c r="V79" s="301"/>
      <c r="W79" s="157"/>
      <c r="X79" s="315">
        <f>SUM(X73:X78)</f>
        <v>53986.752999999997</v>
      </c>
      <c r="Y79" s="316">
        <f>SUM(Y73:Y78)</f>
        <v>29900.000000000051</v>
      </c>
      <c r="Z79" s="317">
        <f>SUM(Z73:Z78)</f>
        <v>0</v>
      </c>
      <c r="AA79" s="309"/>
      <c r="AB79" s="315">
        <f>SUM(AB73:AB78)</f>
        <v>59164.027600000001</v>
      </c>
      <c r="AC79" s="316">
        <f>SUM(AC73:AC78)</f>
        <v>29900.000000000051</v>
      </c>
      <c r="AD79" s="317">
        <f>SUM(AD73:AD78)</f>
        <v>0</v>
      </c>
      <c r="AE79" s="309"/>
      <c r="AF79" s="315">
        <f>SUM(AF73:AF78)</f>
        <v>-72.749400000000009</v>
      </c>
      <c r="AG79" s="316">
        <f>SUM(AG73:AG78)</f>
        <v>0</v>
      </c>
      <c r="AH79" s="317">
        <f>SUM(AH73:AH78)</f>
        <v>0</v>
      </c>
      <c r="AI79" s="309"/>
      <c r="AJ79" s="315">
        <f>SUM(AJ73:AJ78)</f>
        <v>5104.5252</v>
      </c>
      <c r="AK79" s="316">
        <f>SUM(AK73:AK78)</f>
        <v>0</v>
      </c>
      <c r="AL79" s="317">
        <f>SUM(AL73:AL78)</f>
        <v>0</v>
      </c>
      <c r="AM79" s="309"/>
      <c r="AN79" s="338">
        <f>SUM(AJ79:AL79)/SUM(X79:Z79)</f>
        <v>6.0850194070570317E-2</v>
      </c>
      <c r="AO79" s="339">
        <f t="shared" ref="AO79:AO93" si="166">SUM(AJ79)/SUM(X79)</f>
        <v>9.4551439313270064E-2</v>
      </c>
      <c r="AP79" s="309"/>
      <c r="AQ79" s="315">
        <f>SUM(AQ73:AQ78)</f>
        <v>0</v>
      </c>
      <c r="AR79" s="316">
        <f>SUM(AR73:AR78)</f>
        <v>0</v>
      </c>
      <c r="AS79" s="317">
        <f>SUM(AS73:AS78)</f>
        <v>0</v>
      </c>
      <c r="AT79" s="309"/>
      <c r="AU79" s="310"/>
      <c r="AV79" s="310"/>
      <c r="AW79" s="309"/>
    </row>
    <row r="80" spans="1:49" x14ac:dyDescent="0.2">
      <c r="A80" s="86">
        <f t="shared" si="165"/>
        <v>73</v>
      </c>
      <c r="B80" s="725" t="str">
        <f>'WA Volumes &amp; Revenues'!B69</f>
        <v>42C Inter Transpt</v>
      </c>
      <c r="C80" s="726" t="s">
        <v>4</v>
      </c>
      <c r="D80" s="157"/>
      <c r="E80" s="122">
        <f>'Rates in Detail'!Y67</f>
        <v>8.4799999999999997E-3</v>
      </c>
      <c r="F80" s="122">
        <f>'Rates in Detail'!Z67</f>
        <v>-1.2E-4</v>
      </c>
      <c r="G80" s="157"/>
      <c r="H80" s="157"/>
      <c r="I80" s="373">
        <f>'Rev Req Proof Yr2'!H80</f>
        <v>0.14976</v>
      </c>
      <c r="J80" s="774">
        <f t="shared" ref="J80:J96" si="167">I80+E80</f>
        <v>0.15823999999999999</v>
      </c>
      <c r="K80" s="157"/>
      <c r="L80" s="155">
        <f>'Rev Req Proof Yr1'!K80</f>
        <v>1550</v>
      </c>
      <c r="M80" s="156">
        <f>'Rev Req Proof Yr1'!L80</f>
        <v>1550</v>
      </c>
      <c r="N80" s="122">
        <f>'Rev Req Proof Yr1'!M80</f>
        <v>0</v>
      </c>
      <c r="O80" s="122">
        <f>'Rev Req Proof Yr1'!N80</f>
        <v>0</v>
      </c>
      <c r="P80" s="122">
        <f>'Rev Req Proof Yr1'!O80</f>
        <v>0</v>
      </c>
      <c r="Q80" s="774">
        <f>'Rev Req Proof Yr1'!P80</f>
        <v>0</v>
      </c>
      <c r="R80" s="157"/>
      <c r="S80" s="298">
        <f>'Rev Req Proof Yr1'!R80</f>
        <v>0</v>
      </c>
      <c r="T80" s="299"/>
      <c r="U80" s="300">
        <f>'Rev Req Proof Yr1'!T80</f>
        <v>0</v>
      </c>
      <c r="V80" s="301">
        <f>'Rev Req Proof Yr1'!U80</f>
        <v>0</v>
      </c>
      <c r="W80" s="157"/>
      <c r="X80" s="313">
        <f t="shared" ref="X80:X85" si="168">(I80*S80)</f>
        <v>0</v>
      </c>
      <c r="Y80" s="309">
        <f t="shared" ref="Y80:Y85" si="169">(L80*U80*12)</f>
        <v>0</v>
      </c>
      <c r="Z80" s="314">
        <f t="shared" ref="Z80:Z85" si="170">(T80*(N80+P80))*12</f>
        <v>0</v>
      </c>
      <c r="AA80" s="309"/>
      <c r="AB80" s="313">
        <f t="shared" ref="AB80:AB85" si="171">(J80*S80)</f>
        <v>0</v>
      </c>
      <c r="AC80" s="309">
        <f t="shared" ref="AC80:AC85" si="172">(M80*U80*12)</f>
        <v>0</v>
      </c>
      <c r="AD80" s="314">
        <f t="shared" ref="AD80:AD85" si="173">(T80*(O80+Q80))*12</f>
        <v>0</v>
      </c>
      <c r="AE80" s="309"/>
      <c r="AF80" s="313">
        <f t="shared" ref="AF80:AF85" si="174">(F80*S80)</f>
        <v>0</v>
      </c>
      <c r="AG80" s="309">
        <v>0</v>
      </c>
      <c r="AH80" s="314">
        <v>0</v>
      </c>
      <c r="AI80" s="309"/>
      <c r="AJ80" s="313">
        <f t="shared" ref="AJ80:AJ85" si="175">AB80-X80+AF80</f>
        <v>0</v>
      </c>
      <c r="AK80" s="309">
        <f t="shared" ref="AK80:AL85" si="176">AC80-Y80-AG80</f>
        <v>0</v>
      </c>
      <c r="AL80" s="314">
        <f t="shared" si="176"/>
        <v>0</v>
      </c>
      <c r="AM80" s="309"/>
      <c r="AN80" s="338"/>
      <c r="AO80" s="340" t="e">
        <f t="shared" ref="AO80:AO84" si="177">SUM(AJ80)/SUM(X80)</f>
        <v>#DIV/0!</v>
      </c>
      <c r="AP80" s="309"/>
      <c r="AQ80" s="313">
        <f t="shared" ref="AQ80:AQ85" si="178">(G80*S80)</f>
        <v>0</v>
      </c>
      <c r="AR80" s="309">
        <v>0</v>
      </c>
      <c r="AS80" s="314">
        <v>0</v>
      </c>
      <c r="AT80" s="309"/>
      <c r="AU80" s="310"/>
      <c r="AV80" s="310"/>
      <c r="AW80" s="309"/>
    </row>
    <row r="81" spans="1:49" x14ac:dyDescent="0.2">
      <c r="A81" s="86">
        <f t="shared" si="165"/>
        <v>74</v>
      </c>
      <c r="B81" s="725"/>
      <c r="C81" s="726" t="s">
        <v>5</v>
      </c>
      <c r="D81" s="157"/>
      <c r="E81" s="122">
        <f>'Rates in Detail'!Y68</f>
        <v>7.5900000000000004E-3</v>
      </c>
      <c r="F81" s="122">
        <f>'Rates in Detail'!Z68</f>
        <v>-1.1E-4</v>
      </c>
      <c r="G81" s="157"/>
      <c r="H81" s="157"/>
      <c r="I81" s="373">
        <f>'Rev Req Proof Yr2'!H81</f>
        <v>0.13406999999999999</v>
      </c>
      <c r="J81" s="774">
        <f t="shared" si="167"/>
        <v>0.14166000000000001</v>
      </c>
      <c r="K81" s="157"/>
      <c r="L81" s="155"/>
      <c r="M81" s="156"/>
      <c r="N81" s="122"/>
      <c r="O81" s="122"/>
      <c r="P81" s="122"/>
      <c r="Q81" s="774"/>
      <c r="R81" s="157"/>
      <c r="S81" s="298">
        <f>'Rev Req Proof Yr1'!R81</f>
        <v>0</v>
      </c>
      <c r="T81" s="299"/>
      <c r="U81" s="300"/>
      <c r="V81" s="301"/>
      <c r="W81" s="157"/>
      <c r="X81" s="313">
        <f t="shared" si="168"/>
        <v>0</v>
      </c>
      <c r="Y81" s="309">
        <f t="shared" si="169"/>
        <v>0</v>
      </c>
      <c r="Z81" s="314">
        <f t="shared" si="170"/>
        <v>0</v>
      </c>
      <c r="AA81" s="309"/>
      <c r="AB81" s="313">
        <f t="shared" si="171"/>
        <v>0</v>
      </c>
      <c r="AC81" s="309">
        <f t="shared" si="172"/>
        <v>0</v>
      </c>
      <c r="AD81" s="314">
        <f t="shared" si="173"/>
        <v>0</v>
      </c>
      <c r="AE81" s="309"/>
      <c r="AF81" s="313">
        <f t="shared" si="174"/>
        <v>0</v>
      </c>
      <c r="AG81" s="309">
        <v>0</v>
      </c>
      <c r="AH81" s="314">
        <v>0</v>
      </c>
      <c r="AI81" s="309"/>
      <c r="AJ81" s="313">
        <f t="shared" si="175"/>
        <v>0</v>
      </c>
      <c r="AK81" s="309">
        <f t="shared" si="176"/>
        <v>0</v>
      </c>
      <c r="AL81" s="314">
        <f t="shared" si="176"/>
        <v>0</v>
      </c>
      <c r="AM81" s="309"/>
      <c r="AN81" s="338"/>
      <c r="AO81" s="340" t="e">
        <f t="shared" si="177"/>
        <v>#DIV/0!</v>
      </c>
      <c r="AP81" s="309"/>
      <c r="AQ81" s="313">
        <f t="shared" si="178"/>
        <v>0</v>
      </c>
      <c r="AR81" s="309">
        <v>0</v>
      </c>
      <c r="AS81" s="314">
        <v>0</v>
      </c>
      <c r="AT81" s="309"/>
      <c r="AU81" s="310"/>
      <c r="AV81" s="310"/>
      <c r="AW81" s="309"/>
    </row>
    <row r="82" spans="1:49" x14ac:dyDescent="0.2">
      <c r="A82" s="86">
        <f t="shared" si="165"/>
        <v>75</v>
      </c>
      <c r="B82" s="725"/>
      <c r="C82" s="726" t="s">
        <v>6</v>
      </c>
      <c r="D82" s="157"/>
      <c r="E82" s="122">
        <f>'Rates in Detail'!Y69</f>
        <v>5.8199999999999997E-3</v>
      </c>
      <c r="F82" s="122">
        <f>'Rates in Detail'!Z69</f>
        <v>-8.0000000000000007E-5</v>
      </c>
      <c r="G82" s="157"/>
      <c r="H82" s="157"/>
      <c r="I82" s="373">
        <f>'Rev Req Proof Yr2'!H82</f>
        <v>0.1028</v>
      </c>
      <c r="J82" s="774">
        <f t="shared" si="167"/>
        <v>0.10862000000000001</v>
      </c>
      <c r="K82" s="157"/>
      <c r="L82" s="155"/>
      <c r="M82" s="156"/>
      <c r="N82" s="122"/>
      <c r="O82" s="122"/>
      <c r="P82" s="122"/>
      <c r="Q82" s="774"/>
      <c r="R82" s="157"/>
      <c r="S82" s="298">
        <f>'Rev Req Proof Yr1'!R82</f>
        <v>0</v>
      </c>
      <c r="T82" s="299"/>
      <c r="U82" s="300"/>
      <c r="V82" s="301"/>
      <c r="W82" s="157"/>
      <c r="X82" s="313">
        <f t="shared" si="168"/>
        <v>0</v>
      </c>
      <c r="Y82" s="309">
        <f t="shared" si="169"/>
        <v>0</v>
      </c>
      <c r="Z82" s="314">
        <f t="shared" si="170"/>
        <v>0</v>
      </c>
      <c r="AA82" s="309"/>
      <c r="AB82" s="313">
        <f t="shared" si="171"/>
        <v>0</v>
      </c>
      <c r="AC82" s="309">
        <f t="shared" si="172"/>
        <v>0</v>
      </c>
      <c r="AD82" s="314">
        <f t="shared" si="173"/>
        <v>0</v>
      </c>
      <c r="AE82" s="309"/>
      <c r="AF82" s="313">
        <f t="shared" si="174"/>
        <v>0</v>
      </c>
      <c r="AG82" s="309">
        <v>0</v>
      </c>
      <c r="AH82" s="314">
        <v>0</v>
      </c>
      <c r="AI82" s="309"/>
      <c r="AJ82" s="313">
        <f t="shared" si="175"/>
        <v>0</v>
      </c>
      <c r="AK82" s="309">
        <f t="shared" si="176"/>
        <v>0</v>
      </c>
      <c r="AL82" s="314">
        <f t="shared" si="176"/>
        <v>0</v>
      </c>
      <c r="AM82" s="309"/>
      <c r="AN82" s="338"/>
      <c r="AO82" s="340" t="e">
        <f t="shared" si="177"/>
        <v>#DIV/0!</v>
      </c>
      <c r="AP82" s="309"/>
      <c r="AQ82" s="313">
        <f t="shared" si="178"/>
        <v>0</v>
      </c>
      <c r="AR82" s="309">
        <v>0</v>
      </c>
      <c r="AS82" s="314">
        <v>0</v>
      </c>
      <c r="AT82" s="309"/>
      <c r="AU82" s="310"/>
      <c r="AV82" s="310"/>
      <c r="AW82" s="309"/>
    </row>
    <row r="83" spans="1:49" x14ac:dyDescent="0.2">
      <c r="A83" s="86">
        <f t="shared" si="165"/>
        <v>76</v>
      </c>
      <c r="B83" s="725"/>
      <c r="C83" s="726" t="s">
        <v>7</v>
      </c>
      <c r="D83" s="157"/>
      <c r="E83" s="122">
        <f>'Rates in Detail'!Y70</f>
        <v>4.6600000000000001E-3</v>
      </c>
      <c r="F83" s="122">
        <f>'Rates in Detail'!Z70</f>
        <v>-6.9999999999999994E-5</v>
      </c>
      <c r="G83" s="157"/>
      <c r="H83" s="157"/>
      <c r="I83" s="373">
        <f>'Rev Req Proof Yr2'!H83</f>
        <v>8.2250000000000004E-2</v>
      </c>
      <c r="J83" s="774">
        <f t="shared" si="167"/>
        <v>8.6910000000000001E-2</v>
      </c>
      <c r="K83" s="157"/>
      <c r="L83" s="155"/>
      <c r="M83" s="156"/>
      <c r="N83" s="122"/>
      <c r="O83" s="122"/>
      <c r="P83" s="122"/>
      <c r="Q83" s="774"/>
      <c r="R83" s="157"/>
      <c r="S83" s="298">
        <f>'Rev Req Proof Yr1'!R83</f>
        <v>0</v>
      </c>
      <c r="T83" s="299"/>
      <c r="U83" s="300"/>
      <c r="V83" s="301"/>
      <c r="W83" s="157"/>
      <c r="X83" s="313">
        <f t="shared" si="168"/>
        <v>0</v>
      </c>
      <c r="Y83" s="309">
        <f t="shared" si="169"/>
        <v>0</v>
      </c>
      <c r="Z83" s="314">
        <f t="shared" si="170"/>
        <v>0</v>
      </c>
      <c r="AA83" s="309"/>
      <c r="AB83" s="313">
        <f t="shared" si="171"/>
        <v>0</v>
      </c>
      <c r="AC83" s="309">
        <f t="shared" si="172"/>
        <v>0</v>
      </c>
      <c r="AD83" s="314">
        <f t="shared" si="173"/>
        <v>0</v>
      </c>
      <c r="AE83" s="309"/>
      <c r="AF83" s="313">
        <f t="shared" si="174"/>
        <v>0</v>
      </c>
      <c r="AG83" s="309">
        <v>0</v>
      </c>
      <c r="AH83" s="314">
        <v>0</v>
      </c>
      <c r="AI83" s="309"/>
      <c r="AJ83" s="313">
        <f t="shared" si="175"/>
        <v>0</v>
      </c>
      <c r="AK83" s="309">
        <f t="shared" si="176"/>
        <v>0</v>
      </c>
      <c r="AL83" s="314">
        <f t="shared" si="176"/>
        <v>0</v>
      </c>
      <c r="AM83" s="309"/>
      <c r="AN83" s="338"/>
      <c r="AO83" s="340" t="e">
        <f t="shared" si="177"/>
        <v>#DIV/0!</v>
      </c>
      <c r="AP83" s="309"/>
      <c r="AQ83" s="313">
        <f t="shared" si="178"/>
        <v>0</v>
      </c>
      <c r="AR83" s="309">
        <v>0</v>
      </c>
      <c r="AS83" s="314">
        <v>0</v>
      </c>
      <c r="AT83" s="309"/>
      <c r="AU83" s="310"/>
      <c r="AV83" s="310"/>
      <c r="AW83" s="309"/>
    </row>
    <row r="84" spans="1:49" x14ac:dyDescent="0.2">
      <c r="A84" s="86">
        <f t="shared" si="165"/>
        <v>77</v>
      </c>
      <c r="B84" s="725"/>
      <c r="C84" s="726" t="s">
        <v>8</v>
      </c>
      <c r="D84" s="157"/>
      <c r="E84" s="122">
        <f>'Rates in Detail'!Y71</f>
        <v>3.1099999999999999E-3</v>
      </c>
      <c r="F84" s="122">
        <f>'Rates in Detail'!Z71</f>
        <v>-4.0000000000000003E-5</v>
      </c>
      <c r="G84" s="157"/>
      <c r="H84" s="157"/>
      <c r="I84" s="373">
        <f>'Rev Req Proof Yr2'!H84</f>
        <v>5.484E-2</v>
      </c>
      <c r="J84" s="774">
        <f t="shared" si="167"/>
        <v>5.7950000000000002E-2</v>
      </c>
      <c r="K84" s="157"/>
      <c r="L84" s="155"/>
      <c r="M84" s="156"/>
      <c r="N84" s="122"/>
      <c r="O84" s="122"/>
      <c r="P84" s="122"/>
      <c r="Q84" s="774"/>
      <c r="R84" s="157"/>
      <c r="S84" s="298">
        <f>'Rev Req Proof Yr1'!R84</f>
        <v>0</v>
      </c>
      <c r="T84" s="299"/>
      <c r="U84" s="300"/>
      <c r="V84" s="301"/>
      <c r="W84" s="157"/>
      <c r="X84" s="313">
        <f t="shared" si="168"/>
        <v>0</v>
      </c>
      <c r="Y84" s="309">
        <f t="shared" si="169"/>
        <v>0</v>
      </c>
      <c r="Z84" s="314">
        <f t="shared" si="170"/>
        <v>0</v>
      </c>
      <c r="AA84" s="309"/>
      <c r="AB84" s="313">
        <f t="shared" si="171"/>
        <v>0</v>
      </c>
      <c r="AC84" s="309">
        <f t="shared" si="172"/>
        <v>0</v>
      </c>
      <c r="AD84" s="314">
        <f t="shared" si="173"/>
        <v>0</v>
      </c>
      <c r="AE84" s="309"/>
      <c r="AF84" s="313">
        <f t="shared" si="174"/>
        <v>0</v>
      </c>
      <c r="AG84" s="309">
        <v>0</v>
      </c>
      <c r="AH84" s="314">
        <v>0</v>
      </c>
      <c r="AI84" s="309"/>
      <c r="AJ84" s="313">
        <f t="shared" si="175"/>
        <v>0</v>
      </c>
      <c r="AK84" s="309">
        <f t="shared" si="176"/>
        <v>0</v>
      </c>
      <c r="AL84" s="314">
        <f t="shared" si="176"/>
        <v>0</v>
      </c>
      <c r="AM84" s="309"/>
      <c r="AN84" s="338"/>
      <c r="AO84" s="340" t="e">
        <f t="shared" si="177"/>
        <v>#DIV/0!</v>
      </c>
      <c r="AP84" s="309"/>
      <c r="AQ84" s="313">
        <f t="shared" si="178"/>
        <v>0</v>
      </c>
      <c r="AR84" s="309">
        <v>0</v>
      </c>
      <c r="AS84" s="314">
        <v>0</v>
      </c>
      <c r="AT84" s="309"/>
      <c r="AU84" s="310"/>
      <c r="AV84" s="310"/>
      <c r="AW84" s="309"/>
    </row>
    <row r="85" spans="1:49" x14ac:dyDescent="0.2">
      <c r="A85" s="86">
        <f t="shared" si="165"/>
        <v>78</v>
      </c>
      <c r="B85" s="725"/>
      <c r="C85" s="726" t="s">
        <v>9</v>
      </c>
      <c r="D85" s="157"/>
      <c r="E85" s="122">
        <f>'Rates in Detail'!Y72</f>
        <v>1.16E-3</v>
      </c>
      <c r="F85" s="122">
        <f>'Rates in Detail'!Z72</f>
        <v>-2.0000000000000002E-5</v>
      </c>
      <c r="G85" s="157"/>
      <c r="H85" s="157"/>
      <c r="I85" s="373">
        <f>'Rev Req Proof Yr2'!H85</f>
        <v>2.0549999999999999E-2</v>
      </c>
      <c r="J85" s="774">
        <f t="shared" si="167"/>
        <v>2.171E-2</v>
      </c>
      <c r="K85" s="157"/>
      <c r="L85" s="273"/>
      <c r="M85" s="55"/>
      <c r="N85" s="122"/>
      <c r="O85" s="122"/>
      <c r="P85" s="122"/>
      <c r="Q85" s="774"/>
      <c r="R85" s="157"/>
      <c r="S85" s="298">
        <f>'Rev Req Proof Yr1'!R85</f>
        <v>0</v>
      </c>
      <c r="T85" s="299"/>
      <c r="U85" s="300"/>
      <c r="V85" s="301"/>
      <c r="W85" s="157"/>
      <c r="X85" s="313">
        <f t="shared" si="168"/>
        <v>0</v>
      </c>
      <c r="Y85" s="309">
        <f t="shared" si="169"/>
        <v>0</v>
      </c>
      <c r="Z85" s="314">
        <f t="shared" si="170"/>
        <v>0</v>
      </c>
      <c r="AA85" s="309"/>
      <c r="AB85" s="313">
        <f t="shared" si="171"/>
        <v>0</v>
      </c>
      <c r="AC85" s="309">
        <f t="shared" si="172"/>
        <v>0</v>
      </c>
      <c r="AD85" s="314">
        <f t="shared" si="173"/>
        <v>0</v>
      </c>
      <c r="AE85" s="309"/>
      <c r="AF85" s="313">
        <f t="shared" si="174"/>
        <v>0</v>
      </c>
      <c r="AG85" s="309">
        <v>0</v>
      </c>
      <c r="AH85" s="314">
        <v>0</v>
      </c>
      <c r="AI85" s="309"/>
      <c r="AJ85" s="313">
        <f t="shared" si="175"/>
        <v>0</v>
      </c>
      <c r="AK85" s="309">
        <f t="shared" si="176"/>
        <v>0</v>
      </c>
      <c r="AL85" s="314">
        <f t="shared" si="176"/>
        <v>0</v>
      </c>
      <c r="AM85" s="309"/>
      <c r="AN85" s="338"/>
      <c r="AO85" s="340" t="e">
        <f>AO84</f>
        <v>#DIV/0!</v>
      </c>
      <c r="AP85" s="309"/>
      <c r="AQ85" s="313">
        <f t="shared" si="178"/>
        <v>0</v>
      </c>
      <c r="AR85" s="309">
        <v>0</v>
      </c>
      <c r="AS85" s="314">
        <v>0</v>
      </c>
      <c r="AT85" s="309"/>
      <c r="AU85" s="310"/>
      <c r="AV85" s="310"/>
      <c r="AW85" s="309"/>
    </row>
    <row r="86" spans="1:49" x14ac:dyDescent="0.2">
      <c r="A86" s="86">
        <f t="shared" si="165"/>
        <v>79</v>
      </c>
      <c r="B86" s="723"/>
      <c r="C86" s="742" t="s">
        <v>78</v>
      </c>
      <c r="D86" s="153"/>
      <c r="E86" s="123"/>
      <c r="F86" s="123"/>
      <c r="G86" s="153"/>
      <c r="H86" s="153"/>
      <c r="I86" s="368"/>
      <c r="J86" s="773"/>
      <c r="K86" s="157"/>
      <c r="L86" s="273"/>
      <c r="M86" s="55"/>
      <c r="N86" s="122"/>
      <c r="O86" s="122"/>
      <c r="P86" s="122"/>
      <c r="Q86" s="774"/>
      <c r="R86" s="157"/>
      <c r="S86" s="298"/>
      <c r="T86" s="299"/>
      <c r="U86" s="300"/>
      <c r="V86" s="301"/>
      <c r="W86" s="157"/>
      <c r="X86" s="315">
        <f>SUM(X80:X85)</f>
        <v>0</v>
      </c>
      <c r="Y86" s="316">
        <f>SUM(Y80:Y85)</f>
        <v>0</v>
      </c>
      <c r="Z86" s="317">
        <f>SUM(Z80:Z85)</f>
        <v>0</v>
      </c>
      <c r="AA86" s="309"/>
      <c r="AB86" s="315">
        <f>SUM(AB80:AB85)</f>
        <v>0</v>
      </c>
      <c r="AC86" s="316">
        <f>SUM(AC80:AC85)</f>
        <v>0</v>
      </c>
      <c r="AD86" s="317">
        <f>SUM(AD80:AD85)</f>
        <v>0</v>
      </c>
      <c r="AE86" s="309"/>
      <c r="AF86" s="315">
        <f>SUM(AF80:AF85)</f>
        <v>0</v>
      </c>
      <c r="AG86" s="316">
        <f>SUM(AG80:AG85)</f>
        <v>0</v>
      </c>
      <c r="AH86" s="317">
        <f>SUM(AH80:AH85)</f>
        <v>0</v>
      </c>
      <c r="AI86" s="309"/>
      <c r="AJ86" s="315">
        <f>SUM(AJ80:AJ85)</f>
        <v>0</v>
      </c>
      <c r="AK86" s="316">
        <f>SUM(AK80:AK85)</f>
        <v>0</v>
      </c>
      <c r="AL86" s="317">
        <f>SUM(AL80:AL85)</f>
        <v>0</v>
      </c>
      <c r="AM86" s="309"/>
      <c r="AN86" s="338"/>
      <c r="AO86" s="339"/>
      <c r="AP86" s="309"/>
      <c r="AQ86" s="315">
        <f>SUM(AQ80:AQ85)</f>
        <v>0</v>
      </c>
      <c r="AR86" s="316">
        <f>SUM(AR80:AR85)</f>
        <v>0</v>
      </c>
      <c r="AS86" s="317">
        <f>SUM(AS80:AS85)</f>
        <v>0</v>
      </c>
      <c r="AT86" s="309"/>
      <c r="AU86" s="310"/>
      <c r="AV86" s="310"/>
      <c r="AW86" s="309"/>
    </row>
    <row r="87" spans="1:49" x14ac:dyDescent="0.2">
      <c r="A87" s="86">
        <f t="shared" si="165"/>
        <v>80</v>
      </c>
      <c r="B87" s="725" t="str">
        <f>'WA Volumes &amp; Revenues'!B75</f>
        <v>42I Inter Transpt</v>
      </c>
      <c r="C87" s="726" t="s">
        <v>4</v>
      </c>
      <c r="D87" s="162"/>
      <c r="E87" s="122">
        <f>'Rates in Detail'!Y73</f>
        <v>1.0160000000000001E-2</v>
      </c>
      <c r="F87" s="122">
        <f>'Rates in Detail'!Z73</f>
        <v>-1.3999999999999999E-4</v>
      </c>
      <c r="G87" s="157"/>
      <c r="H87" s="162"/>
      <c r="I87" s="373">
        <f>'Rev Req Proof Yr2'!H87</f>
        <v>0.1542</v>
      </c>
      <c r="J87" s="774">
        <f t="shared" si="167"/>
        <v>0.16436000000000001</v>
      </c>
      <c r="K87" s="162"/>
      <c r="L87" s="155">
        <f>'Rev Req Proof Yr1'!K87</f>
        <v>1550</v>
      </c>
      <c r="M87" s="156">
        <f>'Rev Req Proof Yr1'!L87</f>
        <v>1550</v>
      </c>
      <c r="N87" s="122">
        <f>'Rev Req Proof Yr1'!M87</f>
        <v>0</v>
      </c>
      <c r="O87" s="122">
        <f>'Rev Req Proof Yr1'!N87</f>
        <v>0</v>
      </c>
      <c r="P87" s="122">
        <f>'Rev Req Proof Yr1'!O87</f>
        <v>0</v>
      </c>
      <c r="Q87" s="774">
        <f>'Rev Req Proof Yr1'!P87</f>
        <v>0</v>
      </c>
      <c r="R87" s="162"/>
      <c r="S87" s="298">
        <f>'Rev Req Proof Yr1'!R87</f>
        <v>844078</v>
      </c>
      <c r="T87" s="299"/>
      <c r="U87" s="300">
        <f>'Rev Req Proof Yr1'!T87</f>
        <v>7</v>
      </c>
      <c r="V87" s="301">
        <f>'Rev Req Proof Yr1'!U87</f>
        <v>95634</v>
      </c>
      <c r="W87" s="162"/>
      <c r="X87" s="313">
        <f t="shared" ref="X87:X92" si="179">(I87*S87)</f>
        <v>130156.8276</v>
      </c>
      <c r="Y87" s="309">
        <f t="shared" ref="Y87:Y92" si="180">(L87*U87*12)</f>
        <v>130200</v>
      </c>
      <c r="Z87" s="314">
        <f t="shared" ref="Z87:Z92" si="181">(T87*(N87+P87))*12</f>
        <v>0</v>
      </c>
      <c r="AA87" s="320"/>
      <c r="AB87" s="313">
        <f t="shared" ref="AB87:AB92" si="182">(J87*S87)</f>
        <v>138732.66008</v>
      </c>
      <c r="AC87" s="309">
        <f t="shared" ref="AC87:AC92" si="183">(M87*U87*12)</f>
        <v>130200</v>
      </c>
      <c r="AD87" s="314">
        <f t="shared" ref="AD87:AD92" si="184">(T87*(O87+Q87))*12</f>
        <v>0</v>
      </c>
      <c r="AE87" s="320"/>
      <c r="AF87" s="313">
        <f t="shared" ref="AF87:AF92" si="185">(F87*S87)</f>
        <v>-118.17092</v>
      </c>
      <c r="AG87" s="309">
        <v>0</v>
      </c>
      <c r="AH87" s="314">
        <v>0</v>
      </c>
      <c r="AI87" s="320"/>
      <c r="AJ87" s="313">
        <f t="shared" ref="AJ87:AJ92" si="186">AB87-X87+AF87</f>
        <v>8457.6615599999968</v>
      </c>
      <c r="AK87" s="309">
        <f t="shared" ref="AK87:AL92" si="187">AC87-Y87-AG87</f>
        <v>0</v>
      </c>
      <c r="AL87" s="314">
        <f t="shared" si="187"/>
        <v>0</v>
      </c>
      <c r="AM87" s="320"/>
      <c r="AN87" s="338"/>
      <c r="AO87" s="340">
        <f t="shared" si="166"/>
        <v>6.4980544747081689E-2</v>
      </c>
      <c r="AP87" s="320"/>
      <c r="AQ87" s="313">
        <f t="shared" ref="AQ87:AQ92" si="188">(G87*S87)</f>
        <v>0</v>
      </c>
      <c r="AR87" s="309">
        <v>0</v>
      </c>
      <c r="AS87" s="314">
        <v>0</v>
      </c>
      <c r="AT87" s="320"/>
      <c r="AU87" s="310"/>
      <c r="AV87" s="310"/>
      <c r="AW87" s="320"/>
    </row>
    <row r="88" spans="1:49" x14ac:dyDescent="0.2">
      <c r="A88" s="86">
        <f t="shared" si="165"/>
        <v>81</v>
      </c>
      <c r="B88" s="725"/>
      <c r="C88" s="726" t="s">
        <v>5</v>
      </c>
      <c r="D88" s="162"/>
      <c r="E88" s="122">
        <f>'Rates in Detail'!Y74</f>
        <v>9.0900000000000009E-3</v>
      </c>
      <c r="F88" s="122">
        <f>'Rates in Detail'!Z74</f>
        <v>-1.2999999999999999E-4</v>
      </c>
      <c r="G88" s="157"/>
      <c r="H88" s="162"/>
      <c r="I88" s="373">
        <f>'Rev Req Proof Yr2'!H88</f>
        <v>0.13804</v>
      </c>
      <c r="J88" s="774">
        <f t="shared" si="167"/>
        <v>0.14712999999999998</v>
      </c>
      <c r="K88" s="162"/>
      <c r="L88" s="273"/>
      <c r="M88" s="55"/>
      <c r="N88" s="122"/>
      <c r="O88" s="122"/>
      <c r="P88" s="122"/>
      <c r="Q88" s="774"/>
      <c r="R88" s="162"/>
      <c r="S88" s="298">
        <f>'Rev Req Proof Yr1'!R88</f>
        <v>1445175</v>
      </c>
      <c r="T88" s="299"/>
      <c r="U88" s="157"/>
      <c r="V88" s="158"/>
      <c r="W88" s="162"/>
      <c r="X88" s="313">
        <f t="shared" si="179"/>
        <v>199491.95699999999</v>
      </c>
      <c r="Y88" s="309">
        <f t="shared" si="180"/>
        <v>0</v>
      </c>
      <c r="Z88" s="314">
        <f t="shared" si="181"/>
        <v>0</v>
      </c>
      <c r="AA88" s="320"/>
      <c r="AB88" s="313">
        <f t="shared" si="182"/>
        <v>212628.59774999999</v>
      </c>
      <c r="AC88" s="309">
        <f t="shared" si="183"/>
        <v>0</v>
      </c>
      <c r="AD88" s="314">
        <f t="shared" si="184"/>
        <v>0</v>
      </c>
      <c r="AE88" s="320"/>
      <c r="AF88" s="313">
        <f t="shared" si="185"/>
        <v>-187.87275</v>
      </c>
      <c r="AG88" s="309">
        <v>0</v>
      </c>
      <c r="AH88" s="314">
        <v>0</v>
      </c>
      <c r="AI88" s="320"/>
      <c r="AJ88" s="313">
        <f t="shared" si="186"/>
        <v>12948.767999999991</v>
      </c>
      <c r="AK88" s="309">
        <f t="shared" si="187"/>
        <v>0</v>
      </c>
      <c r="AL88" s="314">
        <f t="shared" si="187"/>
        <v>0</v>
      </c>
      <c r="AM88" s="320"/>
      <c r="AN88" s="338"/>
      <c r="AO88" s="340">
        <f t="shared" si="166"/>
        <v>6.4908722109533426E-2</v>
      </c>
      <c r="AP88" s="320"/>
      <c r="AQ88" s="313">
        <f t="shared" si="188"/>
        <v>0</v>
      </c>
      <c r="AR88" s="309">
        <v>0</v>
      </c>
      <c r="AS88" s="314">
        <v>0</v>
      </c>
      <c r="AT88" s="320"/>
      <c r="AU88" s="310"/>
      <c r="AV88" s="156"/>
      <c r="AW88" s="320"/>
    </row>
    <row r="89" spans="1:49" x14ac:dyDescent="0.2">
      <c r="A89" s="86">
        <f t="shared" si="165"/>
        <v>82</v>
      </c>
      <c r="B89" s="725"/>
      <c r="C89" s="726" t="s">
        <v>6</v>
      </c>
      <c r="D89" s="162"/>
      <c r="E89" s="122">
        <f>'Rates in Detail'!Y75</f>
        <v>6.9699999999999996E-3</v>
      </c>
      <c r="F89" s="122">
        <f>'Rates in Detail'!Z75</f>
        <v>-1E-4</v>
      </c>
      <c r="G89" s="157"/>
      <c r="H89" s="162"/>
      <c r="I89" s="373">
        <f>'Rev Req Proof Yr2'!H89</f>
        <v>0.10585</v>
      </c>
      <c r="J89" s="774">
        <f t="shared" si="167"/>
        <v>0.11282</v>
      </c>
      <c r="K89" s="162"/>
      <c r="L89" s="155"/>
      <c r="M89" s="156"/>
      <c r="N89" s="122"/>
      <c r="O89" s="122"/>
      <c r="P89" s="122"/>
      <c r="Q89" s="774"/>
      <c r="R89" s="162"/>
      <c r="S89" s="298">
        <f>'Rev Req Proof Yr1'!R89</f>
        <v>1034978</v>
      </c>
      <c r="T89" s="299"/>
      <c r="U89" s="157"/>
      <c r="V89" s="158"/>
      <c r="W89" s="162"/>
      <c r="X89" s="313">
        <f t="shared" si="179"/>
        <v>109552.4213</v>
      </c>
      <c r="Y89" s="309">
        <f t="shared" si="180"/>
        <v>0</v>
      </c>
      <c r="Z89" s="314">
        <f t="shared" si="181"/>
        <v>0</v>
      </c>
      <c r="AA89" s="320"/>
      <c r="AB89" s="313">
        <f t="shared" si="182"/>
        <v>116766.21796000001</v>
      </c>
      <c r="AC89" s="309">
        <f t="shared" si="183"/>
        <v>0</v>
      </c>
      <c r="AD89" s="314">
        <f t="shared" si="184"/>
        <v>0</v>
      </c>
      <c r="AE89" s="320"/>
      <c r="AF89" s="313">
        <f t="shared" si="185"/>
        <v>-103.4978</v>
      </c>
      <c r="AG89" s="309">
        <v>0</v>
      </c>
      <c r="AH89" s="314">
        <v>0</v>
      </c>
      <c r="AI89" s="320"/>
      <c r="AJ89" s="313">
        <f t="shared" si="186"/>
        <v>7110.2988600000072</v>
      </c>
      <c r="AK89" s="309">
        <f t="shared" si="187"/>
        <v>0</v>
      </c>
      <c r="AL89" s="314">
        <f t="shared" si="187"/>
        <v>0</v>
      </c>
      <c r="AM89" s="320"/>
      <c r="AN89" s="338"/>
      <c r="AO89" s="340">
        <f t="shared" si="166"/>
        <v>6.4903164855928258E-2</v>
      </c>
      <c r="AP89" s="320"/>
      <c r="AQ89" s="313">
        <f t="shared" si="188"/>
        <v>0</v>
      </c>
      <c r="AR89" s="309">
        <v>0</v>
      </c>
      <c r="AS89" s="314">
        <v>0</v>
      </c>
      <c r="AT89" s="320"/>
      <c r="AU89" s="310"/>
      <c r="AV89" s="156"/>
      <c r="AW89" s="320"/>
    </row>
    <row r="90" spans="1:49" x14ac:dyDescent="0.2">
      <c r="A90" s="86">
        <f t="shared" si="165"/>
        <v>83</v>
      </c>
      <c r="B90" s="725"/>
      <c r="C90" s="726" t="s">
        <v>7</v>
      </c>
      <c r="D90" s="162"/>
      <c r="E90" s="122">
        <f>'Rates in Detail'!Y76</f>
        <v>5.5799999999999999E-3</v>
      </c>
      <c r="F90" s="122">
        <f>'Rates in Detail'!Z76</f>
        <v>-8.0000000000000007E-5</v>
      </c>
      <c r="G90" s="157"/>
      <c r="H90" s="162"/>
      <c r="I90" s="373">
        <f>'Rev Req Proof Yr2'!H90</f>
        <v>8.4680000000000005E-2</v>
      </c>
      <c r="J90" s="774">
        <f t="shared" si="167"/>
        <v>9.0260000000000007E-2</v>
      </c>
      <c r="K90" s="162"/>
      <c r="L90" s="155"/>
      <c r="M90" s="156"/>
      <c r="N90" s="122"/>
      <c r="O90" s="122"/>
      <c r="P90" s="122"/>
      <c r="Q90" s="774"/>
      <c r="R90" s="162"/>
      <c r="S90" s="298">
        <f>'Rev Req Proof Yr1'!R90</f>
        <v>3359916</v>
      </c>
      <c r="T90" s="299"/>
      <c r="U90" s="157"/>
      <c r="V90" s="158"/>
      <c r="W90" s="162"/>
      <c r="X90" s="313">
        <f t="shared" si="179"/>
        <v>284517.68687999999</v>
      </c>
      <c r="Y90" s="309">
        <f t="shared" si="180"/>
        <v>0</v>
      </c>
      <c r="Z90" s="314">
        <f t="shared" si="181"/>
        <v>0</v>
      </c>
      <c r="AA90" s="320"/>
      <c r="AB90" s="313">
        <f t="shared" si="182"/>
        <v>303266.01816000004</v>
      </c>
      <c r="AC90" s="309">
        <f t="shared" si="183"/>
        <v>0</v>
      </c>
      <c r="AD90" s="314">
        <f t="shared" si="184"/>
        <v>0</v>
      </c>
      <c r="AE90" s="320"/>
      <c r="AF90" s="313">
        <f t="shared" si="185"/>
        <v>-268.79328000000004</v>
      </c>
      <c r="AG90" s="309">
        <v>0</v>
      </c>
      <c r="AH90" s="314">
        <v>0</v>
      </c>
      <c r="AI90" s="320"/>
      <c r="AJ90" s="313">
        <f t="shared" si="186"/>
        <v>18479.53800000004</v>
      </c>
      <c r="AK90" s="309">
        <f t="shared" si="187"/>
        <v>0</v>
      </c>
      <c r="AL90" s="314">
        <f t="shared" si="187"/>
        <v>0</v>
      </c>
      <c r="AM90" s="320"/>
      <c r="AN90" s="338"/>
      <c r="AO90" s="340">
        <f t="shared" si="166"/>
        <v>6.4950401511573122E-2</v>
      </c>
      <c r="AP90" s="320"/>
      <c r="AQ90" s="313">
        <f t="shared" si="188"/>
        <v>0</v>
      </c>
      <c r="AR90" s="309">
        <v>0</v>
      </c>
      <c r="AS90" s="314">
        <v>0</v>
      </c>
      <c r="AT90" s="320"/>
      <c r="AU90" s="310"/>
      <c r="AV90" s="156"/>
      <c r="AW90" s="320"/>
    </row>
    <row r="91" spans="1:49" x14ac:dyDescent="0.2">
      <c r="A91" s="86">
        <f t="shared" si="165"/>
        <v>84</v>
      </c>
      <c r="B91" s="725"/>
      <c r="C91" s="726" t="s">
        <v>8</v>
      </c>
      <c r="D91" s="162"/>
      <c r="E91" s="122">
        <f>'Rates in Detail'!Y77</f>
        <v>3.7200000000000002E-3</v>
      </c>
      <c r="F91" s="122">
        <f>'Rates in Detail'!Z77</f>
        <v>-5.0000000000000002E-5</v>
      </c>
      <c r="G91" s="157"/>
      <c r="H91" s="162"/>
      <c r="I91" s="373">
        <f>'Rev Req Proof Yr2'!H91</f>
        <v>5.6460000000000003E-2</v>
      </c>
      <c r="J91" s="774">
        <f t="shared" si="167"/>
        <v>6.0180000000000004E-2</v>
      </c>
      <c r="K91" s="162"/>
      <c r="L91" s="155"/>
      <c r="M91" s="156"/>
      <c r="N91" s="122"/>
      <c r="O91" s="122"/>
      <c r="P91" s="122"/>
      <c r="Q91" s="774"/>
      <c r="R91" s="162"/>
      <c r="S91" s="298">
        <f>'Rev Req Proof Yr1'!R91</f>
        <v>1349120</v>
      </c>
      <c r="T91" s="299"/>
      <c r="U91" s="157"/>
      <c r="V91" s="158"/>
      <c r="W91" s="162"/>
      <c r="X91" s="313">
        <f t="shared" si="179"/>
        <v>76171.315199999997</v>
      </c>
      <c r="Y91" s="309">
        <f t="shared" si="180"/>
        <v>0</v>
      </c>
      <c r="Z91" s="314">
        <f t="shared" si="181"/>
        <v>0</v>
      </c>
      <c r="AA91" s="320"/>
      <c r="AB91" s="313">
        <f t="shared" si="182"/>
        <v>81190.041600000011</v>
      </c>
      <c r="AC91" s="309">
        <f t="shared" si="183"/>
        <v>0</v>
      </c>
      <c r="AD91" s="314">
        <f t="shared" si="184"/>
        <v>0</v>
      </c>
      <c r="AE91" s="320"/>
      <c r="AF91" s="313">
        <f t="shared" si="185"/>
        <v>-67.456000000000003</v>
      </c>
      <c r="AG91" s="309">
        <v>0</v>
      </c>
      <c r="AH91" s="314">
        <v>0</v>
      </c>
      <c r="AI91" s="320"/>
      <c r="AJ91" s="313">
        <f t="shared" si="186"/>
        <v>4951.270400000014</v>
      </c>
      <c r="AK91" s="309">
        <f t="shared" si="187"/>
        <v>0</v>
      </c>
      <c r="AL91" s="314">
        <f t="shared" si="187"/>
        <v>0</v>
      </c>
      <c r="AM91" s="320"/>
      <c r="AN91" s="338"/>
      <c r="AO91" s="340">
        <f t="shared" si="166"/>
        <v>6.5001771165427033E-2</v>
      </c>
      <c r="AP91" s="320"/>
      <c r="AQ91" s="313">
        <f t="shared" si="188"/>
        <v>0</v>
      </c>
      <c r="AR91" s="309">
        <v>0</v>
      </c>
      <c r="AS91" s="314">
        <v>0</v>
      </c>
      <c r="AT91" s="320"/>
      <c r="AU91" s="310"/>
      <c r="AV91" s="154"/>
      <c r="AW91" s="320"/>
    </row>
    <row r="92" spans="1:49" x14ac:dyDescent="0.2">
      <c r="A92" s="86">
        <f t="shared" si="165"/>
        <v>85</v>
      </c>
      <c r="B92" s="725"/>
      <c r="C92" s="726" t="s">
        <v>9</v>
      </c>
      <c r="D92" s="162"/>
      <c r="E92" s="122">
        <f>'Rates in Detail'!Y78</f>
        <v>1.39E-3</v>
      </c>
      <c r="F92" s="122">
        <f>'Rates in Detail'!Z78</f>
        <v>-2.0000000000000002E-5</v>
      </c>
      <c r="G92" s="157"/>
      <c r="H92" s="162"/>
      <c r="I92" s="373">
        <f>'Rev Req Proof Yr2'!H92</f>
        <v>2.1160000000000002E-2</v>
      </c>
      <c r="J92" s="774">
        <f t="shared" si="167"/>
        <v>2.2550000000000001E-2</v>
      </c>
      <c r="K92" s="162"/>
      <c r="L92" s="155"/>
      <c r="M92" s="156"/>
      <c r="N92" s="122"/>
      <c r="O92" s="122"/>
      <c r="P92" s="122"/>
      <c r="Q92" s="774"/>
      <c r="R92" s="162"/>
      <c r="S92" s="298">
        <f>'Rev Req Proof Yr1'!R92</f>
        <v>0</v>
      </c>
      <c r="T92" s="299"/>
      <c r="U92" s="157"/>
      <c r="V92" s="158"/>
      <c r="W92" s="162"/>
      <c r="X92" s="313">
        <f t="shared" si="179"/>
        <v>0</v>
      </c>
      <c r="Y92" s="309">
        <f t="shared" si="180"/>
        <v>0</v>
      </c>
      <c r="Z92" s="314">
        <f t="shared" si="181"/>
        <v>0</v>
      </c>
      <c r="AA92" s="320"/>
      <c r="AB92" s="313">
        <f t="shared" si="182"/>
        <v>0</v>
      </c>
      <c r="AC92" s="309">
        <f t="shared" si="183"/>
        <v>0</v>
      </c>
      <c r="AD92" s="314">
        <f t="shared" si="184"/>
        <v>0</v>
      </c>
      <c r="AE92" s="320"/>
      <c r="AF92" s="313">
        <f t="shared" si="185"/>
        <v>0</v>
      </c>
      <c r="AG92" s="309">
        <v>0</v>
      </c>
      <c r="AH92" s="314">
        <v>0</v>
      </c>
      <c r="AI92" s="320"/>
      <c r="AJ92" s="313">
        <f t="shared" si="186"/>
        <v>0</v>
      </c>
      <c r="AK92" s="309">
        <f t="shared" si="187"/>
        <v>0</v>
      </c>
      <c r="AL92" s="314">
        <f t="shared" si="187"/>
        <v>0</v>
      </c>
      <c r="AM92" s="320"/>
      <c r="AN92" s="338"/>
      <c r="AO92" s="340" t="e">
        <f t="shared" si="166"/>
        <v>#DIV/0!</v>
      </c>
      <c r="AP92" s="320"/>
      <c r="AQ92" s="313">
        <f t="shared" si="188"/>
        <v>0</v>
      </c>
      <c r="AR92" s="309">
        <v>0</v>
      </c>
      <c r="AS92" s="314">
        <v>0</v>
      </c>
      <c r="AT92" s="320"/>
      <c r="AU92" s="310"/>
      <c r="AV92" s="154"/>
      <c r="AW92" s="320"/>
    </row>
    <row r="93" spans="1:49" x14ac:dyDescent="0.2">
      <c r="A93" s="86">
        <f t="shared" si="165"/>
        <v>86</v>
      </c>
      <c r="B93" s="723"/>
      <c r="C93" s="742" t="s">
        <v>78</v>
      </c>
      <c r="D93" s="163"/>
      <c r="E93" s="123"/>
      <c r="F93" s="123"/>
      <c r="G93" s="153"/>
      <c r="H93" s="163"/>
      <c r="I93" s="368"/>
      <c r="J93" s="773"/>
      <c r="K93" s="162"/>
      <c r="L93" s="155"/>
      <c r="M93" s="156"/>
      <c r="N93" s="122"/>
      <c r="O93" s="122"/>
      <c r="P93" s="122"/>
      <c r="Q93" s="774"/>
      <c r="R93" s="162"/>
      <c r="S93" s="298"/>
      <c r="T93" s="157"/>
      <c r="U93" s="157"/>
      <c r="V93" s="158"/>
      <c r="W93" s="162"/>
      <c r="X93" s="315">
        <f>SUM(X87:X92)</f>
        <v>799890.20797999995</v>
      </c>
      <c r="Y93" s="316">
        <f>SUM(Y87:Y92)</f>
        <v>130200</v>
      </c>
      <c r="Z93" s="317">
        <f>SUM(Z87:Z92)</f>
        <v>0</v>
      </c>
      <c r="AA93" s="320"/>
      <c r="AB93" s="315">
        <f>SUM(AB87:AB92)</f>
        <v>852583.53555000003</v>
      </c>
      <c r="AC93" s="316">
        <f>SUM(AC87:AC92)</f>
        <v>130200</v>
      </c>
      <c r="AD93" s="317">
        <f>SUM(AD87:AD92)</f>
        <v>0</v>
      </c>
      <c r="AE93" s="320"/>
      <c r="AF93" s="315">
        <f>SUM(AF87:AF92)</f>
        <v>-745.79075</v>
      </c>
      <c r="AG93" s="316">
        <f>SUM(AG87:AG92)</f>
        <v>0</v>
      </c>
      <c r="AH93" s="317">
        <f>SUM(AH87:AH92)</f>
        <v>0</v>
      </c>
      <c r="AI93" s="320"/>
      <c r="AJ93" s="315">
        <f>SUM(AJ87:AJ92)</f>
        <v>51947.536820000052</v>
      </c>
      <c r="AK93" s="316">
        <f>SUM(AK87:AK92)</f>
        <v>0</v>
      </c>
      <c r="AL93" s="317">
        <f>SUM(AL87:AL92)</f>
        <v>0</v>
      </c>
      <c r="AM93" s="320"/>
      <c r="AN93" s="338">
        <f>SUM(AJ93:AL93)/SUM(X93:Z93)</f>
        <v>5.5852148935984815E-2</v>
      </c>
      <c r="AO93" s="339">
        <f t="shared" si="166"/>
        <v>6.4943333849761198E-2</v>
      </c>
      <c r="AP93" s="320"/>
      <c r="AQ93" s="315">
        <f>SUM(AQ87:AQ92)</f>
        <v>0</v>
      </c>
      <c r="AR93" s="316">
        <f>SUM(AR87:AR92)</f>
        <v>0</v>
      </c>
      <c r="AS93" s="317">
        <f>SUM(AS87:AS92)</f>
        <v>0</v>
      </c>
      <c r="AT93" s="320"/>
      <c r="AU93" s="310"/>
      <c r="AV93" s="154"/>
      <c r="AW93" s="320"/>
    </row>
    <row r="94" spans="1:49" x14ac:dyDescent="0.2">
      <c r="A94" s="86">
        <f t="shared" si="165"/>
        <v>87</v>
      </c>
      <c r="B94" s="723" t="str">
        <f>'WA Volumes &amp; Revenues'!B81</f>
        <v>43 Firm Transpt</v>
      </c>
      <c r="C94" s="723" t="s">
        <v>283</v>
      </c>
      <c r="D94" s="162"/>
      <c r="E94" s="392">
        <f>'Rates in Detail'!Y79</f>
        <v>0</v>
      </c>
      <c r="F94" s="392">
        <f>'Rates in Detail'!Z79</f>
        <v>0</v>
      </c>
      <c r="G94" s="164"/>
      <c r="H94" s="162"/>
      <c r="I94" s="393">
        <f>'Rev Req Proof Yr2'!H94</f>
        <v>4.9100000000000003E-3</v>
      </c>
      <c r="J94" s="775">
        <f t="shared" si="167"/>
        <v>4.9100000000000003E-3</v>
      </c>
      <c r="K94" s="162"/>
      <c r="L94" s="155">
        <f>'Rev Req Proof Yr1'!K94</f>
        <v>38000</v>
      </c>
      <c r="M94" s="156">
        <f>'Rev Req Proof Yr1'!L94</f>
        <v>38000</v>
      </c>
      <c r="N94" s="122">
        <f>'Rev Req Proof Yr1'!M94</f>
        <v>0.15748000000000001</v>
      </c>
      <c r="O94" s="122">
        <f>'Rev Req Proof Yr1'!N94</f>
        <v>0</v>
      </c>
      <c r="P94" s="122">
        <f>'Rev Req Proof Yr1'!O94</f>
        <v>0</v>
      </c>
      <c r="Q94" s="774">
        <f>'Rev Req Proof Yr1'!P94</f>
        <v>0</v>
      </c>
      <c r="R94" s="162"/>
      <c r="S94" s="298">
        <f>'Rev Req Proof Yr1'!R94</f>
        <v>0</v>
      </c>
      <c r="T94" s="299"/>
      <c r="U94" s="300">
        <f>'Rev Req Proof Yr1'!T94</f>
        <v>0</v>
      </c>
      <c r="V94" s="301">
        <f>'Rev Req Proof Yr1'!U94</f>
        <v>0</v>
      </c>
      <c r="W94" s="162"/>
      <c r="X94" s="306">
        <f t="shared" ref="X94:X96" si="189">(I94*S94)</f>
        <v>0</v>
      </c>
      <c r="Y94" s="307">
        <f t="shared" ref="Y94:Y96" si="190">(L94*U94*12)</f>
        <v>0</v>
      </c>
      <c r="Z94" s="308">
        <f t="shared" ref="Z94:Z96" si="191">(T94*(N94+P94))*12</f>
        <v>0</v>
      </c>
      <c r="AA94" s="321"/>
      <c r="AB94" s="306">
        <f t="shared" ref="AB94:AB96" si="192">(J94*S94)</f>
        <v>0</v>
      </c>
      <c r="AC94" s="307">
        <f t="shared" ref="AC94:AC96" si="193">(M94*U94*12)</f>
        <v>0</v>
      </c>
      <c r="AD94" s="308">
        <f t="shared" ref="AD94:AD96" si="194">(T94*(O94+Q94))*12</f>
        <v>0</v>
      </c>
      <c r="AE94" s="321"/>
      <c r="AF94" s="306">
        <f t="shared" ref="AF94:AF96" si="195">(F94*S94)</f>
        <v>0</v>
      </c>
      <c r="AG94" s="307">
        <v>0</v>
      </c>
      <c r="AH94" s="308">
        <v>0</v>
      </c>
      <c r="AI94" s="321"/>
      <c r="AJ94" s="306">
        <f t="shared" ref="AJ94:AJ96" si="196">AB94-X94+AF94</f>
        <v>0</v>
      </c>
      <c r="AK94" s="307">
        <f t="shared" ref="AK94:AL96" si="197">AC94-Y94-AG94</f>
        <v>0</v>
      </c>
      <c r="AL94" s="308">
        <f t="shared" si="197"/>
        <v>0</v>
      </c>
      <c r="AM94" s="320"/>
      <c r="AN94" s="338"/>
      <c r="AO94" s="339"/>
      <c r="AP94" s="320"/>
      <c r="AQ94" s="306">
        <f t="shared" ref="AQ94:AQ96" si="198">(G94*S94)</f>
        <v>0</v>
      </c>
      <c r="AR94" s="307">
        <v>0</v>
      </c>
      <c r="AS94" s="308">
        <v>0</v>
      </c>
      <c r="AT94" s="320"/>
      <c r="AU94" s="154"/>
      <c r="AV94" s="154"/>
      <c r="AW94" s="320"/>
    </row>
    <row r="95" spans="1:49" x14ac:dyDescent="0.2">
      <c r="A95" s="86">
        <f t="shared" si="165"/>
        <v>88</v>
      </c>
      <c r="B95" s="723" t="str">
        <f>'WA Volumes &amp; Revenues'!B82</f>
        <v>43 Interr Transpt</v>
      </c>
      <c r="C95" s="724" t="s">
        <v>283</v>
      </c>
      <c r="D95" s="162"/>
      <c r="E95" s="392">
        <f>'Rates in Detail'!Y80</f>
        <v>0</v>
      </c>
      <c r="F95" s="392">
        <f>'Rates in Detail'!Z80</f>
        <v>0</v>
      </c>
      <c r="G95" s="164"/>
      <c r="H95" s="162"/>
      <c r="I95" s="396">
        <f>'Rev Req Proof Yr2'!H95</f>
        <v>4.9100000000000003E-3</v>
      </c>
      <c r="J95" s="776">
        <f t="shared" si="167"/>
        <v>4.9100000000000003E-3</v>
      </c>
      <c r="K95" s="162"/>
      <c r="L95" s="155">
        <f>'Rev Req Proof Yr1'!K95</f>
        <v>38000</v>
      </c>
      <c r="M95" s="156">
        <f>'Rev Req Proof Yr1'!L95</f>
        <v>38000</v>
      </c>
      <c r="N95" s="122">
        <f>'Rev Req Proof Yr1'!M95</f>
        <v>0</v>
      </c>
      <c r="O95" s="122">
        <f>'Rev Req Proof Yr1'!N95</f>
        <v>0</v>
      </c>
      <c r="P95" s="122">
        <f>'Rev Req Proof Yr1'!O95</f>
        <v>0</v>
      </c>
      <c r="Q95" s="774">
        <f>'Rev Req Proof Yr1'!P95</f>
        <v>0</v>
      </c>
      <c r="R95" s="162"/>
      <c r="S95" s="298">
        <f>'Rev Req Proof Yr1'!R95</f>
        <v>0</v>
      </c>
      <c r="T95" s="299"/>
      <c r="U95" s="300">
        <f>'Rev Req Proof Yr1'!T95</f>
        <v>0</v>
      </c>
      <c r="V95" s="301">
        <f>'Rev Req Proof Yr1'!U95</f>
        <v>0</v>
      </c>
      <c r="W95" s="162"/>
      <c r="X95" s="322">
        <f t="shared" si="189"/>
        <v>0</v>
      </c>
      <c r="Y95" s="321">
        <f t="shared" si="190"/>
        <v>0</v>
      </c>
      <c r="Z95" s="323">
        <f t="shared" si="191"/>
        <v>0</v>
      </c>
      <c r="AA95" s="320"/>
      <c r="AB95" s="322">
        <f t="shared" si="192"/>
        <v>0</v>
      </c>
      <c r="AC95" s="321">
        <f t="shared" si="193"/>
        <v>0</v>
      </c>
      <c r="AD95" s="323">
        <f t="shared" si="194"/>
        <v>0</v>
      </c>
      <c r="AE95" s="320"/>
      <c r="AF95" s="322">
        <f t="shared" si="195"/>
        <v>0</v>
      </c>
      <c r="AG95" s="321">
        <v>0</v>
      </c>
      <c r="AH95" s="323">
        <v>0</v>
      </c>
      <c r="AI95" s="320"/>
      <c r="AJ95" s="322">
        <f t="shared" si="196"/>
        <v>0</v>
      </c>
      <c r="AK95" s="321">
        <f t="shared" si="197"/>
        <v>0</v>
      </c>
      <c r="AL95" s="323">
        <f t="shared" si="197"/>
        <v>0</v>
      </c>
      <c r="AM95" s="320"/>
      <c r="AN95" s="320"/>
      <c r="AO95" s="320"/>
      <c r="AP95" s="320"/>
      <c r="AQ95" s="322">
        <f t="shared" si="198"/>
        <v>0</v>
      </c>
      <c r="AR95" s="321">
        <v>0</v>
      </c>
      <c r="AS95" s="323">
        <v>0</v>
      </c>
      <c r="AT95" s="320"/>
      <c r="AU95" s="154"/>
      <c r="AV95" s="154"/>
      <c r="AW95" s="320"/>
    </row>
    <row r="96" spans="1:49" ht="13.5" thickBot="1" x14ac:dyDescent="0.25">
      <c r="A96" s="86">
        <f t="shared" si="165"/>
        <v>89</v>
      </c>
      <c r="B96" s="779" t="str">
        <f>'WA Volumes &amp; Revenues'!B83</f>
        <v>Special Contract</v>
      </c>
      <c r="C96" s="780" t="s">
        <v>283</v>
      </c>
      <c r="D96" s="166"/>
      <c r="E96" s="836">
        <f>'Rates in Detail'!Y81</f>
        <v>0</v>
      </c>
      <c r="F96" s="836">
        <f>'Rates in Detail'!Z81</f>
        <v>0</v>
      </c>
      <c r="G96" s="166"/>
      <c r="H96" s="782"/>
      <c r="I96" s="777">
        <f>'Rev Req Proof Yr2'!H96</f>
        <v>0</v>
      </c>
      <c r="J96" s="778">
        <f t="shared" si="167"/>
        <v>0</v>
      </c>
      <c r="K96" s="162"/>
      <c r="L96" s="785">
        <f>'Rev Req Proof Yr1'!K96</f>
        <v>0</v>
      </c>
      <c r="M96" s="786">
        <f>'Rev Req Proof Yr1'!L96</f>
        <v>0</v>
      </c>
      <c r="N96" s="795">
        <f>'Rev Req Proof Yr1'!M96</f>
        <v>0</v>
      </c>
      <c r="O96" s="795">
        <f>'Rev Req Proof Yr1'!N96</f>
        <v>0</v>
      </c>
      <c r="P96" s="795">
        <f>'Rev Req Proof Yr1'!O96</f>
        <v>0</v>
      </c>
      <c r="Q96" s="778">
        <f>'Rev Req Proof Yr1'!P96</f>
        <v>0</v>
      </c>
      <c r="R96" s="162"/>
      <c r="S96" s="811">
        <f>'Rev Req Proof Yr1'!R96</f>
        <v>2895114</v>
      </c>
      <c r="T96" s="805"/>
      <c r="U96" s="801">
        <f>'Rev Req Proof Yr1'!T96</f>
        <v>1</v>
      </c>
      <c r="V96" s="802">
        <f>'Rev Req Proof Yr1'!U96</f>
        <v>241259.5</v>
      </c>
      <c r="W96" s="162"/>
      <c r="X96" s="324">
        <f t="shared" si="189"/>
        <v>0</v>
      </c>
      <c r="Y96" s="325">
        <f t="shared" si="190"/>
        <v>0</v>
      </c>
      <c r="Z96" s="326">
        <f t="shared" si="191"/>
        <v>0</v>
      </c>
      <c r="AA96" s="320"/>
      <c r="AB96" s="324">
        <f t="shared" si="192"/>
        <v>0</v>
      </c>
      <c r="AC96" s="325">
        <f t="shared" si="193"/>
        <v>0</v>
      </c>
      <c r="AD96" s="326">
        <f t="shared" si="194"/>
        <v>0</v>
      </c>
      <c r="AE96" s="320"/>
      <c r="AF96" s="324">
        <f t="shared" si="195"/>
        <v>0</v>
      </c>
      <c r="AG96" s="325">
        <v>0</v>
      </c>
      <c r="AH96" s="326">
        <v>0</v>
      </c>
      <c r="AI96" s="320"/>
      <c r="AJ96" s="324">
        <f t="shared" si="196"/>
        <v>0</v>
      </c>
      <c r="AK96" s="325">
        <f t="shared" si="197"/>
        <v>0</v>
      </c>
      <c r="AL96" s="326">
        <f t="shared" si="197"/>
        <v>0</v>
      </c>
      <c r="AM96" s="320"/>
      <c r="AN96" s="320"/>
      <c r="AO96" s="320"/>
      <c r="AP96" s="320"/>
      <c r="AQ96" s="324">
        <f t="shared" si="198"/>
        <v>0</v>
      </c>
      <c r="AR96" s="325">
        <v>0</v>
      </c>
      <c r="AS96" s="326">
        <v>0</v>
      </c>
      <c r="AT96" s="320"/>
      <c r="AU96" s="162"/>
      <c r="AV96" s="162"/>
      <c r="AW96" s="320"/>
    </row>
    <row r="97" spans="1:49" x14ac:dyDescent="0.2">
      <c r="A97" s="86">
        <f t="shared" si="165"/>
        <v>90</v>
      </c>
    </row>
    <row r="98" spans="1:49" x14ac:dyDescent="0.2">
      <c r="A98" s="86">
        <f t="shared" si="165"/>
        <v>91</v>
      </c>
      <c r="B98" s="168" t="s">
        <v>58</v>
      </c>
      <c r="AT98" s="55"/>
      <c r="AU98" s="55"/>
    </row>
    <row r="99" spans="1:49" x14ac:dyDescent="0.2">
      <c r="A99" s="86">
        <f t="shared" si="165"/>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8"/>
      <c r="AJ99" s="798"/>
      <c r="AK99" s="798"/>
      <c r="AL99" s="798"/>
      <c r="AM99" s="765"/>
      <c r="AN99" s="765"/>
      <c r="AO99" s="765"/>
      <c r="AP99" s="765"/>
      <c r="AQ99" s="798"/>
      <c r="AR99" s="798"/>
      <c r="AS99" s="799"/>
      <c r="AT99" s="837"/>
      <c r="AU99" s="55"/>
      <c r="AW99" s="55"/>
    </row>
    <row r="100" spans="1:49" x14ac:dyDescent="0.2">
      <c r="A100" s="86">
        <f t="shared" si="165"/>
        <v>93</v>
      </c>
      <c r="B100" s="169"/>
      <c r="S100" s="327"/>
      <c r="T100" s="327"/>
      <c r="U100" s="327"/>
      <c r="AT100" s="55"/>
      <c r="AU100" s="55"/>
    </row>
    <row r="101" spans="1:49" x14ac:dyDescent="0.2">
      <c r="A101" s="86">
        <f t="shared" si="165"/>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765"/>
      <c r="AQ101" s="765"/>
      <c r="AR101" s="765"/>
      <c r="AS101" s="800"/>
      <c r="AT101" s="55"/>
      <c r="AU101" s="55"/>
      <c r="AW101" s="55"/>
    </row>
    <row r="102" spans="1:49" x14ac:dyDescent="0.2">
      <c r="A102" s="86">
        <f t="shared" si="165"/>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765"/>
      <c r="AQ102" s="765"/>
      <c r="AR102" s="765"/>
      <c r="AS102" s="800"/>
      <c r="AT102" s="55"/>
      <c r="AU102" s="55"/>
      <c r="AW102" s="55"/>
    </row>
    <row r="103" spans="1:49" x14ac:dyDescent="0.2">
      <c r="A103" s="86"/>
      <c r="B103" s="169"/>
      <c r="AT103" s="55"/>
      <c r="AU103" s="55"/>
    </row>
    <row r="104" spans="1:49" x14ac:dyDescent="0.2">
      <c r="A104" s="86"/>
      <c r="B104" s="169"/>
    </row>
    <row r="105" spans="1:49" x14ac:dyDescent="0.2">
      <c r="A105" s="86"/>
      <c r="B105" s="169"/>
    </row>
  </sheetData>
  <mergeCells count="10">
    <mergeCell ref="AU14:AW14"/>
    <mergeCell ref="AU2:AV2"/>
    <mergeCell ref="I7:J7"/>
    <mergeCell ref="L7:Q7"/>
    <mergeCell ref="S7:V7"/>
    <mergeCell ref="X10:Z10"/>
    <mergeCell ref="AB10:AD10"/>
    <mergeCell ref="AF10:AH10"/>
    <mergeCell ref="AJ10:AL10"/>
    <mergeCell ref="AQ10:AS10"/>
  </mergeCells>
  <printOptions horizontalCentered="1"/>
  <pageMargins left="0.5" right="0.5" top="0.5" bottom="0.5" header="0.25" footer="0.25"/>
  <pageSetup scale="51" orientation="landscape" r:id="rId1"/>
  <headerFooter alignWithMargins="0">
    <oddHeader>&amp;RExh. RJW-3 Wyman WP1</oddHeader>
    <oddFooter xml:space="preserve">&amp;C&amp;F &amp;D &amp;T
&amp;A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79998168889431442"/>
  </sheetPr>
  <dimension ref="A1:AJ85"/>
  <sheetViews>
    <sheetView zoomScale="80" zoomScaleNormal="80" workbookViewId="0">
      <pane xSplit="4" ySplit="12" topLeftCell="P13" activePane="bottomRight" state="frozen"/>
      <selection pane="topRight" activeCell="D1" sqref="D1"/>
      <selection pane="bottomLeft" activeCell="A13" sqref="A13"/>
      <selection pane="bottomRight" activeCell="Z3" sqref="Z3"/>
    </sheetView>
  </sheetViews>
  <sheetFormatPr defaultColWidth="9.33203125" defaultRowHeight="15" outlineLevelCol="1" x14ac:dyDescent="0.25"/>
  <cols>
    <col min="1" max="1" width="6.83203125" style="132" customWidth="1"/>
    <col min="2" max="3" width="19" style="174" customWidth="1"/>
    <col min="4" max="4" width="10.33203125" style="174" customWidth="1"/>
    <col min="5" max="5" width="11.33203125" style="174" bestFit="1" customWidth="1"/>
    <col min="6" max="6" width="14" style="174" bestFit="1" customWidth="1"/>
    <col min="7" max="7" width="10.33203125" style="174" bestFit="1" customWidth="1"/>
    <col min="8" max="8" width="10.83203125" style="174" customWidth="1"/>
    <col min="9" max="9" width="11.5" style="174" customWidth="1"/>
    <col min="10" max="10" width="14.83203125" style="174" customWidth="1"/>
    <col min="11" max="11" width="2.83203125" style="174" customWidth="1"/>
    <col min="12" max="12" width="14.83203125" style="174" customWidth="1"/>
    <col min="13" max="13" width="2.83203125" style="174" customWidth="1"/>
    <col min="14" max="14" width="15.83203125" style="174" customWidth="1"/>
    <col min="15" max="16" width="16.83203125" style="174" customWidth="1"/>
    <col min="17" max="17" width="16.83203125" style="174" hidden="1" customWidth="1" outlineLevel="1"/>
    <col min="18" max="18" width="16.83203125" style="174" customWidth="1" collapsed="1"/>
    <col min="19" max="20" width="18.83203125" style="174" customWidth="1"/>
    <col min="21" max="21" width="18.83203125" style="174" hidden="1" customWidth="1" outlineLevel="1"/>
    <col min="22" max="22" width="18.33203125" style="174" customWidth="1" collapsed="1"/>
    <col min="23" max="23" width="15.83203125" style="174" customWidth="1"/>
    <col min="24" max="24" width="3.5" style="174" customWidth="1"/>
    <col min="25" max="25" width="17" style="132" bestFit="1" customWidth="1"/>
    <col min="26" max="26" width="16.1640625" style="132" bestFit="1" customWidth="1"/>
    <col min="27" max="28" width="14.83203125" style="174" customWidth="1"/>
    <col min="29" max="29" width="4" style="174" customWidth="1"/>
    <col min="30" max="31" width="15.83203125" style="174" customWidth="1"/>
    <col min="32" max="32" width="18.1640625" style="174" customWidth="1"/>
    <col min="33" max="35" width="15.83203125" style="174" customWidth="1"/>
    <col min="36" max="36" width="5.33203125" style="174" customWidth="1"/>
    <col min="37" max="16384" width="9.33203125" style="132"/>
  </cols>
  <sheetData>
    <row r="1" spans="1:36" ht="11.1" customHeight="1" x14ac:dyDescent="0.25">
      <c r="A1" s="173" t="str">
        <f>+'WA Volumes &amp; Revenues'!A1</f>
        <v>NW Natural</v>
      </c>
      <c r="N1" s="175"/>
    </row>
    <row r="2" spans="1:36" ht="12.75" customHeight="1" x14ac:dyDescent="0.25">
      <c r="A2" s="173" t="str">
        <f>+'WA Volumes &amp; Revenues'!A2</f>
        <v>Rates &amp; Regulatory Affairs</v>
      </c>
      <c r="F2" s="176"/>
      <c r="H2" s="845"/>
      <c r="L2" s="176"/>
      <c r="N2" s="177"/>
      <c r="Q2" s="178"/>
      <c r="R2" s="176"/>
      <c r="U2" s="176"/>
      <c r="V2" s="176"/>
      <c r="W2" s="176"/>
      <c r="Y2" s="1184"/>
      <c r="Z2" s="1185"/>
      <c r="AA2" s="1186"/>
    </row>
    <row r="3" spans="1:36" ht="15" customHeight="1" thickBot="1" x14ac:dyDescent="0.3">
      <c r="A3" s="173" t="str">
        <f>+'WA Volumes &amp; Revenues'!A3</f>
        <v>Test Year Ending September 30, 2020</v>
      </c>
      <c r="F3" s="179"/>
      <c r="H3" s="176"/>
      <c r="I3" s="176"/>
      <c r="L3" s="176"/>
      <c r="N3" s="175"/>
      <c r="Q3" s="1159"/>
      <c r="R3" s="226"/>
      <c r="S3" s="226"/>
      <c r="T3" s="226"/>
      <c r="U3" s="1159"/>
      <c r="V3" s="132"/>
      <c r="W3" s="226"/>
      <c r="Y3" s="1184"/>
      <c r="Z3" s="1185"/>
      <c r="AA3" s="1186"/>
    </row>
    <row r="4" spans="1:36" ht="15.75" customHeight="1" thickBot="1" x14ac:dyDescent="0.3">
      <c r="A4" s="173" t="s">
        <v>65</v>
      </c>
      <c r="E4" s="176"/>
      <c r="F4" s="176"/>
      <c r="H4" s="176"/>
      <c r="I4" s="176"/>
      <c r="K4" s="176"/>
      <c r="L4" s="1194">
        <f>'Rate Spread Proposal'!D23/1000</f>
        <v>6718.061567838412</v>
      </c>
      <c r="M4" s="176"/>
      <c r="N4" s="176"/>
      <c r="O4" s="132"/>
      <c r="P4" s="989">
        <f>'Allocation = % of Margin'!S10/1000</f>
        <v>-462.25200000000001</v>
      </c>
      <c r="Q4" s="252"/>
      <c r="R4" s="132"/>
      <c r="S4" s="989">
        <f>'Allocation = % of Margin'!M10/1000</f>
        <v>-1477.729</v>
      </c>
      <c r="T4" s="989">
        <f>'Allocation = % of Margin'!P10/1000</f>
        <v>-875.74</v>
      </c>
      <c r="U4" s="252"/>
      <c r="V4" s="226"/>
      <c r="W4" s="226"/>
      <c r="X4" s="176"/>
      <c r="Y4" s="226"/>
      <c r="Z4" s="226"/>
      <c r="AA4" s="176"/>
      <c r="AB4" s="176"/>
      <c r="AC4" s="176"/>
      <c r="AD4" s="176"/>
      <c r="AE4" s="176"/>
    </row>
    <row r="5" spans="1:36" ht="13.5" customHeight="1" thickBot="1" x14ac:dyDescent="0.3">
      <c r="F5" s="180"/>
      <c r="L5" s="251"/>
      <c r="O5" s="1590" t="s">
        <v>119</v>
      </c>
      <c r="P5" s="1591"/>
      <c r="Q5" s="1591"/>
      <c r="R5" s="1591"/>
      <c r="S5" s="1591"/>
      <c r="T5" s="1591"/>
      <c r="U5" s="1591"/>
      <c r="V5" s="1591"/>
      <c r="W5" s="1592"/>
      <c r="Y5" s="1599" t="s">
        <v>417</v>
      </c>
      <c r="Z5" s="1600"/>
      <c r="AA5" s="1600"/>
      <c r="AB5" s="1601"/>
    </row>
    <row r="6" spans="1:36" ht="15.75" thickBot="1" x14ac:dyDescent="0.3">
      <c r="L6" s="181"/>
      <c r="N6" s="182"/>
      <c r="O6" s="1596"/>
      <c r="P6" s="1597"/>
      <c r="Q6" s="1598"/>
      <c r="R6" s="183"/>
      <c r="S6" s="184"/>
      <c r="T6" s="184"/>
      <c r="U6" s="184"/>
      <c r="V6" s="823"/>
      <c r="W6" s="676"/>
      <c r="Y6" s="182"/>
      <c r="Z6" s="958"/>
      <c r="AA6" s="182"/>
      <c r="AB6" s="991"/>
      <c r="AD6" s="1590" t="s">
        <v>121</v>
      </c>
      <c r="AE6" s="1591"/>
      <c r="AF6" s="1591"/>
      <c r="AG6" s="1591"/>
      <c r="AH6" s="1591"/>
      <c r="AI6" s="1592"/>
    </row>
    <row r="7" spans="1:36" ht="15.75" thickBot="1" x14ac:dyDescent="0.3">
      <c r="A7" s="133">
        <v>1</v>
      </c>
      <c r="E7" s="1593" t="s">
        <v>369</v>
      </c>
      <c r="F7" s="1594"/>
      <c r="G7" s="1594"/>
      <c r="H7" s="1594"/>
      <c r="I7" s="1594"/>
      <c r="J7" s="1595"/>
      <c r="K7" s="185"/>
      <c r="L7" s="951" t="s">
        <v>420</v>
      </c>
      <c r="M7" s="185"/>
      <c r="N7" s="186" t="s">
        <v>17</v>
      </c>
      <c r="O7" s="186" t="s">
        <v>20</v>
      </c>
      <c r="P7" s="187" t="s">
        <v>20</v>
      </c>
      <c r="Q7" s="187" t="s">
        <v>20</v>
      </c>
      <c r="R7" s="188" t="str">
        <f>L7</f>
        <v>Year 1</v>
      </c>
      <c r="S7" s="187" t="s">
        <v>20</v>
      </c>
      <c r="T7" s="187" t="s">
        <v>20</v>
      </c>
      <c r="U7" s="187" t="s">
        <v>20</v>
      </c>
      <c r="V7" s="1021" t="str">
        <f>L7</f>
        <v>Year 1</v>
      </c>
      <c r="W7" s="990" t="str">
        <f>L7</f>
        <v>Year 1</v>
      </c>
      <c r="X7" s="189"/>
      <c r="Y7" s="186" t="s">
        <v>419</v>
      </c>
      <c r="Z7" s="187" t="s">
        <v>20</v>
      </c>
      <c r="AA7" s="1456" t="str">
        <f>Z8</f>
        <v>Year 2</v>
      </c>
      <c r="AB7" s="992" t="str">
        <f>AA7</f>
        <v>Year 2</v>
      </c>
      <c r="AC7" s="189"/>
      <c r="AD7" s="190" t="s">
        <v>17</v>
      </c>
      <c r="AE7" s="191" t="s">
        <v>20</v>
      </c>
      <c r="AF7" s="191" t="s">
        <v>17</v>
      </c>
      <c r="AG7" s="191" t="s">
        <v>20</v>
      </c>
      <c r="AH7" s="191" t="s">
        <v>17</v>
      </c>
      <c r="AI7" s="192" t="s">
        <v>20</v>
      </c>
    </row>
    <row r="8" spans="1:36" x14ac:dyDescent="0.25">
      <c r="A8" s="133">
        <f>+A7+1</f>
        <v>2</v>
      </c>
      <c r="E8" s="186"/>
      <c r="F8" s="193"/>
      <c r="G8" s="187" t="s">
        <v>118</v>
      </c>
      <c r="H8" s="187" t="s">
        <v>118</v>
      </c>
      <c r="I8" s="187" t="s">
        <v>118</v>
      </c>
      <c r="J8" s="192">
        <f>+'Avg Bill by RS'!K9</f>
        <v>44136</v>
      </c>
      <c r="K8" s="194"/>
      <c r="L8" s="195" t="str">
        <f>'Allocation = ¢ per Therm'!D12</f>
        <v>WA GRC</v>
      </c>
      <c r="M8" s="194"/>
      <c r="N8" s="418" t="s">
        <v>18</v>
      </c>
      <c r="O8" s="1020" t="str">
        <f>L7</f>
        <v>Year 1</v>
      </c>
      <c r="P8" s="957" t="str">
        <f>O8</f>
        <v>Year 1</v>
      </c>
      <c r="Q8" s="957" t="str">
        <f>O8</f>
        <v>Year 1</v>
      </c>
      <c r="R8" s="196" t="s">
        <v>188</v>
      </c>
      <c r="S8" s="957" t="str">
        <f>O8</f>
        <v>Year 1</v>
      </c>
      <c r="T8" s="957" t="str">
        <f>P8</f>
        <v>Year 1</v>
      </c>
      <c r="U8" s="957" t="str">
        <f>P8</f>
        <v>Year 1</v>
      </c>
      <c r="V8" s="818" t="s">
        <v>21</v>
      </c>
      <c r="W8" s="677" t="s">
        <v>21</v>
      </c>
      <c r="X8" s="197"/>
      <c r="Y8" s="416" t="s">
        <v>279</v>
      </c>
      <c r="Z8" s="417" t="str">
        <f>Y7</f>
        <v>Year 2</v>
      </c>
      <c r="AA8" s="1020" t="s">
        <v>523</v>
      </c>
      <c r="AB8" s="993" t="s">
        <v>21</v>
      </c>
      <c r="AC8" s="197"/>
      <c r="AD8" s="198" t="str">
        <f>E9</f>
        <v>CURRENT</v>
      </c>
      <c r="AE8" s="957" t="str">
        <f>O8</f>
        <v>Year 1</v>
      </c>
      <c r="AF8" s="197" t="str">
        <f>E9</f>
        <v>CURRENT</v>
      </c>
      <c r="AG8" s="957" t="str">
        <f>O8</f>
        <v>Year 1</v>
      </c>
      <c r="AH8" s="197" t="str">
        <f>E9</f>
        <v>CURRENT</v>
      </c>
      <c r="AI8" s="950" t="str">
        <f>O8</f>
        <v>Year 1</v>
      </c>
      <c r="AJ8" s="199"/>
    </row>
    <row r="9" spans="1:36" x14ac:dyDescent="0.25">
      <c r="A9" s="133">
        <f t="shared" ref="A9:A72" si="0">+A8+1</f>
        <v>3</v>
      </c>
      <c r="E9" s="186" t="s">
        <v>118</v>
      </c>
      <c r="F9" s="187" t="s">
        <v>118</v>
      </c>
      <c r="G9" s="187" t="s">
        <v>138</v>
      </c>
      <c r="H9" s="187" t="s">
        <v>139</v>
      </c>
      <c r="I9" s="187" t="s">
        <v>30</v>
      </c>
      <c r="J9" s="200" t="s">
        <v>15</v>
      </c>
      <c r="K9" s="201"/>
      <c r="L9" s="202" t="s">
        <v>179</v>
      </c>
      <c r="M9" s="201"/>
      <c r="N9" s="418" t="s">
        <v>105</v>
      </c>
      <c r="O9" s="418" t="s">
        <v>179</v>
      </c>
      <c r="P9" s="933" t="s">
        <v>411</v>
      </c>
      <c r="Q9" s="1097" t="s">
        <v>375</v>
      </c>
      <c r="R9" s="196" t="s">
        <v>138</v>
      </c>
      <c r="S9" s="933" t="s">
        <v>401</v>
      </c>
      <c r="T9" s="933" t="s">
        <v>412</v>
      </c>
      <c r="U9" s="1097" t="s">
        <v>375</v>
      </c>
      <c r="V9" s="818" t="s">
        <v>381</v>
      </c>
      <c r="W9" s="677" t="s">
        <v>82</v>
      </c>
      <c r="X9" s="203"/>
      <c r="Y9" s="418" t="s">
        <v>179</v>
      </c>
      <c r="Z9" s="933" t="s">
        <v>418</v>
      </c>
      <c r="AA9" s="1457" t="s">
        <v>90</v>
      </c>
      <c r="AB9" s="994" t="s">
        <v>82</v>
      </c>
      <c r="AC9" s="203"/>
      <c r="AD9" s="204" t="s">
        <v>83</v>
      </c>
      <c r="AE9" s="791" t="s">
        <v>83</v>
      </c>
      <c r="AF9" s="203" t="s">
        <v>376</v>
      </c>
      <c r="AG9" s="791" t="s">
        <v>376</v>
      </c>
      <c r="AH9" s="203" t="s">
        <v>109</v>
      </c>
      <c r="AI9" s="792" t="s">
        <v>109</v>
      </c>
      <c r="AJ9" s="205"/>
    </row>
    <row r="10" spans="1:36" s="134" customFormat="1" ht="15.75" thickBot="1" x14ac:dyDescent="0.3">
      <c r="A10" s="133">
        <f t="shared" si="0"/>
        <v>4</v>
      </c>
      <c r="B10" s="206"/>
      <c r="C10" s="206"/>
      <c r="D10" s="206"/>
      <c r="E10" s="717" t="s">
        <v>105</v>
      </c>
      <c r="F10" s="718" t="s">
        <v>19</v>
      </c>
      <c r="G10" s="718" t="s">
        <v>370</v>
      </c>
      <c r="H10" s="718" t="s">
        <v>140</v>
      </c>
      <c r="I10" s="718" t="s">
        <v>33</v>
      </c>
      <c r="J10" s="719" t="s">
        <v>16</v>
      </c>
      <c r="K10" s="201"/>
      <c r="L10" s="207" t="s">
        <v>98</v>
      </c>
      <c r="M10" s="201"/>
      <c r="N10" s="419" t="s">
        <v>106</v>
      </c>
      <c r="O10" s="419" t="s">
        <v>105</v>
      </c>
      <c r="P10" s="420" t="s">
        <v>105</v>
      </c>
      <c r="Q10" s="1195" t="s">
        <v>105</v>
      </c>
      <c r="R10" s="208" t="s">
        <v>16</v>
      </c>
      <c r="S10" s="420" t="s">
        <v>190</v>
      </c>
      <c r="T10" s="420" t="s">
        <v>190</v>
      </c>
      <c r="U10" s="1196" t="s">
        <v>190</v>
      </c>
      <c r="V10" s="819" t="s">
        <v>16</v>
      </c>
      <c r="W10" s="678" t="s">
        <v>16</v>
      </c>
      <c r="X10" s="203"/>
      <c r="Y10" s="949" t="s">
        <v>98</v>
      </c>
      <c r="Z10" s="421" t="s">
        <v>190</v>
      </c>
      <c r="AA10" s="1458" t="s">
        <v>98</v>
      </c>
      <c r="AB10" s="995" t="s">
        <v>16</v>
      </c>
      <c r="AC10" s="203"/>
      <c r="AD10" s="672" t="s">
        <v>71</v>
      </c>
      <c r="AE10" s="793" t="s">
        <v>71</v>
      </c>
      <c r="AF10" s="673" t="s">
        <v>71</v>
      </c>
      <c r="AG10" s="793" t="s">
        <v>71</v>
      </c>
      <c r="AH10" s="673" t="s">
        <v>71</v>
      </c>
      <c r="AI10" s="794" t="s">
        <v>71</v>
      </c>
      <c r="AJ10" s="205"/>
    </row>
    <row r="11" spans="1:36" s="134" customFormat="1" x14ac:dyDescent="0.25">
      <c r="A11" s="133">
        <f t="shared" si="0"/>
        <v>5</v>
      </c>
      <c r="B11" s="174"/>
      <c r="C11" s="174"/>
      <c r="D11" s="174"/>
      <c r="E11" s="209"/>
      <c r="F11" s="210"/>
      <c r="G11" s="210"/>
      <c r="H11" s="210"/>
      <c r="I11" s="210"/>
      <c r="J11" s="211"/>
      <c r="K11" s="210"/>
      <c r="L11" s="1212" t="s">
        <v>476</v>
      </c>
      <c r="M11" s="210"/>
      <c r="N11" s="212"/>
      <c r="O11" s="212"/>
      <c r="P11" s="769" t="s">
        <v>105</v>
      </c>
      <c r="Q11" s="769" t="s">
        <v>105</v>
      </c>
      <c r="R11" s="839" t="s">
        <v>384</v>
      </c>
      <c r="S11" s="213" t="s">
        <v>190</v>
      </c>
      <c r="T11" s="213" t="s">
        <v>190</v>
      </c>
      <c r="U11" s="213" t="s">
        <v>190</v>
      </c>
      <c r="V11" s="820" t="s">
        <v>383</v>
      </c>
      <c r="W11" s="679" t="s">
        <v>184</v>
      </c>
      <c r="X11" s="210"/>
      <c r="Y11" s="209"/>
      <c r="Z11" s="210"/>
      <c r="AA11" s="209"/>
      <c r="AB11" s="996"/>
      <c r="AC11" s="210"/>
      <c r="AD11" s="212"/>
      <c r="AI11" s="211"/>
      <c r="AJ11" s="205"/>
    </row>
    <row r="12" spans="1:36" s="210" customFormat="1" x14ac:dyDescent="0.25">
      <c r="A12" s="133">
        <f t="shared" si="0"/>
        <v>6</v>
      </c>
      <c r="B12" s="715" t="s">
        <v>2</v>
      </c>
      <c r="C12" s="715"/>
      <c r="D12" s="715" t="s">
        <v>3</v>
      </c>
      <c r="E12" s="214" t="s">
        <v>35</v>
      </c>
      <c r="F12" s="215" t="s">
        <v>36</v>
      </c>
      <c r="G12" s="215" t="s">
        <v>13</v>
      </c>
      <c r="H12" s="215" t="s">
        <v>37</v>
      </c>
      <c r="I12" s="215" t="s">
        <v>38</v>
      </c>
      <c r="J12" s="216" t="s">
        <v>39</v>
      </c>
      <c r="L12" s="215" t="s">
        <v>40</v>
      </c>
      <c r="N12" s="214" t="s">
        <v>41</v>
      </c>
      <c r="O12" s="214" t="s">
        <v>42</v>
      </c>
      <c r="P12" s="215" t="s">
        <v>129</v>
      </c>
      <c r="Q12" s="215" t="s">
        <v>131</v>
      </c>
      <c r="R12" s="217" t="s">
        <v>132</v>
      </c>
      <c r="S12" s="215" t="s">
        <v>133</v>
      </c>
      <c r="T12" s="215" t="s">
        <v>134</v>
      </c>
      <c r="U12" s="215" t="s">
        <v>89</v>
      </c>
      <c r="V12" s="821" t="s">
        <v>92</v>
      </c>
      <c r="W12" s="680" t="s">
        <v>93</v>
      </c>
      <c r="Y12" s="214" t="s">
        <v>94</v>
      </c>
      <c r="Z12" s="215" t="s">
        <v>186</v>
      </c>
      <c r="AA12" s="214" t="s">
        <v>227</v>
      </c>
      <c r="AB12" s="997" t="s">
        <v>233</v>
      </c>
      <c r="AD12" s="214" t="s">
        <v>234</v>
      </c>
      <c r="AE12" s="215" t="s">
        <v>235</v>
      </c>
      <c r="AF12" s="215" t="s">
        <v>254</v>
      </c>
      <c r="AG12" s="215" t="s">
        <v>438</v>
      </c>
      <c r="AH12" s="215" t="s">
        <v>255</v>
      </c>
      <c r="AI12" s="216" t="s">
        <v>256</v>
      </c>
    </row>
    <row r="13" spans="1:36" x14ac:dyDescent="0.25">
      <c r="A13" s="133">
        <f t="shared" si="0"/>
        <v>7</v>
      </c>
      <c r="B13" s="1508" t="s">
        <v>281</v>
      </c>
      <c r="C13" s="1508" t="s">
        <v>449</v>
      </c>
      <c r="D13" s="1508" t="s">
        <v>283</v>
      </c>
      <c r="E13" s="218">
        <v>0.67652999999999996</v>
      </c>
      <c r="F13" s="219">
        <v>0.26333000000000001</v>
      </c>
      <c r="G13" s="220"/>
      <c r="H13" s="219">
        <v>0.10141</v>
      </c>
      <c r="I13" s="219">
        <v>0.11125999999999998</v>
      </c>
      <c r="J13" s="221">
        <f t="shared" ref="J13:J81" si="1">SUM(E13:I13)</f>
        <v>1.1525299999999998</v>
      </c>
      <c r="K13" s="222"/>
      <c r="L13" s="1507">
        <f>ROUND(E13*(HLOOKUP(C13,'Rate Spread Proposal'!$E$71:$AA$76,6,FALSE)),5)</f>
        <v>0.13225000000000001</v>
      </c>
      <c r="M13" s="222"/>
      <c r="N13" s="223">
        <f>(J13-F13-G13-H13)-I13</f>
        <v>0.67652999999999974</v>
      </c>
      <c r="O13" s="602">
        <f>N13+L13</f>
        <v>0.80877999999999972</v>
      </c>
      <c r="P13" s="1160">
        <f>'Allocation = % of Margin'!U14</f>
        <v>-9.1000000000000004E-3</v>
      </c>
      <c r="Q13" s="935"/>
      <c r="R13" s="812">
        <f>SUM(O13:Q13)</f>
        <v>0.79967999999999972</v>
      </c>
      <c r="S13" s="1161">
        <f>'Allocation = % of Margin'!O14</f>
        <v>-3.1189999999999999E-2</v>
      </c>
      <c r="T13" s="1160">
        <f>'Allocation = % of Margin'!R14</f>
        <v>-1.7239999999999998E-2</v>
      </c>
      <c r="U13" s="934"/>
      <c r="V13" s="822">
        <f>SUM(S13:U13)</f>
        <v>-4.8430000000000001E-2</v>
      </c>
      <c r="W13" s="824">
        <f>R13+V13+SUM(F13:I13)</f>
        <v>1.2272499999999997</v>
      </c>
      <c r="X13" s="1254"/>
      <c r="Y13" s="952">
        <f>ROUND(R13*(HLOOKUP(C13,'Rate Spread Proposal'!$E$98:$AA$103,6,FALSE)),5)</f>
        <v>6.2010000000000003E-2</v>
      </c>
      <c r="Z13" s="934">
        <f>'Allocation = % of Margin'!X14</f>
        <v>-8.8000000000000003E-4</v>
      </c>
      <c r="AA13" s="230">
        <f>SUM(Y13:Z13)</f>
        <v>6.1130000000000004E-2</v>
      </c>
      <c r="AB13" s="998">
        <f>W13+AA13-S13-T13</f>
        <v>1.3368099999999996</v>
      </c>
      <c r="AC13" s="226"/>
      <c r="AD13" s="224">
        <f>'WA Volumes &amp; Revenues'!O15</f>
        <v>5.5</v>
      </c>
      <c r="AE13" s="225">
        <f>'WA Volumes &amp; Revenues'!N15</f>
        <v>5.5</v>
      </c>
      <c r="AF13" s="228"/>
      <c r="AG13" s="226"/>
      <c r="AH13" s="228"/>
      <c r="AI13" s="227"/>
      <c r="AJ13" s="226"/>
    </row>
    <row r="14" spans="1:36" x14ac:dyDescent="0.25">
      <c r="A14" s="133">
        <f t="shared" si="0"/>
        <v>8</v>
      </c>
      <c r="B14" s="1508" t="s">
        <v>282</v>
      </c>
      <c r="C14" s="1508" t="s">
        <v>450</v>
      </c>
      <c r="D14" s="1508" t="s">
        <v>283</v>
      </c>
      <c r="E14" s="218">
        <v>0.73148999999999997</v>
      </c>
      <c r="F14" s="220">
        <f>F13</f>
        <v>0.26333000000000001</v>
      </c>
      <c r="G14" s="220"/>
      <c r="H14" s="220">
        <f>H13</f>
        <v>0.10141</v>
      </c>
      <c r="I14" s="219">
        <v>9.3060000000000004E-2</v>
      </c>
      <c r="J14" s="221">
        <f t="shared" si="1"/>
        <v>1.18929</v>
      </c>
      <c r="K14" s="226"/>
      <c r="L14" s="1507">
        <f>ROUND(E14*(HLOOKUP(C14,'Rate Spread Proposal'!$E$71:$AA$76,6,FALSE)),5)</f>
        <v>0.10997</v>
      </c>
      <c r="M14" s="226"/>
      <c r="N14" s="223">
        <f t="shared" ref="N14:N77" si="2">(J14-F14-G14-H14)-I14</f>
        <v>0.73148999999999986</v>
      </c>
      <c r="O14" s="602">
        <f t="shared" ref="O14:O77" si="3">N14+L14</f>
        <v>0.84145999999999987</v>
      </c>
      <c r="P14" s="1160">
        <f>'Allocation = % of Margin'!U15</f>
        <v>-7.5599999999999999E-3</v>
      </c>
      <c r="Q14" s="935"/>
      <c r="R14" s="812">
        <f t="shared" ref="R14:R44" si="4">SUM(O14:Q14)</f>
        <v>0.83389999999999986</v>
      </c>
      <c r="S14" s="1161">
        <f>'Allocation = % of Margin'!O15</f>
        <v>-2.5940000000000001E-2</v>
      </c>
      <c r="T14" s="1160">
        <f>'Allocation = % of Margin'!R15</f>
        <v>-1.4330000000000001E-2</v>
      </c>
      <c r="U14" s="934"/>
      <c r="V14" s="822">
        <f t="shared" ref="V14:V44" si="5">SUM(S14:U14)</f>
        <v>-4.027E-2</v>
      </c>
      <c r="W14" s="824">
        <f t="shared" ref="W14:W77" si="6">R14+V14+SUM(F14:I14)</f>
        <v>1.2514299999999998</v>
      </c>
      <c r="X14" s="1254"/>
      <c r="Y14" s="959">
        <f>ROUND(R14*(HLOOKUP(C14,'Rate Spread Proposal'!$E$98:$AA$103,6,FALSE)),5)</f>
        <v>5.1569999999999998E-2</v>
      </c>
      <c r="Z14" s="934">
        <f>'Allocation = % of Margin'!X15</f>
        <v>-7.2999999999999996E-4</v>
      </c>
      <c r="AA14" s="602">
        <f t="shared" ref="AA14:AA77" si="7">SUM(Y14:Z14)</f>
        <v>5.0839999999999996E-2</v>
      </c>
      <c r="AB14" s="998">
        <f t="shared" ref="AB14:AB77" si="8">W14+AA14-S14-T14</f>
        <v>1.3425399999999998</v>
      </c>
      <c r="AC14" s="226"/>
      <c r="AD14" s="224">
        <f>'WA Volumes &amp; Revenues'!O16</f>
        <v>7</v>
      </c>
      <c r="AE14" s="225">
        <f>'WA Volumes &amp; Revenues'!N16</f>
        <v>7</v>
      </c>
      <c r="AF14" s="228"/>
      <c r="AG14" s="226"/>
      <c r="AH14" s="228"/>
      <c r="AI14" s="227"/>
      <c r="AJ14" s="226"/>
    </row>
    <row r="15" spans="1:36" x14ac:dyDescent="0.25">
      <c r="A15" s="133">
        <f t="shared" si="0"/>
        <v>9</v>
      </c>
      <c r="B15" s="1508" t="s">
        <v>12</v>
      </c>
      <c r="C15" s="1508" t="s">
        <v>451</v>
      </c>
      <c r="D15" s="1508" t="s">
        <v>283</v>
      </c>
      <c r="E15" s="218">
        <v>0.45815999999999979</v>
      </c>
      <c r="F15" s="220">
        <f t="shared" ref="F15:F20" si="9">+$F$13</f>
        <v>0.26333000000000001</v>
      </c>
      <c r="G15" s="220"/>
      <c r="H15" s="220">
        <f>H14</f>
        <v>0.10141</v>
      </c>
      <c r="I15" s="219">
        <v>6.6579999999999986E-2</v>
      </c>
      <c r="J15" s="221">
        <f t="shared" si="1"/>
        <v>0.88947999999999972</v>
      </c>
      <c r="K15" s="226"/>
      <c r="L15" s="1507">
        <f>ROUND(E15*(HLOOKUP(C15,'Rate Spread Proposal'!$E$71:$AA$76,6,FALSE)),5)</f>
        <v>8.3699999999999997E-2</v>
      </c>
      <c r="M15" s="226"/>
      <c r="N15" s="223">
        <f t="shared" si="2"/>
        <v>0.45815999999999979</v>
      </c>
      <c r="O15" s="602">
        <f t="shared" si="3"/>
        <v>0.54185999999999979</v>
      </c>
      <c r="P15" s="1160">
        <f>'Allocation = % of Margin'!U16</f>
        <v>-5.7600000000000004E-3</v>
      </c>
      <c r="Q15" s="935"/>
      <c r="R15" s="812">
        <f t="shared" si="4"/>
        <v>0.5360999999999998</v>
      </c>
      <c r="S15" s="1161">
        <f>'Allocation = % of Margin'!O16</f>
        <v>-1.9740000000000001E-2</v>
      </c>
      <c r="T15" s="1160">
        <f>'Allocation = % of Margin'!R16</f>
        <v>-1.091E-2</v>
      </c>
      <c r="U15" s="934"/>
      <c r="V15" s="822">
        <f t="shared" si="5"/>
        <v>-3.065E-2</v>
      </c>
      <c r="W15" s="824">
        <f t="shared" si="6"/>
        <v>0.93676999999999988</v>
      </c>
      <c r="X15" s="1254"/>
      <c r="Y15" s="952">
        <f>ROUND(R15*(HLOOKUP(C15,'Rate Spread Proposal'!$E$98:$AA$103,6,FALSE)),5)</f>
        <v>3.925E-2</v>
      </c>
      <c r="Z15" s="934">
        <f>'Allocation = % of Margin'!X16</f>
        <v>-5.5000000000000003E-4</v>
      </c>
      <c r="AA15" s="230">
        <f t="shared" si="7"/>
        <v>3.8699999999999998E-2</v>
      </c>
      <c r="AB15" s="998">
        <f t="shared" si="8"/>
        <v>1.0061199999999999</v>
      </c>
      <c r="AC15" s="226"/>
      <c r="AD15" s="224">
        <f>'WA Volumes &amp; Revenues'!O17</f>
        <v>8</v>
      </c>
      <c r="AE15" s="225">
        <f>'WA Volumes &amp; Revenues'!N17</f>
        <v>8</v>
      </c>
      <c r="AF15" s="228"/>
      <c r="AG15" s="226"/>
      <c r="AH15" s="228"/>
      <c r="AI15" s="227"/>
      <c r="AJ15" s="226"/>
    </row>
    <row r="16" spans="1:36" x14ac:dyDescent="0.25">
      <c r="A16" s="133">
        <f t="shared" si="0"/>
        <v>10</v>
      </c>
      <c r="B16" s="1508" t="s">
        <v>10</v>
      </c>
      <c r="C16" s="1508" t="s">
        <v>452</v>
      </c>
      <c r="D16" s="1508" t="s">
        <v>283</v>
      </c>
      <c r="E16" s="218">
        <v>0.44368000000000019</v>
      </c>
      <c r="F16" s="220">
        <f t="shared" si="9"/>
        <v>0.26333000000000001</v>
      </c>
      <c r="G16" s="220"/>
      <c r="H16" s="220">
        <f>H15</f>
        <v>0.10141</v>
      </c>
      <c r="I16" s="219">
        <v>5.8480000000000004E-2</v>
      </c>
      <c r="J16" s="221">
        <f t="shared" si="1"/>
        <v>0.86690000000000011</v>
      </c>
      <c r="K16" s="226"/>
      <c r="L16" s="1507">
        <f>ROUND(E16*(HLOOKUP(C16,'Rate Spread Proposal'!$E$71:$AA$76,6,FALSE)),5)</f>
        <v>7.5149999999999995E-2</v>
      </c>
      <c r="M16" s="226"/>
      <c r="N16" s="223">
        <f t="shared" si="2"/>
        <v>0.44368000000000019</v>
      </c>
      <c r="O16" s="223">
        <f t="shared" si="3"/>
        <v>0.51883000000000012</v>
      </c>
      <c r="P16" s="220">
        <f>'Allocation = % of Margin'!U17</f>
        <v>-5.1700000000000001E-3</v>
      </c>
      <c r="Q16" s="937"/>
      <c r="R16" s="812">
        <f t="shared" si="4"/>
        <v>0.51366000000000012</v>
      </c>
      <c r="S16" s="1162">
        <f>'Allocation = % of Margin'!O17</f>
        <v>-1.7729999999999999E-2</v>
      </c>
      <c r="T16" s="220">
        <f>'Allocation = % of Margin'!R17</f>
        <v>-9.7999999999999997E-3</v>
      </c>
      <c r="U16" s="936"/>
      <c r="V16" s="825">
        <f t="shared" si="5"/>
        <v>-2.7529999999999999E-2</v>
      </c>
      <c r="W16" s="824">
        <f t="shared" si="6"/>
        <v>0.9093500000000001</v>
      </c>
      <c r="X16" s="1254"/>
      <c r="Y16" s="959">
        <f>ROUND(R16*(HLOOKUP(C16,'Rate Spread Proposal'!$E$98:$AA$103,6,FALSE)),5)</f>
        <v>3.524E-2</v>
      </c>
      <c r="Z16" s="936">
        <f>'Allocation = % of Margin'!X17</f>
        <v>-5.0000000000000001E-4</v>
      </c>
      <c r="AA16" s="602">
        <f t="shared" si="7"/>
        <v>3.474E-2</v>
      </c>
      <c r="AB16" s="998">
        <f t="shared" si="8"/>
        <v>0.97162000000000015</v>
      </c>
      <c r="AC16" s="226"/>
      <c r="AD16" s="224">
        <f>'WA Volumes &amp; Revenues'!O18</f>
        <v>22</v>
      </c>
      <c r="AE16" s="225">
        <f>'WA Volumes &amp; Revenues'!N18</f>
        <v>22</v>
      </c>
      <c r="AF16" s="228"/>
      <c r="AG16" s="226"/>
      <c r="AH16" s="228"/>
      <c r="AI16" s="227"/>
      <c r="AJ16" s="226"/>
    </row>
    <row r="17" spans="1:36" x14ac:dyDescent="0.25">
      <c r="A17" s="133">
        <f t="shared" si="0"/>
        <v>11</v>
      </c>
      <c r="B17" s="1508" t="s">
        <v>11</v>
      </c>
      <c r="C17" s="1508" t="s">
        <v>453</v>
      </c>
      <c r="D17" s="1508" t="s">
        <v>283</v>
      </c>
      <c r="E17" s="218">
        <v>0.46249000000000001</v>
      </c>
      <c r="F17" s="220">
        <f t="shared" si="9"/>
        <v>0.26333000000000001</v>
      </c>
      <c r="G17" s="220"/>
      <c r="H17" s="220">
        <f>H16</f>
        <v>0.10141</v>
      </c>
      <c r="I17" s="219">
        <v>-8.9999999999999802E-5</v>
      </c>
      <c r="J17" s="221">
        <f t="shared" si="1"/>
        <v>0.82713999999999999</v>
      </c>
      <c r="K17" s="226"/>
      <c r="L17" s="1507">
        <f>ROUND(E17*(HLOOKUP(C17,'Rate Spread Proposal'!$E$71:$AA$76,6,FALSE)),5)</f>
        <v>6.8080000000000002E-2</v>
      </c>
      <c r="M17" s="226"/>
      <c r="N17" s="223">
        <f t="shared" si="2"/>
        <v>0.4624899999999999</v>
      </c>
      <c r="O17" s="223">
        <f t="shared" si="3"/>
        <v>0.53056999999999988</v>
      </c>
      <c r="P17" s="220">
        <f>'Allocation = % of Margin'!U18</f>
        <v>-4.6899999999999997E-3</v>
      </c>
      <c r="Q17" s="937"/>
      <c r="R17" s="812">
        <f t="shared" si="4"/>
        <v>0.5258799999999999</v>
      </c>
      <c r="S17" s="1162">
        <f>'Allocation = % of Margin'!O18</f>
        <v>0</v>
      </c>
      <c r="T17" s="220">
        <f>'Allocation = % of Margin'!R18</f>
        <v>-8.8699999999999994E-3</v>
      </c>
      <c r="U17" s="936"/>
      <c r="V17" s="825">
        <f t="shared" si="5"/>
        <v>-8.8699999999999994E-3</v>
      </c>
      <c r="W17" s="824">
        <f t="shared" si="6"/>
        <v>0.88165999999999989</v>
      </c>
      <c r="X17" s="1254"/>
      <c r="Y17" s="959">
        <f>ROUND(R17*(HLOOKUP(C17,'Rate Spread Proposal'!$E$98:$AA$103,6,FALSE)),5)</f>
        <v>3.1919999999999997E-2</v>
      </c>
      <c r="Z17" s="936">
        <f>'Allocation = % of Margin'!X18</f>
        <v>-4.4999999999999999E-4</v>
      </c>
      <c r="AA17" s="602">
        <f t="shared" si="7"/>
        <v>3.1469999999999998E-2</v>
      </c>
      <c r="AB17" s="998">
        <f t="shared" si="8"/>
        <v>0.92199999999999993</v>
      </c>
      <c r="AC17" s="226"/>
      <c r="AD17" s="224">
        <f>'WA Volumes &amp; Revenues'!O19</f>
        <v>22</v>
      </c>
      <c r="AE17" s="225">
        <f>'WA Volumes &amp; Revenues'!N19</f>
        <v>22</v>
      </c>
      <c r="AF17" s="228"/>
      <c r="AG17" s="226"/>
      <c r="AH17" s="228"/>
      <c r="AI17" s="227"/>
      <c r="AJ17" s="226"/>
    </row>
    <row r="18" spans="1:36" x14ac:dyDescent="0.25">
      <c r="A18" s="133">
        <f t="shared" si="0"/>
        <v>12</v>
      </c>
      <c r="B18" s="1509" t="s">
        <v>470</v>
      </c>
      <c r="C18" s="1509" t="s">
        <v>470</v>
      </c>
      <c r="D18" s="1509" t="s">
        <v>283</v>
      </c>
      <c r="E18" s="218">
        <v>0.24087999999999973</v>
      </c>
      <c r="F18" s="220">
        <f t="shared" si="9"/>
        <v>0.26333000000000001</v>
      </c>
      <c r="G18" s="220"/>
      <c r="H18" s="220">
        <f>H17</f>
        <v>0.10141</v>
      </c>
      <c r="I18" s="219">
        <v>3.8710000000000001E-2</v>
      </c>
      <c r="J18" s="221">
        <f t="shared" si="1"/>
        <v>0.64432999999999974</v>
      </c>
      <c r="K18" s="226"/>
      <c r="L18" s="220">
        <f>ROUND(E18*(HLOOKUP(C18,'Rate Spread Proposal'!$E$71:$AA$76,6,FALSE)),5)</f>
        <v>5.9569999999999998E-2</v>
      </c>
      <c r="M18" s="226"/>
      <c r="N18" s="223">
        <f t="shared" si="2"/>
        <v>0.24087999999999973</v>
      </c>
      <c r="O18" s="223">
        <f t="shared" si="3"/>
        <v>0.30044999999999972</v>
      </c>
      <c r="P18" s="220">
        <f>'Allocation = % of Margin'!U19</f>
        <v>-4.1000000000000003E-3</v>
      </c>
      <c r="Q18" s="937"/>
      <c r="R18" s="812">
        <f t="shared" si="4"/>
        <v>0.29634999999999972</v>
      </c>
      <c r="S18" s="1162">
        <f>'Allocation = % of Margin'!O19</f>
        <v>-1.405E-2</v>
      </c>
      <c r="T18" s="220">
        <f>'Allocation = % of Margin'!R19</f>
        <v>-7.77E-3</v>
      </c>
      <c r="U18" s="936"/>
      <c r="V18" s="825">
        <f t="shared" si="5"/>
        <v>-2.1819999999999999E-2</v>
      </c>
      <c r="W18" s="824">
        <f t="shared" si="6"/>
        <v>0.67797999999999981</v>
      </c>
      <c r="X18" s="1254"/>
      <c r="Y18" s="959">
        <f>ROUND(R18*(HLOOKUP(C18,'Rate Spread Proposal'!$E$98:$AA$103,6,FALSE)),5)</f>
        <v>2.793E-2</v>
      </c>
      <c r="Z18" s="936">
        <f>'Allocation = % of Margin'!X19</f>
        <v>-3.8999999999999999E-4</v>
      </c>
      <c r="AA18" s="602">
        <f t="shared" si="7"/>
        <v>2.7539999999999999E-2</v>
      </c>
      <c r="AB18" s="998">
        <f t="shared" si="8"/>
        <v>0.72733999999999988</v>
      </c>
      <c r="AC18" s="226"/>
      <c r="AD18" s="224">
        <f>'WA Volumes &amp; Revenues'!O20</f>
        <v>9</v>
      </c>
      <c r="AE18" s="225">
        <f>'WA Volumes &amp; Revenues'!N20</f>
        <v>9</v>
      </c>
      <c r="AF18" s="228"/>
      <c r="AG18" s="226"/>
      <c r="AH18" s="228"/>
      <c r="AI18" s="227"/>
      <c r="AJ18" s="226"/>
    </row>
    <row r="19" spans="1:36" x14ac:dyDescent="0.25">
      <c r="A19" s="133">
        <f t="shared" si="0"/>
        <v>13</v>
      </c>
      <c r="B19" s="86" t="s">
        <v>285</v>
      </c>
      <c r="C19" s="86" t="s">
        <v>352</v>
      </c>
      <c r="D19" s="1490" t="s">
        <v>4</v>
      </c>
      <c r="E19" s="229">
        <v>0.34474000000000016</v>
      </c>
      <c r="F19" s="226">
        <f t="shared" si="9"/>
        <v>0.26333000000000001</v>
      </c>
      <c r="G19" s="226"/>
      <c r="H19" s="226"/>
      <c r="I19" s="228">
        <v>4.3429999999999996E-2</v>
      </c>
      <c r="J19" s="227">
        <f t="shared" si="1"/>
        <v>0.65150000000000008</v>
      </c>
      <c r="K19" s="226"/>
      <c r="L19" s="226">
        <f>ROUND(E19*(HLOOKUP($C$19,'Rate Spread Proposal'!$E$71:$AA$76,6,FALSE)),5)</f>
        <v>5.9679999999999997E-2</v>
      </c>
      <c r="M19" s="226"/>
      <c r="N19" s="230">
        <f t="shared" si="2"/>
        <v>0.34474000000000005</v>
      </c>
      <c r="O19" s="230">
        <f t="shared" si="3"/>
        <v>0.40442000000000006</v>
      </c>
      <c r="P19" s="226">
        <f>'Allocation = % of Margin'!U20</f>
        <v>-4.1099999999999999E-3</v>
      </c>
      <c r="Q19" s="939"/>
      <c r="R19" s="813">
        <f t="shared" si="4"/>
        <v>0.40031000000000005</v>
      </c>
      <c r="S19" s="1163">
        <f>'Allocation = % of Margin'!O20</f>
        <v>-1.4080000000000001E-2</v>
      </c>
      <c r="T19" s="226">
        <f>'Allocation = % of Margin'!R20</f>
        <v>-7.7799999999999996E-3</v>
      </c>
      <c r="U19" s="938"/>
      <c r="V19" s="826">
        <f t="shared" si="5"/>
        <v>-2.1860000000000001E-2</v>
      </c>
      <c r="W19" s="827">
        <f t="shared" si="6"/>
        <v>0.6852100000000001</v>
      </c>
      <c r="X19" s="1254"/>
      <c r="Y19" s="960">
        <f>ROUND(R19*(HLOOKUP($C$19,'Rate Spread Proposal'!$E$98:$AA$103,6,FALSE)),5)</f>
        <v>2.7990000000000001E-2</v>
      </c>
      <c r="Z19" s="938">
        <f>'Allocation = % of Margin'!X20</f>
        <v>-4.0000000000000002E-4</v>
      </c>
      <c r="AA19" s="1459">
        <f t="shared" si="7"/>
        <v>2.759E-2</v>
      </c>
      <c r="AB19" s="1461">
        <f t="shared" si="8"/>
        <v>0.73466000000000009</v>
      </c>
      <c r="AC19" s="226"/>
      <c r="AD19" s="224">
        <f>'WA Volumes &amp; Revenues'!O21</f>
        <v>250</v>
      </c>
      <c r="AE19" s="225">
        <f>'WA Volumes &amp; Revenues'!N21</f>
        <v>250</v>
      </c>
      <c r="AF19" s="228"/>
      <c r="AG19" s="226"/>
      <c r="AH19" s="228"/>
      <c r="AI19" s="227"/>
      <c r="AJ19" s="226"/>
    </row>
    <row r="20" spans="1:36" x14ac:dyDescent="0.25">
      <c r="A20" s="133">
        <f t="shared" si="0"/>
        <v>14</v>
      </c>
      <c r="B20" s="161"/>
      <c r="C20" s="161"/>
      <c r="D20" s="1491" t="s">
        <v>5</v>
      </c>
      <c r="E20" s="218">
        <v>0.30376999999999998</v>
      </c>
      <c r="F20" s="220">
        <f t="shared" si="9"/>
        <v>0.26333000000000001</v>
      </c>
      <c r="G20" s="220"/>
      <c r="H20" s="220"/>
      <c r="I20" s="219">
        <v>3.7170000000000002E-2</v>
      </c>
      <c r="J20" s="221">
        <f t="shared" si="1"/>
        <v>0.60426999999999997</v>
      </c>
      <c r="K20" s="226"/>
      <c r="L20" s="220">
        <f>ROUND(E20*(HLOOKUP($C$19,'Rate Spread Proposal'!$E$71:$AA$76,6,FALSE)),5)</f>
        <v>5.2589999999999998E-2</v>
      </c>
      <c r="M20" s="226"/>
      <c r="N20" s="223">
        <f t="shared" si="2"/>
        <v>0.30376999999999998</v>
      </c>
      <c r="O20" s="223">
        <f t="shared" si="3"/>
        <v>0.35636000000000001</v>
      </c>
      <c r="P20" s="220">
        <f>'Allocation = % of Margin'!U21</f>
        <v>-3.62E-3</v>
      </c>
      <c r="Q20" s="937"/>
      <c r="R20" s="812">
        <f t="shared" si="4"/>
        <v>0.35274</v>
      </c>
      <c r="S20" s="1162">
        <f>'Allocation = % of Margin'!O21</f>
        <v>-1.24E-2</v>
      </c>
      <c r="T20" s="220">
        <f>'Allocation = % of Margin'!R21</f>
        <v>-6.8599999999999998E-3</v>
      </c>
      <c r="U20" s="936"/>
      <c r="V20" s="825">
        <f t="shared" si="5"/>
        <v>-1.9259999999999999E-2</v>
      </c>
      <c r="W20" s="824">
        <f t="shared" si="6"/>
        <v>0.63397999999999999</v>
      </c>
      <c r="X20" s="1254"/>
      <c r="Y20" s="961">
        <f>ROUND(R20*(HLOOKUP($C$19,'Rate Spread Proposal'!$E$98:$AA$103,6,FALSE)),5)</f>
        <v>2.4660000000000001E-2</v>
      </c>
      <c r="Z20" s="936">
        <f>'Allocation = % of Margin'!X21</f>
        <v>-3.5E-4</v>
      </c>
      <c r="AA20" s="223">
        <f t="shared" si="7"/>
        <v>2.4310000000000002E-2</v>
      </c>
      <c r="AB20" s="998">
        <f t="shared" si="8"/>
        <v>0.67754999999999999</v>
      </c>
      <c r="AC20" s="226"/>
      <c r="AD20" s="224"/>
      <c r="AE20" s="225"/>
      <c r="AF20" s="228"/>
      <c r="AG20" s="226"/>
      <c r="AH20" s="228"/>
      <c r="AI20" s="227"/>
      <c r="AJ20" s="226"/>
    </row>
    <row r="21" spans="1:36" x14ac:dyDescent="0.25">
      <c r="A21" s="133">
        <f t="shared" si="0"/>
        <v>15</v>
      </c>
      <c r="B21" s="86" t="s">
        <v>293</v>
      </c>
      <c r="C21" s="86" t="s">
        <v>353</v>
      </c>
      <c r="D21" s="1490" t="s">
        <v>4</v>
      </c>
      <c r="E21" s="229">
        <v>0.34416000000000024</v>
      </c>
      <c r="F21" s="226">
        <f>F19</f>
        <v>0.26333000000000001</v>
      </c>
      <c r="G21" s="226"/>
      <c r="H21" s="226"/>
      <c r="I21" s="228">
        <v>-1.7200000000000002E-3</v>
      </c>
      <c r="J21" s="227">
        <f t="shared" si="1"/>
        <v>0.60577000000000025</v>
      </c>
      <c r="K21" s="226"/>
      <c r="L21" s="226">
        <f>ROUND(E21*(HLOOKUP($C$21,'Rate Spread Proposal'!$E$71:$AA$76,6,FALSE)),5)</f>
        <v>5.6809999999999999E-2</v>
      </c>
      <c r="M21" s="226"/>
      <c r="N21" s="230">
        <f>(J21-F21-G21-H21)-I21</f>
        <v>0.34416000000000024</v>
      </c>
      <c r="O21" s="230">
        <f t="shared" si="3"/>
        <v>0.40097000000000027</v>
      </c>
      <c r="P21" s="226">
        <f>'Allocation = % of Margin'!U22</f>
        <v>-3.9100000000000003E-3</v>
      </c>
      <c r="Q21" s="939"/>
      <c r="R21" s="813">
        <f t="shared" si="4"/>
        <v>0.39706000000000025</v>
      </c>
      <c r="S21" s="1163">
        <f>'Allocation = % of Margin'!O22</f>
        <v>0</v>
      </c>
      <c r="T21" s="226">
        <f>'Allocation = % of Margin'!R22</f>
        <v>-7.4000000000000003E-3</v>
      </c>
      <c r="U21" s="938"/>
      <c r="V21" s="826">
        <f t="shared" si="5"/>
        <v>-7.4000000000000003E-3</v>
      </c>
      <c r="W21" s="827">
        <f t="shared" si="6"/>
        <v>0.65127000000000024</v>
      </c>
      <c r="X21" s="1254"/>
      <c r="Y21" s="960">
        <f>ROUND(R21*(HLOOKUP($C$21,'Rate Spread Proposal'!$E$98:$AA$103,6,FALSE)),5)</f>
        <v>2.664E-2</v>
      </c>
      <c r="Z21" s="938">
        <f>'Allocation = % of Margin'!X22</f>
        <v>-3.8000000000000002E-4</v>
      </c>
      <c r="AA21" s="1459">
        <f t="shared" si="7"/>
        <v>2.6260000000000002E-2</v>
      </c>
      <c r="AB21" s="1461">
        <f t="shared" si="8"/>
        <v>0.68493000000000015</v>
      </c>
      <c r="AC21" s="226"/>
      <c r="AD21" s="224">
        <f>'WA Volumes &amp; Revenues'!O23</f>
        <v>250</v>
      </c>
      <c r="AE21" s="225">
        <f>'WA Volumes &amp; Revenues'!N23</f>
        <v>250</v>
      </c>
      <c r="AF21" s="228"/>
      <c r="AG21" s="226"/>
      <c r="AH21" s="228"/>
      <c r="AI21" s="227"/>
      <c r="AJ21" s="226"/>
    </row>
    <row r="22" spans="1:36" x14ac:dyDescent="0.25">
      <c r="A22" s="133">
        <f t="shared" si="0"/>
        <v>16</v>
      </c>
      <c r="B22" s="161"/>
      <c r="C22" s="161"/>
      <c r="D22" s="1491" t="s">
        <v>5</v>
      </c>
      <c r="E22" s="218">
        <v>0.30325000000000002</v>
      </c>
      <c r="F22" s="220">
        <f>F20</f>
        <v>0.26333000000000001</v>
      </c>
      <c r="G22" s="220"/>
      <c r="H22" s="220"/>
      <c r="I22" s="219">
        <v>-2.6199999999999999E-3</v>
      </c>
      <c r="J22" s="221">
        <f t="shared" si="1"/>
        <v>0.56396000000000013</v>
      </c>
      <c r="K22" s="226"/>
      <c r="L22" s="220">
        <f>ROUND(E22*(HLOOKUP($C$21,'Rate Spread Proposal'!$E$71:$AA$76,6,FALSE)),5)</f>
        <v>5.0049999999999997E-2</v>
      </c>
      <c r="M22" s="226"/>
      <c r="N22" s="223">
        <f t="shared" si="2"/>
        <v>0.30325000000000013</v>
      </c>
      <c r="O22" s="223">
        <f t="shared" si="3"/>
        <v>0.35330000000000011</v>
      </c>
      <c r="P22" s="220">
        <f>'Allocation = % of Margin'!U23</f>
        <v>-3.4399999999999999E-3</v>
      </c>
      <c r="Q22" s="937"/>
      <c r="R22" s="812">
        <f t="shared" si="4"/>
        <v>0.34986000000000012</v>
      </c>
      <c r="S22" s="1162">
        <f>'Allocation = % of Margin'!O23</f>
        <v>0</v>
      </c>
      <c r="T22" s="220">
        <f>'Allocation = % of Margin'!R23</f>
        <v>-6.5199999999999998E-3</v>
      </c>
      <c r="U22" s="936"/>
      <c r="V22" s="825">
        <f t="shared" si="5"/>
        <v>-6.5199999999999998E-3</v>
      </c>
      <c r="W22" s="824">
        <f t="shared" si="6"/>
        <v>0.60405000000000009</v>
      </c>
      <c r="X22" s="1254"/>
      <c r="Y22" s="961">
        <f>ROUND(R22*(HLOOKUP($C$21,'Rate Spread Proposal'!$E$98:$AA$103,6,FALSE)),5)</f>
        <v>2.3470000000000001E-2</v>
      </c>
      <c r="Z22" s="936">
        <f>'Allocation = % of Margin'!X23</f>
        <v>-3.3E-4</v>
      </c>
      <c r="AA22" s="223">
        <f t="shared" si="7"/>
        <v>2.3140000000000001E-2</v>
      </c>
      <c r="AB22" s="998">
        <f t="shared" si="8"/>
        <v>0.63371000000000011</v>
      </c>
      <c r="AC22" s="226"/>
      <c r="AD22" s="224"/>
      <c r="AE22" s="225"/>
      <c r="AF22" s="228"/>
      <c r="AG22" s="226"/>
      <c r="AH22" s="228"/>
      <c r="AI22" s="227"/>
      <c r="AJ22" s="226"/>
    </row>
    <row r="23" spans="1:36" x14ac:dyDescent="0.25">
      <c r="A23" s="133">
        <f t="shared" si="0"/>
        <v>17</v>
      </c>
      <c r="B23" s="86" t="s">
        <v>287</v>
      </c>
      <c r="C23" s="86" t="s">
        <v>355</v>
      </c>
      <c r="D23" s="1490" t="s">
        <v>4</v>
      </c>
      <c r="E23" s="229">
        <v>0.34372999999999987</v>
      </c>
      <c r="F23" s="226">
        <f t="shared" ref="F23:F42" si="10">+$F$13</f>
        <v>0.26333000000000001</v>
      </c>
      <c r="G23" s="226"/>
      <c r="H23" s="226"/>
      <c r="I23" s="228">
        <v>5.3189999999999994E-2</v>
      </c>
      <c r="J23" s="227">
        <f t="shared" si="1"/>
        <v>0.66024999999999989</v>
      </c>
      <c r="K23" s="226"/>
      <c r="L23" s="226">
        <f>ROUND(E23*(HLOOKUP($C$23,'Rate Spread Proposal'!$E$71:$AA$76,6,FALSE)),5)</f>
        <v>4.3560000000000001E-2</v>
      </c>
      <c r="M23" s="226"/>
      <c r="N23" s="230">
        <f t="shared" si="2"/>
        <v>0.34372999999999987</v>
      </c>
      <c r="O23" s="230">
        <f t="shared" si="3"/>
        <v>0.38728999999999986</v>
      </c>
      <c r="P23" s="226">
        <f>'Allocation = % of Margin'!U24</f>
        <v>-3.2200000000000002E-3</v>
      </c>
      <c r="Q23" s="939"/>
      <c r="R23" s="813">
        <f t="shared" si="4"/>
        <v>0.38406999999999986</v>
      </c>
      <c r="S23" s="1163">
        <f>'Allocation = % of Margin'!O24</f>
        <v>-1.404E-2</v>
      </c>
      <c r="T23" s="226">
        <f>'Allocation = % of Margin'!R24</f>
        <v>-6.1000000000000004E-3</v>
      </c>
      <c r="U23" s="938"/>
      <c r="V23" s="826">
        <f t="shared" si="5"/>
        <v>-2.0140000000000002E-2</v>
      </c>
      <c r="W23" s="827">
        <f t="shared" si="6"/>
        <v>0.68044999999999989</v>
      </c>
      <c r="X23" s="1254"/>
      <c r="Y23" s="960">
        <f>ROUND(R23*(HLOOKUP($C$23,'Rate Spread Proposal'!$E$98:$AA$103,6,FALSE)),5)</f>
        <v>2.1749999999999999E-2</v>
      </c>
      <c r="Z23" s="938">
        <f>'Allocation = % of Margin'!X24</f>
        <v>-3.1E-4</v>
      </c>
      <c r="AA23" s="1459">
        <f t="shared" si="7"/>
        <v>2.1439999999999997E-2</v>
      </c>
      <c r="AB23" s="1461">
        <f t="shared" si="8"/>
        <v>0.72202999999999995</v>
      </c>
      <c r="AC23" s="226"/>
      <c r="AD23" s="224">
        <f>'WA Volumes &amp; Revenues'!O25</f>
        <v>250</v>
      </c>
      <c r="AE23" s="225">
        <f>'WA Volumes &amp; Revenues'!N25</f>
        <v>250</v>
      </c>
      <c r="AF23" s="228"/>
      <c r="AG23" s="226"/>
      <c r="AH23" s="228"/>
      <c r="AI23" s="227"/>
      <c r="AJ23" s="226"/>
    </row>
    <row r="24" spans="1:36" x14ac:dyDescent="0.25">
      <c r="A24" s="133">
        <f t="shared" si="0"/>
        <v>18</v>
      </c>
      <c r="B24" s="161"/>
      <c r="C24" s="161"/>
      <c r="D24" s="1491" t="s">
        <v>5</v>
      </c>
      <c r="E24" s="218">
        <v>0.30284999999999984</v>
      </c>
      <c r="F24" s="220">
        <f t="shared" si="10"/>
        <v>0.26333000000000001</v>
      </c>
      <c r="G24" s="220"/>
      <c r="H24" s="220"/>
      <c r="I24" s="219">
        <v>4.6990000000000004E-2</v>
      </c>
      <c r="J24" s="221">
        <f t="shared" si="1"/>
        <v>0.61316999999999988</v>
      </c>
      <c r="K24" s="226"/>
      <c r="L24" s="220">
        <f>ROUND(E24*(HLOOKUP($C$23,'Rate Spread Proposal'!$E$71:$AA$76,6,FALSE)),5)</f>
        <v>3.8379999999999997E-2</v>
      </c>
      <c r="M24" s="226"/>
      <c r="N24" s="223">
        <f t="shared" si="2"/>
        <v>0.30284999999999984</v>
      </c>
      <c r="O24" s="223">
        <f t="shared" si="3"/>
        <v>0.34122999999999981</v>
      </c>
      <c r="P24" s="220">
        <f>'Allocation = % of Margin'!U25</f>
        <v>-2.8400000000000001E-3</v>
      </c>
      <c r="Q24" s="937"/>
      <c r="R24" s="812">
        <f t="shared" si="4"/>
        <v>0.3383899999999998</v>
      </c>
      <c r="S24" s="1162">
        <f>'Allocation = % of Margin'!O25</f>
        <v>-1.2370000000000001E-2</v>
      </c>
      <c r="T24" s="220">
        <f>'Allocation = % of Margin'!R25</f>
        <v>-5.3699999999999998E-3</v>
      </c>
      <c r="U24" s="936"/>
      <c r="V24" s="825">
        <f t="shared" si="5"/>
        <v>-1.7739999999999999E-2</v>
      </c>
      <c r="W24" s="824">
        <f t="shared" si="6"/>
        <v>0.63096999999999981</v>
      </c>
      <c r="X24" s="1254"/>
      <c r="Y24" s="952">
        <f>ROUND(R24*(HLOOKUP($C$23,'Rate Spread Proposal'!$E$98:$AA$103,6,FALSE)),5)</f>
        <v>1.917E-2</v>
      </c>
      <c r="Z24" s="936">
        <f>'Allocation = % of Margin'!X25</f>
        <v>-2.7E-4</v>
      </c>
      <c r="AA24" s="230">
        <f t="shared" si="7"/>
        <v>1.89E-2</v>
      </c>
      <c r="AB24" s="998">
        <f t="shared" si="8"/>
        <v>0.66760999999999981</v>
      </c>
      <c r="AC24" s="226"/>
      <c r="AD24" s="224"/>
      <c r="AE24" s="225"/>
      <c r="AF24" s="228"/>
      <c r="AG24" s="226"/>
      <c r="AH24" s="228"/>
      <c r="AI24" s="227"/>
      <c r="AJ24" s="226"/>
    </row>
    <row r="25" spans="1:36" x14ac:dyDescent="0.25">
      <c r="A25" s="133">
        <f t="shared" si="0"/>
        <v>19</v>
      </c>
      <c r="B25" s="86" t="s">
        <v>299</v>
      </c>
      <c r="C25" s="86" t="s">
        <v>356</v>
      </c>
      <c r="D25" s="1490" t="s">
        <v>4</v>
      </c>
      <c r="E25" s="229">
        <f>E23</f>
        <v>0.34372999999999987</v>
      </c>
      <c r="F25" s="226">
        <f t="shared" si="10"/>
        <v>0.26333000000000001</v>
      </c>
      <c r="G25" s="226"/>
      <c r="H25" s="226"/>
      <c r="I25" s="228">
        <v>8.7499999999999991E-3</v>
      </c>
      <c r="J25" s="227">
        <f>SUM(E25:I25)</f>
        <v>0.61580999999999997</v>
      </c>
      <c r="K25" s="226"/>
      <c r="L25" s="226">
        <f>ROUND(E25*(HLOOKUP($C$25,'Rate Spread Proposal'!$E$71:$AA$76,6,FALSE)),5)</f>
        <v>4.3560000000000001E-2</v>
      </c>
      <c r="M25" s="226"/>
      <c r="N25" s="230">
        <f>(J25-F25-G25-H25)-I25</f>
        <v>0.34372999999999998</v>
      </c>
      <c r="O25" s="230">
        <f>N25+L25</f>
        <v>0.38728999999999997</v>
      </c>
      <c r="P25" s="226">
        <f>'Allocation = % of Margin'!U26</f>
        <v>-3.2200000000000002E-3</v>
      </c>
      <c r="Q25" s="939"/>
      <c r="R25" s="813">
        <f>SUM(O25:Q25)</f>
        <v>0.38406999999999997</v>
      </c>
      <c r="S25" s="1163">
        <f>'Allocation = % of Margin'!O26</f>
        <v>0</v>
      </c>
      <c r="T25" s="226">
        <f>'Allocation = % of Margin'!R26</f>
        <v>-6.1000000000000004E-3</v>
      </c>
      <c r="U25" s="938"/>
      <c r="V25" s="826">
        <f>SUM(S25:U25)</f>
        <v>-6.1000000000000004E-3</v>
      </c>
      <c r="W25" s="827">
        <f>R25+V25+SUM(F25:I25)</f>
        <v>0.65005000000000002</v>
      </c>
      <c r="X25" s="1254"/>
      <c r="Y25" s="960">
        <f>ROUND(R25*(HLOOKUP($C$25,'Rate Spread Proposal'!$E$98:$AA$103,6,FALSE)),5)</f>
        <v>2.1749999999999999E-2</v>
      </c>
      <c r="Z25" s="938">
        <f>'Allocation = % of Margin'!X26</f>
        <v>-3.1E-4</v>
      </c>
      <c r="AA25" s="1459">
        <f>SUM(Y25:Z25)</f>
        <v>2.1439999999999997E-2</v>
      </c>
      <c r="AB25" s="1461">
        <f t="shared" si="8"/>
        <v>0.67759000000000003</v>
      </c>
      <c r="AC25" s="226"/>
      <c r="AD25" s="224">
        <f>'WA Volumes &amp; Revenues'!O27</f>
        <v>250</v>
      </c>
      <c r="AE25" s="225">
        <f>'WA Volumes &amp; Revenues'!N27</f>
        <v>250</v>
      </c>
      <c r="AF25" s="228"/>
      <c r="AG25" s="226"/>
      <c r="AH25" s="228"/>
      <c r="AI25" s="227"/>
      <c r="AJ25" s="226"/>
    </row>
    <row r="26" spans="1:36" x14ac:dyDescent="0.25">
      <c r="A26" s="133">
        <f t="shared" si="0"/>
        <v>20</v>
      </c>
      <c r="B26" s="161"/>
      <c r="C26" s="161"/>
      <c r="D26" s="1491" t="s">
        <v>5</v>
      </c>
      <c r="E26" s="218">
        <f>E24</f>
        <v>0.30284999999999984</v>
      </c>
      <c r="F26" s="220">
        <f t="shared" si="10"/>
        <v>0.26333000000000001</v>
      </c>
      <c r="G26" s="220"/>
      <c r="H26" s="220"/>
      <c r="I26" s="219">
        <v>7.8399999999999997E-3</v>
      </c>
      <c r="J26" s="221">
        <f t="shared" ref="J26:J28" si="11">SUM(E26:I26)</f>
        <v>0.57401999999999986</v>
      </c>
      <c r="K26" s="226"/>
      <c r="L26" s="220">
        <f>ROUND(E26*(HLOOKUP($C$25,'Rate Spread Proposal'!$E$71:$AA$76,6,FALSE)),5)</f>
        <v>3.8379999999999997E-2</v>
      </c>
      <c r="M26" s="226"/>
      <c r="N26" s="223">
        <f t="shared" si="2"/>
        <v>0.30284999999999984</v>
      </c>
      <c r="O26" s="223">
        <f t="shared" si="3"/>
        <v>0.34122999999999981</v>
      </c>
      <c r="P26" s="220">
        <f>'Allocation = % of Margin'!U27</f>
        <v>-2.8400000000000001E-3</v>
      </c>
      <c r="Q26" s="937"/>
      <c r="R26" s="812">
        <f t="shared" si="4"/>
        <v>0.3383899999999998</v>
      </c>
      <c r="S26" s="1162">
        <f>'Allocation = % of Margin'!O27</f>
        <v>0</v>
      </c>
      <c r="T26" s="220">
        <f>'Allocation = % of Margin'!R27</f>
        <v>-5.3699999999999998E-3</v>
      </c>
      <c r="U26" s="936"/>
      <c r="V26" s="825">
        <f t="shared" si="5"/>
        <v>-5.3699999999999998E-3</v>
      </c>
      <c r="W26" s="824">
        <f t="shared" si="6"/>
        <v>0.60418999999999978</v>
      </c>
      <c r="X26" s="1254"/>
      <c r="Y26" s="961">
        <f>ROUND(R26*(HLOOKUP($C$25,'Rate Spread Proposal'!$E$98:$AA$103,6,FALSE)),5)</f>
        <v>1.917E-2</v>
      </c>
      <c r="Z26" s="936">
        <f>'Allocation = % of Margin'!X27</f>
        <v>-2.7E-4</v>
      </c>
      <c r="AA26" s="223">
        <f t="shared" si="7"/>
        <v>1.89E-2</v>
      </c>
      <c r="AB26" s="998">
        <f t="shared" si="8"/>
        <v>0.6284599999999998</v>
      </c>
      <c r="AC26" s="226"/>
      <c r="AD26" s="224"/>
      <c r="AE26" s="225"/>
      <c r="AF26" s="228"/>
      <c r="AG26" s="226"/>
      <c r="AH26" s="228"/>
      <c r="AI26" s="227"/>
      <c r="AJ26" s="226"/>
    </row>
    <row r="27" spans="1:36" x14ac:dyDescent="0.25">
      <c r="A27" s="133">
        <f t="shared" si="0"/>
        <v>21</v>
      </c>
      <c r="B27" s="86" t="s">
        <v>306</v>
      </c>
      <c r="C27" s="86" t="s">
        <v>357</v>
      </c>
      <c r="D27" s="1490" t="s">
        <v>4</v>
      </c>
      <c r="E27" s="229">
        <v>0.34791</v>
      </c>
      <c r="F27" s="226">
        <v>0</v>
      </c>
      <c r="G27" s="226"/>
      <c r="H27" s="226"/>
      <c r="I27" s="228">
        <v>1.5499999999999999E-3</v>
      </c>
      <c r="J27" s="227">
        <f t="shared" si="11"/>
        <v>0.34945999999999999</v>
      </c>
      <c r="K27" s="226"/>
      <c r="L27" s="226">
        <f>ROUND(E27*(HLOOKUP($C$27,'Rate Spread Proposal'!$E$71:$AA$76,6,FALSE)),5)</f>
        <v>6.3149999999999998E-2</v>
      </c>
      <c r="M27" s="226"/>
      <c r="N27" s="230">
        <f t="shared" si="2"/>
        <v>0.34791</v>
      </c>
      <c r="O27" s="230">
        <f t="shared" si="3"/>
        <v>0.41105999999999998</v>
      </c>
      <c r="P27" s="226">
        <f>'Allocation = % of Margin'!U28</f>
        <v>-4.3499999999999997E-3</v>
      </c>
      <c r="Q27" s="939"/>
      <c r="R27" s="813">
        <f t="shared" si="4"/>
        <v>0.40670999999999996</v>
      </c>
      <c r="S27" s="1163">
        <f>'Allocation = % of Margin'!O28</f>
        <v>0</v>
      </c>
      <c r="T27" s="226">
        <f>'Allocation = % of Margin'!R28</f>
        <v>-8.2299999999999995E-3</v>
      </c>
      <c r="U27" s="938"/>
      <c r="V27" s="826">
        <f t="shared" si="5"/>
        <v>-8.2299999999999995E-3</v>
      </c>
      <c r="W27" s="827">
        <f t="shared" si="6"/>
        <v>0.40002999999999994</v>
      </c>
      <c r="X27" s="1254"/>
      <c r="Y27" s="960">
        <f>ROUND(R27*(HLOOKUP($C$27,'Rate Spread Proposal'!$E$98:$AA$103,6,FALSE)),5)</f>
        <v>2.9610000000000001E-2</v>
      </c>
      <c r="Z27" s="938">
        <f>'Allocation = % of Margin'!X28</f>
        <v>-4.2000000000000002E-4</v>
      </c>
      <c r="AA27" s="1459">
        <f t="shared" si="7"/>
        <v>2.9190000000000001E-2</v>
      </c>
      <c r="AB27" s="1461">
        <f t="shared" si="8"/>
        <v>0.43744999999999995</v>
      </c>
      <c r="AC27" s="226"/>
      <c r="AD27" s="224">
        <f>'WA Volumes &amp; Revenues'!O29</f>
        <v>500</v>
      </c>
      <c r="AE27" s="225">
        <f>'WA Volumes &amp; Revenues'!N29</f>
        <v>500</v>
      </c>
      <c r="AF27" s="228"/>
      <c r="AG27" s="226"/>
      <c r="AH27" s="228"/>
      <c r="AI27" s="227"/>
      <c r="AJ27" s="226"/>
    </row>
    <row r="28" spans="1:36" x14ac:dyDescent="0.25">
      <c r="A28" s="133">
        <f t="shared" si="0"/>
        <v>22</v>
      </c>
      <c r="B28" s="161"/>
      <c r="C28" s="161"/>
      <c r="D28" s="1491" t="s">
        <v>5</v>
      </c>
      <c r="E28" s="218">
        <v>0.30653000000000008</v>
      </c>
      <c r="F28" s="220">
        <v>0</v>
      </c>
      <c r="G28" s="220"/>
      <c r="H28" s="220"/>
      <c r="I28" s="219">
        <v>1.3600000000000001E-3</v>
      </c>
      <c r="J28" s="221">
        <f t="shared" si="11"/>
        <v>0.30789000000000011</v>
      </c>
      <c r="K28" s="226"/>
      <c r="L28" s="220">
        <f>ROUND(E28*(HLOOKUP($C$27,'Rate Spread Proposal'!$E$71:$AA$76,6,FALSE)),5)</f>
        <v>5.5640000000000002E-2</v>
      </c>
      <c r="M28" s="226"/>
      <c r="N28" s="223">
        <f t="shared" si="2"/>
        <v>0.30653000000000008</v>
      </c>
      <c r="O28" s="223">
        <f t="shared" si="3"/>
        <v>0.3621700000000001</v>
      </c>
      <c r="P28" s="220">
        <f>'Allocation = % of Margin'!U29</f>
        <v>-3.8300000000000001E-3</v>
      </c>
      <c r="Q28" s="937"/>
      <c r="R28" s="812">
        <f t="shared" si="4"/>
        <v>0.3583400000000001</v>
      </c>
      <c r="S28" s="1162">
        <f>'Allocation = % of Margin'!O29</f>
        <v>0</v>
      </c>
      <c r="T28" s="220">
        <f>'Allocation = % of Margin'!R29</f>
        <v>-7.2500000000000004E-3</v>
      </c>
      <c r="U28" s="936"/>
      <c r="V28" s="825">
        <f t="shared" si="5"/>
        <v>-7.2500000000000004E-3</v>
      </c>
      <c r="W28" s="824">
        <f t="shared" si="6"/>
        <v>0.35245000000000015</v>
      </c>
      <c r="X28" s="1254"/>
      <c r="Y28" s="961">
        <f>ROUND(R28*(HLOOKUP($C$27,'Rate Spread Proposal'!$E$98:$AA$103,6,FALSE)),5)</f>
        <v>2.6089999999999999E-2</v>
      </c>
      <c r="Z28" s="936">
        <f>'Allocation = % of Margin'!X29</f>
        <v>-3.6999999999999999E-4</v>
      </c>
      <c r="AA28" s="223">
        <f t="shared" si="7"/>
        <v>2.572E-2</v>
      </c>
      <c r="AB28" s="998">
        <f t="shared" si="8"/>
        <v>0.38542000000000015</v>
      </c>
      <c r="AC28" s="226"/>
      <c r="AD28" s="224"/>
      <c r="AE28" s="225"/>
      <c r="AF28" s="228"/>
      <c r="AG28" s="226"/>
      <c r="AH28" s="228"/>
      <c r="AI28" s="227"/>
      <c r="AJ28" s="226"/>
    </row>
    <row r="29" spans="1:36" x14ac:dyDescent="0.25">
      <c r="A29" s="133">
        <f t="shared" si="0"/>
        <v>23</v>
      </c>
      <c r="B29" s="86" t="s">
        <v>296</v>
      </c>
      <c r="C29" s="86" t="s">
        <v>358</v>
      </c>
      <c r="D29" s="1490" t="s">
        <v>4</v>
      </c>
      <c r="E29" s="229">
        <v>0.34791</v>
      </c>
      <c r="F29" s="226">
        <v>0</v>
      </c>
      <c r="G29" s="226"/>
      <c r="H29" s="231"/>
      <c r="I29" s="228">
        <f>I27</f>
        <v>1.5499999999999999E-3</v>
      </c>
      <c r="J29" s="227">
        <f t="shared" si="1"/>
        <v>0.34945999999999999</v>
      </c>
      <c r="K29" s="226"/>
      <c r="L29" s="226">
        <f>ROUND(E29*(HLOOKUP($C$29,'Rate Spread Proposal'!$E$71:$AA$76,6,FALSE)),5)</f>
        <v>4.4089999999999997E-2</v>
      </c>
      <c r="M29" s="226"/>
      <c r="N29" s="230">
        <f t="shared" si="2"/>
        <v>0.34791</v>
      </c>
      <c r="O29" s="230">
        <f t="shared" si="3"/>
        <v>0.39200000000000002</v>
      </c>
      <c r="P29" s="226">
        <f>'Allocation = % of Margin'!U30</f>
        <v>-3.2599999999999999E-3</v>
      </c>
      <c r="Q29" s="939"/>
      <c r="R29" s="813">
        <f t="shared" si="4"/>
        <v>0.38874000000000003</v>
      </c>
      <c r="S29" s="1163">
        <f>'Allocation = % of Margin'!O30</f>
        <v>0</v>
      </c>
      <c r="T29" s="226">
        <f>'Allocation = % of Margin'!R30</f>
        <v>-6.1700000000000001E-3</v>
      </c>
      <c r="U29" s="938"/>
      <c r="V29" s="826">
        <f t="shared" si="5"/>
        <v>-6.1700000000000001E-3</v>
      </c>
      <c r="W29" s="827">
        <f t="shared" si="6"/>
        <v>0.38412000000000002</v>
      </c>
      <c r="X29" s="1254"/>
      <c r="Y29" s="960">
        <f>ROUND(R29*(HLOOKUP($C$29,'Rate Spread Proposal'!$E$98:$AA$103,6,FALSE)),5)</f>
        <v>2.2020000000000001E-2</v>
      </c>
      <c r="Z29" s="938">
        <f>'Allocation = % of Margin'!X30</f>
        <v>-3.1E-4</v>
      </c>
      <c r="AA29" s="1459">
        <f t="shared" si="7"/>
        <v>2.171E-2</v>
      </c>
      <c r="AB29" s="1461">
        <f t="shared" si="8"/>
        <v>0.41200000000000003</v>
      </c>
      <c r="AC29" s="226"/>
      <c r="AD29" s="224">
        <f>'WA Volumes &amp; Revenues'!O31</f>
        <v>500</v>
      </c>
      <c r="AE29" s="225">
        <f>'WA Volumes &amp; Revenues'!N31</f>
        <v>500</v>
      </c>
      <c r="AF29" s="228"/>
      <c r="AG29" s="226"/>
      <c r="AH29" s="228"/>
      <c r="AI29" s="227"/>
      <c r="AJ29" s="226"/>
    </row>
    <row r="30" spans="1:36" x14ac:dyDescent="0.25">
      <c r="A30" s="133">
        <f t="shared" si="0"/>
        <v>24</v>
      </c>
      <c r="B30" s="161"/>
      <c r="C30" s="161"/>
      <c r="D30" s="1491" t="s">
        <v>5</v>
      </c>
      <c r="E30" s="218">
        <v>0.30653000000000008</v>
      </c>
      <c r="F30" s="220">
        <v>0</v>
      </c>
      <c r="G30" s="220"/>
      <c r="H30" s="220"/>
      <c r="I30" s="219">
        <f>I28</f>
        <v>1.3600000000000001E-3</v>
      </c>
      <c r="J30" s="221">
        <f t="shared" si="1"/>
        <v>0.30789000000000011</v>
      </c>
      <c r="K30" s="226"/>
      <c r="L30" s="220">
        <f>ROUND(E30*(HLOOKUP($C$29,'Rate Spread Proposal'!$E$71:$AA$76,6,FALSE)),5)</f>
        <v>3.8850000000000003E-2</v>
      </c>
      <c r="M30" s="226"/>
      <c r="N30" s="223">
        <f t="shared" si="2"/>
        <v>0.30653000000000008</v>
      </c>
      <c r="O30" s="223">
        <f t="shared" si="3"/>
        <v>0.34538000000000008</v>
      </c>
      <c r="P30" s="220">
        <f>'Allocation = % of Margin'!U31</f>
        <v>-2.8700000000000002E-3</v>
      </c>
      <c r="Q30" s="937"/>
      <c r="R30" s="812">
        <f t="shared" si="4"/>
        <v>0.34251000000000009</v>
      </c>
      <c r="S30" s="1162">
        <f>'Allocation = % of Margin'!O31</f>
        <v>0</v>
      </c>
      <c r="T30" s="220">
        <f>'Allocation = % of Margin'!R31</f>
        <v>-5.4400000000000004E-3</v>
      </c>
      <c r="U30" s="936"/>
      <c r="V30" s="825">
        <f t="shared" si="5"/>
        <v>-5.4400000000000004E-3</v>
      </c>
      <c r="W30" s="824">
        <f t="shared" si="6"/>
        <v>0.33843000000000012</v>
      </c>
      <c r="X30" s="1254"/>
      <c r="Y30" s="952">
        <f>ROUND(R30*(HLOOKUP($C$29,'Rate Spread Proposal'!$E$98:$AA$103,6,FALSE)),5)</f>
        <v>1.9400000000000001E-2</v>
      </c>
      <c r="Z30" s="936">
        <f>'Allocation = % of Margin'!X31</f>
        <v>-2.7999999999999998E-4</v>
      </c>
      <c r="AA30" s="230">
        <f t="shared" si="7"/>
        <v>1.9120000000000002E-2</v>
      </c>
      <c r="AB30" s="998">
        <f t="shared" si="8"/>
        <v>0.36299000000000015</v>
      </c>
      <c r="AC30" s="226"/>
      <c r="AD30" s="787"/>
      <c r="AE30" s="132"/>
      <c r="AF30" s="228"/>
      <c r="AG30" s="226"/>
      <c r="AH30" s="228"/>
      <c r="AI30" s="227"/>
      <c r="AJ30" s="226"/>
    </row>
    <row r="31" spans="1:36" x14ac:dyDescent="0.25">
      <c r="A31" s="133">
        <f t="shared" si="0"/>
        <v>25</v>
      </c>
      <c r="B31" s="133" t="str">
        <f>'WA Volumes &amp; Revenues'!B33</f>
        <v>42C Firm Sales</v>
      </c>
      <c r="C31" s="133" t="s">
        <v>359</v>
      </c>
      <c r="D31" s="1510" t="s">
        <v>4</v>
      </c>
      <c r="E31" s="229">
        <v>0.15245999999999996</v>
      </c>
      <c r="F31" s="226">
        <f t="shared" si="10"/>
        <v>0.26333000000000001</v>
      </c>
      <c r="G31" s="226"/>
      <c r="H31" s="226"/>
      <c r="I31" s="228">
        <v>1.9560000000000001E-2</v>
      </c>
      <c r="J31" s="227">
        <f t="shared" si="1"/>
        <v>0.43535000000000001</v>
      </c>
      <c r="K31" s="226"/>
      <c r="L31" s="226">
        <f>ROUND(E31*(HLOOKUP($C$31,'Rate Spread Proposal'!$E$71:$AA$76,6,FALSE)),5)</f>
        <v>4.4949999999999997E-2</v>
      </c>
      <c r="M31" s="226"/>
      <c r="N31" s="230">
        <f t="shared" si="2"/>
        <v>0.15246000000000001</v>
      </c>
      <c r="O31" s="230">
        <f t="shared" si="3"/>
        <v>0.19741</v>
      </c>
      <c r="P31" s="226">
        <f>'Allocation = % of Margin'!U32</f>
        <v>-3.0899999999999999E-3</v>
      </c>
      <c r="Q31" s="939"/>
      <c r="R31" s="813">
        <f t="shared" si="4"/>
        <v>0.19431999999999999</v>
      </c>
      <c r="S31" s="1163">
        <f>'Allocation = % of Margin'!O32</f>
        <v>-1.06E-2</v>
      </c>
      <c r="T31" s="226">
        <f>'Allocation = % of Margin'!R32</f>
        <v>-5.8599999999999998E-3</v>
      </c>
      <c r="U31" s="938"/>
      <c r="V31" s="826">
        <f t="shared" si="5"/>
        <v>-1.6459999999999999E-2</v>
      </c>
      <c r="W31" s="827">
        <f t="shared" si="6"/>
        <v>0.46074999999999999</v>
      </c>
      <c r="X31" s="1254"/>
      <c r="Y31" s="960">
        <f>ROUND(R31*(HLOOKUP($C$31,'Rate Spread Proposal'!$E$98:$AA$103,6,FALSE)),5)</f>
        <v>2.1080000000000002E-2</v>
      </c>
      <c r="Z31" s="938">
        <f>'Allocation = % of Margin'!X32</f>
        <v>-2.9999999999999997E-4</v>
      </c>
      <c r="AA31" s="1459">
        <f t="shared" si="7"/>
        <v>2.078E-2</v>
      </c>
      <c r="AB31" s="1461">
        <f t="shared" si="8"/>
        <v>0.49798999999999999</v>
      </c>
      <c r="AC31" s="226"/>
      <c r="AD31" s="224">
        <f>'WA Volumes &amp; Revenues'!O33</f>
        <v>1300</v>
      </c>
      <c r="AE31" s="225">
        <f>'WA Volumes &amp; Revenues'!N33</f>
        <v>1300</v>
      </c>
      <c r="AF31" s="228">
        <v>0.15748000000000001</v>
      </c>
      <c r="AG31" s="228">
        <v>0.15748000000000001</v>
      </c>
      <c r="AH31" s="228">
        <v>0.20415</v>
      </c>
      <c r="AI31" s="790">
        <v>0.20415</v>
      </c>
      <c r="AJ31" s="226"/>
    </row>
    <row r="32" spans="1:36" x14ac:dyDescent="0.25">
      <c r="A32" s="133">
        <f t="shared" si="0"/>
        <v>26</v>
      </c>
      <c r="B32" s="1511"/>
      <c r="C32" s="1511"/>
      <c r="D32" s="1510" t="s">
        <v>5</v>
      </c>
      <c r="E32" s="229">
        <v>0.1364699999999997</v>
      </c>
      <c r="F32" s="226">
        <f t="shared" si="10"/>
        <v>0.26333000000000001</v>
      </c>
      <c r="G32" s="226"/>
      <c r="H32" s="226"/>
      <c r="I32" s="228">
        <v>1.6539999999999999E-2</v>
      </c>
      <c r="J32" s="227">
        <f t="shared" si="1"/>
        <v>0.41633999999999971</v>
      </c>
      <c r="K32" s="226"/>
      <c r="L32" s="226">
        <f>ROUND(E32*(HLOOKUP($C$31,'Rate Spread Proposal'!$E$71:$AA$76,6,FALSE)),5)</f>
        <v>4.0230000000000002E-2</v>
      </c>
      <c r="M32" s="226"/>
      <c r="N32" s="230">
        <f t="shared" si="2"/>
        <v>0.1364699999999997</v>
      </c>
      <c r="O32" s="230">
        <f t="shared" si="3"/>
        <v>0.17669999999999969</v>
      </c>
      <c r="P32" s="226">
        <f>'Allocation = % of Margin'!U33</f>
        <v>-2.7699999999999999E-3</v>
      </c>
      <c r="Q32" s="939"/>
      <c r="R32" s="813">
        <f t="shared" si="4"/>
        <v>0.1739299999999997</v>
      </c>
      <c r="S32" s="1163">
        <f>'Allocation = % of Margin'!O33</f>
        <v>-9.4900000000000002E-3</v>
      </c>
      <c r="T32" s="226">
        <f>'Allocation = % of Margin'!R33</f>
        <v>-5.2500000000000003E-3</v>
      </c>
      <c r="U32" s="938"/>
      <c r="V32" s="826">
        <f t="shared" si="5"/>
        <v>-1.474E-2</v>
      </c>
      <c r="W32" s="827">
        <f t="shared" si="6"/>
        <v>0.43905999999999967</v>
      </c>
      <c r="X32" s="1254"/>
      <c r="Y32" s="952">
        <f>ROUND(R32*(HLOOKUP($C$31,'Rate Spread Proposal'!$E$98:$AA$103,6,FALSE)),5)</f>
        <v>1.8859999999999998E-2</v>
      </c>
      <c r="Z32" s="938">
        <f>'Allocation = % of Margin'!X33</f>
        <v>-2.7E-4</v>
      </c>
      <c r="AA32" s="230">
        <f t="shared" si="7"/>
        <v>1.8589999999999999E-2</v>
      </c>
      <c r="AB32" s="1461">
        <f t="shared" si="8"/>
        <v>0.47238999999999964</v>
      </c>
      <c r="AC32" s="226"/>
      <c r="AD32" s="224"/>
      <c r="AE32" s="225"/>
      <c r="AF32" s="228"/>
      <c r="AG32" s="226"/>
      <c r="AH32" s="228"/>
      <c r="AI32" s="227"/>
      <c r="AJ32" s="226"/>
    </row>
    <row r="33" spans="1:36" x14ac:dyDescent="0.25">
      <c r="A33" s="133">
        <f t="shared" si="0"/>
        <v>27</v>
      </c>
      <c r="B33" s="133"/>
      <c r="C33" s="133"/>
      <c r="D33" s="1510" t="s">
        <v>6</v>
      </c>
      <c r="E33" s="229">
        <v>0.1046699999999999</v>
      </c>
      <c r="F33" s="226">
        <f t="shared" si="10"/>
        <v>0.26333000000000001</v>
      </c>
      <c r="G33" s="226"/>
      <c r="H33" s="226"/>
      <c r="I33" s="228">
        <v>1.052E-2</v>
      </c>
      <c r="J33" s="227">
        <f t="shared" si="1"/>
        <v>0.37851999999999986</v>
      </c>
      <c r="K33" s="226"/>
      <c r="L33" s="226">
        <f>ROUND(E33*(HLOOKUP($C$31,'Rate Spread Proposal'!$E$71:$AA$76,6,FALSE)),5)</f>
        <v>3.0859999999999999E-2</v>
      </c>
      <c r="M33" s="226"/>
      <c r="N33" s="230">
        <f t="shared" si="2"/>
        <v>0.10466999999999985</v>
      </c>
      <c r="O33" s="230">
        <f t="shared" si="3"/>
        <v>0.13552999999999985</v>
      </c>
      <c r="P33" s="226">
        <f>'Allocation = % of Margin'!U34</f>
        <v>-2.1199999999999999E-3</v>
      </c>
      <c r="Q33" s="939"/>
      <c r="R33" s="813">
        <f t="shared" si="4"/>
        <v>0.13340999999999983</v>
      </c>
      <c r="S33" s="1163">
        <f>'Allocation = % of Margin'!O34</f>
        <v>-7.28E-3</v>
      </c>
      <c r="T33" s="226">
        <f>'Allocation = % of Margin'!R34</f>
        <v>-4.0200000000000001E-3</v>
      </c>
      <c r="U33" s="938"/>
      <c r="V33" s="826">
        <f t="shared" si="5"/>
        <v>-1.1300000000000001E-2</v>
      </c>
      <c r="W33" s="827">
        <f t="shared" si="6"/>
        <v>0.39595999999999981</v>
      </c>
      <c r="X33" s="1254"/>
      <c r="Y33" s="952">
        <f>ROUND(R33*(HLOOKUP($C$31,'Rate Spread Proposal'!$E$98:$AA$103,6,FALSE)),5)</f>
        <v>1.447E-2</v>
      </c>
      <c r="Z33" s="938">
        <f>'Allocation = % of Margin'!X34</f>
        <v>-2.0000000000000001E-4</v>
      </c>
      <c r="AA33" s="230">
        <f t="shared" si="7"/>
        <v>1.427E-2</v>
      </c>
      <c r="AB33" s="1461">
        <f t="shared" si="8"/>
        <v>0.42152999999999985</v>
      </c>
      <c r="AC33" s="226"/>
      <c r="AD33" s="787"/>
      <c r="AE33" s="132"/>
      <c r="AF33" s="228"/>
      <c r="AG33" s="226"/>
      <c r="AH33" s="228"/>
      <c r="AI33" s="227"/>
      <c r="AJ33" s="226"/>
    </row>
    <row r="34" spans="1:36" x14ac:dyDescent="0.25">
      <c r="A34" s="133">
        <f t="shared" si="0"/>
        <v>28</v>
      </c>
      <c r="B34" s="133"/>
      <c r="C34" s="133"/>
      <c r="D34" s="1510" t="s">
        <v>7</v>
      </c>
      <c r="E34" s="229">
        <v>8.3729999999999999E-2</v>
      </c>
      <c r="F34" s="226">
        <f t="shared" si="10"/>
        <v>0.26333000000000001</v>
      </c>
      <c r="G34" s="226"/>
      <c r="H34" s="226"/>
      <c r="I34" s="228">
        <v>6.550000000000002E-3</v>
      </c>
      <c r="J34" s="227">
        <f t="shared" si="1"/>
        <v>0.35361000000000004</v>
      </c>
      <c r="K34" s="226"/>
      <c r="L34" s="226">
        <f>ROUND(E34*(HLOOKUP($C$31,'Rate Spread Proposal'!$E$71:$AA$76,6,FALSE)),5)</f>
        <v>2.4680000000000001E-2</v>
      </c>
      <c r="M34" s="226"/>
      <c r="N34" s="230">
        <f t="shared" si="2"/>
        <v>8.3730000000000027E-2</v>
      </c>
      <c r="O34" s="230">
        <f t="shared" si="3"/>
        <v>0.10841000000000003</v>
      </c>
      <c r="P34" s="226">
        <f>'Allocation = % of Margin'!U35</f>
        <v>-1.6999999999999999E-3</v>
      </c>
      <c r="Q34" s="939"/>
      <c r="R34" s="813">
        <f t="shared" si="4"/>
        <v>0.10671000000000004</v>
      </c>
      <c r="S34" s="1163">
        <f>'Allocation = % of Margin'!O35</f>
        <v>-5.8199999999999997E-3</v>
      </c>
      <c r="T34" s="226">
        <f>'Allocation = % of Margin'!R35</f>
        <v>-3.2200000000000002E-3</v>
      </c>
      <c r="U34" s="938"/>
      <c r="V34" s="826">
        <f t="shared" si="5"/>
        <v>-9.0399999999999994E-3</v>
      </c>
      <c r="W34" s="827">
        <f t="shared" si="6"/>
        <v>0.36755000000000004</v>
      </c>
      <c r="X34" s="1254"/>
      <c r="Y34" s="952">
        <f>ROUND(R34*(HLOOKUP($C$31,'Rate Spread Proposal'!$E$98:$AA$103,6,FALSE)),5)</f>
        <v>1.157E-2</v>
      </c>
      <c r="Z34" s="938">
        <f>'Allocation = % of Margin'!X35</f>
        <v>-1.6000000000000001E-4</v>
      </c>
      <c r="AA34" s="230">
        <f t="shared" si="7"/>
        <v>1.141E-2</v>
      </c>
      <c r="AB34" s="1461">
        <f t="shared" si="8"/>
        <v>0.38800000000000001</v>
      </c>
      <c r="AC34" s="226"/>
      <c r="AD34" s="224"/>
      <c r="AE34" s="225"/>
      <c r="AF34" s="228"/>
      <c r="AG34" s="226"/>
      <c r="AH34" s="228"/>
      <c r="AI34" s="227"/>
      <c r="AJ34" s="226"/>
    </row>
    <row r="35" spans="1:36" x14ac:dyDescent="0.25">
      <c r="A35" s="133">
        <f t="shared" si="0"/>
        <v>29</v>
      </c>
      <c r="B35" s="133"/>
      <c r="C35" s="133"/>
      <c r="D35" s="1510" t="s">
        <v>8</v>
      </c>
      <c r="E35" s="229">
        <v>5.5809999999999992E-2</v>
      </c>
      <c r="F35" s="226">
        <f t="shared" si="10"/>
        <v>0.26333000000000001</v>
      </c>
      <c r="G35" s="226"/>
      <c r="H35" s="226"/>
      <c r="I35" s="228">
        <v>1.239999999999998E-3</v>
      </c>
      <c r="J35" s="227">
        <f t="shared" si="1"/>
        <v>0.32038</v>
      </c>
      <c r="K35" s="226"/>
      <c r="L35" s="226">
        <f>ROUND(E35*(HLOOKUP($C$31,'Rate Spread Proposal'!$E$71:$AA$76,6,FALSE)),5)</f>
        <v>1.6449999999999999E-2</v>
      </c>
      <c r="M35" s="226"/>
      <c r="N35" s="230">
        <f t="shared" si="2"/>
        <v>5.5809999999999992E-2</v>
      </c>
      <c r="O35" s="230">
        <f t="shared" si="3"/>
        <v>7.2259999999999991E-2</v>
      </c>
      <c r="P35" s="226">
        <f>'Allocation = % of Margin'!U36</f>
        <v>-1.1299999999999999E-3</v>
      </c>
      <c r="Q35" s="939"/>
      <c r="R35" s="813">
        <f t="shared" si="4"/>
        <v>7.1129999999999985E-2</v>
      </c>
      <c r="S35" s="1163">
        <f>'Allocation = % of Margin'!O36</f>
        <v>-3.8800000000000002E-3</v>
      </c>
      <c r="T35" s="226">
        <f>'Allocation = % of Margin'!R36</f>
        <v>-2.15E-3</v>
      </c>
      <c r="U35" s="938"/>
      <c r="V35" s="826">
        <f t="shared" si="5"/>
        <v>-6.0300000000000006E-3</v>
      </c>
      <c r="W35" s="827">
        <f t="shared" si="6"/>
        <v>0.32967000000000002</v>
      </c>
      <c r="X35" s="1254"/>
      <c r="Y35" s="952">
        <f>ROUND(R35*(HLOOKUP($C$31,'Rate Spread Proposal'!$E$98:$AA$103,6,FALSE)),5)</f>
        <v>7.7099999999999998E-3</v>
      </c>
      <c r="Z35" s="938">
        <f>'Allocation = % of Margin'!X36</f>
        <v>-1.1E-4</v>
      </c>
      <c r="AA35" s="230">
        <f t="shared" si="7"/>
        <v>7.6E-3</v>
      </c>
      <c r="AB35" s="1461">
        <f t="shared" si="8"/>
        <v>0.34329999999999999</v>
      </c>
      <c r="AC35" s="226"/>
      <c r="AD35" s="224"/>
      <c r="AE35" s="225"/>
      <c r="AF35" s="228"/>
      <c r="AG35" s="226"/>
      <c r="AH35" s="228"/>
      <c r="AI35" s="227"/>
      <c r="AJ35" s="226"/>
    </row>
    <row r="36" spans="1:36" x14ac:dyDescent="0.25">
      <c r="A36" s="133">
        <f t="shared" si="0"/>
        <v>30</v>
      </c>
      <c r="B36" s="1509"/>
      <c r="C36" s="1509"/>
      <c r="D36" s="1512" t="s">
        <v>9</v>
      </c>
      <c r="E36" s="218">
        <v>2.0920000000000029E-2</v>
      </c>
      <c r="F36" s="220">
        <f t="shared" si="10"/>
        <v>0.26333000000000001</v>
      </c>
      <c r="G36" s="220"/>
      <c r="H36" s="220"/>
      <c r="I36" s="219">
        <v>-5.3500000000000006E-3</v>
      </c>
      <c r="J36" s="221">
        <f t="shared" si="1"/>
        <v>0.27890000000000004</v>
      </c>
      <c r="K36" s="226"/>
      <c r="L36" s="220">
        <f>ROUND(E36*(HLOOKUP($C$31,'Rate Spread Proposal'!$E$71:$AA$76,6,FALSE)),5)</f>
        <v>6.1700000000000001E-3</v>
      </c>
      <c r="M36" s="226"/>
      <c r="N36" s="223">
        <f t="shared" si="2"/>
        <v>2.0920000000000029E-2</v>
      </c>
      <c r="O36" s="223">
        <f t="shared" si="3"/>
        <v>2.7090000000000031E-2</v>
      </c>
      <c r="P36" s="220">
        <f>'Allocation = % of Margin'!U37</f>
        <v>-4.2000000000000002E-4</v>
      </c>
      <c r="Q36" s="937"/>
      <c r="R36" s="812">
        <f t="shared" si="4"/>
        <v>2.667000000000003E-2</v>
      </c>
      <c r="S36" s="1162">
        <f>'Allocation = % of Margin'!O37</f>
        <v>-1.4499999999999999E-3</v>
      </c>
      <c r="T36" s="220">
        <f>'Allocation = % of Margin'!R37</f>
        <v>-8.0000000000000004E-4</v>
      </c>
      <c r="U36" s="936"/>
      <c r="V36" s="825">
        <f t="shared" si="5"/>
        <v>-2.2499999999999998E-3</v>
      </c>
      <c r="W36" s="824">
        <f t="shared" si="6"/>
        <v>0.28240000000000004</v>
      </c>
      <c r="X36" s="1254"/>
      <c r="Y36" s="961">
        <f>ROUND(R36*(HLOOKUP($C$31,'Rate Spread Proposal'!$E$98:$AA$103,6,FALSE)),5)</f>
        <v>2.8900000000000002E-3</v>
      </c>
      <c r="Z36" s="936">
        <f>'Allocation = % of Margin'!X37</f>
        <v>-4.0000000000000003E-5</v>
      </c>
      <c r="AA36" s="223">
        <f t="shared" si="7"/>
        <v>2.8500000000000001E-3</v>
      </c>
      <c r="AB36" s="998">
        <f t="shared" si="8"/>
        <v>0.28750000000000009</v>
      </c>
      <c r="AC36" s="226"/>
      <c r="AD36" s="787"/>
      <c r="AE36" s="132"/>
      <c r="AF36" s="228"/>
      <c r="AG36" s="226"/>
      <c r="AH36" s="228"/>
      <c r="AI36" s="227"/>
      <c r="AJ36" s="226"/>
    </row>
    <row r="37" spans="1:36" x14ac:dyDescent="0.25">
      <c r="A37" s="133">
        <f t="shared" si="0"/>
        <v>31</v>
      </c>
      <c r="B37" s="133" t="str">
        <f>'WA Volumes &amp; Revenues'!B39</f>
        <v>42I Firm Sales</v>
      </c>
      <c r="C37" s="133" t="s">
        <v>360</v>
      </c>
      <c r="D37" s="1510" t="s">
        <v>4</v>
      </c>
      <c r="E37" s="229">
        <v>0.14721000000000001</v>
      </c>
      <c r="F37" s="226">
        <f t="shared" si="10"/>
        <v>0.26333000000000001</v>
      </c>
      <c r="G37" s="226"/>
      <c r="H37" s="226"/>
      <c r="I37" s="228">
        <v>-4.6100000000000012E-3</v>
      </c>
      <c r="J37" s="227">
        <f t="shared" si="1"/>
        <v>0.40593000000000001</v>
      </c>
      <c r="K37" s="226"/>
      <c r="L37" s="226">
        <f>ROUND(E37*(HLOOKUP($C$37,'Rate Spread Proposal'!$E$71:$AA$76,6,FALSE)),5)</f>
        <v>3.9980000000000002E-2</v>
      </c>
      <c r="M37" s="226"/>
      <c r="N37" s="230">
        <f t="shared" si="2"/>
        <v>0.14721000000000001</v>
      </c>
      <c r="O37" s="230">
        <f t="shared" si="3"/>
        <v>0.18719000000000002</v>
      </c>
      <c r="P37" s="226">
        <f>'Allocation = % of Margin'!U38</f>
        <v>-2.7499999999999998E-3</v>
      </c>
      <c r="Q37" s="939"/>
      <c r="R37" s="813">
        <f t="shared" si="4"/>
        <v>0.18444000000000002</v>
      </c>
      <c r="S37" s="1163">
        <f>'Allocation = % of Margin'!O38</f>
        <v>0</v>
      </c>
      <c r="T37" s="226">
        <f>'Allocation = % of Margin'!R38</f>
        <v>-5.2100000000000002E-3</v>
      </c>
      <c r="U37" s="938"/>
      <c r="V37" s="826">
        <f t="shared" si="5"/>
        <v>-5.2100000000000002E-3</v>
      </c>
      <c r="W37" s="827">
        <f t="shared" si="6"/>
        <v>0.43795000000000006</v>
      </c>
      <c r="X37" s="1254"/>
      <c r="Y37" s="960">
        <f>ROUND(R37*(HLOOKUP($C$37,'Rate Spread Proposal'!$E$98:$AA$103,6,FALSE)),5)</f>
        <v>1.8749999999999999E-2</v>
      </c>
      <c r="Z37" s="938">
        <f>'Allocation = % of Margin'!X38</f>
        <v>-2.7E-4</v>
      </c>
      <c r="AA37" s="1459">
        <f t="shared" si="7"/>
        <v>1.848E-2</v>
      </c>
      <c r="AB37" s="1461">
        <f t="shared" si="8"/>
        <v>0.46164000000000005</v>
      </c>
      <c r="AC37" s="226"/>
      <c r="AD37" s="224">
        <f>'WA Volumes &amp; Revenues'!O39</f>
        <v>1300</v>
      </c>
      <c r="AE37" s="225">
        <f>'WA Volumes &amp; Revenues'!N39</f>
        <v>1300</v>
      </c>
      <c r="AF37" s="228">
        <v>0.15748000000000001</v>
      </c>
      <c r="AG37" s="228">
        <f>AF37</f>
        <v>0.15748000000000001</v>
      </c>
      <c r="AH37" s="228">
        <v>0.20415</v>
      </c>
      <c r="AI37" s="790">
        <f>AH37</f>
        <v>0.20415</v>
      </c>
      <c r="AJ37" s="226"/>
    </row>
    <row r="38" spans="1:36" x14ac:dyDescent="0.25">
      <c r="A38" s="133">
        <f t="shared" si="0"/>
        <v>32</v>
      </c>
      <c r="B38" s="1511"/>
      <c r="C38" s="1511"/>
      <c r="D38" s="1510" t="s">
        <v>5</v>
      </c>
      <c r="E38" s="229">
        <v>0.13177</v>
      </c>
      <c r="F38" s="226">
        <f t="shared" si="10"/>
        <v>0.26333000000000001</v>
      </c>
      <c r="G38" s="226"/>
      <c r="H38" s="226"/>
      <c r="I38" s="228">
        <v>-5.1100000000000008E-3</v>
      </c>
      <c r="J38" s="227">
        <f t="shared" si="1"/>
        <v>0.38999</v>
      </c>
      <c r="K38" s="226"/>
      <c r="L38" s="226">
        <f>ROUND(E38*(HLOOKUP($C$37,'Rate Spread Proposal'!$E$71:$AA$76,6,FALSE)),5)</f>
        <v>3.5790000000000002E-2</v>
      </c>
      <c r="M38" s="226"/>
      <c r="N38" s="230">
        <f t="shared" si="2"/>
        <v>0.13177</v>
      </c>
      <c r="O38" s="230">
        <f t="shared" si="3"/>
        <v>0.16755999999999999</v>
      </c>
      <c r="P38" s="226">
        <f>'Allocation = % of Margin'!U39</f>
        <v>-2.4599999999999999E-3</v>
      </c>
      <c r="Q38" s="939"/>
      <c r="R38" s="813">
        <f t="shared" si="4"/>
        <v>0.1651</v>
      </c>
      <c r="S38" s="1163">
        <f>'Allocation = % of Margin'!O39</f>
        <v>0</v>
      </c>
      <c r="T38" s="226">
        <f>'Allocation = % of Margin'!R39</f>
        <v>-4.6699999999999997E-3</v>
      </c>
      <c r="U38" s="938"/>
      <c r="V38" s="826">
        <f t="shared" si="5"/>
        <v>-4.6699999999999997E-3</v>
      </c>
      <c r="W38" s="827">
        <f t="shared" si="6"/>
        <v>0.41864999999999997</v>
      </c>
      <c r="X38" s="1254"/>
      <c r="Y38" s="952">
        <f>ROUND(R38*(HLOOKUP($C$37,'Rate Spread Proposal'!$E$98:$AA$103,6,FALSE)),5)</f>
        <v>1.678E-2</v>
      </c>
      <c r="Z38" s="938">
        <f>'Allocation = % of Margin'!X39</f>
        <v>-2.4000000000000001E-4</v>
      </c>
      <c r="AA38" s="230">
        <f t="shared" si="7"/>
        <v>1.6539999999999999E-2</v>
      </c>
      <c r="AB38" s="1461">
        <f t="shared" si="8"/>
        <v>0.43985999999999997</v>
      </c>
      <c r="AC38" s="226"/>
      <c r="AD38" s="224"/>
      <c r="AE38" s="225"/>
      <c r="AF38" s="228"/>
      <c r="AG38" s="226"/>
      <c r="AH38" s="228"/>
      <c r="AI38" s="227"/>
      <c r="AJ38" s="226"/>
    </row>
    <row r="39" spans="1:36" x14ac:dyDescent="0.25">
      <c r="A39" s="133">
        <f t="shared" si="0"/>
        <v>33</v>
      </c>
      <c r="B39" s="133"/>
      <c r="C39" s="133"/>
      <c r="D39" s="1510" t="s">
        <v>6</v>
      </c>
      <c r="E39" s="229">
        <v>0.10104999999999985</v>
      </c>
      <c r="F39" s="226">
        <f t="shared" si="10"/>
        <v>0.26333000000000001</v>
      </c>
      <c r="G39" s="226"/>
      <c r="H39" s="226"/>
      <c r="I39" s="228">
        <v>-6.0700000000000007E-3</v>
      </c>
      <c r="J39" s="227">
        <f t="shared" si="1"/>
        <v>0.35830999999999985</v>
      </c>
      <c r="K39" s="226"/>
      <c r="L39" s="226">
        <f>ROUND(E39*(HLOOKUP($C$37,'Rate Spread Proposal'!$E$71:$AA$76,6,FALSE)),5)</f>
        <v>2.7439999999999999E-2</v>
      </c>
      <c r="M39" s="226"/>
      <c r="N39" s="230">
        <f t="shared" si="2"/>
        <v>0.10104999999999985</v>
      </c>
      <c r="O39" s="230">
        <f t="shared" si="3"/>
        <v>0.12848999999999985</v>
      </c>
      <c r="P39" s="226">
        <f>'Allocation = % of Margin'!U40</f>
        <v>-1.89E-3</v>
      </c>
      <c r="Q39" s="939"/>
      <c r="R39" s="813">
        <f t="shared" si="4"/>
        <v>0.12659999999999985</v>
      </c>
      <c r="S39" s="1163">
        <f>'Allocation = % of Margin'!O40</f>
        <v>0</v>
      </c>
      <c r="T39" s="226">
        <f>'Allocation = % of Margin'!R40</f>
        <v>-3.5799999999999998E-3</v>
      </c>
      <c r="U39" s="938"/>
      <c r="V39" s="826">
        <f t="shared" si="5"/>
        <v>-3.5799999999999998E-3</v>
      </c>
      <c r="W39" s="827">
        <f t="shared" si="6"/>
        <v>0.38027999999999984</v>
      </c>
      <c r="X39" s="1254"/>
      <c r="Y39" s="952">
        <f>ROUND(R39*(HLOOKUP($C$37,'Rate Spread Proposal'!$E$98:$AA$103,6,FALSE)),5)</f>
        <v>1.2869999999999999E-2</v>
      </c>
      <c r="Z39" s="938">
        <f>'Allocation = % of Margin'!X40</f>
        <v>-1.8000000000000001E-4</v>
      </c>
      <c r="AA39" s="230">
        <f t="shared" si="7"/>
        <v>1.269E-2</v>
      </c>
      <c r="AB39" s="1461">
        <f t="shared" si="8"/>
        <v>0.39654999999999985</v>
      </c>
      <c r="AC39" s="226"/>
      <c r="AD39" s="224"/>
      <c r="AE39" s="225"/>
      <c r="AF39" s="228"/>
      <c r="AG39" s="226"/>
      <c r="AH39" s="228"/>
      <c r="AI39" s="227"/>
      <c r="AJ39" s="226"/>
    </row>
    <row r="40" spans="1:36" x14ac:dyDescent="0.25">
      <c r="A40" s="133">
        <f t="shared" si="0"/>
        <v>34</v>
      </c>
      <c r="B40" s="133"/>
      <c r="C40" s="133"/>
      <c r="D40" s="1510" t="s">
        <v>7</v>
      </c>
      <c r="E40" s="229">
        <v>8.0839999999999995E-2</v>
      </c>
      <c r="F40" s="226">
        <f t="shared" si="10"/>
        <v>0.26333000000000001</v>
      </c>
      <c r="G40" s="226"/>
      <c r="H40" s="226"/>
      <c r="I40" s="228">
        <v>-6.7300000000000007E-3</v>
      </c>
      <c r="J40" s="227">
        <f t="shared" si="1"/>
        <v>0.33743999999999996</v>
      </c>
      <c r="K40" s="226"/>
      <c r="L40" s="226">
        <f>ROUND(E40*(HLOOKUP($C$37,'Rate Spread Proposal'!$E$71:$AA$76,6,FALSE)),5)</f>
        <v>2.196E-2</v>
      </c>
      <c r="M40" s="226"/>
      <c r="N40" s="230">
        <f t="shared" si="2"/>
        <v>8.0839999999999954E-2</v>
      </c>
      <c r="O40" s="230">
        <f t="shared" si="3"/>
        <v>0.10279999999999995</v>
      </c>
      <c r="P40" s="226">
        <f>'Allocation = % of Margin'!U41</f>
        <v>-1.5100000000000001E-3</v>
      </c>
      <c r="Q40" s="939"/>
      <c r="R40" s="813">
        <f t="shared" si="4"/>
        <v>0.10128999999999995</v>
      </c>
      <c r="S40" s="1163">
        <f>'Allocation = % of Margin'!O41</f>
        <v>0</v>
      </c>
      <c r="T40" s="226">
        <f>'Allocation = % of Margin'!R41</f>
        <v>-2.8600000000000001E-3</v>
      </c>
      <c r="U40" s="938"/>
      <c r="V40" s="826">
        <f t="shared" si="5"/>
        <v>-2.8600000000000001E-3</v>
      </c>
      <c r="W40" s="827">
        <f t="shared" si="6"/>
        <v>0.35502999999999996</v>
      </c>
      <c r="X40" s="1254"/>
      <c r="Y40" s="952">
        <f>ROUND(R40*(HLOOKUP($C$37,'Rate Spread Proposal'!$E$98:$AA$103,6,FALSE)),5)</f>
        <v>1.03E-2</v>
      </c>
      <c r="Z40" s="938">
        <f>'Allocation = % of Margin'!X41</f>
        <v>-1.4999999999999999E-4</v>
      </c>
      <c r="AA40" s="230">
        <f t="shared" si="7"/>
        <v>1.0149999999999999E-2</v>
      </c>
      <c r="AB40" s="1461">
        <f t="shared" si="8"/>
        <v>0.36803999999999992</v>
      </c>
      <c r="AC40" s="226"/>
      <c r="AD40" s="224"/>
      <c r="AE40" s="225"/>
      <c r="AF40" s="228"/>
      <c r="AG40" s="226"/>
      <c r="AH40" s="228"/>
      <c r="AI40" s="227"/>
      <c r="AJ40" s="226"/>
    </row>
    <row r="41" spans="1:36" x14ac:dyDescent="0.25">
      <c r="A41" s="133">
        <f t="shared" si="0"/>
        <v>35</v>
      </c>
      <c r="B41" s="133"/>
      <c r="C41" s="133"/>
      <c r="D41" s="1510" t="s">
        <v>8</v>
      </c>
      <c r="E41" s="229">
        <v>5.391E-2</v>
      </c>
      <c r="F41" s="226">
        <f t="shared" si="10"/>
        <v>0.26333000000000001</v>
      </c>
      <c r="G41" s="226"/>
      <c r="H41" s="226"/>
      <c r="I41" s="228">
        <v>-7.5900000000000004E-3</v>
      </c>
      <c r="J41" s="227">
        <f t="shared" si="1"/>
        <v>0.30965000000000004</v>
      </c>
      <c r="K41" s="226"/>
      <c r="L41" s="226">
        <f>ROUND(E41*(HLOOKUP($C$37,'Rate Spread Proposal'!$E$71:$AA$76,6,FALSE)),5)</f>
        <v>1.464E-2</v>
      </c>
      <c r="M41" s="226"/>
      <c r="N41" s="230">
        <f t="shared" si="2"/>
        <v>5.3910000000000027E-2</v>
      </c>
      <c r="O41" s="230">
        <f t="shared" si="3"/>
        <v>6.8550000000000028E-2</v>
      </c>
      <c r="P41" s="226">
        <f>'Allocation = % of Margin'!U42</f>
        <v>-1.01E-3</v>
      </c>
      <c r="Q41" s="939"/>
      <c r="R41" s="813">
        <f t="shared" si="4"/>
        <v>6.7540000000000031E-2</v>
      </c>
      <c r="S41" s="1163">
        <f>'Allocation = % of Margin'!O42</f>
        <v>0</v>
      </c>
      <c r="T41" s="226">
        <f>'Allocation = % of Margin'!R42</f>
        <v>-1.91E-3</v>
      </c>
      <c r="U41" s="938"/>
      <c r="V41" s="826">
        <f t="shared" si="5"/>
        <v>-1.91E-3</v>
      </c>
      <c r="W41" s="827">
        <f t="shared" si="6"/>
        <v>0.32137000000000004</v>
      </c>
      <c r="X41" s="1254"/>
      <c r="Y41" s="952">
        <f>ROUND(R41*(HLOOKUP($C$37,'Rate Spread Proposal'!$E$98:$AA$103,6,FALSE)),5)</f>
        <v>6.8700000000000002E-3</v>
      </c>
      <c r="Z41" s="938">
        <f>'Allocation = % of Margin'!X42</f>
        <v>-1E-4</v>
      </c>
      <c r="AA41" s="230">
        <f t="shared" si="7"/>
        <v>6.77E-3</v>
      </c>
      <c r="AB41" s="1461">
        <f t="shared" si="8"/>
        <v>0.33005000000000007</v>
      </c>
      <c r="AC41" s="226"/>
      <c r="AD41" s="224"/>
      <c r="AE41" s="225"/>
      <c r="AF41" s="228"/>
      <c r="AG41" s="226"/>
      <c r="AH41" s="228"/>
      <c r="AI41" s="227"/>
      <c r="AJ41" s="226"/>
    </row>
    <row r="42" spans="1:36" x14ac:dyDescent="0.25">
      <c r="A42" s="133">
        <f t="shared" si="0"/>
        <v>36</v>
      </c>
      <c r="B42" s="1509"/>
      <c r="C42" s="1509"/>
      <c r="D42" s="1512" t="s">
        <v>9</v>
      </c>
      <c r="E42" s="218">
        <v>2.0199999999999999E-2</v>
      </c>
      <c r="F42" s="220">
        <f t="shared" si="10"/>
        <v>0.26333000000000001</v>
      </c>
      <c r="G42" s="220"/>
      <c r="H42" s="220"/>
      <c r="I42" s="219">
        <v>-8.6700000000000006E-3</v>
      </c>
      <c r="J42" s="221">
        <f t="shared" si="1"/>
        <v>0.27485999999999999</v>
      </c>
      <c r="K42" s="226"/>
      <c r="L42" s="220">
        <f>ROUND(E42*(HLOOKUP($C$37,'Rate Spread Proposal'!$E$71:$AA$76,6,FALSE)),5)</f>
        <v>5.4900000000000001E-3</v>
      </c>
      <c r="M42" s="226"/>
      <c r="N42" s="223">
        <f t="shared" si="2"/>
        <v>2.0199999999999985E-2</v>
      </c>
      <c r="O42" s="223">
        <f t="shared" si="3"/>
        <v>2.5689999999999984E-2</v>
      </c>
      <c r="P42" s="220">
        <f>'Allocation = % of Margin'!U43</f>
        <v>-3.8000000000000002E-4</v>
      </c>
      <c r="Q42" s="937"/>
      <c r="R42" s="812">
        <f t="shared" si="4"/>
        <v>2.5309999999999985E-2</v>
      </c>
      <c r="S42" s="1162">
        <f>'Allocation = % of Margin'!O43</f>
        <v>0</v>
      </c>
      <c r="T42" s="220">
        <f>'Allocation = % of Margin'!R43</f>
        <v>-7.2000000000000005E-4</v>
      </c>
      <c r="U42" s="936"/>
      <c r="V42" s="825">
        <f t="shared" si="5"/>
        <v>-7.2000000000000005E-4</v>
      </c>
      <c r="W42" s="824">
        <f t="shared" si="6"/>
        <v>0.27925</v>
      </c>
      <c r="X42" s="1254"/>
      <c r="Y42" s="961">
        <f>ROUND(R42*(HLOOKUP($C$37,'Rate Spread Proposal'!$E$98:$AA$103,6,FALSE)),5)</f>
        <v>2.5699999999999998E-3</v>
      </c>
      <c r="Z42" s="936">
        <f>'Allocation = % of Margin'!X43</f>
        <v>-4.0000000000000003E-5</v>
      </c>
      <c r="AA42" s="223">
        <f t="shared" si="7"/>
        <v>2.5299999999999997E-3</v>
      </c>
      <c r="AB42" s="998">
        <f t="shared" si="8"/>
        <v>0.28249999999999997</v>
      </c>
      <c r="AC42" s="226"/>
      <c r="AD42" s="224"/>
      <c r="AE42" s="225"/>
      <c r="AF42" s="228"/>
      <c r="AG42" s="226"/>
      <c r="AH42" s="228"/>
      <c r="AI42" s="227"/>
      <c r="AJ42" s="226"/>
    </row>
    <row r="43" spans="1:36" x14ac:dyDescent="0.25">
      <c r="A43" s="133">
        <f t="shared" si="0"/>
        <v>37</v>
      </c>
      <c r="B43" s="133" t="str">
        <f>'WA Volumes &amp; Revenues'!B45</f>
        <v>42C Firm Transpt</v>
      </c>
      <c r="C43" s="133" t="s">
        <v>361</v>
      </c>
      <c r="D43" s="1510" t="s">
        <v>4</v>
      </c>
      <c r="E43" s="229">
        <v>0.13791999999999999</v>
      </c>
      <c r="F43" s="226">
        <v>0</v>
      </c>
      <c r="G43" s="226"/>
      <c r="H43" s="226"/>
      <c r="I43" s="228">
        <v>5.9999999999999995E-4</v>
      </c>
      <c r="J43" s="227">
        <f t="shared" si="1"/>
        <v>0.13851999999999998</v>
      </c>
      <c r="K43" s="226"/>
      <c r="L43" s="226">
        <f>ROUND(E43*(HLOOKUP($C$43,'Rate Spread Proposal'!$E$71:$AA$76,6,FALSE)),5)</f>
        <v>2.5399999999999999E-2</v>
      </c>
      <c r="M43" s="226"/>
      <c r="N43" s="230">
        <f t="shared" si="2"/>
        <v>0.13791999999999999</v>
      </c>
      <c r="O43" s="230">
        <f t="shared" si="3"/>
        <v>0.16331999999999999</v>
      </c>
      <c r="P43" s="226">
        <f>'Allocation = % of Margin'!U44</f>
        <v>-1.75E-3</v>
      </c>
      <c r="Q43" s="939"/>
      <c r="R43" s="813">
        <f t="shared" si="4"/>
        <v>0.16156999999999999</v>
      </c>
      <c r="S43" s="1163">
        <f>'Allocation = % of Margin'!O44</f>
        <v>0</v>
      </c>
      <c r="T43" s="226">
        <f>'Allocation = % of Margin'!R44</f>
        <v>-3.31E-3</v>
      </c>
      <c r="U43" s="938"/>
      <c r="V43" s="826">
        <f t="shared" si="5"/>
        <v>-3.31E-3</v>
      </c>
      <c r="W43" s="827">
        <f t="shared" si="6"/>
        <v>0.15885999999999997</v>
      </c>
      <c r="X43" s="1254"/>
      <c r="Y43" s="960">
        <f>ROUND(R43*(HLOOKUP($C$43,'Rate Spread Proposal'!$E$98:$AA$103,6,FALSE)),5)</f>
        <v>1.191E-2</v>
      </c>
      <c r="Z43" s="938">
        <f>'Allocation = % of Margin'!X44</f>
        <v>-1.7000000000000001E-4</v>
      </c>
      <c r="AA43" s="1459">
        <f t="shared" si="7"/>
        <v>1.174E-2</v>
      </c>
      <c r="AB43" s="1461">
        <f t="shared" si="8"/>
        <v>0.17390999999999998</v>
      </c>
      <c r="AC43" s="226"/>
      <c r="AD43" s="224">
        <f>'WA Volumes &amp; Revenues'!O45</f>
        <v>1550</v>
      </c>
      <c r="AE43" s="225">
        <f>'WA Volumes &amp; Revenues'!N45</f>
        <v>1550</v>
      </c>
      <c r="AF43" s="228">
        <v>0.15748000000000001</v>
      </c>
      <c r="AG43" s="228">
        <f>AF43</f>
        <v>0.15748000000000001</v>
      </c>
      <c r="AH43" s="228"/>
      <c r="AI43" s="227"/>
      <c r="AJ43" s="226"/>
    </row>
    <row r="44" spans="1:36" x14ac:dyDescent="0.25">
      <c r="A44" s="133">
        <f t="shared" si="0"/>
        <v>38</v>
      </c>
      <c r="B44" s="133"/>
      <c r="C44" s="133"/>
      <c r="D44" s="1510" t="s">
        <v>5</v>
      </c>
      <c r="E44" s="229">
        <v>0.12346999999999998</v>
      </c>
      <c r="F44" s="226">
        <v>0</v>
      </c>
      <c r="G44" s="226"/>
      <c r="H44" s="226"/>
      <c r="I44" s="228">
        <v>5.2999999999999998E-4</v>
      </c>
      <c r="J44" s="227">
        <f t="shared" si="1"/>
        <v>0.12399999999999999</v>
      </c>
      <c r="K44" s="226"/>
      <c r="L44" s="226">
        <f>ROUND(E44*(HLOOKUP($C$43,'Rate Spread Proposal'!$E$71:$AA$76,6,FALSE)),5)</f>
        <v>2.274E-2</v>
      </c>
      <c r="M44" s="226"/>
      <c r="N44" s="230">
        <f t="shared" si="2"/>
        <v>0.12346999999999998</v>
      </c>
      <c r="O44" s="230">
        <f t="shared" si="3"/>
        <v>0.14620999999999998</v>
      </c>
      <c r="P44" s="226">
        <f>'Allocation = % of Margin'!U45</f>
        <v>-1.57E-3</v>
      </c>
      <c r="Q44" s="939"/>
      <c r="R44" s="813">
        <f t="shared" si="4"/>
        <v>0.14463999999999999</v>
      </c>
      <c r="S44" s="1163">
        <f>'Allocation = % of Margin'!O45</f>
        <v>0</v>
      </c>
      <c r="T44" s="226">
        <f>'Allocation = % of Margin'!R45</f>
        <v>-2.96E-3</v>
      </c>
      <c r="U44" s="938"/>
      <c r="V44" s="826">
        <f t="shared" si="5"/>
        <v>-2.96E-3</v>
      </c>
      <c r="W44" s="827">
        <f t="shared" si="6"/>
        <v>0.14221</v>
      </c>
      <c r="X44" s="1254"/>
      <c r="Y44" s="952">
        <f>ROUND(R44*(HLOOKUP($C$43,'Rate Spread Proposal'!$E$98:$AA$103,6,FALSE)),5)</f>
        <v>1.0659999999999999E-2</v>
      </c>
      <c r="Z44" s="938">
        <f>'Allocation = % of Margin'!X45</f>
        <v>-1.4999999999999999E-4</v>
      </c>
      <c r="AA44" s="230">
        <f t="shared" si="7"/>
        <v>1.0509999999999999E-2</v>
      </c>
      <c r="AB44" s="1461">
        <f t="shared" si="8"/>
        <v>0.15567999999999999</v>
      </c>
      <c r="AC44" s="226"/>
      <c r="AD44" s="224"/>
      <c r="AE44" s="225"/>
      <c r="AF44" s="228"/>
      <c r="AG44" s="226"/>
      <c r="AH44" s="228"/>
      <c r="AI44" s="227"/>
      <c r="AJ44" s="226"/>
    </row>
    <row r="45" spans="1:36" x14ac:dyDescent="0.25">
      <c r="A45" s="133">
        <f t="shared" si="0"/>
        <v>39</v>
      </c>
      <c r="B45" s="133"/>
      <c r="C45" s="133"/>
      <c r="D45" s="1510" t="s">
        <v>6</v>
      </c>
      <c r="E45" s="229">
        <v>9.4670000000000004E-2</v>
      </c>
      <c r="F45" s="226">
        <v>0</v>
      </c>
      <c r="G45" s="226"/>
      <c r="H45" s="226"/>
      <c r="I45" s="228">
        <v>4.1000000000000005E-4</v>
      </c>
      <c r="J45" s="227">
        <f t="shared" si="1"/>
        <v>9.5079999999999998E-2</v>
      </c>
      <c r="K45" s="226"/>
      <c r="L45" s="226">
        <f>ROUND(E45*(HLOOKUP($C$43,'Rate Spread Proposal'!$E$71:$AA$76,6,FALSE)),5)</f>
        <v>1.7440000000000001E-2</v>
      </c>
      <c r="M45" s="226"/>
      <c r="N45" s="230">
        <f t="shared" si="2"/>
        <v>9.4670000000000004E-2</v>
      </c>
      <c r="O45" s="230">
        <f t="shared" si="3"/>
        <v>0.11211</v>
      </c>
      <c r="P45" s="226">
        <f>'Allocation = % of Margin'!U46</f>
        <v>-1.1999999999999999E-3</v>
      </c>
      <c r="Q45" s="939"/>
      <c r="R45" s="813">
        <f t="shared" ref="R45:R76" si="12">SUM(O45:Q45)</f>
        <v>0.11090999999999999</v>
      </c>
      <c r="S45" s="1163">
        <f>'Allocation = % of Margin'!O46</f>
        <v>0</v>
      </c>
      <c r="T45" s="226">
        <f>'Allocation = % of Margin'!R46</f>
        <v>-2.2699999999999999E-3</v>
      </c>
      <c r="U45" s="938"/>
      <c r="V45" s="826">
        <f t="shared" ref="V45:V76" si="13">SUM(S45:U45)</f>
        <v>-2.2699999999999999E-3</v>
      </c>
      <c r="W45" s="827">
        <f t="shared" si="6"/>
        <v>0.10904999999999999</v>
      </c>
      <c r="X45" s="1254"/>
      <c r="Y45" s="952">
        <f>ROUND(R45*(HLOOKUP($C$43,'Rate Spread Proposal'!$E$98:$AA$103,6,FALSE)),5)</f>
        <v>8.1799999999999998E-3</v>
      </c>
      <c r="Z45" s="938">
        <f>'Allocation = % of Margin'!X46</f>
        <v>-1.2E-4</v>
      </c>
      <c r="AA45" s="230">
        <f t="shared" si="7"/>
        <v>8.0599999999999995E-3</v>
      </c>
      <c r="AB45" s="1461">
        <f t="shared" si="8"/>
        <v>0.11937999999999999</v>
      </c>
      <c r="AC45" s="226"/>
      <c r="AD45" s="224"/>
      <c r="AE45" s="225"/>
      <c r="AF45" s="228"/>
      <c r="AG45" s="226"/>
      <c r="AH45" s="228"/>
      <c r="AI45" s="227"/>
      <c r="AJ45" s="226"/>
    </row>
    <row r="46" spans="1:36" x14ac:dyDescent="0.25">
      <c r="A46" s="133">
        <f t="shared" si="0"/>
        <v>40</v>
      </c>
      <c r="B46" s="133"/>
      <c r="C46" s="133"/>
      <c r="D46" s="1510" t="s">
        <v>7</v>
      </c>
      <c r="E46" s="229">
        <v>7.5750000000000012E-2</v>
      </c>
      <c r="F46" s="226">
        <v>0</v>
      </c>
      <c r="G46" s="226"/>
      <c r="H46" s="226"/>
      <c r="I46" s="228">
        <v>3.1999999999999997E-4</v>
      </c>
      <c r="J46" s="227">
        <f t="shared" si="1"/>
        <v>7.6070000000000013E-2</v>
      </c>
      <c r="K46" s="226"/>
      <c r="L46" s="226">
        <f>ROUND(E46*(HLOOKUP($C$43,'Rate Spread Proposal'!$E$71:$AA$76,6,FALSE)),5)</f>
        <v>1.3950000000000001E-2</v>
      </c>
      <c r="M46" s="226"/>
      <c r="N46" s="230">
        <f t="shared" si="2"/>
        <v>7.5750000000000012E-2</v>
      </c>
      <c r="O46" s="230">
        <f t="shared" si="3"/>
        <v>8.9700000000000016E-2</v>
      </c>
      <c r="P46" s="226">
        <f>'Allocation = % of Margin'!U47</f>
        <v>-9.6000000000000002E-4</v>
      </c>
      <c r="Q46" s="939"/>
      <c r="R46" s="813">
        <f t="shared" si="12"/>
        <v>8.8740000000000013E-2</v>
      </c>
      <c r="S46" s="1163">
        <f>'Allocation = % of Margin'!O47</f>
        <v>0</v>
      </c>
      <c r="T46" s="226">
        <f>'Allocation = % of Margin'!R47</f>
        <v>-1.82E-3</v>
      </c>
      <c r="U46" s="938"/>
      <c r="V46" s="826">
        <f t="shared" si="13"/>
        <v>-1.82E-3</v>
      </c>
      <c r="W46" s="827">
        <f t="shared" si="6"/>
        <v>8.7240000000000012E-2</v>
      </c>
      <c r="X46" s="1254"/>
      <c r="Y46" s="952">
        <f>ROUND(R46*(HLOOKUP($C$43,'Rate Spread Proposal'!$E$98:$AA$103,6,FALSE)),5)</f>
        <v>6.5399999999999998E-3</v>
      </c>
      <c r="Z46" s="938">
        <f>'Allocation = % of Margin'!X47</f>
        <v>-9.0000000000000006E-5</v>
      </c>
      <c r="AA46" s="230">
        <f t="shared" si="7"/>
        <v>6.45E-3</v>
      </c>
      <c r="AB46" s="1461">
        <f t="shared" si="8"/>
        <v>9.5510000000000012E-2</v>
      </c>
      <c r="AC46" s="226"/>
      <c r="AD46" s="224"/>
      <c r="AE46" s="225"/>
      <c r="AF46" s="228"/>
      <c r="AG46" s="226"/>
      <c r="AH46" s="228"/>
      <c r="AI46" s="227"/>
      <c r="AJ46" s="226"/>
    </row>
    <row r="47" spans="1:36" x14ac:dyDescent="0.25">
      <c r="A47" s="133">
        <f t="shared" si="0"/>
        <v>41</v>
      </c>
      <c r="B47" s="133"/>
      <c r="C47" s="133"/>
      <c r="D47" s="1510" t="s">
        <v>8</v>
      </c>
      <c r="E47" s="229">
        <v>5.0500000000000003E-2</v>
      </c>
      <c r="F47" s="226">
        <v>0</v>
      </c>
      <c r="G47" s="226"/>
      <c r="H47" s="226"/>
      <c r="I47" s="228">
        <v>2.1000000000000001E-4</v>
      </c>
      <c r="J47" s="227">
        <f t="shared" si="1"/>
        <v>5.0710000000000005E-2</v>
      </c>
      <c r="K47" s="226"/>
      <c r="L47" s="226">
        <f>ROUND(E47*(HLOOKUP($C$43,'Rate Spread Proposal'!$E$71:$AA$76,6,FALSE)),5)</f>
        <v>9.2999999999999992E-3</v>
      </c>
      <c r="M47" s="226"/>
      <c r="N47" s="230">
        <f t="shared" si="2"/>
        <v>5.0500000000000003E-2</v>
      </c>
      <c r="O47" s="230">
        <f t="shared" si="3"/>
        <v>5.9800000000000006E-2</v>
      </c>
      <c r="P47" s="226">
        <f>'Allocation = % of Margin'!U48</f>
        <v>-6.4000000000000005E-4</v>
      </c>
      <c r="Q47" s="939"/>
      <c r="R47" s="813">
        <f t="shared" si="12"/>
        <v>5.9160000000000004E-2</v>
      </c>
      <c r="S47" s="1163">
        <f>'Allocation = % of Margin'!O48</f>
        <v>0</v>
      </c>
      <c r="T47" s="226">
        <f>'Allocation = % of Margin'!R48</f>
        <v>-1.2099999999999999E-3</v>
      </c>
      <c r="U47" s="938"/>
      <c r="V47" s="826">
        <f t="shared" si="13"/>
        <v>-1.2099999999999999E-3</v>
      </c>
      <c r="W47" s="827">
        <f t="shared" si="6"/>
        <v>5.8160000000000003E-2</v>
      </c>
      <c r="X47" s="1254"/>
      <c r="Y47" s="952">
        <f>ROUND(R47*(HLOOKUP($C$43,'Rate Spread Proposal'!$E$98:$AA$103,6,FALSE)),5)</f>
        <v>4.3600000000000002E-3</v>
      </c>
      <c r="Z47" s="938">
        <f>'Allocation = % of Margin'!X48</f>
        <v>-6.0000000000000002E-5</v>
      </c>
      <c r="AA47" s="230">
        <f t="shared" si="7"/>
        <v>4.3E-3</v>
      </c>
      <c r="AB47" s="1461">
        <f t="shared" si="8"/>
        <v>6.3670000000000004E-2</v>
      </c>
      <c r="AC47" s="226"/>
      <c r="AD47" s="224"/>
      <c r="AE47" s="225"/>
      <c r="AF47" s="228"/>
      <c r="AG47" s="226"/>
      <c r="AH47" s="228"/>
      <c r="AI47" s="227"/>
      <c r="AJ47" s="226"/>
    </row>
    <row r="48" spans="1:36" x14ac:dyDescent="0.25">
      <c r="A48" s="133">
        <f t="shared" si="0"/>
        <v>42</v>
      </c>
      <c r="B48" s="1509"/>
      <c r="C48" s="1509"/>
      <c r="D48" s="1512" t="s">
        <v>9</v>
      </c>
      <c r="E48" s="218">
        <v>1.8929999999999999E-2</v>
      </c>
      <c r="F48" s="220">
        <v>0</v>
      </c>
      <c r="G48" s="220"/>
      <c r="H48" s="220"/>
      <c r="I48" s="219">
        <v>7.9999999999999993E-5</v>
      </c>
      <c r="J48" s="221">
        <f t="shared" si="1"/>
        <v>1.9009999999999999E-2</v>
      </c>
      <c r="K48" s="226"/>
      <c r="L48" s="220">
        <f>ROUND(E48*(HLOOKUP($C$43,'Rate Spread Proposal'!$E$71:$AA$76,6,FALSE)),5)</f>
        <v>3.49E-3</v>
      </c>
      <c r="M48" s="226"/>
      <c r="N48" s="223">
        <f t="shared" si="2"/>
        <v>1.8929999999999999E-2</v>
      </c>
      <c r="O48" s="223">
        <f t="shared" si="3"/>
        <v>2.2419999999999999E-2</v>
      </c>
      <c r="P48" s="220">
        <f>'Allocation = % of Margin'!U49</f>
        <v>-2.4000000000000001E-4</v>
      </c>
      <c r="Q48" s="937"/>
      <c r="R48" s="812">
        <f t="shared" si="12"/>
        <v>2.2179999999999998E-2</v>
      </c>
      <c r="S48" s="1162">
        <f>'Allocation = % of Margin'!O49</f>
        <v>0</v>
      </c>
      <c r="T48" s="220">
        <f>'Allocation = % of Margin'!R49</f>
        <v>-4.4999999999999999E-4</v>
      </c>
      <c r="U48" s="936"/>
      <c r="V48" s="825">
        <f t="shared" si="13"/>
        <v>-4.4999999999999999E-4</v>
      </c>
      <c r="W48" s="824">
        <f t="shared" si="6"/>
        <v>2.181E-2</v>
      </c>
      <c r="X48" s="1254"/>
      <c r="Y48" s="961">
        <f>ROUND(R48*(HLOOKUP($C$43,'Rate Spread Proposal'!$E$98:$AA$103,6,FALSE)),5)</f>
        <v>1.64E-3</v>
      </c>
      <c r="Z48" s="936">
        <f>'Allocation = % of Margin'!X49</f>
        <v>-2.0000000000000002E-5</v>
      </c>
      <c r="AA48" s="223">
        <f t="shared" si="7"/>
        <v>1.6199999999999999E-3</v>
      </c>
      <c r="AB48" s="998">
        <f t="shared" si="8"/>
        <v>2.3879999999999998E-2</v>
      </c>
      <c r="AC48" s="226"/>
      <c r="AD48" s="224"/>
      <c r="AE48" s="225"/>
      <c r="AF48" s="228"/>
      <c r="AG48" s="226"/>
      <c r="AH48" s="228"/>
      <c r="AI48" s="227"/>
      <c r="AJ48" s="226"/>
    </row>
    <row r="49" spans="1:36" x14ac:dyDescent="0.25">
      <c r="A49" s="133">
        <f t="shared" si="0"/>
        <v>43</v>
      </c>
      <c r="B49" s="133" t="str">
        <f>'WA Volumes &amp; Revenues'!B51</f>
        <v>42I Firm Transpt</v>
      </c>
      <c r="C49" s="133" t="s">
        <v>362</v>
      </c>
      <c r="D49" s="1510" t="s">
        <v>4</v>
      </c>
      <c r="E49" s="229">
        <v>0.13941000000000001</v>
      </c>
      <c r="F49" s="226">
        <v>0</v>
      </c>
      <c r="G49" s="226"/>
      <c r="H49" s="226"/>
      <c r="I49" s="228">
        <v>5.8999999999999992E-4</v>
      </c>
      <c r="J49" s="227">
        <f t="shared" ref="J49:J54" si="14">SUM(E49:I49)</f>
        <v>0.14000000000000001</v>
      </c>
      <c r="K49" s="226"/>
      <c r="L49" s="226">
        <f>ROUND(E49*(HLOOKUP($C$49,'Rate Spread Proposal'!$E$71:$AA$76,6,FALSE)),5)</f>
        <v>2.5739999999999999E-2</v>
      </c>
      <c r="M49" s="226"/>
      <c r="N49" s="230">
        <f t="shared" si="2"/>
        <v>0.13941000000000001</v>
      </c>
      <c r="O49" s="230">
        <f t="shared" si="3"/>
        <v>0.16515000000000002</v>
      </c>
      <c r="P49" s="226">
        <f>'Allocation = % of Margin'!U50</f>
        <v>-1.7700000000000001E-3</v>
      </c>
      <c r="Q49" s="939"/>
      <c r="R49" s="813">
        <f t="shared" si="12"/>
        <v>0.16338000000000003</v>
      </c>
      <c r="S49" s="1163">
        <f>'Allocation = % of Margin'!O50</f>
        <v>0</v>
      </c>
      <c r="T49" s="226">
        <f>'Allocation = % of Margin'!R50</f>
        <v>-3.3600000000000001E-3</v>
      </c>
      <c r="U49" s="938"/>
      <c r="V49" s="826">
        <f t="shared" si="13"/>
        <v>-3.3600000000000001E-3</v>
      </c>
      <c r="W49" s="827">
        <f t="shared" si="6"/>
        <v>0.16061000000000003</v>
      </c>
      <c r="X49" s="1254"/>
      <c r="Y49" s="960">
        <f>ROUND(R49*(HLOOKUP($C$49,'Rate Spread Proposal'!$E$98:$AA$103,6,FALSE)),5)</f>
        <v>1.2070000000000001E-2</v>
      </c>
      <c r="Z49" s="938">
        <f>'Allocation = % of Margin'!X50</f>
        <v>-1.7000000000000001E-4</v>
      </c>
      <c r="AA49" s="1459">
        <f t="shared" si="7"/>
        <v>1.1900000000000001E-2</v>
      </c>
      <c r="AB49" s="1461">
        <f t="shared" si="8"/>
        <v>0.17587000000000003</v>
      </c>
      <c r="AC49" s="226"/>
      <c r="AD49" s="224">
        <f>'WA Volumes &amp; Revenues'!O51</f>
        <v>1550</v>
      </c>
      <c r="AE49" s="225">
        <f>'WA Volumes &amp; Revenues'!N51</f>
        <v>1550</v>
      </c>
      <c r="AF49" s="228">
        <v>0.15748000000000001</v>
      </c>
      <c r="AG49" s="228">
        <f>AF49</f>
        <v>0.15748000000000001</v>
      </c>
      <c r="AH49" s="228"/>
      <c r="AI49" s="227"/>
      <c r="AJ49" s="226"/>
    </row>
    <row r="50" spans="1:36" x14ac:dyDescent="0.25">
      <c r="A50" s="133">
        <f t="shared" si="0"/>
        <v>44</v>
      </c>
      <c r="B50" s="133"/>
      <c r="C50" s="133"/>
      <c r="D50" s="1510" t="s">
        <v>5</v>
      </c>
      <c r="E50" s="229">
        <v>0.12478999999999997</v>
      </c>
      <c r="F50" s="226">
        <v>0</v>
      </c>
      <c r="G50" s="226"/>
      <c r="H50" s="226"/>
      <c r="I50" s="228">
        <v>5.2000000000000006E-4</v>
      </c>
      <c r="J50" s="227">
        <f t="shared" si="14"/>
        <v>0.12530999999999998</v>
      </c>
      <c r="K50" s="226"/>
      <c r="L50" s="226">
        <f>ROUND(E50*(HLOOKUP($C$49,'Rate Spread Proposal'!$E$71:$AA$76,6,FALSE)),5)</f>
        <v>2.3040000000000001E-2</v>
      </c>
      <c r="M50" s="226"/>
      <c r="N50" s="230">
        <f t="shared" si="2"/>
        <v>0.12478999999999997</v>
      </c>
      <c r="O50" s="230">
        <f t="shared" si="3"/>
        <v>0.14782999999999996</v>
      </c>
      <c r="P50" s="226">
        <f>'Allocation = % of Margin'!U51</f>
        <v>-1.5900000000000001E-3</v>
      </c>
      <c r="Q50" s="939"/>
      <c r="R50" s="813">
        <f t="shared" si="12"/>
        <v>0.14623999999999995</v>
      </c>
      <c r="S50" s="1163">
        <f>'Allocation = % of Margin'!O51</f>
        <v>0</v>
      </c>
      <c r="T50" s="226">
        <f>'Allocation = % of Margin'!R51</f>
        <v>-3.0000000000000001E-3</v>
      </c>
      <c r="U50" s="938"/>
      <c r="V50" s="826">
        <f t="shared" si="13"/>
        <v>-3.0000000000000001E-3</v>
      </c>
      <c r="W50" s="827">
        <f t="shared" si="6"/>
        <v>0.14375999999999994</v>
      </c>
      <c r="X50" s="1254"/>
      <c r="Y50" s="952">
        <f>ROUND(R50*(HLOOKUP($C$49,'Rate Spread Proposal'!$E$98:$AA$103,6,FALSE)),5)</f>
        <v>1.0800000000000001E-2</v>
      </c>
      <c r="Z50" s="938">
        <f>'Allocation = % of Margin'!X51</f>
        <v>-1.4999999999999999E-4</v>
      </c>
      <c r="AA50" s="230">
        <f t="shared" si="7"/>
        <v>1.065E-2</v>
      </c>
      <c r="AB50" s="1461">
        <f t="shared" si="8"/>
        <v>0.15740999999999994</v>
      </c>
      <c r="AC50" s="226"/>
      <c r="AD50" s="224"/>
      <c r="AE50" s="225"/>
      <c r="AF50" s="228"/>
      <c r="AG50" s="226"/>
      <c r="AH50" s="228"/>
      <c r="AI50" s="227"/>
      <c r="AJ50" s="226"/>
    </row>
    <row r="51" spans="1:36" x14ac:dyDescent="0.25">
      <c r="A51" s="133">
        <f t="shared" si="0"/>
        <v>45</v>
      </c>
      <c r="B51" s="133"/>
      <c r="C51" s="133"/>
      <c r="D51" s="1510" t="s">
        <v>6</v>
      </c>
      <c r="E51" s="229">
        <v>9.5690000000000011E-2</v>
      </c>
      <c r="F51" s="226">
        <v>0</v>
      </c>
      <c r="G51" s="226"/>
      <c r="H51" s="226"/>
      <c r="I51" s="228">
        <v>4.1000000000000005E-4</v>
      </c>
      <c r="J51" s="227">
        <f t="shared" si="14"/>
        <v>9.6100000000000005E-2</v>
      </c>
      <c r="K51" s="226"/>
      <c r="L51" s="226">
        <f>ROUND(E51*(HLOOKUP($C$49,'Rate Spread Proposal'!$E$71:$AA$76,6,FALSE)),5)</f>
        <v>1.7670000000000002E-2</v>
      </c>
      <c r="M51" s="226"/>
      <c r="N51" s="230">
        <f t="shared" si="2"/>
        <v>9.5690000000000011E-2</v>
      </c>
      <c r="O51" s="230">
        <f t="shared" si="3"/>
        <v>0.11336000000000002</v>
      </c>
      <c r="P51" s="226">
        <f>'Allocation = % of Margin'!U52</f>
        <v>-1.2199999999999999E-3</v>
      </c>
      <c r="Q51" s="939"/>
      <c r="R51" s="813">
        <f t="shared" si="12"/>
        <v>0.11214000000000002</v>
      </c>
      <c r="S51" s="1163">
        <f>'Allocation = % of Margin'!O52</f>
        <v>0</v>
      </c>
      <c r="T51" s="226">
        <f>'Allocation = % of Margin'!R52</f>
        <v>-2.3E-3</v>
      </c>
      <c r="U51" s="938"/>
      <c r="V51" s="826">
        <f t="shared" si="13"/>
        <v>-2.3E-3</v>
      </c>
      <c r="W51" s="827">
        <f t="shared" si="6"/>
        <v>0.11025000000000001</v>
      </c>
      <c r="X51" s="1254"/>
      <c r="Y51" s="952">
        <f>ROUND(R51*(HLOOKUP($C$49,'Rate Spread Proposal'!$E$98:$AA$103,6,FALSE)),5)</f>
        <v>8.2799999999999992E-3</v>
      </c>
      <c r="Z51" s="938">
        <f>'Allocation = % of Margin'!X52</f>
        <v>-1.2E-4</v>
      </c>
      <c r="AA51" s="230">
        <f t="shared" si="7"/>
        <v>8.1599999999999989E-3</v>
      </c>
      <c r="AB51" s="1461">
        <f t="shared" si="8"/>
        <v>0.12071000000000001</v>
      </c>
      <c r="AC51" s="226"/>
      <c r="AD51" s="224"/>
      <c r="AE51" s="225"/>
      <c r="AF51" s="228"/>
      <c r="AG51" s="226"/>
      <c r="AH51" s="228"/>
      <c r="AI51" s="227"/>
      <c r="AJ51" s="226"/>
    </row>
    <row r="52" spans="1:36" x14ac:dyDescent="0.25">
      <c r="A52" s="133">
        <f t="shared" si="0"/>
        <v>46</v>
      </c>
      <c r="B52" s="133"/>
      <c r="C52" s="133"/>
      <c r="D52" s="1510" t="s">
        <v>7</v>
      </c>
      <c r="E52" s="229">
        <v>7.6560000000000017E-2</v>
      </c>
      <c r="F52" s="226">
        <v>0</v>
      </c>
      <c r="G52" s="226"/>
      <c r="H52" s="226"/>
      <c r="I52" s="228">
        <v>3.1999999999999997E-4</v>
      </c>
      <c r="J52" s="227">
        <f t="shared" si="14"/>
        <v>7.6880000000000018E-2</v>
      </c>
      <c r="K52" s="226"/>
      <c r="L52" s="226">
        <f>ROUND(E52*(HLOOKUP($C$49,'Rate Spread Proposal'!$E$71:$AA$76,6,FALSE)),5)</f>
        <v>1.414E-2</v>
      </c>
      <c r="M52" s="226"/>
      <c r="N52" s="230">
        <f t="shared" si="2"/>
        <v>7.6560000000000017E-2</v>
      </c>
      <c r="O52" s="230">
        <f t="shared" si="3"/>
        <v>9.0700000000000017E-2</v>
      </c>
      <c r="P52" s="226">
        <f>'Allocation = % of Margin'!U53</f>
        <v>-9.7000000000000005E-4</v>
      </c>
      <c r="Q52" s="939"/>
      <c r="R52" s="813">
        <f t="shared" si="12"/>
        <v>8.9730000000000018E-2</v>
      </c>
      <c r="S52" s="1163">
        <f>'Allocation = % of Margin'!O53</f>
        <v>0</v>
      </c>
      <c r="T52" s="226">
        <f>'Allocation = % of Margin'!R53</f>
        <v>-1.8400000000000001E-3</v>
      </c>
      <c r="U52" s="938"/>
      <c r="V52" s="826">
        <f t="shared" si="13"/>
        <v>-1.8400000000000001E-3</v>
      </c>
      <c r="W52" s="827">
        <f t="shared" si="6"/>
        <v>8.8210000000000025E-2</v>
      </c>
      <c r="X52" s="1254"/>
      <c r="Y52" s="952">
        <f>ROUND(R52*(HLOOKUP($C$49,'Rate Spread Proposal'!$E$98:$AA$103,6,FALSE)),5)</f>
        <v>6.6299999999999996E-3</v>
      </c>
      <c r="Z52" s="938">
        <f>'Allocation = % of Margin'!X53</f>
        <v>-9.0000000000000006E-5</v>
      </c>
      <c r="AA52" s="230">
        <f t="shared" si="7"/>
        <v>6.5399999999999998E-3</v>
      </c>
      <c r="AB52" s="1461">
        <f t="shared" si="8"/>
        <v>9.6590000000000023E-2</v>
      </c>
      <c r="AC52" s="226"/>
      <c r="AD52" s="224"/>
      <c r="AE52" s="225"/>
      <c r="AF52" s="228"/>
      <c r="AG52" s="226"/>
      <c r="AH52" s="228"/>
      <c r="AI52" s="227"/>
      <c r="AJ52" s="226"/>
    </row>
    <row r="53" spans="1:36" x14ac:dyDescent="0.25">
      <c r="A53" s="133">
        <f t="shared" si="0"/>
        <v>47</v>
      </c>
      <c r="B53" s="133"/>
      <c r="C53" s="133"/>
      <c r="D53" s="1510" t="s">
        <v>8</v>
      </c>
      <c r="E53" s="229">
        <v>5.1040000000000002E-2</v>
      </c>
      <c r="F53" s="226">
        <v>0</v>
      </c>
      <c r="G53" s="226"/>
      <c r="H53" s="226"/>
      <c r="I53" s="228">
        <v>2.1000000000000001E-4</v>
      </c>
      <c r="J53" s="227">
        <f t="shared" si="14"/>
        <v>5.1250000000000004E-2</v>
      </c>
      <c r="K53" s="226"/>
      <c r="L53" s="226">
        <f>ROUND(E53*(HLOOKUP($C$49,'Rate Spread Proposal'!$E$71:$AA$76,6,FALSE)),5)</f>
        <v>9.4199999999999996E-3</v>
      </c>
      <c r="M53" s="226"/>
      <c r="N53" s="230">
        <f t="shared" si="2"/>
        <v>5.1040000000000002E-2</v>
      </c>
      <c r="O53" s="230">
        <f t="shared" si="3"/>
        <v>6.046E-2</v>
      </c>
      <c r="P53" s="226">
        <f>'Allocation = % of Margin'!U54</f>
        <v>-6.4999999999999997E-4</v>
      </c>
      <c r="Q53" s="939"/>
      <c r="R53" s="813">
        <f t="shared" si="12"/>
        <v>5.9810000000000002E-2</v>
      </c>
      <c r="S53" s="1163">
        <f>'Allocation = % of Margin'!O54</f>
        <v>0</v>
      </c>
      <c r="T53" s="226">
        <f>'Allocation = % of Margin'!R54</f>
        <v>-1.23E-3</v>
      </c>
      <c r="U53" s="938"/>
      <c r="V53" s="826">
        <f t="shared" si="13"/>
        <v>-1.23E-3</v>
      </c>
      <c r="W53" s="827">
        <f t="shared" si="6"/>
        <v>5.8790000000000002E-2</v>
      </c>
      <c r="X53" s="1254"/>
      <c r="Y53" s="952">
        <f>ROUND(R53*(HLOOKUP($C$49,'Rate Spread Proposal'!$E$98:$AA$103,6,FALSE)),5)</f>
        <v>4.4200000000000003E-3</v>
      </c>
      <c r="Z53" s="938">
        <f>'Allocation = % of Margin'!X54</f>
        <v>-6.0000000000000002E-5</v>
      </c>
      <c r="AA53" s="230">
        <f t="shared" si="7"/>
        <v>4.3600000000000002E-3</v>
      </c>
      <c r="AB53" s="1461">
        <f t="shared" si="8"/>
        <v>6.4379999999999993E-2</v>
      </c>
      <c r="AC53" s="226"/>
      <c r="AD53" s="224"/>
      <c r="AE53" s="225"/>
      <c r="AF53" s="228"/>
      <c r="AG53" s="226"/>
      <c r="AH53" s="228"/>
      <c r="AI53" s="227"/>
      <c r="AJ53" s="226"/>
    </row>
    <row r="54" spans="1:36" x14ac:dyDescent="0.25">
      <c r="A54" s="133">
        <f t="shared" si="0"/>
        <v>48</v>
      </c>
      <c r="B54" s="1509"/>
      <c r="C54" s="1509"/>
      <c r="D54" s="1512" t="s">
        <v>9</v>
      </c>
      <c r="E54" s="218">
        <v>1.9140000000000001E-2</v>
      </c>
      <c r="F54" s="220">
        <v>0</v>
      </c>
      <c r="G54" s="220"/>
      <c r="H54" s="220"/>
      <c r="I54" s="219">
        <v>7.9999999999999993E-5</v>
      </c>
      <c r="J54" s="221">
        <f t="shared" si="14"/>
        <v>1.9220000000000001E-2</v>
      </c>
      <c r="K54" s="226"/>
      <c r="L54" s="220">
        <f>ROUND(E54*(HLOOKUP($C$49,'Rate Spread Proposal'!$E$71:$AA$76,6,FALSE)),5)</f>
        <v>3.5300000000000002E-3</v>
      </c>
      <c r="M54" s="226"/>
      <c r="N54" s="223">
        <f t="shared" si="2"/>
        <v>1.9140000000000001E-2</v>
      </c>
      <c r="O54" s="223">
        <f t="shared" si="3"/>
        <v>2.2670000000000003E-2</v>
      </c>
      <c r="P54" s="220">
        <f>'Allocation = % of Margin'!U55</f>
        <v>-2.4000000000000001E-4</v>
      </c>
      <c r="Q54" s="937"/>
      <c r="R54" s="812">
        <f t="shared" si="12"/>
        <v>2.2430000000000002E-2</v>
      </c>
      <c r="S54" s="1162">
        <f>'Allocation = % of Margin'!O55</f>
        <v>0</v>
      </c>
      <c r="T54" s="220">
        <f>'Allocation = % of Margin'!R55</f>
        <v>-4.6000000000000001E-4</v>
      </c>
      <c r="U54" s="936"/>
      <c r="V54" s="825">
        <f t="shared" si="13"/>
        <v>-4.6000000000000001E-4</v>
      </c>
      <c r="W54" s="824">
        <f t="shared" si="6"/>
        <v>2.2050000000000004E-2</v>
      </c>
      <c r="X54" s="1254"/>
      <c r="Y54" s="952">
        <f>ROUND(R54*(HLOOKUP($C$49,'Rate Spread Proposal'!$E$98:$AA$103,6,FALSE)),5)</f>
        <v>1.66E-3</v>
      </c>
      <c r="Z54" s="936">
        <f>'Allocation = % of Margin'!X55</f>
        <v>-2.0000000000000002E-5</v>
      </c>
      <c r="AA54" s="230">
        <f t="shared" si="7"/>
        <v>1.64E-3</v>
      </c>
      <c r="AB54" s="998">
        <f t="shared" si="8"/>
        <v>2.4150000000000001E-2</v>
      </c>
      <c r="AC54" s="226"/>
      <c r="AD54" s="224"/>
      <c r="AE54" s="225"/>
      <c r="AF54" s="228"/>
      <c r="AG54" s="226"/>
      <c r="AH54" s="228"/>
      <c r="AI54" s="227"/>
      <c r="AJ54" s="226"/>
    </row>
    <row r="55" spans="1:36" x14ac:dyDescent="0.25">
      <c r="A55" s="133">
        <f t="shared" si="0"/>
        <v>49</v>
      </c>
      <c r="B55" s="133" t="str">
        <f>'WA Volumes &amp; Revenues'!B57</f>
        <v>42C Interr Sales</v>
      </c>
      <c r="C55" s="133" t="s">
        <v>363</v>
      </c>
      <c r="D55" s="1510" t="s">
        <v>4</v>
      </c>
      <c r="E55" s="229">
        <v>0.13682000000000002</v>
      </c>
      <c r="F55" s="226">
        <f t="shared" ref="F55:F66" si="15">+$F$13</f>
        <v>0.26333000000000001</v>
      </c>
      <c r="G55" s="226"/>
      <c r="H55" s="226"/>
      <c r="I55" s="228">
        <v>2.334E-2</v>
      </c>
      <c r="J55" s="227">
        <f t="shared" si="1"/>
        <v>0.42349000000000003</v>
      </c>
      <c r="K55" s="226"/>
      <c r="L55" s="226">
        <f>ROUND(E55*(HLOOKUP($C$55,'Rate Spread Proposal'!$E$71:$AA$76,6,FALSE)),5)</f>
        <v>2.6700000000000002E-2</v>
      </c>
      <c r="M55" s="226"/>
      <c r="N55" s="230">
        <f t="shared" si="2"/>
        <v>0.13682000000000002</v>
      </c>
      <c r="O55" s="230">
        <f t="shared" si="3"/>
        <v>0.16352000000000003</v>
      </c>
      <c r="P55" s="226">
        <f>'Allocation = % of Margin'!U56</f>
        <v>-1.8400000000000001E-3</v>
      </c>
      <c r="Q55" s="939"/>
      <c r="R55" s="813">
        <f t="shared" si="12"/>
        <v>0.16168000000000002</v>
      </c>
      <c r="S55" s="1163">
        <f>'Allocation = % of Margin'!O56</f>
        <v>-6.3E-3</v>
      </c>
      <c r="T55" s="226">
        <f>'Allocation = % of Margin'!R56</f>
        <v>-3.48E-3</v>
      </c>
      <c r="U55" s="938"/>
      <c r="V55" s="826">
        <f t="shared" si="13"/>
        <v>-9.7800000000000005E-3</v>
      </c>
      <c r="W55" s="827">
        <f t="shared" si="6"/>
        <v>0.43857000000000002</v>
      </c>
      <c r="X55" s="1254"/>
      <c r="Y55" s="960">
        <f>ROUND(R55*(HLOOKUP($C$55,'Rate Spread Proposal'!$E$98:$AA$103,6,FALSE)),5)</f>
        <v>1.252E-2</v>
      </c>
      <c r="Z55" s="938">
        <f>'Allocation = % of Margin'!X56</f>
        <v>-1.8000000000000001E-4</v>
      </c>
      <c r="AA55" s="1459">
        <f t="shared" si="7"/>
        <v>1.234E-2</v>
      </c>
      <c r="AB55" s="1461">
        <f t="shared" si="8"/>
        <v>0.46068999999999999</v>
      </c>
      <c r="AC55" s="226"/>
      <c r="AD55" s="224">
        <f>'WA Volumes &amp; Revenues'!O57</f>
        <v>1300</v>
      </c>
      <c r="AE55" s="225">
        <f>'WA Volumes &amp; Revenues'!N57</f>
        <v>1300</v>
      </c>
      <c r="AF55" s="228"/>
      <c r="AG55" s="226"/>
      <c r="AH55" s="228"/>
      <c r="AI55" s="227"/>
      <c r="AJ55" s="226"/>
    </row>
    <row r="56" spans="1:36" x14ac:dyDescent="0.25">
      <c r="A56" s="133">
        <f t="shared" si="0"/>
        <v>50</v>
      </c>
      <c r="B56" s="133"/>
      <c r="C56" s="133"/>
      <c r="D56" s="1510" t="s">
        <v>5</v>
      </c>
      <c r="E56" s="229">
        <v>0.12246999999999988</v>
      </c>
      <c r="F56" s="226">
        <f t="shared" si="15"/>
        <v>0.26333000000000001</v>
      </c>
      <c r="G56" s="226"/>
      <c r="H56" s="226"/>
      <c r="I56" s="228">
        <v>2.0999999999999998E-2</v>
      </c>
      <c r="J56" s="227">
        <f t="shared" si="1"/>
        <v>0.40679999999999994</v>
      </c>
      <c r="K56" s="226"/>
      <c r="L56" s="226">
        <f>ROUND(E56*(HLOOKUP($C$55,'Rate Spread Proposal'!$E$71:$AA$76,6,FALSE)),5)</f>
        <v>2.3900000000000001E-2</v>
      </c>
      <c r="M56" s="226"/>
      <c r="N56" s="230">
        <f t="shared" si="2"/>
        <v>0.12246999999999994</v>
      </c>
      <c r="O56" s="230">
        <f t="shared" si="3"/>
        <v>0.14636999999999994</v>
      </c>
      <c r="P56" s="226">
        <f>'Allocation = % of Margin'!U57</f>
        <v>-1.64E-3</v>
      </c>
      <c r="Q56" s="939"/>
      <c r="R56" s="813">
        <f t="shared" si="12"/>
        <v>0.14472999999999994</v>
      </c>
      <c r="S56" s="1163">
        <f>'Allocation = % of Margin'!O57</f>
        <v>-5.64E-3</v>
      </c>
      <c r="T56" s="226">
        <f>'Allocation = % of Margin'!R57</f>
        <v>-3.1199999999999999E-3</v>
      </c>
      <c r="U56" s="938"/>
      <c r="V56" s="826">
        <f t="shared" si="13"/>
        <v>-8.7600000000000004E-3</v>
      </c>
      <c r="W56" s="827">
        <f t="shared" si="6"/>
        <v>0.42030000000000001</v>
      </c>
      <c r="X56" s="1254"/>
      <c r="Y56" s="952">
        <f>ROUND(R56*(HLOOKUP($C$55,'Rate Spread Proposal'!$E$98:$AA$103,6,FALSE)),5)</f>
        <v>1.1209999999999999E-2</v>
      </c>
      <c r="Z56" s="938">
        <f>'Allocation = % of Margin'!X57</f>
        <v>-1.6000000000000001E-4</v>
      </c>
      <c r="AA56" s="230">
        <f t="shared" si="7"/>
        <v>1.1049999999999999E-2</v>
      </c>
      <c r="AB56" s="1461">
        <f t="shared" si="8"/>
        <v>0.44011</v>
      </c>
      <c r="AC56" s="226"/>
      <c r="AD56" s="787"/>
      <c r="AE56" s="132"/>
      <c r="AF56" s="228"/>
      <c r="AG56" s="226"/>
      <c r="AH56" s="228"/>
      <c r="AI56" s="227"/>
      <c r="AJ56" s="226"/>
    </row>
    <row r="57" spans="1:36" x14ac:dyDescent="0.25">
      <c r="A57" s="133">
        <f t="shared" si="0"/>
        <v>51</v>
      </c>
      <c r="B57" s="133"/>
      <c r="C57" s="133"/>
      <c r="D57" s="1510" t="s">
        <v>6</v>
      </c>
      <c r="E57" s="229">
        <v>9.3909999999999993E-2</v>
      </c>
      <c r="F57" s="226">
        <f t="shared" si="15"/>
        <v>0.26333000000000001</v>
      </c>
      <c r="G57" s="226"/>
      <c r="H57" s="226"/>
      <c r="I57" s="228">
        <v>1.6370000000000003E-2</v>
      </c>
      <c r="J57" s="227">
        <f t="shared" si="1"/>
        <v>0.37361</v>
      </c>
      <c r="K57" s="226"/>
      <c r="L57" s="226">
        <f>ROUND(E57*(HLOOKUP($C$55,'Rate Spread Proposal'!$E$71:$AA$76,6,FALSE)),5)</f>
        <v>1.8329999999999999E-2</v>
      </c>
      <c r="M57" s="226"/>
      <c r="N57" s="230">
        <f t="shared" si="2"/>
        <v>9.3909999999999993E-2</v>
      </c>
      <c r="O57" s="230">
        <f t="shared" si="3"/>
        <v>0.11223999999999999</v>
      </c>
      <c r="P57" s="226">
        <f>'Allocation = % of Margin'!U58</f>
        <v>-1.2600000000000001E-3</v>
      </c>
      <c r="Q57" s="939"/>
      <c r="R57" s="813">
        <f t="shared" si="12"/>
        <v>0.11098</v>
      </c>
      <c r="S57" s="1163">
        <f>'Allocation = % of Margin'!O58</f>
        <v>-4.3200000000000001E-3</v>
      </c>
      <c r="T57" s="226">
        <f>'Allocation = % of Margin'!R58</f>
        <v>-2.3900000000000002E-3</v>
      </c>
      <c r="U57" s="938"/>
      <c r="V57" s="826">
        <f t="shared" si="13"/>
        <v>-6.7100000000000007E-3</v>
      </c>
      <c r="W57" s="827">
        <f t="shared" si="6"/>
        <v>0.38397000000000003</v>
      </c>
      <c r="X57" s="1254"/>
      <c r="Y57" s="952">
        <f>ROUND(R57*(HLOOKUP($C$55,'Rate Spread Proposal'!$E$98:$AA$103,6,FALSE)),5)</f>
        <v>8.5900000000000004E-3</v>
      </c>
      <c r="Z57" s="938">
        <f>'Allocation = % of Margin'!X58</f>
        <v>-1.2E-4</v>
      </c>
      <c r="AA57" s="230">
        <f t="shared" si="7"/>
        <v>8.4700000000000001E-3</v>
      </c>
      <c r="AB57" s="1461">
        <f t="shared" si="8"/>
        <v>0.39915</v>
      </c>
      <c r="AC57" s="226"/>
      <c r="AD57" s="224"/>
      <c r="AE57" s="225"/>
      <c r="AF57" s="228"/>
      <c r="AG57" s="226"/>
      <c r="AH57" s="228"/>
      <c r="AI57" s="227"/>
      <c r="AJ57" s="226"/>
    </row>
    <row r="58" spans="1:36" x14ac:dyDescent="0.25">
      <c r="A58" s="133">
        <f t="shared" si="0"/>
        <v>52</v>
      </c>
      <c r="B58" s="133"/>
      <c r="C58" s="133"/>
      <c r="D58" s="1510" t="s">
        <v>7</v>
      </c>
      <c r="E58" s="229">
        <v>7.5130000000000044E-2</v>
      </c>
      <c r="F58" s="226">
        <f t="shared" si="15"/>
        <v>0.26333000000000001</v>
      </c>
      <c r="G58" s="226"/>
      <c r="H58" s="226"/>
      <c r="I58" s="228">
        <v>1.3339999999999999E-2</v>
      </c>
      <c r="J58" s="227">
        <f t="shared" si="1"/>
        <v>0.35180000000000006</v>
      </c>
      <c r="K58" s="226"/>
      <c r="L58" s="226">
        <f>ROUND(E58*(HLOOKUP($C$55,'Rate Spread Proposal'!$E$71:$AA$76,6,FALSE)),5)</f>
        <v>1.4659999999999999E-2</v>
      </c>
      <c r="M58" s="226"/>
      <c r="N58" s="230">
        <f t="shared" si="2"/>
        <v>7.5130000000000044E-2</v>
      </c>
      <c r="O58" s="230">
        <f t="shared" si="3"/>
        <v>8.9790000000000036E-2</v>
      </c>
      <c r="P58" s="226">
        <f>'Allocation = % of Margin'!U59</f>
        <v>-1.01E-3</v>
      </c>
      <c r="Q58" s="939"/>
      <c r="R58" s="813">
        <f t="shared" si="12"/>
        <v>8.8780000000000039E-2</v>
      </c>
      <c r="S58" s="1163">
        <f>'Allocation = % of Margin'!O59</f>
        <v>-3.46E-3</v>
      </c>
      <c r="T58" s="226">
        <f>'Allocation = % of Margin'!R59</f>
        <v>-1.91E-3</v>
      </c>
      <c r="U58" s="938"/>
      <c r="V58" s="826">
        <f t="shared" si="13"/>
        <v>-5.3699999999999998E-3</v>
      </c>
      <c r="W58" s="827">
        <f t="shared" si="6"/>
        <v>0.36008000000000007</v>
      </c>
      <c r="X58" s="1254"/>
      <c r="Y58" s="952">
        <f>ROUND(R58*(HLOOKUP($C$55,'Rate Spread Proposal'!$E$98:$AA$103,6,FALSE)),5)</f>
        <v>6.8799999999999998E-3</v>
      </c>
      <c r="Z58" s="938">
        <f>'Allocation = % of Margin'!X59</f>
        <v>-1E-4</v>
      </c>
      <c r="AA58" s="230">
        <f t="shared" si="7"/>
        <v>6.7799999999999996E-3</v>
      </c>
      <c r="AB58" s="1461">
        <f t="shared" si="8"/>
        <v>0.37223000000000012</v>
      </c>
      <c r="AC58" s="226"/>
      <c r="AD58" s="224"/>
      <c r="AE58" s="225"/>
      <c r="AF58" s="228"/>
      <c r="AG58" s="226"/>
      <c r="AH58" s="228"/>
      <c r="AI58" s="227"/>
      <c r="AJ58" s="226"/>
    </row>
    <row r="59" spans="1:36" x14ac:dyDescent="0.25">
      <c r="A59" s="133">
        <f t="shared" si="0"/>
        <v>53</v>
      </c>
      <c r="B59" s="133"/>
      <c r="C59" s="133"/>
      <c r="D59" s="1510" t="s">
        <v>8</v>
      </c>
      <c r="E59" s="229">
        <v>5.0089999999999968E-2</v>
      </c>
      <c r="F59" s="226">
        <f t="shared" si="15"/>
        <v>0.26333000000000001</v>
      </c>
      <c r="G59" s="226"/>
      <c r="H59" s="226"/>
      <c r="I59" s="228">
        <v>9.2699999999999987E-3</v>
      </c>
      <c r="J59" s="227">
        <f t="shared" si="1"/>
        <v>0.32268999999999998</v>
      </c>
      <c r="K59" s="226"/>
      <c r="L59" s="226">
        <f>ROUND(E59*(HLOOKUP($C$55,'Rate Spread Proposal'!$E$71:$AA$76,6,FALSE)),5)</f>
        <v>9.7800000000000005E-3</v>
      </c>
      <c r="M59" s="226"/>
      <c r="N59" s="230">
        <f t="shared" si="2"/>
        <v>5.0089999999999968E-2</v>
      </c>
      <c r="O59" s="230">
        <f t="shared" si="3"/>
        <v>5.9869999999999965E-2</v>
      </c>
      <c r="P59" s="226">
        <f>'Allocation = % of Margin'!U60</f>
        <v>-6.7000000000000002E-4</v>
      </c>
      <c r="Q59" s="939"/>
      <c r="R59" s="813">
        <f t="shared" si="12"/>
        <v>5.9199999999999968E-2</v>
      </c>
      <c r="S59" s="1163">
        <f>'Allocation = % of Margin'!O60</f>
        <v>-2.31E-3</v>
      </c>
      <c r="T59" s="226">
        <f>'Allocation = % of Margin'!R60</f>
        <v>-1.2700000000000001E-3</v>
      </c>
      <c r="U59" s="938"/>
      <c r="V59" s="826">
        <f t="shared" si="13"/>
        <v>-3.5799999999999998E-3</v>
      </c>
      <c r="W59" s="827">
        <f t="shared" si="6"/>
        <v>0.32821999999999996</v>
      </c>
      <c r="X59" s="1254"/>
      <c r="Y59" s="952">
        <f>ROUND(R59*(HLOOKUP($C$55,'Rate Spread Proposal'!$E$98:$AA$103,6,FALSE)),5)</f>
        <v>4.5799999999999999E-3</v>
      </c>
      <c r="Z59" s="938">
        <f>'Allocation = % of Margin'!X60</f>
        <v>-6.0000000000000002E-5</v>
      </c>
      <c r="AA59" s="230">
        <f t="shared" si="7"/>
        <v>4.5199999999999997E-3</v>
      </c>
      <c r="AB59" s="1461">
        <f t="shared" si="8"/>
        <v>0.33631999999999995</v>
      </c>
      <c r="AC59" s="226"/>
      <c r="AD59" s="224"/>
      <c r="AE59" s="225"/>
      <c r="AF59" s="228"/>
      <c r="AG59" s="226"/>
      <c r="AH59" s="228"/>
      <c r="AI59" s="227"/>
      <c r="AJ59" s="226"/>
    </row>
    <row r="60" spans="1:36" x14ac:dyDescent="0.25">
      <c r="A60" s="133">
        <f t="shared" si="0"/>
        <v>54</v>
      </c>
      <c r="B60" s="1509"/>
      <c r="C60" s="1509"/>
      <c r="D60" s="1512" t="s">
        <v>9</v>
      </c>
      <c r="E60" s="218">
        <v>1.8790000000000001E-2</v>
      </c>
      <c r="F60" s="220">
        <f t="shared" si="15"/>
        <v>0.26333000000000001</v>
      </c>
      <c r="G60" s="220"/>
      <c r="H60" s="220"/>
      <c r="I60" s="219">
        <v>4.1999999999999989E-3</v>
      </c>
      <c r="J60" s="221">
        <f t="shared" si="1"/>
        <v>0.28632000000000002</v>
      </c>
      <c r="K60" s="226"/>
      <c r="L60" s="220">
        <f>ROUND(E60*(HLOOKUP($C$55,'Rate Spread Proposal'!$E$71:$AA$76,6,FALSE)),5)</f>
        <v>3.6700000000000001E-3</v>
      </c>
      <c r="M60" s="226"/>
      <c r="N60" s="223">
        <f t="shared" si="2"/>
        <v>1.8790000000000012E-2</v>
      </c>
      <c r="O60" s="223">
        <f t="shared" si="3"/>
        <v>2.2460000000000011E-2</v>
      </c>
      <c r="P60" s="220">
        <f>'Allocation = % of Margin'!U61</f>
        <v>-2.5000000000000001E-4</v>
      </c>
      <c r="Q60" s="937"/>
      <c r="R60" s="812">
        <f t="shared" si="12"/>
        <v>2.2210000000000011E-2</v>
      </c>
      <c r="S60" s="1162">
        <f>'Allocation = % of Margin'!O61</f>
        <v>-8.7000000000000001E-4</v>
      </c>
      <c r="T60" s="220">
        <f>'Allocation = % of Margin'!R61</f>
        <v>-4.8000000000000001E-4</v>
      </c>
      <c r="U60" s="936"/>
      <c r="V60" s="825">
        <f t="shared" si="13"/>
        <v>-1.3500000000000001E-3</v>
      </c>
      <c r="W60" s="824">
        <f t="shared" si="6"/>
        <v>0.28838999999999998</v>
      </c>
      <c r="X60" s="1254"/>
      <c r="Y60" s="961">
        <f>ROUND(R60*(HLOOKUP($C$55,'Rate Spread Proposal'!$E$98:$AA$103,6,FALSE)),5)</f>
        <v>1.72E-3</v>
      </c>
      <c r="Z60" s="936">
        <f>'Allocation = % of Margin'!X61</f>
        <v>-2.0000000000000002E-5</v>
      </c>
      <c r="AA60" s="223">
        <f t="shared" si="7"/>
        <v>1.6999999999999999E-3</v>
      </c>
      <c r="AB60" s="998">
        <f t="shared" si="8"/>
        <v>0.29143999999999992</v>
      </c>
      <c r="AC60" s="226"/>
      <c r="AD60" s="224"/>
      <c r="AE60" s="225"/>
      <c r="AF60" s="228"/>
      <c r="AG60" s="226"/>
      <c r="AH60" s="228"/>
      <c r="AI60" s="227"/>
      <c r="AJ60" s="226"/>
    </row>
    <row r="61" spans="1:36" x14ac:dyDescent="0.25">
      <c r="A61" s="133">
        <f t="shared" si="0"/>
        <v>55</v>
      </c>
      <c r="B61" s="133" t="str">
        <f>'WA Volumes &amp; Revenues'!B63</f>
        <v>42I Interr Sales</v>
      </c>
      <c r="C61" s="133" t="s">
        <v>364</v>
      </c>
      <c r="D61" s="1510" t="s">
        <v>4</v>
      </c>
      <c r="E61" s="229">
        <v>0.14583999999999989</v>
      </c>
      <c r="F61" s="226">
        <f t="shared" si="15"/>
        <v>0.26333000000000001</v>
      </c>
      <c r="G61" s="226"/>
      <c r="H61" s="226"/>
      <c r="I61" s="228">
        <v>6.9699999999999996E-3</v>
      </c>
      <c r="J61" s="227">
        <f t="shared" si="1"/>
        <v>0.4161399999999999</v>
      </c>
      <c r="K61" s="226"/>
      <c r="L61" s="226">
        <f>ROUND(E61*(HLOOKUP($C$61,'Rate Spread Proposal'!$E$71:$AA$76,6,FALSE)),5)</f>
        <v>3.6839999999999998E-2</v>
      </c>
      <c r="M61" s="226"/>
      <c r="N61" s="230">
        <f t="shared" si="2"/>
        <v>0.14583999999999989</v>
      </c>
      <c r="O61" s="230">
        <f t="shared" si="3"/>
        <v>0.1826799999999999</v>
      </c>
      <c r="P61" s="226">
        <f>'Allocation = % of Margin'!U62</f>
        <v>-2.5400000000000002E-3</v>
      </c>
      <c r="Q61" s="939"/>
      <c r="R61" s="813">
        <f t="shared" si="12"/>
        <v>0.18013999999999991</v>
      </c>
      <c r="S61" s="1163">
        <f>'Allocation = % of Margin'!O62</f>
        <v>0</v>
      </c>
      <c r="T61" s="226">
        <f>'Allocation = % of Margin'!R62</f>
        <v>-4.7999999999999996E-3</v>
      </c>
      <c r="U61" s="938"/>
      <c r="V61" s="826">
        <f t="shared" si="13"/>
        <v>-4.7999999999999996E-3</v>
      </c>
      <c r="W61" s="827">
        <f t="shared" si="6"/>
        <v>0.44563999999999993</v>
      </c>
      <c r="X61" s="1254"/>
      <c r="Y61" s="960">
        <f>ROUND(R61*(HLOOKUP($C$61,'Rate Spread Proposal'!$E$98:$AA$103,6,FALSE)),5)</f>
        <v>1.728E-2</v>
      </c>
      <c r="Z61" s="938">
        <f>'Allocation = % of Margin'!X62</f>
        <v>-2.4000000000000001E-4</v>
      </c>
      <c r="AA61" s="1459">
        <f t="shared" si="7"/>
        <v>1.704E-2</v>
      </c>
      <c r="AB61" s="1461">
        <f t="shared" si="8"/>
        <v>0.46747999999999995</v>
      </c>
      <c r="AC61" s="226"/>
      <c r="AD61" s="224">
        <f>'WA Volumes &amp; Revenues'!O63</f>
        <v>1300</v>
      </c>
      <c r="AE61" s="225">
        <f>'WA Volumes &amp; Revenues'!N63</f>
        <v>1300</v>
      </c>
      <c r="AF61" s="228"/>
      <c r="AG61" s="226"/>
      <c r="AH61" s="228"/>
      <c r="AI61" s="227"/>
      <c r="AJ61" s="226"/>
    </row>
    <row r="62" spans="1:36" x14ac:dyDescent="0.25">
      <c r="A62" s="133">
        <f t="shared" si="0"/>
        <v>56</v>
      </c>
      <c r="B62" s="133"/>
      <c r="C62" s="133"/>
      <c r="D62" s="1510" t="s">
        <v>5</v>
      </c>
      <c r="E62" s="229">
        <v>0.13054999999999992</v>
      </c>
      <c r="F62" s="226">
        <f t="shared" si="15"/>
        <v>0.26333000000000001</v>
      </c>
      <c r="G62" s="226"/>
      <c r="H62" s="226"/>
      <c r="I62" s="228">
        <v>6.3499999999999997E-3</v>
      </c>
      <c r="J62" s="227">
        <f t="shared" si="1"/>
        <v>0.40022999999999992</v>
      </c>
      <c r="K62" s="226"/>
      <c r="L62" s="226">
        <f>ROUND(E62*(HLOOKUP($C$61,'Rate Spread Proposal'!$E$71:$AA$76,6,FALSE)),5)</f>
        <v>3.2980000000000002E-2</v>
      </c>
      <c r="M62" s="226"/>
      <c r="N62" s="230">
        <f t="shared" si="2"/>
        <v>0.13054999999999992</v>
      </c>
      <c r="O62" s="230">
        <f t="shared" si="3"/>
        <v>0.16352999999999993</v>
      </c>
      <c r="P62" s="226">
        <f>'Allocation = % of Margin'!U63</f>
        <v>-2.2699999999999999E-3</v>
      </c>
      <c r="Q62" s="939"/>
      <c r="R62" s="813">
        <f t="shared" si="12"/>
        <v>0.16125999999999993</v>
      </c>
      <c r="S62" s="1163">
        <f>'Allocation = % of Margin'!O63</f>
        <v>0</v>
      </c>
      <c r="T62" s="226">
        <f>'Allocation = % of Margin'!R63</f>
        <v>-4.3E-3</v>
      </c>
      <c r="U62" s="938"/>
      <c r="V62" s="826">
        <f t="shared" si="13"/>
        <v>-4.3E-3</v>
      </c>
      <c r="W62" s="827">
        <f t="shared" si="6"/>
        <v>0.42663999999999996</v>
      </c>
      <c r="X62" s="1254"/>
      <c r="Y62" s="952">
        <f>ROUND(R62*(HLOOKUP($C$61,'Rate Spread Proposal'!$E$98:$AA$103,6,FALSE)),5)</f>
        <v>1.546E-2</v>
      </c>
      <c r="Z62" s="938">
        <f>'Allocation = % of Margin'!X63</f>
        <v>-2.2000000000000001E-4</v>
      </c>
      <c r="AA62" s="230">
        <f t="shared" si="7"/>
        <v>1.524E-2</v>
      </c>
      <c r="AB62" s="1461">
        <f t="shared" si="8"/>
        <v>0.44617999999999997</v>
      </c>
      <c r="AC62" s="226"/>
      <c r="AD62" s="224"/>
      <c r="AE62" s="225"/>
      <c r="AF62" s="228"/>
      <c r="AG62" s="226"/>
      <c r="AH62" s="228"/>
      <c r="AI62" s="227"/>
      <c r="AJ62" s="226"/>
    </row>
    <row r="63" spans="1:36" x14ac:dyDescent="0.25">
      <c r="A63" s="133">
        <f t="shared" si="0"/>
        <v>57</v>
      </c>
      <c r="B63" s="133"/>
      <c r="C63" s="133"/>
      <c r="D63" s="1510" t="s">
        <v>6</v>
      </c>
      <c r="E63" s="229">
        <v>0.10011</v>
      </c>
      <c r="F63" s="226">
        <f t="shared" si="15"/>
        <v>0.26333000000000001</v>
      </c>
      <c r="G63" s="226"/>
      <c r="H63" s="226"/>
      <c r="I63" s="228">
        <v>5.1399999999999996E-3</v>
      </c>
      <c r="J63" s="227">
        <f t="shared" si="1"/>
        <v>0.36857999999999996</v>
      </c>
      <c r="K63" s="226"/>
      <c r="L63" s="226">
        <f>ROUND(E63*(HLOOKUP($C$61,'Rate Spread Proposal'!$E$71:$AA$76,6,FALSE)),5)</f>
        <v>2.529E-2</v>
      </c>
      <c r="M63" s="226"/>
      <c r="N63" s="230">
        <f t="shared" si="2"/>
        <v>0.10010999999999995</v>
      </c>
      <c r="O63" s="230">
        <f t="shared" si="3"/>
        <v>0.12539999999999996</v>
      </c>
      <c r="P63" s="226">
        <f>'Allocation = % of Margin'!U64</f>
        <v>-1.74E-3</v>
      </c>
      <c r="Q63" s="939"/>
      <c r="R63" s="813">
        <f t="shared" si="12"/>
        <v>0.12365999999999995</v>
      </c>
      <c r="S63" s="1163">
        <f>'Allocation = % of Margin'!O64</f>
        <v>0</v>
      </c>
      <c r="T63" s="226">
        <f>'Allocation = % of Margin'!R64</f>
        <v>-3.3E-3</v>
      </c>
      <c r="U63" s="938"/>
      <c r="V63" s="826">
        <f t="shared" si="13"/>
        <v>-3.3E-3</v>
      </c>
      <c r="W63" s="827">
        <f t="shared" si="6"/>
        <v>0.38882999999999995</v>
      </c>
      <c r="X63" s="1254"/>
      <c r="Y63" s="952">
        <f>ROUND(R63*(HLOOKUP($C$61,'Rate Spread Proposal'!$E$98:$AA$103,6,FALSE)),5)</f>
        <v>1.1860000000000001E-2</v>
      </c>
      <c r="Z63" s="938">
        <f>'Allocation = % of Margin'!X64</f>
        <v>-1.7000000000000001E-4</v>
      </c>
      <c r="AA63" s="230">
        <f t="shared" si="7"/>
        <v>1.1690000000000001E-2</v>
      </c>
      <c r="AB63" s="1461">
        <f t="shared" si="8"/>
        <v>0.40381999999999996</v>
      </c>
      <c r="AC63" s="226"/>
      <c r="AD63" s="224"/>
      <c r="AE63" s="225"/>
      <c r="AF63" s="228"/>
      <c r="AG63" s="226"/>
      <c r="AH63" s="228"/>
      <c r="AI63" s="227"/>
      <c r="AJ63" s="226"/>
    </row>
    <row r="64" spans="1:36" x14ac:dyDescent="0.25">
      <c r="A64" s="133">
        <f t="shared" si="0"/>
        <v>58</v>
      </c>
      <c r="B64" s="133"/>
      <c r="C64" s="133"/>
      <c r="D64" s="1510" t="s">
        <v>7</v>
      </c>
      <c r="E64" s="229">
        <v>8.0089999999999995E-2</v>
      </c>
      <c r="F64" s="226">
        <f t="shared" si="15"/>
        <v>0.26333000000000001</v>
      </c>
      <c r="G64" s="226"/>
      <c r="H64" s="226"/>
      <c r="I64" s="228">
        <v>4.3499999999999997E-3</v>
      </c>
      <c r="J64" s="227">
        <f t="shared" si="1"/>
        <v>0.34777000000000002</v>
      </c>
      <c r="K64" s="226"/>
      <c r="L64" s="226">
        <f>ROUND(E64*(HLOOKUP($C$61,'Rate Spread Proposal'!$E$71:$AA$76,6,FALSE)),5)</f>
        <v>2.0230000000000001E-2</v>
      </c>
      <c r="M64" s="226"/>
      <c r="N64" s="230">
        <f t="shared" si="2"/>
        <v>8.0090000000000022E-2</v>
      </c>
      <c r="O64" s="230">
        <f t="shared" si="3"/>
        <v>0.10032000000000002</v>
      </c>
      <c r="P64" s="226">
        <f>'Allocation = % of Margin'!U65</f>
        <v>-1.39E-3</v>
      </c>
      <c r="Q64" s="939"/>
      <c r="R64" s="813">
        <f t="shared" si="12"/>
        <v>9.8930000000000018E-2</v>
      </c>
      <c r="S64" s="1163">
        <f>'Allocation = % of Margin'!O65</f>
        <v>0</v>
      </c>
      <c r="T64" s="226">
        <f>'Allocation = % of Margin'!R65</f>
        <v>-2.64E-3</v>
      </c>
      <c r="U64" s="938"/>
      <c r="V64" s="826">
        <f t="shared" si="13"/>
        <v>-2.64E-3</v>
      </c>
      <c r="W64" s="827">
        <f t="shared" si="6"/>
        <v>0.36397000000000002</v>
      </c>
      <c r="X64" s="1254"/>
      <c r="Y64" s="952">
        <f>ROUND(R64*(HLOOKUP($C$61,'Rate Spread Proposal'!$E$98:$AA$103,6,FALSE)),5)</f>
        <v>9.4900000000000002E-3</v>
      </c>
      <c r="Z64" s="938">
        <f>'Allocation = % of Margin'!X65</f>
        <v>-1.2999999999999999E-4</v>
      </c>
      <c r="AA64" s="230">
        <f t="shared" si="7"/>
        <v>9.3600000000000003E-3</v>
      </c>
      <c r="AB64" s="1461">
        <f t="shared" si="8"/>
        <v>0.37596999999999997</v>
      </c>
      <c r="AC64" s="226"/>
      <c r="AD64" s="224"/>
      <c r="AE64" s="225"/>
      <c r="AF64" s="228"/>
      <c r="AG64" s="226"/>
      <c r="AH64" s="228"/>
      <c r="AI64" s="227"/>
      <c r="AJ64" s="226"/>
    </row>
    <row r="65" spans="1:36" x14ac:dyDescent="0.25">
      <c r="A65" s="133">
        <f t="shared" si="0"/>
        <v>59</v>
      </c>
      <c r="B65" s="133"/>
      <c r="C65" s="133"/>
      <c r="D65" s="1510" t="s">
        <v>8</v>
      </c>
      <c r="E65" s="229">
        <v>5.339E-2</v>
      </c>
      <c r="F65" s="226">
        <f t="shared" si="15"/>
        <v>0.26333000000000001</v>
      </c>
      <c r="G65" s="226"/>
      <c r="H65" s="226"/>
      <c r="I65" s="228">
        <v>3.2999999999999995E-3</v>
      </c>
      <c r="J65" s="227">
        <f t="shared" si="1"/>
        <v>0.32002000000000003</v>
      </c>
      <c r="K65" s="226"/>
      <c r="L65" s="226">
        <f>ROUND(E65*(HLOOKUP($C$61,'Rate Spread Proposal'!$E$71:$AA$76,6,FALSE)),5)</f>
        <v>1.349E-2</v>
      </c>
      <c r="M65" s="226"/>
      <c r="N65" s="230">
        <f t="shared" si="2"/>
        <v>5.3390000000000021E-2</v>
      </c>
      <c r="O65" s="230">
        <f t="shared" si="3"/>
        <v>6.6880000000000023E-2</v>
      </c>
      <c r="P65" s="226">
        <f>'Allocation = % of Margin'!U66</f>
        <v>-9.3000000000000005E-4</v>
      </c>
      <c r="Q65" s="939"/>
      <c r="R65" s="813">
        <f t="shared" si="12"/>
        <v>6.5950000000000022E-2</v>
      </c>
      <c r="S65" s="1163">
        <f>'Allocation = % of Margin'!O66</f>
        <v>0</v>
      </c>
      <c r="T65" s="226">
        <f>'Allocation = % of Margin'!R66</f>
        <v>-1.7600000000000001E-3</v>
      </c>
      <c r="U65" s="938"/>
      <c r="V65" s="826">
        <f t="shared" si="13"/>
        <v>-1.7600000000000001E-3</v>
      </c>
      <c r="W65" s="827">
        <f t="shared" si="6"/>
        <v>0.33082000000000006</v>
      </c>
      <c r="X65" s="1254"/>
      <c r="Y65" s="952">
        <f>ROUND(R65*(HLOOKUP($C$61,'Rate Spread Proposal'!$E$98:$AA$103,6,FALSE)),5)</f>
        <v>6.3200000000000001E-3</v>
      </c>
      <c r="Z65" s="938">
        <f>'Allocation = % of Margin'!X66</f>
        <v>-9.0000000000000006E-5</v>
      </c>
      <c r="AA65" s="230">
        <f t="shared" si="7"/>
        <v>6.2300000000000003E-3</v>
      </c>
      <c r="AB65" s="1461">
        <f t="shared" si="8"/>
        <v>0.33881000000000006</v>
      </c>
      <c r="AC65" s="226"/>
      <c r="AD65" s="224"/>
      <c r="AE65" s="225"/>
      <c r="AF65" s="228"/>
      <c r="AG65" s="226"/>
      <c r="AH65" s="228"/>
      <c r="AI65" s="227"/>
      <c r="AJ65" s="226"/>
    </row>
    <row r="66" spans="1:36" x14ac:dyDescent="0.25">
      <c r="A66" s="133">
        <f t="shared" si="0"/>
        <v>60</v>
      </c>
      <c r="B66" s="1509"/>
      <c r="C66" s="1509"/>
      <c r="D66" s="1512" t="s">
        <v>9</v>
      </c>
      <c r="E66" s="218">
        <v>2.002E-2</v>
      </c>
      <c r="F66" s="220">
        <f t="shared" si="15"/>
        <v>0.26333000000000001</v>
      </c>
      <c r="G66" s="220"/>
      <c r="H66" s="220"/>
      <c r="I66" s="219">
        <v>1.9499999999999995E-3</v>
      </c>
      <c r="J66" s="221">
        <f t="shared" si="1"/>
        <v>0.2853</v>
      </c>
      <c r="K66" s="226"/>
      <c r="L66" s="220">
        <f>ROUND(E66*(HLOOKUP($C$61,'Rate Spread Proposal'!$E$71:$AA$76,6,FALSE)),5)</f>
        <v>5.0600000000000003E-3</v>
      </c>
      <c r="M66" s="226"/>
      <c r="N66" s="223">
        <f t="shared" si="2"/>
        <v>2.0019999999999989E-2</v>
      </c>
      <c r="O66" s="223">
        <f t="shared" si="3"/>
        <v>2.5079999999999991E-2</v>
      </c>
      <c r="P66" s="220">
        <f>'Allocation = % of Margin'!U67</f>
        <v>-3.5E-4</v>
      </c>
      <c r="Q66" s="937"/>
      <c r="R66" s="812">
        <f t="shared" si="12"/>
        <v>2.4729999999999992E-2</v>
      </c>
      <c r="S66" s="1162">
        <f>'Allocation = % of Margin'!O67</f>
        <v>0</v>
      </c>
      <c r="T66" s="220">
        <f>'Allocation = % of Margin'!R67</f>
        <v>-6.6E-4</v>
      </c>
      <c r="U66" s="936"/>
      <c r="V66" s="825">
        <f t="shared" si="13"/>
        <v>-6.6E-4</v>
      </c>
      <c r="W66" s="824">
        <f t="shared" si="6"/>
        <v>0.28935</v>
      </c>
      <c r="X66" s="1254"/>
      <c r="Y66" s="952">
        <f>ROUND(R66*(HLOOKUP($C$61,'Rate Spread Proposal'!$E$98:$AA$103,6,FALSE)),5)</f>
        <v>2.3700000000000001E-3</v>
      </c>
      <c r="Z66" s="936">
        <f>'Allocation = % of Margin'!X67</f>
        <v>-3.0000000000000001E-5</v>
      </c>
      <c r="AA66" s="230">
        <f t="shared" si="7"/>
        <v>2.3400000000000001E-3</v>
      </c>
      <c r="AB66" s="998">
        <f t="shared" si="8"/>
        <v>0.29235</v>
      </c>
      <c r="AC66" s="226"/>
      <c r="AD66" s="787"/>
      <c r="AE66" s="132"/>
      <c r="AF66" s="228"/>
      <c r="AG66" s="226"/>
      <c r="AH66" s="228"/>
      <c r="AI66" s="227"/>
      <c r="AJ66" s="226"/>
    </row>
    <row r="67" spans="1:36" x14ac:dyDescent="0.25">
      <c r="A67" s="133">
        <f t="shared" si="0"/>
        <v>61</v>
      </c>
      <c r="B67" s="133" t="s">
        <v>333</v>
      </c>
      <c r="C67" s="133" t="s">
        <v>366</v>
      </c>
      <c r="D67" s="1510" t="s">
        <v>4</v>
      </c>
      <c r="E67" s="229">
        <v>0.13402999999999998</v>
      </c>
      <c r="F67" s="226">
        <v>0</v>
      </c>
      <c r="G67" s="226"/>
      <c r="H67" s="226"/>
      <c r="I67" s="228">
        <v>5.6999999999999998E-4</v>
      </c>
      <c r="J67" s="227">
        <f t="shared" ref="J67:J72" si="16">SUM(E67:I67)</f>
        <v>0.13459999999999997</v>
      </c>
      <c r="K67" s="226"/>
      <c r="L67" s="226">
        <f>ROUND(E67*(HLOOKUP($C$67,'Rate Spread Proposal'!$E$71:$AA$76,6,FALSE)),5)</f>
        <v>1.6990000000000002E-2</v>
      </c>
      <c r="M67" s="226"/>
      <c r="N67" s="230">
        <f t="shared" si="2"/>
        <v>0.13402999999999998</v>
      </c>
      <c r="O67" s="230">
        <f t="shared" si="3"/>
        <v>0.15101999999999999</v>
      </c>
      <c r="P67" s="226">
        <f>'Allocation = % of Margin'!U68</f>
        <v>-1.2600000000000001E-3</v>
      </c>
      <c r="Q67" s="939"/>
      <c r="R67" s="813">
        <f t="shared" si="12"/>
        <v>0.14975999999999998</v>
      </c>
      <c r="S67" s="1163">
        <f>'Allocation = % of Margin'!O68</f>
        <v>0</v>
      </c>
      <c r="T67" s="226">
        <f>'Allocation = % of Margin'!R68</f>
        <v>-2.3800000000000002E-3</v>
      </c>
      <c r="U67" s="938"/>
      <c r="V67" s="826">
        <f t="shared" si="13"/>
        <v>-2.3800000000000002E-3</v>
      </c>
      <c r="W67" s="827">
        <f t="shared" si="6"/>
        <v>0.14794999999999997</v>
      </c>
      <c r="X67" s="1254"/>
      <c r="Y67" s="960">
        <f>ROUND(R67*(HLOOKUP($C$67,'Rate Spread Proposal'!$E$98:$AA$103,6,FALSE)),5)</f>
        <v>8.4799999999999997E-3</v>
      </c>
      <c r="Z67" s="938">
        <f>'Allocation = % of Margin'!X68</f>
        <v>-1.2E-4</v>
      </c>
      <c r="AA67" s="1459">
        <f t="shared" si="7"/>
        <v>8.3599999999999994E-3</v>
      </c>
      <c r="AB67" s="1461">
        <f t="shared" si="8"/>
        <v>0.15868999999999997</v>
      </c>
      <c r="AC67" s="226"/>
      <c r="AD67" s="224">
        <f>'WA Volumes &amp; Revenues'!O69</f>
        <v>1550</v>
      </c>
      <c r="AE67" s="225">
        <f>'WA Volumes &amp; Revenues'!N69</f>
        <v>1550</v>
      </c>
      <c r="AF67" s="228"/>
      <c r="AG67" s="226"/>
      <c r="AH67" s="228"/>
      <c r="AI67" s="227"/>
      <c r="AJ67" s="226"/>
    </row>
    <row r="68" spans="1:36" x14ac:dyDescent="0.25">
      <c r="A68" s="133">
        <f t="shared" si="0"/>
        <v>62</v>
      </c>
      <c r="B68" s="133"/>
      <c r="C68" s="133"/>
      <c r="D68" s="1510" t="s">
        <v>5</v>
      </c>
      <c r="E68" s="229">
        <v>0.11997999999999999</v>
      </c>
      <c r="F68" s="226">
        <v>0</v>
      </c>
      <c r="G68" s="226"/>
      <c r="H68" s="226"/>
      <c r="I68" s="228">
        <v>5.1000000000000004E-4</v>
      </c>
      <c r="J68" s="227">
        <f t="shared" si="16"/>
        <v>0.12048999999999999</v>
      </c>
      <c r="K68" s="226"/>
      <c r="L68" s="226">
        <f>ROUND(E68*(HLOOKUP($C$67,'Rate Spread Proposal'!$E$71:$AA$76,6,FALSE)),5)</f>
        <v>1.521E-2</v>
      </c>
      <c r="M68" s="226"/>
      <c r="N68" s="230">
        <f t="shared" si="2"/>
        <v>0.11997999999999999</v>
      </c>
      <c r="O68" s="230">
        <f t="shared" si="3"/>
        <v>0.13518999999999998</v>
      </c>
      <c r="P68" s="226">
        <f>'Allocation = % of Margin'!U69</f>
        <v>-1.1199999999999999E-3</v>
      </c>
      <c r="Q68" s="939"/>
      <c r="R68" s="813">
        <f t="shared" si="12"/>
        <v>0.13406999999999997</v>
      </c>
      <c r="S68" s="1163">
        <f>'Allocation = % of Margin'!O69</f>
        <v>0</v>
      </c>
      <c r="T68" s="226">
        <f>'Allocation = % of Margin'!R69</f>
        <v>-2.1299999999999999E-3</v>
      </c>
      <c r="U68" s="938"/>
      <c r="V68" s="826">
        <f t="shared" si="13"/>
        <v>-2.1299999999999999E-3</v>
      </c>
      <c r="W68" s="827">
        <f t="shared" si="6"/>
        <v>0.13244999999999998</v>
      </c>
      <c r="X68" s="1254"/>
      <c r="Y68" s="952">
        <f>ROUND(R68*(HLOOKUP($C$67,'Rate Spread Proposal'!$E$98:$AA$103,6,FALSE)),5)</f>
        <v>7.5900000000000004E-3</v>
      </c>
      <c r="Z68" s="938">
        <f>'Allocation = % of Margin'!X69</f>
        <v>-1.1E-4</v>
      </c>
      <c r="AA68" s="230">
        <f t="shared" si="7"/>
        <v>7.4800000000000005E-3</v>
      </c>
      <c r="AB68" s="1461">
        <f t="shared" si="8"/>
        <v>0.14205999999999999</v>
      </c>
      <c r="AC68" s="226"/>
      <c r="AD68" s="224"/>
      <c r="AE68" s="225"/>
      <c r="AF68" s="228"/>
      <c r="AG68" s="226"/>
      <c r="AH68" s="228"/>
      <c r="AI68" s="227"/>
      <c r="AJ68" s="226"/>
    </row>
    <row r="69" spans="1:36" x14ac:dyDescent="0.25">
      <c r="A69" s="133">
        <f t="shared" si="0"/>
        <v>63</v>
      </c>
      <c r="B69" s="133"/>
      <c r="C69" s="133"/>
      <c r="D69" s="1510" t="s">
        <v>6</v>
      </c>
      <c r="E69" s="229">
        <v>9.1999999999999998E-2</v>
      </c>
      <c r="F69" s="226">
        <v>0</v>
      </c>
      <c r="G69" s="226"/>
      <c r="H69" s="226"/>
      <c r="I69" s="228">
        <v>3.7999999999999997E-4</v>
      </c>
      <c r="J69" s="227">
        <f t="shared" si="16"/>
        <v>9.2380000000000004E-2</v>
      </c>
      <c r="K69" s="226"/>
      <c r="L69" s="226">
        <f>ROUND(E69*(HLOOKUP($C$67,'Rate Spread Proposal'!$E$71:$AA$76,6,FALSE)),5)</f>
        <v>1.166E-2</v>
      </c>
      <c r="M69" s="226"/>
      <c r="N69" s="230">
        <f t="shared" si="2"/>
        <v>9.1999999999999998E-2</v>
      </c>
      <c r="O69" s="230">
        <f t="shared" si="3"/>
        <v>0.10366</v>
      </c>
      <c r="P69" s="226">
        <f>'Allocation = % of Margin'!U70</f>
        <v>-8.5999999999999998E-4</v>
      </c>
      <c r="Q69" s="939"/>
      <c r="R69" s="813">
        <f t="shared" si="12"/>
        <v>0.1028</v>
      </c>
      <c r="S69" s="1163">
        <f>'Allocation = % of Margin'!O70</f>
        <v>0</v>
      </c>
      <c r="T69" s="226">
        <f>'Allocation = % of Margin'!R70</f>
        <v>-1.6299999999999999E-3</v>
      </c>
      <c r="U69" s="938"/>
      <c r="V69" s="826">
        <f t="shared" si="13"/>
        <v>-1.6299999999999999E-3</v>
      </c>
      <c r="W69" s="827">
        <f t="shared" si="6"/>
        <v>0.10155</v>
      </c>
      <c r="X69" s="1254"/>
      <c r="Y69" s="952">
        <f>ROUND(R69*(HLOOKUP($C$67,'Rate Spread Proposal'!$E$98:$AA$103,6,FALSE)),5)</f>
        <v>5.8199999999999997E-3</v>
      </c>
      <c r="Z69" s="938">
        <f>'Allocation = % of Margin'!X70</f>
        <v>-8.0000000000000007E-5</v>
      </c>
      <c r="AA69" s="230">
        <f t="shared" si="7"/>
        <v>5.7399999999999994E-3</v>
      </c>
      <c r="AB69" s="1461">
        <f t="shared" si="8"/>
        <v>0.10892</v>
      </c>
      <c r="AC69" s="226"/>
      <c r="AD69" s="224"/>
      <c r="AE69" s="225"/>
      <c r="AF69" s="228"/>
      <c r="AG69" s="226"/>
      <c r="AH69" s="228"/>
      <c r="AI69" s="227"/>
      <c r="AJ69" s="226"/>
    </row>
    <row r="70" spans="1:36" x14ac:dyDescent="0.25">
      <c r="A70" s="133">
        <f t="shared" si="0"/>
        <v>64</v>
      </c>
      <c r="B70" s="133"/>
      <c r="C70" s="133"/>
      <c r="D70" s="1510" t="s">
        <v>7</v>
      </c>
      <c r="E70" s="229">
        <v>7.3609999999999995E-2</v>
      </c>
      <c r="F70" s="226">
        <v>0</v>
      </c>
      <c r="G70" s="226"/>
      <c r="H70" s="226"/>
      <c r="I70" s="228">
        <v>3.0999999999999995E-4</v>
      </c>
      <c r="J70" s="227">
        <f t="shared" si="16"/>
        <v>7.392E-2</v>
      </c>
      <c r="K70" s="226"/>
      <c r="L70" s="226">
        <f>ROUND(E70*(HLOOKUP($C$67,'Rate Spread Proposal'!$E$71:$AA$76,6,FALSE)),5)</f>
        <v>9.3299999999999998E-3</v>
      </c>
      <c r="M70" s="226"/>
      <c r="N70" s="230">
        <f t="shared" si="2"/>
        <v>7.3609999999999995E-2</v>
      </c>
      <c r="O70" s="230">
        <f t="shared" si="3"/>
        <v>8.294E-2</v>
      </c>
      <c r="P70" s="226">
        <f>'Allocation = % of Margin'!U71</f>
        <v>-6.8999999999999997E-4</v>
      </c>
      <c r="Q70" s="939"/>
      <c r="R70" s="813">
        <f t="shared" si="12"/>
        <v>8.2250000000000004E-2</v>
      </c>
      <c r="S70" s="1163">
        <f>'Allocation = % of Margin'!O71</f>
        <v>0</v>
      </c>
      <c r="T70" s="226">
        <f>'Allocation = % of Margin'!R71</f>
        <v>-1.31E-3</v>
      </c>
      <c r="U70" s="938"/>
      <c r="V70" s="826">
        <f t="shared" si="13"/>
        <v>-1.31E-3</v>
      </c>
      <c r="W70" s="827">
        <f t="shared" si="6"/>
        <v>8.1250000000000003E-2</v>
      </c>
      <c r="X70" s="1254"/>
      <c r="Y70" s="952">
        <f>ROUND(R70*(HLOOKUP($C$67,'Rate Spread Proposal'!$E$98:$AA$103,6,FALSE)),5)</f>
        <v>4.6600000000000001E-3</v>
      </c>
      <c r="Z70" s="938">
        <f>'Allocation = % of Margin'!X71</f>
        <v>-6.9999999999999994E-5</v>
      </c>
      <c r="AA70" s="230">
        <f t="shared" si="7"/>
        <v>4.5900000000000003E-3</v>
      </c>
      <c r="AB70" s="1461">
        <f t="shared" si="8"/>
        <v>8.7150000000000005E-2</v>
      </c>
      <c r="AC70" s="226"/>
      <c r="AD70" s="224"/>
      <c r="AE70" s="225"/>
      <c r="AF70" s="228"/>
      <c r="AG70" s="226"/>
      <c r="AH70" s="228"/>
      <c r="AI70" s="227"/>
      <c r="AJ70" s="226"/>
    </row>
    <row r="71" spans="1:36" x14ac:dyDescent="0.25">
      <c r="A71" s="133">
        <f t="shared" si="0"/>
        <v>65</v>
      </c>
      <c r="B71" s="133"/>
      <c r="C71" s="133"/>
      <c r="D71" s="1510" t="s">
        <v>8</v>
      </c>
      <c r="E71" s="229">
        <v>4.9079999999999999E-2</v>
      </c>
      <c r="F71" s="226">
        <v>0</v>
      </c>
      <c r="G71" s="226"/>
      <c r="H71" s="226"/>
      <c r="I71" s="228">
        <v>2.0999999999999998E-4</v>
      </c>
      <c r="J71" s="227">
        <f t="shared" si="16"/>
        <v>4.929E-2</v>
      </c>
      <c r="K71" s="226"/>
      <c r="L71" s="226">
        <f>ROUND(E71*(HLOOKUP($C$67,'Rate Spread Proposal'!$E$71:$AA$76,6,FALSE)),5)</f>
        <v>6.2199999999999998E-3</v>
      </c>
      <c r="M71" s="226"/>
      <c r="N71" s="230">
        <f t="shared" si="2"/>
        <v>4.9079999999999999E-2</v>
      </c>
      <c r="O71" s="230">
        <f t="shared" si="3"/>
        <v>5.5300000000000002E-2</v>
      </c>
      <c r="P71" s="226">
        <f>'Allocation = % of Margin'!U72</f>
        <v>-4.6000000000000001E-4</v>
      </c>
      <c r="Q71" s="939"/>
      <c r="R71" s="813">
        <f t="shared" si="12"/>
        <v>5.484E-2</v>
      </c>
      <c r="S71" s="1163">
        <f>'Allocation = % of Margin'!O72</f>
        <v>0</v>
      </c>
      <c r="T71" s="226">
        <f>'Allocation = % of Margin'!R72</f>
        <v>-8.7000000000000001E-4</v>
      </c>
      <c r="U71" s="938"/>
      <c r="V71" s="826">
        <f t="shared" si="13"/>
        <v>-8.7000000000000001E-4</v>
      </c>
      <c r="W71" s="827">
        <f t="shared" si="6"/>
        <v>5.4179999999999999E-2</v>
      </c>
      <c r="X71" s="1254"/>
      <c r="Y71" s="952">
        <f>ROUND(R71*(HLOOKUP($C$67,'Rate Spread Proposal'!$E$98:$AA$103,6,FALSE)),5)</f>
        <v>3.1099999999999999E-3</v>
      </c>
      <c r="Z71" s="938">
        <f>'Allocation = % of Margin'!X72</f>
        <v>-4.0000000000000003E-5</v>
      </c>
      <c r="AA71" s="230">
        <f t="shared" si="7"/>
        <v>3.0699999999999998E-3</v>
      </c>
      <c r="AB71" s="1461">
        <f t="shared" si="8"/>
        <v>5.8119999999999998E-2</v>
      </c>
      <c r="AC71" s="226"/>
      <c r="AD71" s="224"/>
      <c r="AE71" s="225"/>
      <c r="AF71" s="228"/>
      <c r="AG71" s="226"/>
      <c r="AH71" s="228"/>
      <c r="AI71" s="227"/>
      <c r="AJ71" s="226"/>
    </row>
    <row r="72" spans="1:36" x14ac:dyDescent="0.25">
      <c r="A72" s="133">
        <f t="shared" si="0"/>
        <v>66</v>
      </c>
      <c r="B72" s="1509"/>
      <c r="C72" s="1509"/>
      <c r="D72" s="1512" t="s">
        <v>9</v>
      </c>
      <c r="E72" s="218">
        <v>1.839E-2</v>
      </c>
      <c r="F72" s="220">
        <v>0</v>
      </c>
      <c r="G72" s="220"/>
      <c r="H72" s="220"/>
      <c r="I72" s="219">
        <v>6.9999999999999994E-5</v>
      </c>
      <c r="J72" s="221">
        <f t="shared" si="16"/>
        <v>1.8460000000000001E-2</v>
      </c>
      <c r="K72" s="226"/>
      <c r="L72" s="220">
        <f>ROUND(E72*(HLOOKUP($C$67,'Rate Spread Proposal'!$E$71:$AA$76,6,FALSE)),5)</f>
        <v>2.33E-3</v>
      </c>
      <c r="M72" s="226"/>
      <c r="N72" s="223">
        <f t="shared" si="2"/>
        <v>1.839E-2</v>
      </c>
      <c r="O72" s="223">
        <f t="shared" si="3"/>
        <v>2.0719999999999999E-2</v>
      </c>
      <c r="P72" s="220">
        <f>'Allocation = % of Margin'!U73</f>
        <v>-1.7000000000000001E-4</v>
      </c>
      <c r="Q72" s="937"/>
      <c r="R72" s="812">
        <f t="shared" si="12"/>
        <v>2.0549999999999999E-2</v>
      </c>
      <c r="S72" s="1162">
        <f>'Allocation = % of Margin'!O73</f>
        <v>0</v>
      </c>
      <c r="T72" s="220">
        <f>'Allocation = % of Margin'!R73</f>
        <v>-3.3E-4</v>
      </c>
      <c r="U72" s="936"/>
      <c r="V72" s="825">
        <f t="shared" si="13"/>
        <v>-3.3E-4</v>
      </c>
      <c r="W72" s="824">
        <f t="shared" si="6"/>
        <v>2.0289999999999999E-2</v>
      </c>
      <c r="X72" s="1254"/>
      <c r="Y72" s="961">
        <f>ROUND(R72*(HLOOKUP($C$67,'Rate Spread Proposal'!$E$98:$AA$103,6,FALSE)),5)</f>
        <v>1.16E-3</v>
      </c>
      <c r="Z72" s="936">
        <f>'Allocation = % of Margin'!X73</f>
        <v>-2.0000000000000002E-5</v>
      </c>
      <c r="AA72" s="223">
        <f t="shared" si="7"/>
        <v>1.14E-3</v>
      </c>
      <c r="AB72" s="998">
        <f t="shared" si="8"/>
        <v>2.1759999999999998E-2</v>
      </c>
      <c r="AC72" s="226"/>
      <c r="AD72" s="787"/>
      <c r="AE72" s="132"/>
      <c r="AF72" s="228"/>
      <c r="AG72" s="226"/>
      <c r="AH72" s="228"/>
      <c r="AI72" s="227"/>
      <c r="AJ72" s="226"/>
    </row>
    <row r="73" spans="1:36" x14ac:dyDescent="0.25">
      <c r="A73" s="133">
        <f t="shared" ref="A73:A83" si="17">+A72+1</f>
        <v>67</v>
      </c>
      <c r="B73" s="133" t="s">
        <v>340</v>
      </c>
      <c r="C73" s="133" t="s">
        <v>367</v>
      </c>
      <c r="D73" s="1510" t="s">
        <v>4</v>
      </c>
      <c r="E73" s="232">
        <f>E67</f>
        <v>0.13402999999999998</v>
      </c>
      <c r="F73" s="233">
        <v>0</v>
      </c>
      <c r="G73" s="226"/>
      <c r="H73" s="233"/>
      <c r="I73" s="234">
        <f>I67</f>
        <v>5.6999999999999998E-4</v>
      </c>
      <c r="J73" s="235">
        <f t="shared" ref="J73:J78" si="18">SUM(E73:I73)</f>
        <v>0.13459999999999997</v>
      </c>
      <c r="K73" s="233"/>
      <c r="L73" s="233">
        <f>ROUND(E73*(HLOOKUP($C$73,'Rate Spread Proposal'!$E$71:$AA$76,6,FALSE)),5)</f>
        <v>2.1659999999999999E-2</v>
      </c>
      <c r="M73" s="233"/>
      <c r="N73" s="236">
        <f t="shared" si="2"/>
        <v>0.13402999999999998</v>
      </c>
      <c r="O73" s="236">
        <f t="shared" si="3"/>
        <v>0.15569</v>
      </c>
      <c r="P73" s="233">
        <f>'Allocation = % of Margin'!U74</f>
        <v>-1.49E-3</v>
      </c>
      <c r="Q73" s="941"/>
      <c r="R73" s="814">
        <f t="shared" si="12"/>
        <v>0.1542</v>
      </c>
      <c r="S73" s="1164">
        <f>'Allocation = % of Margin'!O74</f>
        <v>0</v>
      </c>
      <c r="T73" s="233">
        <f>'Allocation = % of Margin'!R74</f>
        <v>-2.82E-3</v>
      </c>
      <c r="U73" s="940"/>
      <c r="V73" s="828">
        <f t="shared" si="13"/>
        <v>-2.82E-3</v>
      </c>
      <c r="W73" s="829">
        <f t="shared" si="6"/>
        <v>0.15195</v>
      </c>
      <c r="X73" s="1254"/>
      <c r="Y73" s="962">
        <f>ROUND(R73*(HLOOKUP($C$73,'Rate Spread Proposal'!$E$98:$AA$103,6,FALSE)),5)</f>
        <v>1.0160000000000001E-2</v>
      </c>
      <c r="Z73" s="940">
        <f>'Allocation = % of Margin'!X74</f>
        <v>-1.3999999999999999E-4</v>
      </c>
      <c r="AA73" s="1460">
        <f t="shared" si="7"/>
        <v>1.0020000000000001E-2</v>
      </c>
      <c r="AB73" s="1462">
        <f t="shared" si="8"/>
        <v>0.16478999999999999</v>
      </c>
      <c r="AC73" s="233"/>
      <c r="AD73" s="224">
        <f>'WA Volumes &amp; Revenues'!O75</f>
        <v>1550</v>
      </c>
      <c r="AE73" s="225">
        <f>'WA Volumes &amp; Revenues'!N75</f>
        <v>1550</v>
      </c>
      <c r="AF73" s="228"/>
      <c r="AG73" s="226"/>
      <c r="AH73" s="228"/>
      <c r="AI73" s="227"/>
      <c r="AJ73" s="226"/>
    </row>
    <row r="74" spans="1:36" x14ac:dyDescent="0.25">
      <c r="A74" s="133">
        <f t="shared" si="17"/>
        <v>68</v>
      </c>
      <c r="B74" s="133"/>
      <c r="C74" s="133"/>
      <c r="D74" s="1510" t="s">
        <v>5</v>
      </c>
      <c r="E74" s="232">
        <f t="shared" ref="E74:E78" si="19">E68</f>
        <v>0.11997999999999999</v>
      </c>
      <c r="F74" s="233">
        <v>0</v>
      </c>
      <c r="G74" s="226"/>
      <c r="H74" s="233"/>
      <c r="I74" s="234">
        <f t="shared" ref="I74:I78" si="20">I68</f>
        <v>5.1000000000000004E-4</v>
      </c>
      <c r="J74" s="235">
        <f t="shared" si="18"/>
        <v>0.12048999999999999</v>
      </c>
      <c r="K74" s="233"/>
      <c r="L74" s="233">
        <f>ROUND(E74*(HLOOKUP($C$73,'Rate Spread Proposal'!$E$71:$AA$76,6,FALSE)),5)</f>
        <v>1.9390000000000001E-2</v>
      </c>
      <c r="M74" s="233"/>
      <c r="N74" s="236">
        <f t="shared" si="2"/>
        <v>0.11997999999999999</v>
      </c>
      <c r="O74" s="236">
        <f t="shared" si="3"/>
        <v>0.13936999999999999</v>
      </c>
      <c r="P74" s="233">
        <f>'Allocation = % of Margin'!U75</f>
        <v>-1.33E-3</v>
      </c>
      <c r="Q74" s="941"/>
      <c r="R74" s="814">
        <f t="shared" si="12"/>
        <v>0.13804</v>
      </c>
      <c r="S74" s="1164">
        <f>'Allocation = % of Margin'!O75</f>
        <v>0</v>
      </c>
      <c r="T74" s="233">
        <f>'Allocation = % of Margin'!R75</f>
        <v>-2.5300000000000001E-3</v>
      </c>
      <c r="U74" s="940"/>
      <c r="V74" s="828">
        <f t="shared" si="13"/>
        <v>-2.5300000000000001E-3</v>
      </c>
      <c r="W74" s="829">
        <f t="shared" si="6"/>
        <v>0.13602</v>
      </c>
      <c r="X74" s="1254"/>
      <c r="Y74" s="953">
        <f>ROUND(R74*(HLOOKUP($C$73,'Rate Spread Proposal'!$E$98:$AA$103,6,FALSE)),5)</f>
        <v>9.0900000000000009E-3</v>
      </c>
      <c r="Z74" s="940">
        <f>'Allocation = % of Margin'!X75</f>
        <v>-1.2999999999999999E-4</v>
      </c>
      <c r="AA74" s="236">
        <f t="shared" si="7"/>
        <v>8.9600000000000009E-3</v>
      </c>
      <c r="AB74" s="1462">
        <f t="shared" si="8"/>
        <v>0.14751</v>
      </c>
      <c r="AC74" s="233"/>
      <c r="AD74" s="787"/>
      <c r="AE74" s="132"/>
      <c r="AF74" s="228"/>
      <c r="AG74" s="226"/>
      <c r="AH74" s="228"/>
      <c r="AI74" s="227"/>
      <c r="AJ74" s="226"/>
    </row>
    <row r="75" spans="1:36" x14ac:dyDescent="0.25">
      <c r="A75" s="133">
        <f t="shared" si="17"/>
        <v>69</v>
      </c>
      <c r="B75" s="133"/>
      <c r="C75" s="133"/>
      <c r="D75" s="1510" t="s">
        <v>6</v>
      </c>
      <c r="E75" s="232">
        <f t="shared" si="19"/>
        <v>9.1999999999999998E-2</v>
      </c>
      <c r="F75" s="233">
        <v>0</v>
      </c>
      <c r="G75" s="226"/>
      <c r="H75" s="233"/>
      <c r="I75" s="234">
        <f t="shared" si="20"/>
        <v>3.7999999999999997E-4</v>
      </c>
      <c r="J75" s="235">
        <f t="shared" si="18"/>
        <v>9.2380000000000004E-2</v>
      </c>
      <c r="K75" s="233"/>
      <c r="L75" s="233">
        <f>ROUND(E75*(HLOOKUP($C$73,'Rate Spread Proposal'!$E$71:$AA$76,6,FALSE)),5)</f>
        <v>1.487E-2</v>
      </c>
      <c r="M75" s="233"/>
      <c r="N75" s="236">
        <f t="shared" si="2"/>
        <v>9.1999999999999998E-2</v>
      </c>
      <c r="O75" s="236">
        <f t="shared" si="3"/>
        <v>0.10686999999999999</v>
      </c>
      <c r="P75" s="233">
        <f>'Allocation = % of Margin'!U76</f>
        <v>-1.0200000000000001E-3</v>
      </c>
      <c r="Q75" s="941"/>
      <c r="R75" s="814">
        <f t="shared" si="12"/>
        <v>0.10585</v>
      </c>
      <c r="S75" s="1164">
        <f>'Allocation = % of Margin'!O76</f>
        <v>0</v>
      </c>
      <c r="T75" s="233">
        <f>'Allocation = % of Margin'!R76</f>
        <v>-1.9400000000000001E-3</v>
      </c>
      <c r="U75" s="940"/>
      <c r="V75" s="828">
        <f t="shared" si="13"/>
        <v>-1.9400000000000001E-3</v>
      </c>
      <c r="W75" s="829">
        <f t="shared" si="6"/>
        <v>0.10429000000000001</v>
      </c>
      <c r="X75" s="1254"/>
      <c r="Y75" s="953">
        <f>ROUND(R75*(HLOOKUP($C$73,'Rate Spread Proposal'!$E$98:$AA$103,6,FALSE)),5)</f>
        <v>6.9699999999999996E-3</v>
      </c>
      <c r="Z75" s="940">
        <f>'Allocation = % of Margin'!X76</f>
        <v>-1E-4</v>
      </c>
      <c r="AA75" s="236">
        <f t="shared" si="7"/>
        <v>6.8699999999999994E-3</v>
      </c>
      <c r="AB75" s="1462">
        <f t="shared" si="8"/>
        <v>0.11310000000000001</v>
      </c>
      <c r="AC75" s="233"/>
      <c r="AD75" s="224"/>
      <c r="AE75" s="225"/>
      <c r="AF75" s="228"/>
      <c r="AG75" s="226"/>
      <c r="AH75" s="228"/>
      <c r="AI75" s="227"/>
      <c r="AJ75" s="226"/>
    </row>
    <row r="76" spans="1:36" x14ac:dyDescent="0.25">
      <c r="A76" s="133">
        <f t="shared" si="17"/>
        <v>70</v>
      </c>
      <c r="B76" s="133"/>
      <c r="C76" s="133"/>
      <c r="D76" s="1510" t="s">
        <v>7</v>
      </c>
      <c r="E76" s="232">
        <f t="shared" si="19"/>
        <v>7.3609999999999995E-2</v>
      </c>
      <c r="F76" s="233">
        <v>0</v>
      </c>
      <c r="G76" s="226"/>
      <c r="H76" s="233"/>
      <c r="I76" s="234">
        <f t="shared" si="20"/>
        <v>3.0999999999999995E-4</v>
      </c>
      <c r="J76" s="235">
        <f t="shared" si="18"/>
        <v>7.392E-2</v>
      </c>
      <c r="K76" s="233"/>
      <c r="L76" s="233">
        <f>ROUND(E76*(HLOOKUP($C$73,'Rate Spread Proposal'!$E$71:$AA$76,6,FALSE)),5)</f>
        <v>1.189E-2</v>
      </c>
      <c r="M76" s="233"/>
      <c r="N76" s="236">
        <f t="shared" si="2"/>
        <v>7.3609999999999995E-2</v>
      </c>
      <c r="O76" s="236">
        <f t="shared" si="3"/>
        <v>8.5499999999999993E-2</v>
      </c>
      <c r="P76" s="233">
        <f>'Allocation = % of Margin'!U77</f>
        <v>-8.1999999999999998E-4</v>
      </c>
      <c r="Q76" s="941"/>
      <c r="R76" s="814">
        <f t="shared" si="12"/>
        <v>8.4679999999999991E-2</v>
      </c>
      <c r="S76" s="1164">
        <f>'Allocation = % of Margin'!O77</f>
        <v>0</v>
      </c>
      <c r="T76" s="233">
        <f>'Allocation = % of Margin'!R77</f>
        <v>-1.5499999999999999E-3</v>
      </c>
      <c r="U76" s="940"/>
      <c r="V76" s="828">
        <f t="shared" si="13"/>
        <v>-1.5499999999999999E-3</v>
      </c>
      <c r="W76" s="829">
        <f t="shared" si="6"/>
        <v>8.344E-2</v>
      </c>
      <c r="X76" s="1254"/>
      <c r="Y76" s="953">
        <f>ROUND(R76*(HLOOKUP($C$73,'Rate Spread Proposal'!$E$98:$AA$103,6,FALSE)),5)</f>
        <v>5.5799999999999999E-3</v>
      </c>
      <c r="Z76" s="940">
        <f>'Allocation = % of Margin'!X77</f>
        <v>-8.0000000000000007E-5</v>
      </c>
      <c r="AA76" s="236">
        <f t="shared" si="7"/>
        <v>5.4999999999999997E-3</v>
      </c>
      <c r="AB76" s="1462">
        <f t="shared" si="8"/>
        <v>9.0490000000000001E-2</v>
      </c>
      <c r="AC76" s="233"/>
      <c r="AD76" s="224"/>
      <c r="AE76" s="225"/>
      <c r="AF76" s="228"/>
      <c r="AG76" s="226"/>
      <c r="AH76" s="228"/>
      <c r="AI76" s="227"/>
      <c r="AJ76" s="226"/>
    </row>
    <row r="77" spans="1:36" x14ac:dyDescent="0.25">
      <c r="A77" s="133">
        <f t="shared" si="17"/>
        <v>71</v>
      </c>
      <c r="B77" s="133"/>
      <c r="C77" s="133"/>
      <c r="D77" s="1510" t="s">
        <v>8</v>
      </c>
      <c r="E77" s="232">
        <f t="shared" si="19"/>
        <v>4.9079999999999999E-2</v>
      </c>
      <c r="F77" s="233">
        <v>0</v>
      </c>
      <c r="G77" s="226"/>
      <c r="H77" s="233"/>
      <c r="I77" s="234">
        <f t="shared" si="20"/>
        <v>2.0999999999999998E-4</v>
      </c>
      <c r="J77" s="235">
        <f t="shared" si="18"/>
        <v>4.929E-2</v>
      </c>
      <c r="K77" s="233"/>
      <c r="L77" s="233">
        <f>ROUND(E77*(HLOOKUP($C$73,'Rate Spread Proposal'!$E$71:$AA$76,6,FALSE)),5)</f>
        <v>7.9299999999999995E-3</v>
      </c>
      <c r="M77" s="233"/>
      <c r="N77" s="236">
        <f t="shared" si="2"/>
        <v>4.9079999999999999E-2</v>
      </c>
      <c r="O77" s="236">
        <f t="shared" si="3"/>
        <v>5.7009999999999998E-2</v>
      </c>
      <c r="P77" s="233">
        <f>'Allocation = % of Margin'!U78</f>
        <v>-5.5000000000000003E-4</v>
      </c>
      <c r="Q77" s="941"/>
      <c r="R77" s="814">
        <f t="shared" ref="R77:R81" si="21">SUM(O77:Q77)</f>
        <v>5.6459999999999996E-2</v>
      </c>
      <c r="S77" s="1164">
        <f>'Allocation = % of Margin'!O78</f>
        <v>0</v>
      </c>
      <c r="T77" s="233">
        <f>'Allocation = % of Margin'!R78</f>
        <v>-1.0300000000000001E-3</v>
      </c>
      <c r="U77" s="940"/>
      <c r="V77" s="828">
        <f t="shared" ref="V77:V81" si="22">SUM(S77:U77)</f>
        <v>-1.0300000000000001E-3</v>
      </c>
      <c r="W77" s="829">
        <f t="shared" si="6"/>
        <v>5.5639999999999995E-2</v>
      </c>
      <c r="X77" s="1254"/>
      <c r="Y77" s="953">
        <f>ROUND(R77*(HLOOKUP($C$73,'Rate Spread Proposal'!$E$98:$AA$103,6,FALSE)),5)</f>
        <v>3.7200000000000002E-3</v>
      </c>
      <c r="Z77" s="940">
        <f>'Allocation = % of Margin'!X78</f>
        <v>-5.0000000000000002E-5</v>
      </c>
      <c r="AA77" s="236">
        <f t="shared" si="7"/>
        <v>3.6700000000000001E-3</v>
      </c>
      <c r="AB77" s="1462">
        <f t="shared" si="8"/>
        <v>6.0339999999999998E-2</v>
      </c>
      <c r="AC77" s="233"/>
      <c r="AD77" s="224"/>
      <c r="AE77" s="225"/>
      <c r="AF77" s="228"/>
      <c r="AG77" s="226"/>
      <c r="AH77" s="228"/>
      <c r="AI77" s="227"/>
      <c r="AJ77" s="226"/>
    </row>
    <row r="78" spans="1:36" x14ac:dyDescent="0.25">
      <c r="A78" s="133">
        <f t="shared" si="17"/>
        <v>72</v>
      </c>
      <c r="B78" s="1509"/>
      <c r="C78" s="1509"/>
      <c r="D78" s="1512" t="s">
        <v>9</v>
      </c>
      <c r="E78" s="237">
        <f t="shared" si="19"/>
        <v>1.839E-2</v>
      </c>
      <c r="F78" s="238">
        <v>0</v>
      </c>
      <c r="G78" s="220"/>
      <c r="H78" s="238"/>
      <c r="I78" s="239">
        <f t="shared" si="20"/>
        <v>6.9999999999999994E-5</v>
      </c>
      <c r="J78" s="240">
        <f t="shared" si="18"/>
        <v>1.8460000000000001E-2</v>
      </c>
      <c r="K78" s="233"/>
      <c r="L78" s="238">
        <f>ROUND(E78*(HLOOKUP($C$73,'Rate Spread Proposal'!$E$71:$AA$76,6,FALSE)),5)</f>
        <v>2.97E-3</v>
      </c>
      <c r="M78" s="233"/>
      <c r="N78" s="241">
        <f t="shared" ref="N78:N81" si="23">(J78-F78-G78-H78)-I78</f>
        <v>1.839E-2</v>
      </c>
      <c r="O78" s="241">
        <f t="shared" ref="O78:O80" si="24">N78+L78</f>
        <v>2.1360000000000001E-2</v>
      </c>
      <c r="P78" s="238">
        <f>'Allocation = % of Margin'!U79</f>
        <v>-2.0000000000000001E-4</v>
      </c>
      <c r="Q78" s="943"/>
      <c r="R78" s="815">
        <f t="shared" si="21"/>
        <v>2.1160000000000002E-2</v>
      </c>
      <c r="S78" s="1165">
        <f>'Allocation = % of Margin'!O79</f>
        <v>0</v>
      </c>
      <c r="T78" s="238">
        <f>'Allocation = % of Margin'!R79</f>
        <v>-3.8999999999999999E-4</v>
      </c>
      <c r="U78" s="942"/>
      <c r="V78" s="830">
        <f t="shared" si="22"/>
        <v>-3.8999999999999999E-4</v>
      </c>
      <c r="W78" s="831">
        <f t="shared" ref="W78:W81" si="25">R78+V78+SUM(F78:I78)</f>
        <v>2.0840000000000001E-2</v>
      </c>
      <c r="X78" s="1254"/>
      <c r="Y78" s="953">
        <f>ROUND(R78*(HLOOKUP($C$73,'Rate Spread Proposal'!$E$98:$AA$103,6,FALSE)),5)</f>
        <v>1.39E-3</v>
      </c>
      <c r="Z78" s="942">
        <f>'Allocation = % of Margin'!X79</f>
        <v>-2.0000000000000002E-5</v>
      </c>
      <c r="AA78" s="236">
        <f t="shared" ref="AA78:AA81" si="26">SUM(Y78:Z78)</f>
        <v>1.3699999999999999E-3</v>
      </c>
      <c r="AB78" s="1463">
        <f t="shared" ref="AB78:AB81" si="27">W78+AA78-S78-T78</f>
        <v>2.2600000000000002E-2</v>
      </c>
      <c r="AC78" s="233"/>
      <c r="AD78" s="224"/>
      <c r="AE78" s="225"/>
      <c r="AF78" s="228"/>
      <c r="AG78" s="226"/>
      <c r="AH78" s="228"/>
      <c r="AI78" s="227"/>
      <c r="AJ78" s="226"/>
    </row>
    <row r="79" spans="1:36" x14ac:dyDescent="0.25">
      <c r="A79" s="133">
        <f t="shared" si="17"/>
        <v>73</v>
      </c>
      <c r="B79" s="1509" t="s">
        <v>347</v>
      </c>
      <c r="C79" s="1509" t="s">
        <v>56</v>
      </c>
      <c r="D79" s="1509" t="s">
        <v>283</v>
      </c>
      <c r="E79" s="242">
        <v>4.9099999999999994E-3</v>
      </c>
      <c r="F79" s="243">
        <v>0</v>
      </c>
      <c r="G79" s="243"/>
      <c r="H79" s="243"/>
      <c r="I79" s="244">
        <v>1.0000000000000001E-5</v>
      </c>
      <c r="J79" s="245">
        <f t="shared" si="1"/>
        <v>4.919999999999999E-3</v>
      </c>
      <c r="K79" s="233"/>
      <c r="L79" s="243">
        <f>ROUND(E79*(HLOOKUP(C79,'Rate Spread Proposal'!$E$71:$AA$76,6,FALSE)),5)</f>
        <v>0</v>
      </c>
      <c r="M79" s="233"/>
      <c r="N79" s="246">
        <f t="shared" si="23"/>
        <v>4.9099999999999994E-3</v>
      </c>
      <c r="O79" s="246">
        <f t="shared" si="24"/>
        <v>4.9099999999999994E-3</v>
      </c>
      <c r="P79" s="243">
        <f>'Allocation = % of Margin'!U80</f>
        <v>0</v>
      </c>
      <c r="Q79" s="945"/>
      <c r="R79" s="816">
        <f t="shared" si="21"/>
        <v>4.9099999999999994E-3</v>
      </c>
      <c r="S79" s="1166">
        <f>'Allocation = % of Margin'!O80</f>
        <v>0</v>
      </c>
      <c r="T79" s="243">
        <f>'Allocation = % of Margin'!R80</f>
        <v>0</v>
      </c>
      <c r="U79" s="944"/>
      <c r="V79" s="832">
        <f t="shared" si="22"/>
        <v>0</v>
      </c>
      <c r="W79" s="833">
        <f t="shared" si="25"/>
        <v>4.919999999999999E-3</v>
      </c>
      <c r="X79" s="1254"/>
      <c r="Y79" s="963">
        <f>ROUND(R79*(HLOOKUP(C79,'Rate Spread Proposal'!$E$98:$AA$103,6,FALSE)),5)</f>
        <v>0</v>
      </c>
      <c r="Z79" s="944">
        <f>'Allocation = % of Margin'!X80</f>
        <v>0</v>
      </c>
      <c r="AA79" s="246">
        <f t="shared" si="26"/>
        <v>0</v>
      </c>
      <c r="AB79" s="1464">
        <f t="shared" si="27"/>
        <v>4.919999999999999E-3</v>
      </c>
      <c r="AC79" s="233"/>
      <c r="AD79" s="224">
        <f>'WA Volumes &amp; Revenues'!O81</f>
        <v>38000</v>
      </c>
      <c r="AE79" s="225">
        <f>'WA Volumes &amp; Revenues'!N81</f>
        <v>38000</v>
      </c>
      <c r="AF79" s="228">
        <v>0.15748000000000001</v>
      </c>
      <c r="AG79" s="226"/>
      <c r="AH79" s="228"/>
      <c r="AI79" s="227"/>
      <c r="AJ79" s="226"/>
    </row>
    <row r="80" spans="1:36" x14ac:dyDescent="0.25">
      <c r="A80" s="133">
        <f t="shared" si="17"/>
        <v>74</v>
      </c>
      <c r="B80" s="1508" t="s">
        <v>349</v>
      </c>
      <c r="C80" s="1508" t="s">
        <v>348</v>
      </c>
      <c r="D80" s="1508" t="s">
        <v>283</v>
      </c>
      <c r="E80" s="237">
        <v>4.9099999999999994E-3</v>
      </c>
      <c r="F80" s="238">
        <v>0</v>
      </c>
      <c r="G80" s="238"/>
      <c r="H80" s="238"/>
      <c r="I80" s="239">
        <v>1.0000000000000001E-5</v>
      </c>
      <c r="J80" s="240">
        <f t="shared" si="1"/>
        <v>4.919999999999999E-3</v>
      </c>
      <c r="K80" s="233"/>
      <c r="L80" s="238">
        <f>ROUND(E80*(HLOOKUP(C80,'Rate Spread Proposal'!$E$71:$AA$76,6,FALSE)),5)</f>
        <v>0</v>
      </c>
      <c r="M80" s="233"/>
      <c r="N80" s="241">
        <f t="shared" si="23"/>
        <v>4.9099999999999994E-3</v>
      </c>
      <c r="O80" s="241">
        <f t="shared" si="24"/>
        <v>4.9099999999999994E-3</v>
      </c>
      <c r="P80" s="238">
        <f>'Allocation = % of Margin'!U81</f>
        <v>0</v>
      </c>
      <c r="Q80" s="942"/>
      <c r="R80" s="816">
        <f t="shared" si="21"/>
        <v>4.9099999999999994E-3</v>
      </c>
      <c r="S80" s="1165">
        <f>'Allocation = % of Margin'!O81</f>
        <v>0</v>
      </c>
      <c r="T80" s="238">
        <f>'Allocation = % of Margin'!R81</f>
        <v>0</v>
      </c>
      <c r="U80" s="944"/>
      <c r="V80" s="832">
        <f t="shared" si="22"/>
        <v>0</v>
      </c>
      <c r="W80" s="833">
        <f t="shared" si="25"/>
        <v>4.919999999999999E-3</v>
      </c>
      <c r="X80" s="1254"/>
      <c r="Y80" s="963">
        <f>ROUND(R80*(HLOOKUP(C80,'Rate Spread Proposal'!$E$98:$AA$103,6,FALSE)),5)</f>
        <v>0</v>
      </c>
      <c r="Z80" s="942">
        <f>'Allocation = % of Margin'!X81</f>
        <v>0</v>
      </c>
      <c r="AA80" s="246">
        <f t="shared" si="26"/>
        <v>0</v>
      </c>
      <c r="AB80" s="1464">
        <f t="shared" si="27"/>
        <v>4.919999999999999E-3</v>
      </c>
      <c r="AC80" s="233"/>
      <c r="AD80" s="224">
        <f>'WA Volumes &amp; Revenues'!O82</f>
        <v>38000</v>
      </c>
      <c r="AE80" s="225">
        <f>'WA Volumes &amp; Revenues'!N82</f>
        <v>38000</v>
      </c>
      <c r="AF80" s="228"/>
      <c r="AG80" s="226"/>
      <c r="AH80" s="228"/>
      <c r="AI80" s="227"/>
      <c r="AJ80" s="226"/>
    </row>
    <row r="81" spans="1:36" ht="15.75" thickBot="1" x14ac:dyDescent="0.3">
      <c r="A81" s="133">
        <f t="shared" si="17"/>
        <v>75</v>
      </c>
      <c r="B81" s="1508" t="s">
        <v>368</v>
      </c>
      <c r="C81" s="1508" t="s">
        <v>391</v>
      </c>
      <c r="D81" s="1508" t="s">
        <v>283</v>
      </c>
      <c r="E81" s="1109"/>
      <c r="F81" s="248">
        <v>0</v>
      </c>
      <c r="G81" s="720"/>
      <c r="H81" s="248"/>
      <c r="I81" s="674">
        <v>0</v>
      </c>
      <c r="J81" s="732">
        <f t="shared" si="1"/>
        <v>0</v>
      </c>
      <c r="K81" s="233"/>
      <c r="L81" s="248">
        <f>ROUND(E81*(HLOOKUP(C81,'Rate Spread Proposal'!$E$71:$AA$76,6,FALSE)),5)</f>
        <v>0</v>
      </c>
      <c r="M81" s="233"/>
      <c r="N81" s="247">
        <f t="shared" si="23"/>
        <v>0</v>
      </c>
      <c r="O81" s="1168">
        <f>N81+L81</f>
        <v>0</v>
      </c>
      <c r="P81" s="248">
        <f>'Allocation = % of Margin'!U82</f>
        <v>0</v>
      </c>
      <c r="Q81" s="946"/>
      <c r="R81" s="817">
        <f t="shared" si="21"/>
        <v>0</v>
      </c>
      <c r="S81" s="1167">
        <f>'Allocation = % of Margin'!O82</f>
        <v>0</v>
      </c>
      <c r="T81" s="248">
        <f>'Allocation = % of Margin'!R82</f>
        <v>0</v>
      </c>
      <c r="U81" s="947"/>
      <c r="V81" s="834">
        <f t="shared" si="22"/>
        <v>0</v>
      </c>
      <c r="W81" s="835">
        <f t="shared" si="25"/>
        <v>0</v>
      </c>
      <c r="X81" s="1254"/>
      <c r="Y81" s="954">
        <f>ROUND(R81*(HLOOKUP(C81,'Rate Spread Proposal'!$E$98:$AA$103,6,FALSE)),5)</f>
        <v>0</v>
      </c>
      <c r="Z81" s="947">
        <f>'Allocation = % of Margin'!X82</f>
        <v>0</v>
      </c>
      <c r="AA81" s="1168">
        <f t="shared" si="26"/>
        <v>0</v>
      </c>
      <c r="AB81" s="999">
        <f t="shared" si="27"/>
        <v>0</v>
      </c>
      <c r="AC81" s="233"/>
      <c r="AD81" s="788">
        <f>'WA Volumes &amp; Revenues'!O83</f>
        <v>0</v>
      </c>
      <c r="AE81" s="789">
        <f>'WA Volumes &amp; Revenues'!N83</f>
        <v>0</v>
      </c>
      <c r="AF81" s="674"/>
      <c r="AG81" s="248"/>
      <c r="AH81" s="674"/>
      <c r="AI81" s="675"/>
      <c r="AJ81" s="233"/>
    </row>
    <row r="82" spans="1:36" x14ac:dyDescent="0.25">
      <c r="A82" s="133">
        <f t="shared" si="17"/>
        <v>76</v>
      </c>
    </row>
    <row r="83" spans="1:36" x14ac:dyDescent="0.25">
      <c r="A83" s="133">
        <f t="shared" si="17"/>
        <v>77</v>
      </c>
      <c r="B83" s="250" t="s">
        <v>183</v>
      </c>
      <c r="C83" s="250"/>
    </row>
    <row r="84" spans="1:36" x14ac:dyDescent="0.25">
      <c r="A84" s="133"/>
      <c r="B84" s="249"/>
      <c r="C84" s="249"/>
    </row>
    <row r="85" spans="1:36" x14ac:dyDescent="0.25">
      <c r="B85" s="249"/>
      <c r="C85" s="249"/>
    </row>
  </sheetData>
  <customSheetViews>
    <customSheetView guid="{80646397-1CEF-4A79-B348-594AB32B8020}" scale="90">
      <pane xSplit="3" ySplit="12" topLeftCell="Q13" activePane="bottomRight" state="frozen"/>
      <selection pane="bottomRight" activeCell="B16" sqref="B16"/>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pane xSplit="3" ySplit="12" topLeftCell="Q13" activePane="bottomRight" state="frozen"/>
      <selection pane="bottomRight" activeCell="B16" sqref="B16"/>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5">
    <mergeCell ref="O5:W5"/>
    <mergeCell ref="AD6:AI6"/>
    <mergeCell ref="E7:J7"/>
    <mergeCell ref="O6:Q6"/>
    <mergeCell ref="Y5:AB5"/>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theme="6" tint="0.79998168889431442"/>
  </sheetPr>
  <dimension ref="A1:W93"/>
  <sheetViews>
    <sheetView zoomScale="95" zoomScaleNormal="95" workbookViewId="0">
      <pane xSplit="3" ySplit="13" topLeftCell="D14" activePane="bottomRight" state="frozen"/>
      <selection pane="topRight" activeCell="D1" sqref="D1"/>
      <selection pane="bottomLeft" activeCell="A14" sqref="A14"/>
      <selection pane="bottomRight" activeCell="E45" sqref="E45"/>
    </sheetView>
  </sheetViews>
  <sheetFormatPr defaultColWidth="9.33203125" defaultRowHeight="12.75" outlineLevelCol="1" x14ac:dyDescent="0.2"/>
  <cols>
    <col min="1" max="1" width="6.83203125" style="55" customWidth="1"/>
    <col min="2" max="2" width="19.1640625" style="56" customWidth="1"/>
    <col min="3" max="3" width="12.83203125" style="56" customWidth="1"/>
    <col min="4" max="4" width="18.33203125" style="56" customWidth="1"/>
    <col min="5" max="6" width="16.6640625" style="56" customWidth="1"/>
    <col min="7" max="7" width="16.6640625" style="56" hidden="1" customWidth="1" outlineLevel="1"/>
    <col min="8" max="8" width="18.6640625" style="60" customWidth="1" collapsed="1"/>
    <col min="9" max="9" width="19.5" style="56" hidden="1" customWidth="1" outlineLevel="1"/>
    <col min="10" max="10" width="19" style="56" hidden="1" customWidth="1" collapsed="1"/>
    <col min="11" max="12" width="16.6640625" style="56" customWidth="1"/>
    <col min="13" max="13" width="16.6640625" style="56" hidden="1" customWidth="1" outlineLevel="1"/>
    <col min="14" max="14" width="18.6640625" style="60" hidden="1" customWidth="1" collapsed="1"/>
    <col min="15" max="15" width="19.5" style="56" hidden="1" customWidth="1" outlineLevel="1"/>
    <col min="16" max="16" width="19" style="56" customWidth="1" collapsed="1"/>
    <col min="17" max="16384" width="9.33203125" style="55"/>
  </cols>
  <sheetData>
    <row r="1" spans="1:23" x14ac:dyDescent="0.2">
      <c r="A1" s="139" t="str">
        <f>+'WA Volumes &amp; Revenues'!A1</f>
        <v>NW Natural</v>
      </c>
    </row>
    <row r="2" spans="1:23" x14ac:dyDescent="0.2">
      <c r="A2" s="139" t="str">
        <f>+'WA Volumes &amp; Revenues'!A2</f>
        <v>Rates &amp; Regulatory Affairs</v>
      </c>
    </row>
    <row r="3" spans="1:23" x14ac:dyDescent="0.2">
      <c r="A3" s="139" t="str">
        <f>+'WA Volumes &amp; Revenues'!A3</f>
        <v>Test Year Ending September 30, 2020</v>
      </c>
      <c r="E3" s="140"/>
      <c r="F3" s="140"/>
      <c r="G3" s="140"/>
      <c r="H3" s="544"/>
      <c r="I3" s="140"/>
      <c r="K3" s="140"/>
      <c r="L3" s="140"/>
      <c r="M3" s="140"/>
      <c r="N3" s="544"/>
      <c r="O3" s="140"/>
    </row>
    <row r="4" spans="1:23" ht="13.5" thickBot="1" x14ac:dyDescent="0.25">
      <c r="A4" s="139" t="s">
        <v>64</v>
      </c>
    </row>
    <row r="5" spans="1:23" ht="13.5" thickBot="1" x14ac:dyDescent="0.25">
      <c r="H5" s="600" t="s">
        <v>565</v>
      </c>
      <c r="J5" s="964" t="s">
        <v>422</v>
      </c>
      <c r="P5" s="600" t="s">
        <v>566</v>
      </c>
    </row>
    <row r="6" spans="1:23" ht="13.5" thickBot="1" x14ac:dyDescent="0.25">
      <c r="G6" s="545"/>
      <c r="H6" s="547" t="s">
        <v>78</v>
      </c>
      <c r="J6" s="552" t="s">
        <v>278</v>
      </c>
      <c r="M6" s="545"/>
      <c r="N6" s="600" t="s">
        <v>78</v>
      </c>
      <c r="P6" s="360" t="s">
        <v>78</v>
      </c>
    </row>
    <row r="7" spans="1:23" x14ac:dyDescent="0.2">
      <c r="D7" s="559"/>
      <c r="E7" s="546"/>
      <c r="F7" s="546"/>
      <c r="G7" s="546"/>
      <c r="H7" s="1514"/>
      <c r="I7" s="965" t="s">
        <v>423</v>
      </c>
      <c r="J7" s="565" t="s">
        <v>184</v>
      </c>
      <c r="K7" s="546"/>
      <c r="L7" s="546"/>
      <c r="M7" s="546"/>
      <c r="N7" s="1000"/>
      <c r="O7" s="965" t="s">
        <v>424</v>
      </c>
      <c r="P7" s="1524"/>
    </row>
    <row r="8" spans="1:23" x14ac:dyDescent="0.2">
      <c r="A8" s="86">
        <v>1</v>
      </c>
      <c r="D8" s="859"/>
      <c r="E8" s="425" t="s">
        <v>557</v>
      </c>
      <c r="F8" s="86" t="str">
        <f>E8</f>
        <v>UG-20XXXX</v>
      </c>
      <c r="G8" s="86" t="str">
        <f>E8</f>
        <v>UG-20XXXX</v>
      </c>
      <c r="H8" s="1515" t="str">
        <f>E8</f>
        <v>UG-20XXXX</v>
      </c>
      <c r="I8" s="425" t="s">
        <v>236</v>
      </c>
      <c r="J8" s="565" t="s">
        <v>32</v>
      </c>
      <c r="K8" s="86" t="str">
        <f>H8</f>
        <v>UG-20XXXX</v>
      </c>
      <c r="L8" s="86" t="str">
        <f>K8</f>
        <v>UG-20XXXX</v>
      </c>
      <c r="M8" s="86" t="str">
        <f>K8</f>
        <v>UG-20XXXX</v>
      </c>
      <c r="N8" s="849" t="str">
        <f>K8</f>
        <v>UG-20XXXX</v>
      </c>
      <c r="O8" s="425" t="s">
        <v>236</v>
      </c>
      <c r="P8" s="1524" t="str">
        <f>M8</f>
        <v>UG-20XXXX</v>
      </c>
    </row>
    <row r="9" spans="1:23" x14ac:dyDescent="0.2">
      <c r="A9" s="86">
        <f t="shared" ref="A9:A83" si="0">+A8+1</f>
        <v>2</v>
      </c>
      <c r="D9" s="357">
        <f>+'Avg Bill by RS'!K9</f>
        <v>44136</v>
      </c>
      <c r="E9" s="548" t="str">
        <f>'Allocation = ¢ per Therm'!D12</f>
        <v>WA GRC</v>
      </c>
      <c r="F9" s="548" t="str">
        <f>E9</f>
        <v>WA GRC</v>
      </c>
      <c r="G9" s="1224" t="s">
        <v>388</v>
      </c>
      <c r="H9" s="1516" t="s">
        <v>21</v>
      </c>
      <c r="I9" s="548" t="s">
        <v>280</v>
      </c>
      <c r="J9" s="565" t="s">
        <v>21</v>
      </c>
      <c r="K9" s="548" t="s">
        <v>279</v>
      </c>
      <c r="L9" s="548" t="s">
        <v>279</v>
      </c>
      <c r="M9" s="1224" t="s">
        <v>388</v>
      </c>
      <c r="N9" s="848" t="s">
        <v>21</v>
      </c>
      <c r="O9" s="548" t="s">
        <v>280</v>
      </c>
      <c r="P9" s="1531" t="s">
        <v>21</v>
      </c>
    </row>
    <row r="10" spans="1:23" x14ac:dyDescent="0.2">
      <c r="A10" s="86">
        <f t="shared" si="0"/>
        <v>3</v>
      </c>
      <c r="D10" s="575" t="s">
        <v>15</v>
      </c>
      <c r="E10" s="86" t="s">
        <v>90</v>
      </c>
      <c r="F10" s="86" t="s">
        <v>30</v>
      </c>
      <c r="G10" s="1225" t="s">
        <v>389</v>
      </c>
      <c r="H10" s="1515" t="s">
        <v>241</v>
      </c>
      <c r="I10" s="86" t="s">
        <v>237</v>
      </c>
      <c r="J10" s="566" t="s">
        <v>240</v>
      </c>
      <c r="K10" s="86" t="s">
        <v>90</v>
      </c>
      <c r="L10" s="86" t="s">
        <v>30</v>
      </c>
      <c r="M10" s="1225" t="s">
        <v>389</v>
      </c>
      <c r="N10" s="849" t="s">
        <v>241</v>
      </c>
      <c r="O10" s="86" t="s">
        <v>237</v>
      </c>
      <c r="P10" s="1524" t="s">
        <v>241</v>
      </c>
    </row>
    <row r="11" spans="1:23" s="57" customFormat="1" ht="13.5" thickBot="1" x14ac:dyDescent="0.25">
      <c r="A11" s="86">
        <f t="shared" si="0"/>
        <v>4</v>
      </c>
      <c r="B11" s="56"/>
      <c r="C11" s="56"/>
      <c r="D11" s="860" t="s">
        <v>16</v>
      </c>
      <c r="E11" s="359" t="s">
        <v>98</v>
      </c>
      <c r="F11" s="359" t="s">
        <v>28</v>
      </c>
      <c r="G11" s="1226" t="s">
        <v>390</v>
      </c>
      <c r="H11" s="1517" t="s">
        <v>28</v>
      </c>
      <c r="I11" s="359" t="s">
        <v>28</v>
      </c>
      <c r="J11" s="567" t="s">
        <v>16</v>
      </c>
      <c r="K11" s="359" t="s">
        <v>98</v>
      </c>
      <c r="L11" s="359" t="s">
        <v>28</v>
      </c>
      <c r="M11" s="1226" t="s">
        <v>390</v>
      </c>
      <c r="N11" s="850" t="s">
        <v>28</v>
      </c>
      <c r="O11" s="359" t="s">
        <v>28</v>
      </c>
      <c r="P11" s="1525" t="s">
        <v>28</v>
      </c>
    </row>
    <row r="12" spans="1:23" s="57" customFormat="1" x14ac:dyDescent="0.2">
      <c r="A12" s="86">
        <f t="shared" si="0"/>
        <v>5</v>
      </c>
      <c r="B12" s="56"/>
      <c r="C12" s="56"/>
      <c r="D12" s="861"/>
      <c r="E12" s="58"/>
      <c r="F12" s="58"/>
      <c r="G12" s="58"/>
      <c r="H12" s="1515" t="s">
        <v>386</v>
      </c>
      <c r="I12" s="58"/>
      <c r="J12" s="565" t="s">
        <v>387</v>
      </c>
      <c r="K12" s="58"/>
      <c r="L12" s="58"/>
      <c r="M12" s="58"/>
      <c r="N12" s="849" t="s">
        <v>445</v>
      </c>
      <c r="O12" s="58"/>
      <c r="P12" s="1524" t="s">
        <v>611</v>
      </c>
    </row>
    <row r="13" spans="1:23" s="57" customFormat="1" x14ac:dyDescent="0.2">
      <c r="A13" s="86">
        <f t="shared" si="0"/>
        <v>6</v>
      </c>
      <c r="B13" s="741" t="s">
        <v>2</v>
      </c>
      <c r="C13" s="741" t="s">
        <v>3</v>
      </c>
      <c r="D13" s="363" t="s">
        <v>35</v>
      </c>
      <c r="E13" s="722" t="s">
        <v>36</v>
      </c>
      <c r="F13" s="124" t="s">
        <v>13</v>
      </c>
      <c r="G13" s="124" t="s">
        <v>37</v>
      </c>
      <c r="H13" s="1518" t="s">
        <v>38</v>
      </c>
      <c r="I13" s="124" t="s">
        <v>39</v>
      </c>
      <c r="J13" s="568" t="s">
        <v>40</v>
      </c>
      <c r="K13" s="722" t="s">
        <v>41</v>
      </c>
      <c r="L13" s="722" t="s">
        <v>42</v>
      </c>
      <c r="M13" s="722" t="s">
        <v>129</v>
      </c>
      <c r="N13" s="851" t="s">
        <v>130</v>
      </c>
      <c r="O13" s="722" t="s">
        <v>43</v>
      </c>
      <c r="P13" s="1526" t="s">
        <v>131</v>
      </c>
    </row>
    <row r="14" spans="1:23" x14ac:dyDescent="0.2">
      <c r="A14" s="86">
        <f t="shared" si="0"/>
        <v>7</v>
      </c>
      <c r="B14" s="1001" t="str">
        <f>'WA Volumes &amp; Revenues'!B15</f>
        <v>1R</v>
      </c>
      <c r="C14" s="1001" t="s">
        <v>283</v>
      </c>
      <c r="D14" s="862">
        <f>'Rates in Detail'!J13</f>
        <v>1.1525299999999998</v>
      </c>
      <c r="E14" s="365">
        <f>SUM('Rates in Detail'!L13,'Rates in Detail'!P13,'Rates in Detail'!Q13)</f>
        <v>0.12315000000000001</v>
      </c>
      <c r="F14" s="365">
        <f>'Rates in Detail'!V13</f>
        <v>-4.8430000000000001E-2</v>
      </c>
      <c r="G14" s="153"/>
      <c r="H14" s="1519">
        <f>SUM(D14:G14)</f>
        <v>1.22725</v>
      </c>
      <c r="I14" s="153"/>
      <c r="J14" s="570">
        <f>SUM(H14:I14)</f>
        <v>1.22725</v>
      </c>
      <c r="K14" s="365">
        <f>'Rates in Detail'!Y13</f>
        <v>6.2010000000000003E-2</v>
      </c>
      <c r="L14" s="365">
        <f>'Rates in Detail'!Z13</f>
        <v>-8.8000000000000003E-4</v>
      </c>
      <c r="M14" s="153"/>
      <c r="N14" s="852">
        <f>SUM(J14:M14)</f>
        <v>1.2883799999999999</v>
      </c>
      <c r="O14" s="153"/>
      <c r="P14" s="1527">
        <f>SUM(N14:O14)-F14</f>
        <v>1.3368099999999998</v>
      </c>
      <c r="R14" s="157"/>
      <c r="S14" s="157"/>
      <c r="T14" s="157"/>
      <c r="U14" s="157"/>
      <c r="V14" s="157"/>
      <c r="W14" s="157"/>
    </row>
    <row r="15" spans="1:23" x14ac:dyDescent="0.2">
      <c r="A15" s="86">
        <f t="shared" si="0"/>
        <v>8</v>
      </c>
      <c r="B15" s="1001" t="str">
        <f>'WA Volumes &amp; Revenues'!B16</f>
        <v>1C</v>
      </c>
      <c r="C15" s="1001" t="s">
        <v>283</v>
      </c>
      <c r="D15" s="862">
        <f>'Rates in Detail'!J14</f>
        <v>1.18929</v>
      </c>
      <c r="E15" s="365">
        <f>SUM('Rates in Detail'!L14,'Rates in Detail'!P14,'Rates in Detail'!Q14)</f>
        <v>0.10241</v>
      </c>
      <c r="F15" s="365">
        <f>'Rates in Detail'!V14</f>
        <v>-4.027E-2</v>
      </c>
      <c r="G15" s="153"/>
      <c r="H15" s="1519">
        <f t="shared" ref="H15:H78" si="1">SUM(D15:G15)</f>
        <v>1.25143</v>
      </c>
      <c r="I15" s="153"/>
      <c r="J15" s="570">
        <f t="shared" ref="J15:J78" si="2">SUM(H15:I15)</f>
        <v>1.25143</v>
      </c>
      <c r="K15" s="365">
        <f>'Rates in Detail'!Y14</f>
        <v>5.1569999999999998E-2</v>
      </c>
      <c r="L15" s="365">
        <f>'Rates in Detail'!Z14</f>
        <v>-7.2999999999999996E-4</v>
      </c>
      <c r="M15" s="153"/>
      <c r="N15" s="852">
        <f t="shared" ref="N15:N78" si="3">SUM(J15:M15)</f>
        <v>1.30227</v>
      </c>
      <c r="O15" s="153"/>
      <c r="P15" s="1527">
        <f t="shared" ref="P15:P78" si="4">SUM(N15:O15)-F15</f>
        <v>1.3425400000000001</v>
      </c>
      <c r="R15" s="157"/>
      <c r="S15" s="157"/>
      <c r="T15" s="157"/>
      <c r="U15" s="157"/>
      <c r="V15" s="157"/>
      <c r="W15" s="157"/>
    </row>
    <row r="16" spans="1:23" x14ac:dyDescent="0.2">
      <c r="A16" s="86">
        <f t="shared" si="0"/>
        <v>9</v>
      </c>
      <c r="B16" s="1001" t="str">
        <f>'WA Volumes &amp; Revenues'!B17</f>
        <v>2R</v>
      </c>
      <c r="C16" s="1001" t="s">
        <v>283</v>
      </c>
      <c r="D16" s="863">
        <f>'Rates in Detail'!J15</f>
        <v>0.88947999999999972</v>
      </c>
      <c r="E16" s="390">
        <f>SUM('Rates in Detail'!L15,'Rates in Detail'!P15,'Rates in Detail'!Q15)</f>
        <v>7.7939999999999995E-2</v>
      </c>
      <c r="F16" s="390">
        <f>'Rates in Detail'!V15</f>
        <v>-3.065E-2</v>
      </c>
      <c r="G16" s="390"/>
      <c r="H16" s="1520">
        <f t="shared" si="1"/>
        <v>0.93676999999999977</v>
      </c>
      <c r="I16" s="390"/>
      <c r="J16" s="569">
        <f t="shared" si="2"/>
        <v>0.93676999999999977</v>
      </c>
      <c r="K16" s="390">
        <f>'Rates in Detail'!Y15</f>
        <v>3.925E-2</v>
      </c>
      <c r="L16" s="390">
        <f>'Rates in Detail'!Z15</f>
        <v>-5.5000000000000003E-4</v>
      </c>
      <c r="M16" s="390"/>
      <c r="N16" s="853">
        <f t="shared" si="3"/>
        <v>0.97546999999999973</v>
      </c>
      <c r="O16" s="390"/>
      <c r="P16" s="1528">
        <f t="shared" si="4"/>
        <v>1.0061199999999997</v>
      </c>
      <c r="R16" s="157"/>
      <c r="S16" s="157"/>
      <c r="T16" s="157"/>
      <c r="U16" s="157"/>
      <c r="V16" s="157"/>
      <c r="W16" s="157"/>
    </row>
    <row r="17" spans="1:23" x14ac:dyDescent="0.2">
      <c r="A17" s="86">
        <f t="shared" si="0"/>
        <v>10</v>
      </c>
      <c r="B17" s="1001" t="str">
        <f>'WA Volumes &amp; Revenues'!B18</f>
        <v>3 CFS</v>
      </c>
      <c r="C17" s="1001" t="s">
        <v>283</v>
      </c>
      <c r="D17" s="862">
        <f>'Rates in Detail'!J16</f>
        <v>0.86690000000000011</v>
      </c>
      <c r="E17" s="365">
        <f>SUM('Rates in Detail'!L16,'Rates in Detail'!P16,'Rates in Detail'!Q16)</f>
        <v>6.9980000000000001E-2</v>
      </c>
      <c r="F17" s="365">
        <f>'Rates in Detail'!V16</f>
        <v>-2.7529999999999999E-2</v>
      </c>
      <c r="G17" s="365"/>
      <c r="H17" s="1519">
        <f t="shared" si="1"/>
        <v>0.9093500000000001</v>
      </c>
      <c r="I17" s="365"/>
      <c r="J17" s="570">
        <f t="shared" si="2"/>
        <v>0.9093500000000001</v>
      </c>
      <c r="K17" s="365">
        <f>'Rates in Detail'!Y16</f>
        <v>3.524E-2</v>
      </c>
      <c r="L17" s="365">
        <f>'Rates in Detail'!Z16</f>
        <v>-5.0000000000000001E-4</v>
      </c>
      <c r="M17" s="365"/>
      <c r="N17" s="852">
        <f t="shared" si="3"/>
        <v>0.94409000000000021</v>
      </c>
      <c r="O17" s="365"/>
      <c r="P17" s="1527">
        <f t="shared" si="4"/>
        <v>0.97162000000000015</v>
      </c>
      <c r="R17" s="157"/>
      <c r="S17" s="157"/>
      <c r="T17" s="157"/>
      <c r="U17" s="157"/>
      <c r="V17" s="157"/>
      <c r="W17" s="157"/>
    </row>
    <row r="18" spans="1:23" x14ac:dyDescent="0.2">
      <c r="A18" s="86">
        <f t="shared" si="0"/>
        <v>11</v>
      </c>
      <c r="B18" s="1001" t="str">
        <f>'WA Volumes &amp; Revenues'!B19</f>
        <v>3 IFS</v>
      </c>
      <c r="C18" s="1001" t="s">
        <v>283</v>
      </c>
      <c r="D18" s="862">
        <f>'Rates in Detail'!J17</f>
        <v>0.82713999999999999</v>
      </c>
      <c r="E18" s="365">
        <f>SUM('Rates in Detail'!L17,'Rates in Detail'!P17,'Rates in Detail'!Q17)</f>
        <v>6.3390000000000002E-2</v>
      </c>
      <c r="F18" s="365">
        <f>'Rates in Detail'!V17</f>
        <v>-8.8699999999999994E-3</v>
      </c>
      <c r="G18" s="365"/>
      <c r="H18" s="1519">
        <f t="shared" si="1"/>
        <v>0.88166</v>
      </c>
      <c r="I18" s="365"/>
      <c r="J18" s="570">
        <f t="shared" si="2"/>
        <v>0.88166</v>
      </c>
      <c r="K18" s="365">
        <f>'Rates in Detail'!Y17</f>
        <v>3.1919999999999997E-2</v>
      </c>
      <c r="L18" s="365">
        <f>'Rates in Detail'!Z17</f>
        <v>-4.4999999999999999E-4</v>
      </c>
      <c r="M18" s="365"/>
      <c r="N18" s="852">
        <f t="shared" si="3"/>
        <v>0.91313</v>
      </c>
      <c r="O18" s="365"/>
      <c r="P18" s="1527">
        <f t="shared" si="4"/>
        <v>0.92200000000000004</v>
      </c>
      <c r="R18" s="157"/>
      <c r="S18" s="157"/>
      <c r="T18" s="157"/>
      <c r="U18" s="157"/>
      <c r="V18" s="157"/>
      <c r="W18" s="157"/>
    </row>
    <row r="19" spans="1:23" x14ac:dyDescent="0.2">
      <c r="A19" s="86">
        <f t="shared" si="0"/>
        <v>12</v>
      </c>
      <c r="B19" s="1001" t="str">
        <f>'WA Volumes &amp; Revenues'!B20</f>
        <v>27R</v>
      </c>
      <c r="C19" s="1001" t="s">
        <v>283</v>
      </c>
      <c r="D19" s="862">
        <f>'Rates in Detail'!J18</f>
        <v>0.64432999999999974</v>
      </c>
      <c r="E19" s="365">
        <f>SUM('Rates in Detail'!L18,'Rates in Detail'!P18,'Rates in Detail'!Q18)</f>
        <v>5.5469999999999998E-2</v>
      </c>
      <c r="F19" s="365">
        <f>'Rates in Detail'!V18</f>
        <v>-2.1819999999999999E-2</v>
      </c>
      <c r="G19" s="365"/>
      <c r="H19" s="1519">
        <f t="shared" si="1"/>
        <v>0.67797999999999981</v>
      </c>
      <c r="I19" s="365"/>
      <c r="J19" s="570">
        <f t="shared" si="2"/>
        <v>0.67797999999999981</v>
      </c>
      <c r="K19" s="365">
        <f>'Rates in Detail'!Y18</f>
        <v>2.793E-2</v>
      </c>
      <c r="L19" s="365">
        <f>'Rates in Detail'!Z18</f>
        <v>-3.8999999999999999E-4</v>
      </c>
      <c r="M19" s="365"/>
      <c r="N19" s="852">
        <f t="shared" si="3"/>
        <v>0.70551999999999981</v>
      </c>
      <c r="O19" s="365"/>
      <c r="P19" s="1527">
        <f t="shared" si="4"/>
        <v>0.72733999999999976</v>
      </c>
      <c r="R19" s="157"/>
      <c r="S19" s="157"/>
      <c r="T19" s="157"/>
      <c r="U19" s="157"/>
      <c r="V19" s="157"/>
      <c r="W19" s="157"/>
    </row>
    <row r="20" spans="1:23" x14ac:dyDescent="0.2">
      <c r="A20" s="86">
        <f t="shared" si="0"/>
        <v>13</v>
      </c>
      <c r="B20" s="86" t="str">
        <f>'WA Volumes &amp; Revenues'!B21</f>
        <v>41C Firm Sales</v>
      </c>
      <c r="C20" s="1490" t="s">
        <v>4</v>
      </c>
      <c r="D20" s="864">
        <f>'Rates in Detail'!J19</f>
        <v>0.65150000000000008</v>
      </c>
      <c r="E20" s="497">
        <f>SUM('Rates in Detail'!L19,'Rates in Detail'!P19,'Rates in Detail'!Q19)</f>
        <v>5.5569999999999994E-2</v>
      </c>
      <c r="F20" s="497">
        <f>'Rates in Detail'!V19</f>
        <v>-2.1860000000000001E-2</v>
      </c>
      <c r="G20" s="497"/>
      <c r="H20" s="1521">
        <f t="shared" si="1"/>
        <v>0.6852100000000001</v>
      </c>
      <c r="I20" s="497"/>
      <c r="J20" s="571">
        <f t="shared" si="2"/>
        <v>0.6852100000000001</v>
      </c>
      <c r="K20" s="497">
        <f>'Rates in Detail'!Y19</f>
        <v>2.7990000000000001E-2</v>
      </c>
      <c r="L20" s="497">
        <f>'Rates in Detail'!Z19</f>
        <v>-4.0000000000000002E-4</v>
      </c>
      <c r="M20" s="497"/>
      <c r="N20" s="854">
        <f t="shared" si="3"/>
        <v>0.7128000000000001</v>
      </c>
      <c r="O20" s="497"/>
      <c r="P20" s="1529">
        <f t="shared" si="4"/>
        <v>0.73466000000000009</v>
      </c>
      <c r="R20" s="157"/>
      <c r="S20" s="157"/>
      <c r="T20" s="157"/>
      <c r="U20" s="157"/>
      <c r="V20" s="157"/>
      <c r="W20" s="157"/>
    </row>
    <row r="21" spans="1:23" x14ac:dyDescent="0.2">
      <c r="A21" s="86">
        <f t="shared" si="0"/>
        <v>14</v>
      </c>
      <c r="B21" s="1513"/>
      <c r="C21" s="1491" t="s">
        <v>5</v>
      </c>
      <c r="D21" s="862">
        <f>'Rates in Detail'!J20</f>
        <v>0.60426999999999997</v>
      </c>
      <c r="E21" s="365">
        <f>SUM('Rates in Detail'!L20,'Rates in Detail'!P20,'Rates in Detail'!Q20)</f>
        <v>4.897E-2</v>
      </c>
      <c r="F21" s="365">
        <f>'Rates in Detail'!V20</f>
        <v>-1.9259999999999999E-2</v>
      </c>
      <c r="G21" s="365"/>
      <c r="H21" s="1519">
        <f t="shared" si="1"/>
        <v>0.63397999999999999</v>
      </c>
      <c r="I21" s="365"/>
      <c r="J21" s="570">
        <f t="shared" si="2"/>
        <v>0.63397999999999999</v>
      </c>
      <c r="K21" s="365">
        <f>'Rates in Detail'!Y20</f>
        <v>2.4660000000000001E-2</v>
      </c>
      <c r="L21" s="365">
        <f>'Rates in Detail'!Z20</f>
        <v>-3.5E-4</v>
      </c>
      <c r="M21" s="365"/>
      <c r="N21" s="852">
        <f t="shared" si="3"/>
        <v>0.65829000000000004</v>
      </c>
      <c r="O21" s="365"/>
      <c r="P21" s="1527">
        <f t="shared" si="4"/>
        <v>0.6775500000000001</v>
      </c>
      <c r="R21" s="157"/>
      <c r="S21" s="157"/>
      <c r="T21" s="157"/>
      <c r="U21" s="157"/>
      <c r="V21" s="157"/>
      <c r="W21" s="157"/>
    </row>
    <row r="22" spans="1:23" x14ac:dyDescent="0.2">
      <c r="A22" s="86">
        <f t="shared" si="0"/>
        <v>15</v>
      </c>
      <c r="B22" s="86" t="str">
        <f>'WA Volumes &amp; Revenues'!B23</f>
        <v>41I Firm Sales</v>
      </c>
      <c r="C22" s="1490" t="s">
        <v>4</v>
      </c>
      <c r="D22" s="864">
        <f>'Rates in Detail'!J21</f>
        <v>0.60577000000000025</v>
      </c>
      <c r="E22" s="497">
        <f>SUM('Rates in Detail'!L21,'Rates in Detail'!P21,'Rates in Detail'!Q21)</f>
        <v>5.2900000000000003E-2</v>
      </c>
      <c r="F22" s="497">
        <f>'Rates in Detail'!V21</f>
        <v>-7.4000000000000003E-3</v>
      </c>
      <c r="G22" s="497"/>
      <c r="H22" s="1521">
        <f t="shared" si="1"/>
        <v>0.65127000000000035</v>
      </c>
      <c r="I22" s="497"/>
      <c r="J22" s="571">
        <f t="shared" si="2"/>
        <v>0.65127000000000035</v>
      </c>
      <c r="K22" s="497">
        <f>'Rates in Detail'!Y21</f>
        <v>2.664E-2</v>
      </c>
      <c r="L22" s="497">
        <f>'Rates in Detail'!Z21</f>
        <v>-3.8000000000000002E-4</v>
      </c>
      <c r="M22" s="497"/>
      <c r="N22" s="854">
        <f t="shared" si="3"/>
        <v>0.6775300000000003</v>
      </c>
      <c r="O22" s="497"/>
      <c r="P22" s="1529">
        <f t="shared" si="4"/>
        <v>0.68493000000000026</v>
      </c>
      <c r="R22" s="157"/>
      <c r="S22" s="157"/>
      <c r="T22" s="157"/>
      <c r="U22" s="157"/>
      <c r="V22" s="157"/>
      <c r="W22" s="157"/>
    </row>
    <row r="23" spans="1:23" x14ac:dyDescent="0.2">
      <c r="A23" s="86">
        <f t="shared" si="0"/>
        <v>16</v>
      </c>
      <c r="B23" s="161"/>
      <c r="C23" s="1491" t="s">
        <v>5</v>
      </c>
      <c r="D23" s="862">
        <f>'Rates in Detail'!J22</f>
        <v>0.56396000000000013</v>
      </c>
      <c r="E23" s="365">
        <f>SUM('Rates in Detail'!L22,'Rates in Detail'!P22,'Rates in Detail'!Q22)</f>
        <v>4.6609999999999999E-2</v>
      </c>
      <c r="F23" s="365">
        <f>'Rates in Detail'!V22</f>
        <v>-6.5199999999999998E-3</v>
      </c>
      <c r="G23" s="365"/>
      <c r="H23" s="1519">
        <f t="shared" si="1"/>
        <v>0.6040500000000002</v>
      </c>
      <c r="I23" s="365"/>
      <c r="J23" s="570">
        <f t="shared" si="2"/>
        <v>0.6040500000000002</v>
      </c>
      <c r="K23" s="365">
        <f>'Rates in Detail'!Y22</f>
        <v>2.3470000000000001E-2</v>
      </c>
      <c r="L23" s="365">
        <f>'Rates in Detail'!Z22</f>
        <v>-3.3E-4</v>
      </c>
      <c r="M23" s="365"/>
      <c r="N23" s="852">
        <f t="shared" si="3"/>
        <v>0.62719000000000014</v>
      </c>
      <c r="O23" s="365"/>
      <c r="P23" s="1527">
        <f t="shared" si="4"/>
        <v>0.63371000000000011</v>
      </c>
      <c r="R23" s="157"/>
      <c r="S23" s="157"/>
      <c r="T23" s="157"/>
      <c r="U23" s="157"/>
      <c r="V23" s="157"/>
      <c r="W23" s="157"/>
    </row>
    <row r="24" spans="1:23" x14ac:dyDescent="0.2">
      <c r="A24" s="86">
        <f t="shared" si="0"/>
        <v>17</v>
      </c>
      <c r="B24" s="86" t="str">
        <f>'WA Volumes &amp; Revenues'!B25</f>
        <v>41C Interr Sales</v>
      </c>
      <c r="C24" s="1490" t="s">
        <v>4</v>
      </c>
      <c r="D24" s="864">
        <f>'Rates in Detail'!J23</f>
        <v>0.66024999999999989</v>
      </c>
      <c r="E24" s="497">
        <f>SUM('Rates in Detail'!L23,'Rates in Detail'!P23,'Rates in Detail'!Q23)</f>
        <v>4.0340000000000001E-2</v>
      </c>
      <c r="F24" s="497">
        <f>'Rates in Detail'!V23</f>
        <v>-2.0140000000000002E-2</v>
      </c>
      <c r="G24" s="497"/>
      <c r="H24" s="1521">
        <f t="shared" si="1"/>
        <v>0.68044999999999989</v>
      </c>
      <c r="I24" s="497"/>
      <c r="J24" s="571">
        <f t="shared" si="2"/>
        <v>0.68044999999999989</v>
      </c>
      <c r="K24" s="497">
        <f>'Rates in Detail'!Y23</f>
        <v>2.1749999999999999E-2</v>
      </c>
      <c r="L24" s="497">
        <f>'Rates in Detail'!Z23</f>
        <v>-3.1E-4</v>
      </c>
      <c r="M24" s="497"/>
      <c r="N24" s="854">
        <f t="shared" si="3"/>
        <v>0.7018899999999999</v>
      </c>
      <c r="O24" s="497"/>
      <c r="P24" s="1529">
        <f t="shared" si="4"/>
        <v>0.72202999999999995</v>
      </c>
      <c r="R24" s="157"/>
      <c r="S24" s="157"/>
      <c r="T24" s="157"/>
      <c r="U24" s="157"/>
      <c r="V24" s="157"/>
      <c r="W24" s="157"/>
    </row>
    <row r="25" spans="1:23" x14ac:dyDescent="0.2">
      <c r="A25" s="86">
        <f t="shared" si="0"/>
        <v>18</v>
      </c>
      <c r="B25" s="1513"/>
      <c r="C25" s="1491" t="s">
        <v>5</v>
      </c>
      <c r="D25" s="862">
        <f>'Rates in Detail'!J24</f>
        <v>0.61316999999999988</v>
      </c>
      <c r="E25" s="365">
        <f>SUM('Rates in Detail'!L24,'Rates in Detail'!P24,'Rates in Detail'!Q24)</f>
        <v>3.5539999999999995E-2</v>
      </c>
      <c r="F25" s="365">
        <f>'Rates in Detail'!V24</f>
        <v>-1.7739999999999999E-2</v>
      </c>
      <c r="G25" s="365"/>
      <c r="H25" s="1519">
        <f t="shared" si="1"/>
        <v>0.63096999999999992</v>
      </c>
      <c r="I25" s="365"/>
      <c r="J25" s="570">
        <f t="shared" si="2"/>
        <v>0.63096999999999992</v>
      </c>
      <c r="K25" s="365">
        <f>'Rates in Detail'!Y24</f>
        <v>1.917E-2</v>
      </c>
      <c r="L25" s="365">
        <f>'Rates in Detail'!Z24</f>
        <v>-2.7E-4</v>
      </c>
      <c r="M25" s="365"/>
      <c r="N25" s="852">
        <f t="shared" si="3"/>
        <v>0.64986999999999995</v>
      </c>
      <c r="O25" s="365"/>
      <c r="P25" s="1527">
        <f t="shared" si="4"/>
        <v>0.66760999999999993</v>
      </c>
      <c r="R25" s="157"/>
      <c r="S25" s="157"/>
      <c r="T25" s="157"/>
      <c r="U25" s="157"/>
      <c r="V25" s="157"/>
      <c r="W25" s="157"/>
    </row>
    <row r="26" spans="1:23" x14ac:dyDescent="0.2">
      <c r="A26" s="86">
        <f t="shared" si="0"/>
        <v>19</v>
      </c>
      <c r="B26" s="86" t="str">
        <f>'WA Volumes &amp; Revenues'!B27</f>
        <v>41I Interr Sales</v>
      </c>
      <c r="C26" s="1490" t="s">
        <v>4</v>
      </c>
      <c r="D26" s="864">
        <f>'Rates in Detail'!J25</f>
        <v>0.61580999999999997</v>
      </c>
      <c r="E26" s="497">
        <f>SUM('Rates in Detail'!L25,'Rates in Detail'!P25,'Rates in Detail'!Q25)</f>
        <v>4.0340000000000001E-2</v>
      </c>
      <c r="F26" s="497">
        <f>'Rates in Detail'!V25</f>
        <v>-6.1000000000000004E-3</v>
      </c>
      <c r="G26" s="497"/>
      <c r="H26" s="1521">
        <f t="shared" si="1"/>
        <v>0.65005000000000002</v>
      </c>
      <c r="I26" s="497"/>
      <c r="J26" s="571">
        <f t="shared" si="2"/>
        <v>0.65005000000000002</v>
      </c>
      <c r="K26" s="497">
        <f>'Rates in Detail'!Y25</f>
        <v>2.1749999999999999E-2</v>
      </c>
      <c r="L26" s="497">
        <f>'Rates in Detail'!Z25</f>
        <v>-3.1E-4</v>
      </c>
      <c r="M26" s="497"/>
      <c r="N26" s="854">
        <f t="shared" si="3"/>
        <v>0.67149000000000003</v>
      </c>
      <c r="O26" s="497"/>
      <c r="P26" s="1529">
        <f t="shared" si="4"/>
        <v>0.67759000000000003</v>
      </c>
      <c r="R26" s="157"/>
      <c r="S26" s="157"/>
      <c r="T26" s="157"/>
      <c r="U26" s="157"/>
      <c r="V26" s="157"/>
      <c r="W26" s="157"/>
    </row>
    <row r="27" spans="1:23" x14ac:dyDescent="0.2">
      <c r="A27" s="86">
        <f t="shared" si="0"/>
        <v>20</v>
      </c>
      <c r="B27" s="1513"/>
      <c r="C27" s="1491" t="s">
        <v>5</v>
      </c>
      <c r="D27" s="862">
        <f>'Rates in Detail'!J26</f>
        <v>0.57401999999999986</v>
      </c>
      <c r="E27" s="365">
        <f>SUM('Rates in Detail'!L26,'Rates in Detail'!P26,'Rates in Detail'!Q26)</f>
        <v>3.5539999999999995E-2</v>
      </c>
      <c r="F27" s="365">
        <f>'Rates in Detail'!V26</f>
        <v>-5.3699999999999998E-3</v>
      </c>
      <c r="G27" s="365"/>
      <c r="H27" s="1519">
        <f t="shared" si="1"/>
        <v>0.60418999999999989</v>
      </c>
      <c r="I27" s="365"/>
      <c r="J27" s="570">
        <f t="shared" si="2"/>
        <v>0.60418999999999989</v>
      </c>
      <c r="K27" s="365">
        <f>'Rates in Detail'!Y26</f>
        <v>1.917E-2</v>
      </c>
      <c r="L27" s="365">
        <f>'Rates in Detail'!Z26</f>
        <v>-2.7E-4</v>
      </c>
      <c r="M27" s="365"/>
      <c r="N27" s="852">
        <f t="shared" si="3"/>
        <v>0.62308999999999992</v>
      </c>
      <c r="O27" s="365"/>
      <c r="P27" s="1527">
        <f t="shared" si="4"/>
        <v>0.62845999999999991</v>
      </c>
      <c r="R27" s="157"/>
      <c r="S27" s="157"/>
      <c r="T27" s="157"/>
      <c r="U27" s="157"/>
      <c r="V27" s="157"/>
      <c r="W27" s="157"/>
    </row>
    <row r="28" spans="1:23" x14ac:dyDescent="0.2">
      <c r="A28" s="86">
        <f t="shared" si="0"/>
        <v>21</v>
      </c>
      <c r="B28" s="86" t="str">
        <f>'WA Volumes &amp; Revenues'!B29</f>
        <v>41C Firm Transpt</v>
      </c>
      <c r="C28" s="1490" t="s">
        <v>4</v>
      </c>
      <c r="D28" s="864">
        <f>'Rates in Detail'!J27</f>
        <v>0.34945999999999999</v>
      </c>
      <c r="E28" s="497">
        <f>SUM('Rates in Detail'!L27,'Rates in Detail'!P27,'Rates in Detail'!Q27)</f>
        <v>5.8799999999999998E-2</v>
      </c>
      <c r="F28" s="497">
        <f>'Rates in Detail'!V27</f>
        <v>-8.2299999999999995E-3</v>
      </c>
      <c r="G28" s="497"/>
      <c r="H28" s="1521">
        <f t="shared" si="1"/>
        <v>0.40003</v>
      </c>
      <c r="I28" s="497"/>
      <c r="J28" s="571">
        <f t="shared" si="2"/>
        <v>0.40003</v>
      </c>
      <c r="K28" s="497">
        <f>'Rates in Detail'!Y27</f>
        <v>2.9610000000000001E-2</v>
      </c>
      <c r="L28" s="497">
        <f>'Rates in Detail'!Z27</f>
        <v>-4.2000000000000002E-4</v>
      </c>
      <c r="M28" s="497"/>
      <c r="N28" s="854">
        <f t="shared" si="3"/>
        <v>0.42922000000000005</v>
      </c>
      <c r="O28" s="497"/>
      <c r="P28" s="1529">
        <f t="shared" si="4"/>
        <v>0.43745000000000006</v>
      </c>
      <c r="R28" s="157"/>
      <c r="S28" s="157"/>
      <c r="T28" s="157"/>
      <c r="U28" s="157"/>
      <c r="V28" s="157"/>
      <c r="W28" s="157"/>
    </row>
    <row r="29" spans="1:23" x14ac:dyDescent="0.2">
      <c r="A29" s="86">
        <f t="shared" si="0"/>
        <v>22</v>
      </c>
      <c r="B29" s="1513"/>
      <c r="C29" s="1491" t="s">
        <v>5</v>
      </c>
      <c r="D29" s="862">
        <f>'Rates in Detail'!J28</f>
        <v>0.30789000000000011</v>
      </c>
      <c r="E29" s="365">
        <f>SUM('Rates in Detail'!L28,'Rates in Detail'!P28,'Rates in Detail'!Q28)</f>
        <v>5.1810000000000002E-2</v>
      </c>
      <c r="F29" s="365">
        <f>'Rates in Detail'!V28</f>
        <v>-7.2500000000000004E-3</v>
      </c>
      <c r="G29" s="365"/>
      <c r="H29" s="1519">
        <f t="shared" si="1"/>
        <v>0.35245000000000015</v>
      </c>
      <c r="I29" s="365"/>
      <c r="J29" s="570">
        <f t="shared" si="2"/>
        <v>0.35245000000000015</v>
      </c>
      <c r="K29" s="365">
        <f>'Rates in Detail'!Y28</f>
        <v>2.6089999999999999E-2</v>
      </c>
      <c r="L29" s="365">
        <f>'Rates in Detail'!Z28</f>
        <v>-3.6999999999999999E-4</v>
      </c>
      <c r="M29" s="365"/>
      <c r="N29" s="852">
        <f t="shared" si="3"/>
        <v>0.37817000000000017</v>
      </c>
      <c r="O29" s="365"/>
      <c r="P29" s="1527">
        <f t="shared" si="4"/>
        <v>0.38542000000000015</v>
      </c>
      <c r="R29" s="157"/>
      <c r="S29" s="157"/>
      <c r="T29" s="157"/>
      <c r="U29" s="157"/>
      <c r="V29" s="157"/>
      <c r="W29" s="157"/>
    </row>
    <row r="30" spans="1:23" x14ac:dyDescent="0.2">
      <c r="A30" s="86">
        <f t="shared" si="0"/>
        <v>23</v>
      </c>
      <c r="B30" s="86" t="str">
        <f>'WA Volumes &amp; Revenues'!B31</f>
        <v>41I Firm Transpt</v>
      </c>
      <c r="C30" s="1490" t="s">
        <v>4</v>
      </c>
      <c r="D30" s="864">
        <f>'Rates in Detail'!J29</f>
        <v>0.34945999999999999</v>
      </c>
      <c r="E30" s="497">
        <f>SUM('Rates in Detail'!L29,'Rates in Detail'!P29,'Rates in Detail'!Q29)</f>
        <v>4.0829999999999998E-2</v>
      </c>
      <c r="F30" s="497">
        <f>'Rates in Detail'!V29</f>
        <v>-6.1700000000000001E-3</v>
      </c>
      <c r="G30" s="497"/>
      <c r="H30" s="1521">
        <f t="shared" si="1"/>
        <v>0.38411999999999996</v>
      </c>
      <c r="I30" s="497"/>
      <c r="J30" s="571">
        <f t="shared" si="2"/>
        <v>0.38411999999999996</v>
      </c>
      <c r="K30" s="497">
        <f>'Rates in Detail'!Y29</f>
        <v>2.2020000000000001E-2</v>
      </c>
      <c r="L30" s="497">
        <f>'Rates in Detail'!Z29</f>
        <v>-3.1E-4</v>
      </c>
      <c r="M30" s="497"/>
      <c r="N30" s="854">
        <f t="shared" si="3"/>
        <v>0.40582999999999997</v>
      </c>
      <c r="O30" s="497"/>
      <c r="P30" s="1529">
        <f t="shared" si="4"/>
        <v>0.41199999999999998</v>
      </c>
      <c r="R30" s="157"/>
      <c r="S30" s="157"/>
      <c r="T30" s="157"/>
      <c r="U30" s="157"/>
      <c r="V30" s="157"/>
      <c r="W30" s="157"/>
    </row>
    <row r="31" spans="1:23" x14ac:dyDescent="0.2">
      <c r="A31" s="86">
        <f t="shared" si="0"/>
        <v>24</v>
      </c>
      <c r="B31" s="161"/>
      <c r="C31" s="1491" t="s">
        <v>5</v>
      </c>
      <c r="D31" s="862">
        <f>'Rates in Detail'!J30</f>
        <v>0.30789000000000011</v>
      </c>
      <c r="E31" s="365">
        <f>SUM('Rates in Detail'!L30,'Rates in Detail'!P30,'Rates in Detail'!Q30)</f>
        <v>3.5980000000000005E-2</v>
      </c>
      <c r="F31" s="365">
        <f>'Rates in Detail'!V30</f>
        <v>-5.4400000000000004E-3</v>
      </c>
      <c r="G31" s="365"/>
      <c r="H31" s="1519">
        <f t="shared" si="1"/>
        <v>0.33843000000000012</v>
      </c>
      <c r="I31" s="365"/>
      <c r="J31" s="570">
        <f t="shared" si="2"/>
        <v>0.33843000000000012</v>
      </c>
      <c r="K31" s="365">
        <f>'Rates in Detail'!Y30</f>
        <v>1.9400000000000001E-2</v>
      </c>
      <c r="L31" s="365">
        <f>'Rates in Detail'!Z30</f>
        <v>-2.7999999999999998E-4</v>
      </c>
      <c r="M31" s="365"/>
      <c r="N31" s="852">
        <f t="shared" si="3"/>
        <v>0.35755000000000009</v>
      </c>
      <c r="O31" s="365"/>
      <c r="P31" s="1527">
        <f t="shared" si="4"/>
        <v>0.36299000000000009</v>
      </c>
      <c r="R31" s="157"/>
      <c r="S31" s="157"/>
      <c r="T31" s="157"/>
      <c r="U31" s="157"/>
      <c r="V31" s="157"/>
      <c r="W31" s="157"/>
    </row>
    <row r="32" spans="1:23" x14ac:dyDescent="0.2">
      <c r="A32" s="86">
        <f t="shared" si="0"/>
        <v>25</v>
      </c>
      <c r="B32" s="86" t="str">
        <f>'WA Volumes &amp; Revenues'!B33</f>
        <v>42C Firm Sales</v>
      </c>
      <c r="C32" s="1490" t="s">
        <v>4</v>
      </c>
      <c r="D32" s="864">
        <f>'Rates in Detail'!J31</f>
        <v>0.43535000000000001</v>
      </c>
      <c r="E32" s="497">
        <f>SUM('Rates in Detail'!L31,'Rates in Detail'!P31,'Rates in Detail'!Q31)</f>
        <v>4.1859999999999994E-2</v>
      </c>
      <c r="F32" s="497">
        <f>'Rates in Detail'!V31</f>
        <v>-1.6459999999999999E-2</v>
      </c>
      <c r="G32" s="497"/>
      <c r="H32" s="1521">
        <f t="shared" si="1"/>
        <v>0.46075000000000005</v>
      </c>
      <c r="I32" s="497"/>
      <c r="J32" s="571">
        <f t="shared" si="2"/>
        <v>0.46075000000000005</v>
      </c>
      <c r="K32" s="497">
        <f>'Rates in Detail'!Y31</f>
        <v>2.1080000000000002E-2</v>
      </c>
      <c r="L32" s="497">
        <f>'Rates in Detail'!Z31</f>
        <v>-2.9999999999999997E-4</v>
      </c>
      <c r="M32" s="497"/>
      <c r="N32" s="854">
        <f t="shared" si="3"/>
        <v>0.48153000000000001</v>
      </c>
      <c r="O32" s="497"/>
      <c r="P32" s="1529">
        <f t="shared" si="4"/>
        <v>0.49798999999999999</v>
      </c>
      <c r="R32" s="157"/>
      <c r="S32" s="157"/>
      <c r="T32" s="157"/>
      <c r="U32" s="157"/>
      <c r="V32" s="157"/>
      <c r="W32" s="157"/>
    </row>
    <row r="33" spans="1:23" x14ac:dyDescent="0.2">
      <c r="A33" s="86">
        <f t="shared" si="0"/>
        <v>26</v>
      </c>
      <c r="B33" s="1368"/>
      <c r="C33" s="1490" t="s">
        <v>5</v>
      </c>
      <c r="D33" s="864">
        <f>'Rates in Detail'!J32</f>
        <v>0.41633999999999971</v>
      </c>
      <c r="E33" s="497">
        <f>SUM('Rates in Detail'!L32,'Rates in Detail'!P32,'Rates in Detail'!Q32)</f>
        <v>3.746E-2</v>
      </c>
      <c r="F33" s="497">
        <f>'Rates in Detail'!V32</f>
        <v>-1.474E-2</v>
      </c>
      <c r="G33" s="497"/>
      <c r="H33" s="1521">
        <f t="shared" si="1"/>
        <v>0.43905999999999973</v>
      </c>
      <c r="I33" s="497"/>
      <c r="J33" s="571">
        <f t="shared" si="2"/>
        <v>0.43905999999999973</v>
      </c>
      <c r="K33" s="497">
        <f>'Rates in Detail'!Y32</f>
        <v>1.8859999999999998E-2</v>
      </c>
      <c r="L33" s="497">
        <f>'Rates in Detail'!Z32</f>
        <v>-2.7E-4</v>
      </c>
      <c r="M33" s="497"/>
      <c r="N33" s="854">
        <f t="shared" si="3"/>
        <v>0.45764999999999972</v>
      </c>
      <c r="O33" s="497"/>
      <c r="P33" s="1529">
        <f t="shared" si="4"/>
        <v>0.4723899999999997</v>
      </c>
      <c r="R33" s="157"/>
      <c r="S33" s="157"/>
      <c r="T33" s="157"/>
      <c r="U33" s="157"/>
      <c r="V33" s="157"/>
      <c r="W33" s="157"/>
    </row>
    <row r="34" spans="1:23" x14ac:dyDescent="0.2">
      <c r="A34" s="86">
        <f t="shared" si="0"/>
        <v>27</v>
      </c>
      <c r="B34" s="86"/>
      <c r="C34" s="1490" t="s">
        <v>6</v>
      </c>
      <c r="D34" s="864">
        <f>'Rates in Detail'!J33</f>
        <v>0.37851999999999986</v>
      </c>
      <c r="E34" s="497">
        <f>SUM('Rates in Detail'!L33,'Rates in Detail'!P33,'Rates in Detail'!Q33)</f>
        <v>2.8739999999999998E-2</v>
      </c>
      <c r="F34" s="497">
        <f>'Rates in Detail'!V33</f>
        <v>-1.1300000000000001E-2</v>
      </c>
      <c r="G34" s="497"/>
      <c r="H34" s="1521">
        <f t="shared" si="1"/>
        <v>0.39595999999999987</v>
      </c>
      <c r="I34" s="497"/>
      <c r="J34" s="571">
        <f t="shared" si="2"/>
        <v>0.39595999999999987</v>
      </c>
      <c r="K34" s="497">
        <f>'Rates in Detail'!Y33</f>
        <v>1.447E-2</v>
      </c>
      <c r="L34" s="497">
        <f>'Rates in Detail'!Z33</f>
        <v>-2.0000000000000001E-4</v>
      </c>
      <c r="M34" s="497"/>
      <c r="N34" s="854">
        <f t="shared" si="3"/>
        <v>0.41022999999999987</v>
      </c>
      <c r="O34" s="497"/>
      <c r="P34" s="1529">
        <f t="shared" si="4"/>
        <v>0.42152999999999985</v>
      </c>
      <c r="R34" s="157"/>
      <c r="S34" s="157"/>
      <c r="T34" s="157"/>
      <c r="U34" s="157"/>
      <c r="V34" s="157"/>
      <c r="W34" s="157"/>
    </row>
    <row r="35" spans="1:23" x14ac:dyDescent="0.2">
      <c r="A35" s="86">
        <f t="shared" si="0"/>
        <v>28</v>
      </c>
      <c r="B35" s="86"/>
      <c r="C35" s="1490" t="s">
        <v>7</v>
      </c>
      <c r="D35" s="864">
        <f>'Rates in Detail'!J34</f>
        <v>0.35361000000000004</v>
      </c>
      <c r="E35" s="497">
        <f>SUM('Rates in Detail'!L34,'Rates in Detail'!P34,'Rates in Detail'!Q34)</f>
        <v>2.298E-2</v>
      </c>
      <c r="F35" s="497">
        <f>'Rates in Detail'!V34</f>
        <v>-9.0399999999999994E-3</v>
      </c>
      <c r="G35" s="497"/>
      <c r="H35" s="1521">
        <f t="shared" si="1"/>
        <v>0.36755000000000004</v>
      </c>
      <c r="I35" s="497"/>
      <c r="J35" s="571">
        <f t="shared" si="2"/>
        <v>0.36755000000000004</v>
      </c>
      <c r="K35" s="497">
        <f>'Rates in Detail'!Y34</f>
        <v>1.157E-2</v>
      </c>
      <c r="L35" s="497">
        <f>'Rates in Detail'!Z34</f>
        <v>-1.6000000000000001E-4</v>
      </c>
      <c r="M35" s="497"/>
      <c r="N35" s="854">
        <f t="shared" si="3"/>
        <v>0.37896000000000007</v>
      </c>
      <c r="O35" s="497"/>
      <c r="P35" s="1529">
        <f t="shared" si="4"/>
        <v>0.38800000000000007</v>
      </c>
      <c r="R35" s="157"/>
      <c r="S35" s="157"/>
      <c r="T35" s="157"/>
      <c r="U35" s="157"/>
      <c r="V35" s="157"/>
      <c r="W35" s="157"/>
    </row>
    <row r="36" spans="1:23" x14ac:dyDescent="0.2">
      <c r="A36" s="86">
        <f t="shared" si="0"/>
        <v>29</v>
      </c>
      <c r="B36" s="86"/>
      <c r="C36" s="1490" t="s">
        <v>8</v>
      </c>
      <c r="D36" s="864">
        <f>'Rates in Detail'!J35</f>
        <v>0.32038</v>
      </c>
      <c r="E36" s="497">
        <f>SUM('Rates in Detail'!L35,'Rates in Detail'!P35,'Rates in Detail'!Q35)</f>
        <v>1.532E-2</v>
      </c>
      <c r="F36" s="497">
        <f>'Rates in Detail'!V35</f>
        <v>-6.0300000000000006E-3</v>
      </c>
      <c r="G36" s="497"/>
      <c r="H36" s="1521">
        <f t="shared" si="1"/>
        <v>0.32967000000000002</v>
      </c>
      <c r="I36" s="497"/>
      <c r="J36" s="571">
        <f t="shared" si="2"/>
        <v>0.32967000000000002</v>
      </c>
      <c r="K36" s="497">
        <f>'Rates in Detail'!Y35</f>
        <v>7.7099999999999998E-3</v>
      </c>
      <c r="L36" s="497">
        <f>'Rates in Detail'!Z35</f>
        <v>-1.1E-4</v>
      </c>
      <c r="M36" s="497"/>
      <c r="N36" s="854">
        <f t="shared" si="3"/>
        <v>0.33727000000000001</v>
      </c>
      <c r="O36" s="497"/>
      <c r="P36" s="1529">
        <f t="shared" si="4"/>
        <v>0.34329999999999999</v>
      </c>
      <c r="R36" s="157"/>
      <c r="S36" s="157"/>
      <c r="T36" s="157"/>
      <c r="U36" s="157"/>
      <c r="V36" s="157"/>
      <c r="W36" s="157"/>
    </row>
    <row r="37" spans="1:23" x14ac:dyDescent="0.2">
      <c r="A37" s="86">
        <f t="shared" si="0"/>
        <v>30</v>
      </c>
      <c r="B37" s="161"/>
      <c r="C37" s="1491" t="s">
        <v>9</v>
      </c>
      <c r="D37" s="862">
        <f>'Rates in Detail'!J36</f>
        <v>0.27890000000000004</v>
      </c>
      <c r="E37" s="365">
        <f>SUM('Rates in Detail'!L36,'Rates in Detail'!P36,'Rates in Detail'!Q36)</f>
        <v>5.7499999999999999E-3</v>
      </c>
      <c r="F37" s="365">
        <f>'Rates in Detail'!V36</f>
        <v>-2.2499999999999998E-3</v>
      </c>
      <c r="G37" s="365"/>
      <c r="H37" s="1519">
        <f t="shared" si="1"/>
        <v>0.28240000000000004</v>
      </c>
      <c r="I37" s="365"/>
      <c r="J37" s="570">
        <f t="shared" si="2"/>
        <v>0.28240000000000004</v>
      </c>
      <c r="K37" s="365">
        <f>'Rates in Detail'!Y36</f>
        <v>2.8900000000000002E-3</v>
      </c>
      <c r="L37" s="365">
        <f>'Rates in Detail'!Z36</f>
        <v>-4.0000000000000003E-5</v>
      </c>
      <c r="M37" s="365"/>
      <c r="N37" s="852">
        <f t="shared" si="3"/>
        <v>0.28525000000000006</v>
      </c>
      <c r="O37" s="365"/>
      <c r="P37" s="1527">
        <f t="shared" si="4"/>
        <v>0.28750000000000003</v>
      </c>
      <c r="R37" s="157"/>
      <c r="S37" s="157"/>
      <c r="T37" s="157"/>
      <c r="U37" s="157"/>
      <c r="V37" s="157"/>
      <c r="W37" s="157"/>
    </row>
    <row r="38" spans="1:23" x14ac:dyDescent="0.2">
      <c r="A38" s="86">
        <f t="shared" si="0"/>
        <v>31</v>
      </c>
      <c r="B38" s="86" t="str">
        <f>'WA Volumes &amp; Revenues'!B39</f>
        <v>42I Firm Sales</v>
      </c>
      <c r="C38" s="1490" t="s">
        <v>4</v>
      </c>
      <c r="D38" s="864">
        <f>'Rates in Detail'!J37</f>
        <v>0.40593000000000001</v>
      </c>
      <c r="E38" s="497">
        <f>SUM('Rates in Detail'!L37,'Rates in Detail'!P37,'Rates in Detail'!Q37)</f>
        <v>3.7229999999999999E-2</v>
      </c>
      <c r="F38" s="497">
        <f>'Rates in Detail'!V37</f>
        <v>-5.2100000000000002E-3</v>
      </c>
      <c r="G38" s="497"/>
      <c r="H38" s="1521">
        <f t="shared" si="1"/>
        <v>0.43795000000000001</v>
      </c>
      <c r="I38" s="497"/>
      <c r="J38" s="571">
        <f t="shared" si="2"/>
        <v>0.43795000000000001</v>
      </c>
      <c r="K38" s="497">
        <f>'Rates in Detail'!Y37</f>
        <v>1.8749999999999999E-2</v>
      </c>
      <c r="L38" s="497">
        <f>'Rates in Detail'!Z37</f>
        <v>-2.7E-4</v>
      </c>
      <c r="M38" s="497"/>
      <c r="N38" s="854">
        <f t="shared" si="3"/>
        <v>0.45643</v>
      </c>
      <c r="O38" s="497"/>
      <c r="P38" s="1529">
        <f t="shared" si="4"/>
        <v>0.46163999999999999</v>
      </c>
      <c r="R38" s="157"/>
      <c r="S38" s="157"/>
      <c r="T38" s="157"/>
      <c r="U38" s="157"/>
      <c r="V38" s="157"/>
      <c r="W38" s="157"/>
    </row>
    <row r="39" spans="1:23" x14ac:dyDescent="0.2">
      <c r="A39" s="86">
        <f t="shared" si="0"/>
        <v>32</v>
      </c>
      <c r="B39" s="1368"/>
      <c r="C39" s="1490" t="s">
        <v>5</v>
      </c>
      <c r="D39" s="864">
        <f>'Rates in Detail'!J38</f>
        <v>0.38999</v>
      </c>
      <c r="E39" s="497">
        <f>SUM('Rates in Detail'!L38,'Rates in Detail'!P38,'Rates in Detail'!Q38)</f>
        <v>3.3330000000000005E-2</v>
      </c>
      <c r="F39" s="497">
        <f>'Rates in Detail'!V38</f>
        <v>-4.6699999999999997E-3</v>
      </c>
      <c r="G39" s="497"/>
      <c r="H39" s="1521">
        <f t="shared" si="1"/>
        <v>0.41865000000000002</v>
      </c>
      <c r="I39" s="497"/>
      <c r="J39" s="571">
        <f t="shared" si="2"/>
        <v>0.41865000000000002</v>
      </c>
      <c r="K39" s="497">
        <f>'Rates in Detail'!Y38</f>
        <v>1.678E-2</v>
      </c>
      <c r="L39" s="497">
        <f>'Rates in Detail'!Z38</f>
        <v>-2.4000000000000001E-4</v>
      </c>
      <c r="M39" s="497"/>
      <c r="N39" s="854">
        <f t="shared" si="3"/>
        <v>0.43519000000000002</v>
      </c>
      <c r="O39" s="497"/>
      <c r="P39" s="1529">
        <f t="shared" si="4"/>
        <v>0.43986000000000003</v>
      </c>
      <c r="R39" s="157"/>
      <c r="S39" s="157"/>
      <c r="T39" s="157"/>
      <c r="U39" s="157"/>
      <c r="V39" s="157"/>
      <c r="W39" s="157"/>
    </row>
    <row r="40" spans="1:23" x14ac:dyDescent="0.2">
      <c r="A40" s="86">
        <f t="shared" si="0"/>
        <v>33</v>
      </c>
      <c r="B40" s="86"/>
      <c r="C40" s="1490" t="s">
        <v>6</v>
      </c>
      <c r="D40" s="864">
        <f>'Rates in Detail'!J39</f>
        <v>0.35830999999999985</v>
      </c>
      <c r="E40" s="497">
        <f>SUM('Rates in Detail'!L39,'Rates in Detail'!P39,'Rates in Detail'!Q39)</f>
        <v>2.555E-2</v>
      </c>
      <c r="F40" s="497">
        <f>'Rates in Detail'!V39</f>
        <v>-3.5799999999999998E-3</v>
      </c>
      <c r="G40" s="497"/>
      <c r="H40" s="1521">
        <f t="shared" si="1"/>
        <v>0.38027999999999984</v>
      </c>
      <c r="I40" s="497"/>
      <c r="J40" s="571">
        <f t="shared" si="2"/>
        <v>0.38027999999999984</v>
      </c>
      <c r="K40" s="497">
        <f>'Rates in Detail'!Y39</f>
        <v>1.2869999999999999E-2</v>
      </c>
      <c r="L40" s="497">
        <f>'Rates in Detail'!Z39</f>
        <v>-1.8000000000000001E-4</v>
      </c>
      <c r="M40" s="497"/>
      <c r="N40" s="854">
        <f t="shared" si="3"/>
        <v>0.39296999999999982</v>
      </c>
      <c r="O40" s="497"/>
      <c r="P40" s="1529">
        <f t="shared" si="4"/>
        <v>0.39654999999999985</v>
      </c>
      <c r="R40" s="157"/>
      <c r="S40" s="157"/>
      <c r="T40" s="157"/>
      <c r="U40" s="157"/>
      <c r="V40" s="157"/>
      <c r="W40" s="157"/>
    </row>
    <row r="41" spans="1:23" x14ac:dyDescent="0.2">
      <c r="A41" s="86">
        <f t="shared" si="0"/>
        <v>34</v>
      </c>
      <c r="B41" s="86"/>
      <c r="C41" s="1490" t="s">
        <v>7</v>
      </c>
      <c r="D41" s="864">
        <f>'Rates in Detail'!J40</f>
        <v>0.33743999999999996</v>
      </c>
      <c r="E41" s="497">
        <f>SUM('Rates in Detail'!L40,'Rates in Detail'!P40,'Rates in Detail'!Q40)</f>
        <v>2.0449999999999999E-2</v>
      </c>
      <c r="F41" s="497">
        <f>'Rates in Detail'!V40</f>
        <v>-2.8600000000000001E-3</v>
      </c>
      <c r="G41" s="497"/>
      <c r="H41" s="1521">
        <f t="shared" si="1"/>
        <v>0.35503000000000001</v>
      </c>
      <c r="I41" s="497"/>
      <c r="J41" s="571">
        <f t="shared" si="2"/>
        <v>0.35503000000000001</v>
      </c>
      <c r="K41" s="497">
        <f>'Rates in Detail'!Y40</f>
        <v>1.03E-2</v>
      </c>
      <c r="L41" s="497">
        <f>'Rates in Detail'!Z40</f>
        <v>-1.4999999999999999E-4</v>
      </c>
      <c r="M41" s="497"/>
      <c r="N41" s="854">
        <f t="shared" si="3"/>
        <v>0.36518</v>
      </c>
      <c r="O41" s="497"/>
      <c r="P41" s="1529">
        <f t="shared" si="4"/>
        <v>0.36803999999999998</v>
      </c>
      <c r="R41" s="157"/>
      <c r="S41" s="157"/>
      <c r="T41" s="157"/>
      <c r="U41" s="157"/>
      <c r="V41" s="157"/>
      <c r="W41" s="157"/>
    </row>
    <row r="42" spans="1:23" x14ac:dyDescent="0.2">
      <c r="A42" s="86">
        <f t="shared" si="0"/>
        <v>35</v>
      </c>
      <c r="B42" s="86"/>
      <c r="C42" s="1490" t="s">
        <v>8</v>
      </c>
      <c r="D42" s="864">
        <f>'Rates in Detail'!J41</f>
        <v>0.30965000000000004</v>
      </c>
      <c r="E42" s="497">
        <f>SUM('Rates in Detail'!L41,'Rates in Detail'!P41,'Rates in Detail'!Q41)</f>
        <v>1.363E-2</v>
      </c>
      <c r="F42" s="497">
        <f>'Rates in Detail'!V41</f>
        <v>-1.91E-3</v>
      </c>
      <c r="G42" s="497"/>
      <c r="H42" s="1521">
        <f t="shared" si="1"/>
        <v>0.32136999999999999</v>
      </c>
      <c r="I42" s="497"/>
      <c r="J42" s="571">
        <f t="shared" si="2"/>
        <v>0.32136999999999999</v>
      </c>
      <c r="K42" s="497">
        <f>'Rates in Detail'!Y41</f>
        <v>6.8700000000000002E-3</v>
      </c>
      <c r="L42" s="497">
        <f>'Rates in Detail'!Z41</f>
        <v>-1E-4</v>
      </c>
      <c r="M42" s="497"/>
      <c r="N42" s="854">
        <f t="shared" si="3"/>
        <v>0.32813999999999999</v>
      </c>
      <c r="O42" s="497"/>
      <c r="P42" s="1529">
        <f t="shared" si="4"/>
        <v>0.33005000000000001</v>
      </c>
      <c r="R42" s="157"/>
      <c r="S42" s="157"/>
      <c r="T42" s="157"/>
      <c r="U42" s="157"/>
      <c r="V42" s="157"/>
      <c r="W42" s="157"/>
    </row>
    <row r="43" spans="1:23" x14ac:dyDescent="0.2">
      <c r="A43" s="86">
        <f t="shared" si="0"/>
        <v>36</v>
      </c>
      <c r="B43" s="161"/>
      <c r="C43" s="1491" t="s">
        <v>9</v>
      </c>
      <c r="D43" s="862">
        <f>'Rates in Detail'!J42</f>
        <v>0.27485999999999999</v>
      </c>
      <c r="E43" s="365">
        <f>SUM('Rates in Detail'!L42,'Rates in Detail'!P42,'Rates in Detail'!Q42)</f>
        <v>5.11E-3</v>
      </c>
      <c r="F43" s="365">
        <f>'Rates in Detail'!V42</f>
        <v>-7.2000000000000005E-4</v>
      </c>
      <c r="G43" s="365"/>
      <c r="H43" s="1519">
        <f t="shared" si="1"/>
        <v>0.27925</v>
      </c>
      <c r="I43" s="365"/>
      <c r="J43" s="570">
        <f t="shared" si="2"/>
        <v>0.27925</v>
      </c>
      <c r="K43" s="365">
        <f>'Rates in Detail'!Y42</f>
        <v>2.5699999999999998E-3</v>
      </c>
      <c r="L43" s="365">
        <f>'Rates in Detail'!Z42</f>
        <v>-4.0000000000000003E-5</v>
      </c>
      <c r="M43" s="365"/>
      <c r="N43" s="852">
        <f t="shared" si="3"/>
        <v>0.28178000000000003</v>
      </c>
      <c r="O43" s="365"/>
      <c r="P43" s="1527">
        <f t="shared" si="4"/>
        <v>0.28250000000000003</v>
      </c>
      <c r="R43" s="157"/>
      <c r="S43" s="157"/>
      <c r="T43" s="157"/>
      <c r="U43" s="157"/>
      <c r="V43" s="157"/>
      <c r="W43" s="157"/>
    </row>
    <row r="44" spans="1:23" x14ac:dyDescent="0.2">
      <c r="A44" s="86">
        <f t="shared" si="0"/>
        <v>37</v>
      </c>
      <c r="B44" s="86" t="str">
        <f>'WA Volumes &amp; Revenues'!B45</f>
        <v>42C Firm Transpt</v>
      </c>
      <c r="C44" s="1490" t="s">
        <v>4</v>
      </c>
      <c r="D44" s="864">
        <f>'Rates in Detail'!J43</f>
        <v>0.13851999999999998</v>
      </c>
      <c r="E44" s="497">
        <f>SUM('Rates in Detail'!L43,'Rates in Detail'!P43,'Rates in Detail'!Q43)</f>
        <v>2.3649999999999997E-2</v>
      </c>
      <c r="F44" s="497">
        <f>'Rates in Detail'!V43</f>
        <v>-3.31E-3</v>
      </c>
      <c r="G44" s="497"/>
      <c r="H44" s="1521">
        <f t="shared" si="1"/>
        <v>0.15885999999999997</v>
      </c>
      <c r="I44" s="497"/>
      <c r="J44" s="571">
        <f t="shared" si="2"/>
        <v>0.15885999999999997</v>
      </c>
      <c r="K44" s="497">
        <f>'Rates in Detail'!Y43</f>
        <v>1.191E-2</v>
      </c>
      <c r="L44" s="497">
        <f>'Rates in Detail'!Z43</f>
        <v>-1.7000000000000001E-4</v>
      </c>
      <c r="M44" s="497"/>
      <c r="N44" s="854">
        <f t="shared" si="3"/>
        <v>0.17059999999999997</v>
      </c>
      <c r="O44" s="497"/>
      <c r="P44" s="1529">
        <f t="shared" si="4"/>
        <v>0.17390999999999998</v>
      </c>
      <c r="R44" s="157"/>
      <c r="S44" s="157"/>
      <c r="T44" s="157"/>
      <c r="U44" s="157"/>
      <c r="V44" s="157"/>
      <c r="W44" s="157"/>
    </row>
    <row r="45" spans="1:23" x14ac:dyDescent="0.2">
      <c r="A45" s="86">
        <f t="shared" si="0"/>
        <v>38</v>
      </c>
      <c r="B45" s="86"/>
      <c r="C45" s="1490" t="s">
        <v>5</v>
      </c>
      <c r="D45" s="864">
        <f>'Rates in Detail'!J44</f>
        <v>0.12399999999999999</v>
      </c>
      <c r="E45" s="497">
        <f>SUM('Rates in Detail'!L44,'Rates in Detail'!P44,'Rates in Detail'!Q44)</f>
        <v>2.1170000000000001E-2</v>
      </c>
      <c r="F45" s="497">
        <f>'Rates in Detail'!V44</f>
        <v>-2.96E-3</v>
      </c>
      <c r="G45" s="497"/>
      <c r="H45" s="1521">
        <f t="shared" si="1"/>
        <v>0.14221</v>
      </c>
      <c r="I45" s="497"/>
      <c r="J45" s="571">
        <f t="shared" si="2"/>
        <v>0.14221</v>
      </c>
      <c r="K45" s="497">
        <f>'Rates in Detail'!Y44</f>
        <v>1.0659999999999999E-2</v>
      </c>
      <c r="L45" s="497">
        <f>'Rates in Detail'!Z44</f>
        <v>-1.4999999999999999E-4</v>
      </c>
      <c r="M45" s="497"/>
      <c r="N45" s="854">
        <f t="shared" si="3"/>
        <v>0.15271999999999999</v>
      </c>
      <c r="O45" s="497"/>
      <c r="P45" s="1529">
        <f t="shared" si="4"/>
        <v>0.15567999999999999</v>
      </c>
      <c r="R45" s="157"/>
      <c r="S45" s="157"/>
      <c r="T45" s="157"/>
      <c r="U45" s="157"/>
      <c r="V45" s="157"/>
      <c r="W45" s="157"/>
    </row>
    <row r="46" spans="1:23" x14ac:dyDescent="0.2">
      <c r="A46" s="86">
        <f t="shared" si="0"/>
        <v>39</v>
      </c>
      <c r="B46" s="86"/>
      <c r="C46" s="1490" t="s">
        <v>6</v>
      </c>
      <c r="D46" s="864">
        <f>'Rates in Detail'!J45</f>
        <v>9.5079999999999998E-2</v>
      </c>
      <c r="E46" s="497">
        <f>SUM('Rates in Detail'!L45,'Rates in Detail'!P45,'Rates in Detail'!Q45)</f>
        <v>1.6240000000000001E-2</v>
      </c>
      <c r="F46" s="497">
        <f>'Rates in Detail'!V45</f>
        <v>-2.2699999999999999E-3</v>
      </c>
      <c r="G46" s="497"/>
      <c r="H46" s="1521">
        <f t="shared" si="1"/>
        <v>0.10905000000000001</v>
      </c>
      <c r="I46" s="497"/>
      <c r="J46" s="571">
        <f t="shared" si="2"/>
        <v>0.10905000000000001</v>
      </c>
      <c r="K46" s="497">
        <f>'Rates in Detail'!Y45</f>
        <v>8.1799999999999998E-3</v>
      </c>
      <c r="L46" s="497">
        <f>'Rates in Detail'!Z45</f>
        <v>-1.2E-4</v>
      </c>
      <c r="M46" s="497"/>
      <c r="N46" s="854">
        <f t="shared" si="3"/>
        <v>0.11711000000000001</v>
      </c>
      <c r="O46" s="497"/>
      <c r="P46" s="1529">
        <f t="shared" si="4"/>
        <v>0.11938</v>
      </c>
      <c r="R46" s="157"/>
      <c r="S46" s="157"/>
      <c r="T46" s="157"/>
      <c r="U46" s="157"/>
      <c r="V46" s="157"/>
      <c r="W46" s="157"/>
    </row>
    <row r="47" spans="1:23" x14ac:dyDescent="0.2">
      <c r="A47" s="86">
        <f t="shared" si="0"/>
        <v>40</v>
      </c>
      <c r="B47" s="86"/>
      <c r="C47" s="1490" t="s">
        <v>7</v>
      </c>
      <c r="D47" s="864">
        <f>'Rates in Detail'!J46</f>
        <v>7.6070000000000013E-2</v>
      </c>
      <c r="E47" s="497">
        <f>SUM('Rates in Detail'!L46,'Rates in Detail'!P46,'Rates in Detail'!Q46)</f>
        <v>1.299E-2</v>
      </c>
      <c r="F47" s="497">
        <f>'Rates in Detail'!V46</f>
        <v>-1.82E-3</v>
      </c>
      <c r="G47" s="497"/>
      <c r="H47" s="1521">
        <f t="shared" si="1"/>
        <v>8.7240000000000012E-2</v>
      </c>
      <c r="I47" s="497"/>
      <c r="J47" s="571">
        <f t="shared" si="2"/>
        <v>8.7240000000000012E-2</v>
      </c>
      <c r="K47" s="497">
        <f>'Rates in Detail'!Y46</f>
        <v>6.5399999999999998E-3</v>
      </c>
      <c r="L47" s="497">
        <f>'Rates in Detail'!Z46</f>
        <v>-9.0000000000000006E-5</v>
      </c>
      <c r="M47" s="497"/>
      <c r="N47" s="854">
        <f t="shared" si="3"/>
        <v>9.3690000000000009E-2</v>
      </c>
      <c r="O47" s="497"/>
      <c r="P47" s="1529">
        <f t="shared" si="4"/>
        <v>9.5510000000000012E-2</v>
      </c>
      <c r="R47" s="157"/>
      <c r="S47" s="157"/>
      <c r="T47" s="157"/>
      <c r="U47" s="157"/>
      <c r="V47" s="157"/>
      <c r="W47" s="157"/>
    </row>
    <row r="48" spans="1:23" x14ac:dyDescent="0.2">
      <c r="A48" s="86">
        <f t="shared" si="0"/>
        <v>41</v>
      </c>
      <c r="B48" s="86"/>
      <c r="C48" s="1490" t="s">
        <v>8</v>
      </c>
      <c r="D48" s="864">
        <f>'Rates in Detail'!J47</f>
        <v>5.0710000000000005E-2</v>
      </c>
      <c r="E48" s="497">
        <f>SUM('Rates in Detail'!L47,'Rates in Detail'!P47,'Rates in Detail'!Q47)</f>
        <v>8.6599999999999993E-3</v>
      </c>
      <c r="F48" s="497">
        <f>'Rates in Detail'!V47</f>
        <v>-1.2099999999999999E-3</v>
      </c>
      <c r="G48" s="497"/>
      <c r="H48" s="1521">
        <f t="shared" si="1"/>
        <v>5.8160000000000003E-2</v>
      </c>
      <c r="I48" s="497"/>
      <c r="J48" s="571">
        <f t="shared" si="2"/>
        <v>5.8160000000000003E-2</v>
      </c>
      <c r="K48" s="497">
        <f>'Rates in Detail'!Y47</f>
        <v>4.3600000000000002E-3</v>
      </c>
      <c r="L48" s="497">
        <f>'Rates in Detail'!Z47</f>
        <v>-6.0000000000000002E-5</v>
      </c>
      <c r="M48" s="497"/>
      <c r="N48" s="854">
        <f t="shared" si="3"/>
        <v>6.2460000000000009E-2</v>
      </c>
      <c r="O48" s="497"/>
      <c r="P48" s="1529">
        <f t="shared" si="4"/>
        <v>6.3670000000000004E-2</v>
      </c>
      <c r="R48" s="157"/>
      <c r="S48" s="157"/>
      <c r="T48" s="157"/>
      <c r="U48" s="157"/>
      <c r="V48" s="157"/>
      <c r="W48" s="157"/>
    </row>
    <row r="49" spans="1:23" x14ac:dyDescent="0.2">
      <c r="A49" s="86">
        <f t="shared" si="0"/>
        <v>42</v>
      </c>
      <c r="B49" s="161"/>
      <c r="C49" s="1491" t="s">
        <v>9</v>
      </c>
      <c r="D49" s="862">
        <f>'Rates in Detail'!J48</f>
        <v>1.9009999999999999E-2</v>
      </c>
      <c r="E49" s="365">
        <f>SUM('Rates in Detail'!L48,'Rates in Detail'!P48,'Rates in Detail'!Q48)</f>
        <v>3.2499999999999999E-3</v>
      </c>
      <c r="F49" s="365">
        <f>'Rates in Detail'!V48</f>
        <v>-4.4999999999999999E-4</v>
      </c>
      <c r="G49" s="365"/>
      <c r="H49" s="1519">
        <f t="shared" si="1"/>
        <v>2.181E-2</v>
      </c>
      <c r="I49" s="365"/>
      <c r="J49" s="570">
        <f t="shared" si="2"/>
        <v>2.181E-2</v>
      </c>
      <c r="K49" s="365">
        <f>'Rates in Detail'!Y48</f>
        <v>1.64E-3</v>
      </c>
      <c r="L49" s="365">
        <f>'Rates in Detail'!Z48</f>
        <v>-2.0000000000000002E-5</v>
      </c>
      <c r="M49" s="365"/>
      <c r="N49" s="852">
        <f t="shared" si="3"/>
        <v>2.3429999999999999E-2</v>
      </c>
      <c r="O49" s="365"/>
      <c r="P49" s="1527">
        <f t="shared" si="4"/>
        <v>2.3879999999999998E-2</v>
      </c>
      <c r="R49" s="157"/>
      <c r="S49" s="157"/>
      <c r="T49" s="157"/>
      <c r="U49" s="157"/>
      <c r="V49" s="157"/>
      <c r="W49" s="157"/>
    </row>
    <row r="50" spans="1:23" x14ac:dyDescent="0.2">
      <c r="A50" s="86">
        <f t="shared" si="0"/>
        <v>43</v>
      </c>
      <c r="B50" s="86" t="str">
        <f>'WA Volumes &amp; Revenues'!B51</f>
        <v>42I Firm Transpt</v>
      </c>
      <c r="C50" s="1490" t="s">
        <v>4</v>
      </c>
      <c r="D50" s="864">
        <f>'Rates in Detail'!J49</f>
        <v>0.14000000000000001</v>
      </c>
      <c r="E50" s="497">
        <f>SUM('Rates in Detail'!L49,'Rates in Detail'!P49,'Rates in Detail'!Q49)</f>
        <v>2.3969999999999998E-2</v>
      </c>
      <c r="F50" s="497">
        <f>'Rates in Detail'!V49</f>
        <v>-3.3600000000000001E-3</v>
      </c>
      <c r="G50" s="497"/>
      <c r="H50" s="1521">
        <f t="shared" si="1"/>
        <v>0.16061</v>
      </c>
      <c r="I50" s="497"/>
      <c r="J50" s="571">
        <f t="shared" si="2"/>
        <v>0.16061</v>
      </c>
      <c r="K50" s="497">
        <f>'Rates in Detail'!Y49</f>
        <v>1.2070000000000001E-2</v>
      </c>
      <c r="L50" s="497">
        <f>'Rates in Detail'!Z49</f>
        <v>-1.7000000000000001E-4</v>
      </c>
      <c r="M50" s="497"/>
      <c r="N50" s="854">
        <f t="shared" si="3"/>
        <v>0.17251</v>
      </c>
      <c r="O50" s="497"/>
      <c r="P50" s="1529">
        <f t="shared" si="4"/>
        <v>0.17587</v>
      </c>
      <c r="R50" s="157"/>
      <c r="S50" s="157"/>
      <c r="T50" s="157"/>
      <c r="U50" s="157"/>
      <c r="V50" s="157"/>
      <c r="W50" s="157"/>
    </row>
    <row r="51" spans="1:23" x14ac:dyDescent="0.2">
      <c r="A51" s="86">
        <f t="shared" si="0"/>
        <v>44</v>
      </c>
      <c r="B51" s="86"/>
      <c r="C51" s="1490" t="s">
        <v>5</v>
      </c>
      <c r="D51" s="864">
        <f>'Rates in Detail'!J50</f>
        <v>0.12530999999999998</v>
      </c>
      <c r="E51" s="497">
        <f>SUM('Rates in Detail'!L50,'Rates in Detail'!P50,'Rates in Detail'!Q50)</f>
        <v>2.145E-2</v>
      </c>
      <c r="F51" s="497">
        <f>'Rates in Detail'!V50</f>
        <v>-3.0000000000000001E-3</v>
      </c>
      <c r="G51" s="497"/>
      <c r="H51" s="1521">
        <f t="shared" si="1"/>
        <v>0.14375999999999997</v>
      </c>
      <c r="I51" s="497"/>
      <c r="J51" s="571">
        <f t="shared" si="2"/>
        <v>0.14375999999999997</v>
      </c>
      <c r="K51" s="497">
        <f>'Rates in Detail'!Y50</f>
        <v>1.0800000000000001E-2</v>
      </c>
      <c r="L51" s="497">
        <f>'Rates in Detail'!Z50</f>
        <v>-1.4999999999999999E-4</v>
      </c>
      <c r="M51" s="497"/>
      <c r="N51" s="854">
        <f t="shared" si="3"/>
        <v>0.15440999999999996</v>
      </c>
      <c r="O51" s="497"/>
      <c r="P51" s="1529">
        <f t="shared" si="4"/>
        <v>0.15740999999999997</v>
      </c>
      <c r="R51" s="157"/>
      <c r="S51" s="157"/>
      <c r="T51" s="157"/>
      <c r="U51" s="157"/>
      <c r="V51" s="157"/>
      <c r="W51" s="157"/>
    </row>
    <row r="52" spans="1:23" x14ac:dyDescent="0.2">
      <c r="A52" s="86">
        <f t="shared" si="0"/>
        <v>45</v>
      </c>
      <c r="B52" s="86"/>
      <c r="C52" s="1490" t="s">
        <v>6</v>
      </c>
      <c r="D52" s="864">
        <f>'Rates in Detail'!J51</f>
        <v>9.6100000000000005E-2</v>
      </c>
      <c r="E52" s="497">
        <f>SUM('Rates in Detail'!L51,'Rates in Detail'!P51,'Rates in Detail'!Q51)</f>
        <v>1.6450000000000003E-2</v>
      </c>
      <c r="F52" s="497">
        <f>'Rates in Detail'!V51</f>
        <v>-2.3E-3</v>
      </c>
      <c r="G52" s="497"/>
      <c r="H52" s="1521">
        <f t="shared" si="1"/>
        <v>0.11025000000000001</v>
      </c>
      <c r="I52" s="497"/>
      <c r="J52" s="571">
        <f t="shared" si="2"/>
        <v>0.11025000000000001</v>
      </c>
      <c r="K52" s="497">
        <f>'Rates in Detail'!Y51</f>
        <v>8.2799999999999992E-3</v>
      </c>
      <c r="L52" s="497">
        <f>'Rates in Detail'!Z51</f>
        <v>-1.2E-4</v>
      </c>
      <c r="M52" s="497"/>
      <c r="N52" s="854">
        <f t="shared" si="3"/>
        <v>0.11841000000000002</v>
      </c>
      <c r="O52" s="497"/>
      <c r="P52" s="1529">
        <f t="shared" si="4"/>
        <v>0.12071000000000001</v>
      </c>
      <c r="R52" s="157"/>
      <c r="S52" s="157"/>
      <c r="T52" s="157"/>
      <c r="U52" s="157"/>
      <c r="V52" s="157"/>
      <c r="W52" s="157"/>
    </row>
    <row r="53" spans="1:23" x14ac:dyDescent="0.2">
      <c r="A53" s="86">
        <f t="shared" si="0"/>
        <v>46</v>
      </c>
      <c r="B53" s="86"/>
      <c r="C53" s="1490" t="s">
        <v>7</v>
      </c>
      <c r="D53" s="864">
        <f>'Rates in Detail'!J52</f>
        <v>7.6880000000000018E-2</v>
      </c>
      <c r="E53" s="497">
        <f>SUM('Rates in Detail'!L52,'Rates in Detail'!P52,'Rates in Detail'!Q52)</f>
        <v>1.3169999999999999E-2</v>
      </c>
      <c r="F53" s="497">
        <f>'Rates in Detail'!V52</f>
        <v>-1.8400000000000001E-3</v>
      </c>
      <c r="G53" s="497"/>
      <c r="H53" s="1521">
        <f t="shared" si="1"/>
        <v>8.8210000000000025E-2</v>
      </c>
      <c r="I53" s="497"/>
      <c r="J53" s="571">
        <f t="shared" si="2"/>
        <v>8.8210000000000025E-2</v>
      </c>
      <c r="K53" s="497">
        <f>'Rates in Detail'!Y52</f>
        <v>6.6299999999999996E-3</v>
      </c>
      <c r="L53" s="497">
        <f>'Rates in Detail'!Z52</f>
        <v>-9.0000000000000006E-5</v>
      </c>
      <c r="M53" s="497"/>
      <c r="N53" s="854">
        <f t="shared" si="3"/>
        <v>9.4750000000000015E-2</v>
      </c>
      <c r="O53" s="497"/>
      <c r="P53" s="1529">
        <f t="shared" si="4"/>
        <v>9.6590000000000009E-2</v>
      </c>
      <c r="R53" s="157"/>
      <c r="S53" s="157"/>
      <c r="T53" s="157"/>
      <c r="U53" s="157"/>
      <c r="V53" s="157"/>
      <c r="W53" s="157"/>
    </row>
    <row r="54" spans="1:23" x14ac:dyDescent="0.2">
      <c r="A54" s="86">
        <f t="shared" si="0"/>
        <v>47</v>
      </c>
      <c r="B54" s="86"/>
      <c r="C54" s="1490" t="s">
        <v>8</v>
      </c>
      <c r="D54" s="864">
        <f>'Rates in Detail'!J53</f>
        <v>5.1250000000000004E-2</v>
      </c>
      <c r="E54" s="497">
        <f>SUM('Rates in Detail'!L53,'Rates in Detail'!P53,'Rates in Detail'!Q53)</f>
        <v>8.77E-3</v>
      </c>
      <c r="F54" s="497">
        <f>'Rates in Detail'!V53</f>
        <v>-1.23E-3</v>
      </c>
      <c r="G54" s="497"/>
      <c r="H54" s="1521">
        <f t="shared" si="1"/>
        <v>5.8790000000000002E-2</v>
      </c>
      <c r="I54" s="497"/>
      <c r="J54" s="571">
        <f t="shared" si="2"/>
        <v>5.8790000000000002E-2</v>
      </c>
      <c r="K54" s="497">
        <f>'Rates in Detail'!Y53</f>
        <v>4.4200000000000003E-3</v>
      </c>
      <c r="L54" s="497">
        <f>'Rates in Detail'!Z53</f>
        <v>-6.0000000000000002E-5</v>
      </c>
      <c r="M54" s="497"/>
      <c r="N54" s="854">
        <f t="shared" si="3"/>
        <v>6.3149999999999998E-2</v>
      </c>
      <c r="O54" s="497"/>
      <c r="P54" s="1529">
        <f t="shared" si="4"/>
        <v>6.4379999999999993E-2</v>
      </c>
      <c r="R54" s="157"/>
      <c r="S54" s="157"/>
      <c r="T54" s="157"/>
      <c r="U54" s="157"/>
      <c r="V54" s="157"/>
      <c r="W54" s="157"/>
    </row>
    <row r="55" spans="1:23" x14ac:dyDescent="0.2">
      <c r="A55" s="86">
        <f t="shared" si="0"/>
        <v>48</v>
      </c>
      <c r="B55" s="161"/>
      <c r="C55" s="1491" t="s">
        <v>9</v>
      </c>
      <c r="D55" s="862">
        <f>'Rates in Detail'!J54</f>
        <v>1.9220000000000001E-2</v>
      </c>
      <c r="E55" s="365">
        <f>SUM('Rates in Detail'!L54,'Rates in Detail'!P54,'Rates in Detail'!Q54)</f>
        <v>3.29E-3</v>
      </c>
      <c r="F55" s="365">
        <f>'Rates in Detail'!V54</f>
        <v>-4.6000000000000001E-4</v>
      </c>
      <c r="G55" s="365"/>
      <c r="H55" s="1519">
        <f t="shared" si="1"/>
        <v>2.2050000000000004E-2</v>
      </c>
      <c r="I55" s="365"/>
      <c r="J55" s="570">
        <f t="shared" si="2"/>
        <v>2.2050000000000004E-2</v>
      </c>
      <c r="K55" s="365">
        <f>'Rates in Detail'!Y54</f>
        <v>1.66E-3</v>
      </c>
      <c r="L55" s="365">
        <f>'Rates in Detail'!Z54</f>
        <v>-2.0000000000000002E-5</v>
      </c>
      <c r="M55" s="365"/>
      <c r="N55" s="852">
        <f t="shared" si="3"/>
        <v>2.3690000000000003E-2</v>
      </c>
      <c r="O55" s="365"/>
      <c r="P55" s="1527">
        <f t="shared" si="4"/>
        <v>2.4150000000000001E-2</v>
      </c>
      <c r="R55" s="157"/>
      <c r="S55" s="157"/>
      <c r="T55" s="157"/>
      <c r="U55" s="157"/>
      <c r="V55" s="157"/>
      <c r="W55" s="157"/>
    </row>
    <row r="56" spans="1:23" x14ac:dyDescent="0.2">
      <c r="A56" s="86">
        <f t="shared" si="0"/>
        <v>49</v>
      </c>
      <c r="B56" s="86" t="str">
        <f>'WA Volumes &amp; Revenues'!B57</f>
        <v>42C Interr Sales</v>
      </c>
      <c r="C56" s="1490" t="s">
        <v>4</v>
      </c>
      <c r="D56" s="864">
        <f>'Rates in Detail'!J55</f>
        <v>0.42349000000000003</v>
      </c>
      <c r="E56" s="497">
        <f>SUM('Rates in Detail'!L55,'Rates in Detail'!P55,'Rates in Detail'!Q55)</f>
        <v>2.486E-2</v>
      </c>
      <c r="F56" s="497">
        <f>'Rates in Detail'!V55</f>
        <v>-9.7800000000000005E-3</v>
      </c>
      <c r="G56" s="497"/>
      <c r="H56" s="1521">
        <f t="shared" si="1"/>
        <v>0.43857000000000002</v>
      </c>
      <c r="I56" s="497"/>
      <c r="J56" s="571">
        <f t="shared" si="2"/>
        <v>0.43857000000000002</v>
      </c>
      <c r="K56" s="497">
        <f>'Rates in Detail'!Y55</f>
        <v>1.252E-2</v>
      </c>
      <c r="L56" s="497">
        <f>'Rates in Detail'!Z55</f>
        <v>-1.8000000000000001E-4</v>
      </c>
      <c r="M56" s="497"/>
      <c r="N56" s="854">
        <f t="shared" si="3"/>
        <v>0.45090999999999998</v>
      </c>
      <c r="O56" s="497"/>
      <c r="P56" s="1529">
        <f t="shared" si="4"/>
        <v>0.46068999999999999</v>
      </c>
      <c r="R56" s="157"/>
      <c r="S56" s="157"/>
      <c r="T56" s="157"/>
      <c r="U56" s="157"/>
      <c r="V56" s="157"/>
      <c r="W56" s="157"/>
    </row>
    <row r="57" spans="1:23" x14ac:dyDescent="0.2">
      <c r="A57" s="86">
        <f t="shared" si="0"/>
        <v>50</v>
      </c>
      <c r="B57" s="86"/>
      <c r="C57" s="1490" t="s">
        <v>5</v>
      </c>
      <c r="D57" s="864">
        <f>'Rates in Detail'!J56</f>
        <v>0.40679999999999994</v>
      </c>
      <c r="E57" s="497">
        <f>SUM('Rates in Detail'!L56,'Rates in Detail'!P56,'Rates in Detail'!Q56)</f>
        <v>2.2260000000000002E-2</v>
      </c>
      <c r="F57" s="497">
        <f>'Rates in Detail'!V56</f>
        <v>-8.7600000000000004E-3</v>
      </c>
      <c r="G57" s="497"/>
      <c r="H57" s="1521">
        <f t="shared" si="1"/>
        <v>0.42029999999999995</v>
      </c>
      <c r="I57" s="497"/>
      <c r="J57" s="571">
        <f t="shared" si="2"/>
        <v>0.42029999999999995</v>
      </c>
      <c r="K57" s="497">
        <f>'Rates in Detail'!Y56</f>
        <v>1.1209999999999999E-2</v>
      </c>
      <c r="L57" s="497">
        <f>'Rates in Detail'!Z56</f>
        <v>-1.6000000000000001E-4</v>
      </c>
      <c r="M57" s="497"/>
      <c r="N57" s="854">
        <f t="shared" si="3"/>
        <v>0.43134999999999996</v>
      </c>
      <c r="O57" s="497"/>
      <c r="P57" s="1529">
        <f t="shared" si="4"/>
        <v>0.44010999999999995</v>
      </c>
      <c r="R57" s="157"/>
      <c r="S57" s="157"/>
      <c r="T57" s="157"/>
      <c r="U57" s="157"/>
      <c r="V57" s="157"/>
      <c r="W57" s="157"/>
    </row>
    <row r="58" spans="1:23" x14ac:dyDescent="0.2">
      <c r="A58" s="86">
        <f t="shared" si="0"/>
        <v>51</v>
      </c>
      <c r="B58" s="86"/>
      <c r="C58" s="1490" t="s">
        <v>6</v>
      </c>
      <c r="D58" s="864">
        <f>'Rates in Detail'!J57</f>
        <v>0.37361</v>
      </c>
      <c r="E58" s="497">
        <f>SUM('Rates in Detail'!L57,'Rates in Detail'!P57,'Rates in Detail'!Q57)</f>
        <v>1.7069999999999998E-2</v>
      </c>
      <c r="F58" s="497">
        <f>'Rates in Detail'!V57</f>
        <v>-6.7100000000000007E-3</v>
      </c>
      <c r="G58" s="497"/>
      <c r="H58" s="1521">
        <f t="shared" si="1"/>
        <v>0.38396999999999998</v>
      </c>
      <c r="I58" s="497"/>
      <c r="J58" s="571">
        <f t="shared" si="2"/>
        <v>0.38396999999999998</v>
      </c>
      <c r="K58" s="497">
        <f>'Rates in Detail'!Y57</f>
        <v>8.5900000000000004E-3</v>
      </c>
      <c r="L58" s="497">
        <f>'Rates in Detail'!Z57</f>
        <v>-1.2E-4</v>
      </c>
      <c r="M58" s="497"/>
      <c r="N58" s="854">
        <f t="shared" si="3"/>
        <v>0.39243999999999996</v>
      </c>
      <c r="O58" s="497"/>
      <c r="P58" s="1529">
        <f t="shared" si="4"/>
        <v>0.39914999999999995</v>
      </c>
      <c r="R58" s="157"/>
      <c r="S58" s="157"/>
      <c r="T58" s="157"/>
      <c r="U58" s="157"/>
      <c r="V58" s="157"/>
      <c r="W58" s="157"/>
    </row>
    <row r="59" spans="1:23" x14ac:dyDescent="0.2">
      <c r="A59" s="86">
        <f t="shared" si="0"/>
        <v>52</v>
      </c>
      <c r="B59" s="86"/>
      <c r="C59" s="1490" t="s">
        <v>7</v>
      </c>
      <c r="D59" s="864">
        <f>'Rates in Detail'!J58</f>
        <v>0.35180000000000006</v>
      </c>
      <c r="E59" s="497">
        <f>SUM('Rates in Detail'!L58,'Rates in Detail'!P58,'Rates in Detail'!Q58)</f>
        <v>1.3649999999999999E-2</v>
      </c>
      <c r="F59" s="497">
        <f>'Rates in Detail'!V58</f>
        <v>-5.3699999999999998E-3</v>
      </c>
      <c r="G59" s="497"/>
      <c r="H59" s="1521">
        <f t="shared" si="1"/>
        <v>0.36008000000000007</v>
      </c>
      <c r="I59" s="497"/>
      <c r="J59" s="571">
        <f t="shared" si="2"/>
        <v>0.36008000000000007</v>
      </c>
      <c r="K59" s="497">
        <f>'Rates in Detail'!Y58</f>
        <v>6.8799999999999998E-3</v>
      </c>
      <c r="L59" s="497">
        <f>'Rates in Detail'!Z58</f>
        <v>-1E-4</v>
      </c>
      <c r="M59" s="497"/>
      <c r="N59" s="854">
        <f t="shared" si="3"/>
        <v>0.36686000000000007</v>
      </c>
      <c r="O59" s="497"/>
      <c r="P59" s="1529">
        <f t="shared" si="4"/>
        <v>0.37223000000000006</v>
      </c>
      <c r="R59" s="157"/>
      <c r="S59" s="157"/>
      <c r="T59" s="157"/>
      <c r="U59" s="157"/>
      <c r="V59" s="157"/>
      <c r="W59" s="157"/>
    </row>
    <row r="60" spans="1:23" x14ac:dyDescent="0.2">
      <c r="A60" s="86">
        <f t="shared" si="0"/>
        <v>53</v>
      </c>
      <c r="B60" s="86"/>
      <c r="C60" s="1490" t="s">
        <v>8</v>
      </c>
      <c r="D60" s="864">
        <f>'Rates in Detail'!J59</f>
        <v>0.32268999999999998</v>
      </c>
      <c r="E60" s="497">
        <f>SUM('Rates in Detail'!L59,'Rates in Detail'!P59,'Rates in Detail'!Q59)</f>
        <v>9.11E-3</v>
      </c>
      <c r="F60" s="497">
        <f>'Rates in Detail'!V59</f>
        <v>-3.5799999999999998E-3</v>
      </c>
      <c r="G60" s="497"/>
      <c r="H60" s="1521">
        <f t="shared" si="1"/>
        <v>0.32821999999999996</v>
      </c>
      <c r="I60" s="497"/>
      <c r="J60" s="571">
        <f t="shared" si="2"/>
        <v>0.32821999999999996</v>
      </c>
      <c r="K60" s="497">
        <f>'Rates in Detail'!Y59</f>
        <v>4.5799999999999999E-3</v>
      </c>
      <c r="L60" s="497">
        <f>'Rates in Detail'!Z59</f>
        <v>-6.0000000000000002E-5</v>
      </c>
      <c r="M60" s="497"/>
      <c r="N60" s="854">
        <f t="shared" si="3"/>
        <v>0.33273999999999992</v>
      </c>
      <c r="O60" s="497"/>
      <c r="P60" s="1529">
        <f t="shared" si="4"/>
        <v>0.33631999999999995</v>
      </c>
      <c r="R60" s="157"/>
      <c r="S60" s="157"/>
      <c r="T60" s="157"/>
      <c r="U60" s="157"/>
      <c r="V60" s="157"/>
      <c r="W60" s="157"/>
    </row>
    <row r="61" spans="1:23" x14ac:dyDescent="0.2">
      <c r="A61" s="86">
        <f t="shared" si="0"/>
        <v>54</v>
      </c>
      <c r="B61" s="161"/>
      <c r="C61" s="1491" t="s">
        <v>9</v>
      </c>
      <c r="D61" s="862">
        <f>'Rates in Detail'!J60</f>
        <v>0.28632000000000002</v>
      </c>
      <c r="E61" s="365">
        <f>SUM('Rates in Detail'!L60,'Rates in Detail'!P60,'Rates in Detail'!Q60)</f>
        <v>3.4200000000000003E-3</v>
      </c>
      <c r="F61" s="365">
        <f>'Rates in Detail'!V60</f>
        <v>-1.3500000000000001E-3</v>
      </c>
      <c r="G61" s="365"/>
      <c r="H61" s="1519">
        <f t="shared" si="1"/>
        <v>0.28838999999999998</v>
      </c>
      <c r="I61" s="365"/>
      <c r="J61" s="570">
        <f t="shared" si="2"/>
        <v>0.28838999999999998</v>
      </c>
      <c r="K61" s="365">
        <f>'Rates in Detail'!Y60</f>
        <v>1.72E-3</v>
      </c>
      <c r="L61" s="365">
        <f>'Rates in Detail'!Z60</f>
        <v>-2.0000000000000002E-5</v>
      </c>
      <c r="M61" s="365"/>
      <c r="N61" s="852">
        <f t="shared" si="3"/>
        <v>0.29008999999999996</v>
      </c>
      <c r="O61" s="365"/>
      <c r="P61" s="1527">
        <f t="shared" si="4"/>
        <v>0.29143999999999998</v>
      </c>
      <c r="R61" s="157"/>
      <c r="S61" s="157"/>
      <c r="T61" s="157"/>
      <c r="U61" s="157"/>
      <c r="V61" s="157"/>
      <c r="W61" s="157"/>
    </row>
    <row r="62" spans="1:23" x14ac:dyDescent="0.2">
      <c r="A62" s="86">
        <f t="shared" si="0"/>
        <v>55</v>
      </c>
      <c r="B62" s="86" t="str">
        <f>'WA Volumes &amp; Revenues'!B63</f>
        <v>42I Interr Sales</v>
      </c>
      <c r="C62" s="1490" t="s">
        <v>4</v>
      </c>
      <c r="D62" s="864">
        <f>'Rates in Detail'!J61</f>
        <v>0.4161399999999999</v>
      </c>
      <c r="E62" s="497">
        <f>SUM('Rates in Detail'!L61,'Rates in Detail'!P61,'Rates in Detail'!Q61)</f>
        <v>3.4299999999999997E-2</v>
      </c>
      <c r="F62" s="497">
        <f>'Rates in Detail'!V61</f>
        <v>-4.7999999999999996E-3</v>
      </c>
      <c r="G62" s="497"/>
      <c r="H62" s="1521">
        <f t="shared" si="1"/>
        <v>0.44563999999999987</v>
      </c>
      <c r="I62" s="497"/>
      <c r="J62" s="571">
        <f t="shared" si="2"/>
        <v>0.44563999999999987</v>
      </c>
      <c r="K62" s="497">
        <f>'Rates in Detail'!Y61</f>
        <v>1.728E-2</v>
      </c>
      <c r="L62" s="497">
        <f>'Rates in Detail'!Z61</f>
        <v>-2.4000000000000001E-4</v>
      </c>
      <c r="M62" s="497"/>
      <c r="N62" s="854">
        <f t="shared" si="3"/>
        <v>0.46267999999999987</v>
      </c>
      <c r="O62" s="497"/>
      <c r="P62" s="1529">
        <f t="shared" si="4"/>
        <v>0.4674799999999999</v>
      </c>
      <c r="R62" s="157"/>
      <c r="S62" s="157"/>
      <c r="T62" s="157"/>
      <c r="U62" s="157"/>
      <c r="V62" s="157"/>
      <c r="W62" s="157"/>
    </row>
    <row r="63" spans="1:23" x14ac:dyDescent="0.2">
      <c r="A63" s="86">
        <f t="shared" si="0"/>
        <v>56</v>
      </c>
      <c r="B63" s="86"/>
      <c r="C63" s="1490" t="s">
        <v>5</v>
      </c>
      <c r="D63" s="864">
        <f>'Rates in Detail'!J62</f>
        <v>0.40022999999999992</v>
      </c>
      <c r="E63" s="497">
        <f>SUM('Rates in Detail'!L62,'Rates in Detail'!P62,'Rates in Detail'!Q62)</f>
        <v>3.0710000000000001E-2</v>
      </c>
      <c r="F63" s="497">
        <f>'Rates in Detail'!V62</f>
        <v>-4.3E-3</v>
      </c>
      <c r="G63" s="497"/>
      <c r="H63" s="1521">
        <f t="shared" si="1"/>
        <v>0.42663999999999991</v>
      </c>
      <c r="I63" s="497"/>
      <c r="J63" s="571">
        <f t="shared" si="2"/>
        <v>0.42663999999999991</v>
      </c>
      <c r="K63" s="497">
        <f>'Rates in Detail'!Y62</f>
        <v>1.546E-2</v>
      </c>
      <c r="L63" s="497">
        <f>'Rates in Detail'!Z62</f>
        <v>-2.2000000000000001E-4</v>
      </c>
      <c r="M63" s="497"/>
      <c r="N63" s="854">
        <f t="shared" si="3"/>
        <v>0.44187999999999988</v>
      </c>
      <c r="O63" s="497"/>
      <c r="P63" s="1529">
        <f t="shared" si="4"/>
        <v>0.44617999999999991</v>
      </c>
      <c r="R63" s="157"/>
      <c r="S63" s="157"/>
      <c r="T63" s="157"/>
      <c r="U63" s="157"/>
      <c r="V63" s="157"/>
      <c r="W63" s="157"/>
    </row>
    <row r="64" spans="1:23" x14ac:dyDescent="0.2">
      <c r="A64" s="86">
        <f t="shared" si="0"/>
        <v>57</v>
      </c>
      <c r="B64" s="86"/>
      <c r="C64" s="1490" t="s">
        <v>6</v>
      </c>
      <c r="D64" s="864">
        <f>'Rates in Detail'!J63</f>
        <v>0.36857999999999996</v>
      </c>
      <c r="E64" s="497">
        <f>SUM('Rates in Detail'!L63,'Rates in Detail'!P63,'Rates in Detail'!Q63)</f>
        <v>2.3550000000000001E-2</v>
      </c>
      <c r="F64" s="497">
        <f>'Rates in Detail'!V63</f>
        <v>-3.3E-3</v>
      </c>
      <c r="G64" s="497"/>
      <c r="H64" s="1521">
        <f t="shared" si="1"/>
        <v>0.38882999999999995</v>
      </c>
      <c r="I64" s="497"/>
      <c r="J64" s="571">
        <f t="shared" si="2"/>
        <v>0.38882999999999995</v>
      </c>
      <c r="K64" s="497">
        <f>'Rates in Detail'!Y63</f>
        <v>1.1860000000000001E-2</v>
      </c>
      <c r="L64" s="497">
        <f>'Rates in Detail'!Z63</f>
        <v>-1.7000000000000001E-4</v>
      </c>
      <c r="M64" s="497"/>
      <c r="N64" s="854">
        <f t="shared" si="3"/>
        <v>0.40051999999999993</v>
      </c>
      <c r="O64" s="497"/>
      <c r="P64" s="1529">
        <f t="shared" si="4"/>
        <v>0.40381999999999996</v>
      </c>
      <c r="R64" s="157"/>
      <c r="S64" s="157"/>
      <c r="T64" s="157"/>
      <c r="U64" s="157"/>
      <c r="V64" s="157"/>
      <c r="W64" s="157"/>
    </row>
    <row r="65" spans="1:23" x14ac:dyDescent="0.2">
      <c r="A65" s="86">
        <f t="shared" si="0"/>
        <v>58</v>
      </c>
      <c r="B65" s="86"/>
      <c r="C65" s="1490" t="s">
        <v>7</v>
      </c>
      <c r="D65" s="864">
        <f>'Rates in Detail'!J64</f>
        <v>0.34777000000000002</v>
      </c>
      <c r="E65" s="497">
        <f>SUM('Rates in Detail'!L64,'Rates in Detail'!P64,'Rates in Detail'!Q64)</f>
        <v>1.8840000000000003E-2</v>
      </c>
      <c r="F65" s="497">
        <f>'Rates in Detail'!V64</f>
        <v>-2.64E-3</v>
      </c>
      <c r="G65" s="497"/>
      <c r="H65" s="1521">
        <f t="shared" si="1"/>
        <v>0.36397000000000007</v>
      </c>
      <c r="I65" s="497"/>
      <c r="J65" s="571">
        <f t="shared" si="2"/>
        <v>0.36397000000000007</v>
      </c>
      <c r="K65" s="497">
        <f>'Rates in Detail'!Y64</f>
        <v>9.4900000000000002E-3</v>
      </c>
      <c r="L65" s="497">
        <f>'Rates in Detail'!Z64</f>
        <v>-1.2999999999999999E-4</v>
      </c>
      <c r="M65" s="497"/>
      <c r="N65" s="854">
        <f t="shared" si="3"/>
        <v>0.37333000000000005</v>
      </c>
      <c r="O65" s="497"/>
      <c r="P65" s="1529">
        <f t="shared" si="4"/>
        <v>0.37597000000000003</v>
      </c>
      <c r="R65" s="157"/>
      <c r="S65" s="157"/>
      <c r="T65" s="157"/>
      <c r="U65" s="157"/>
      <c r="V65" s="157"/>
      <c r="W65" s="157"/>
    </row>
    <row r="66" spans="1:23" x14ac:dyDescent="0.2">
      <c r="A66" s="86">
        <f t="shared" si="0"/>
        <v>59</v>
      </c>
      <c r="B66" s="86"/>
      <c r="C66" s="1490" t="s">
        <v>8</v>
      </c>
      <c r="D66" s="864">
        <f>'Rates in Detail'!J65</f>
        <v>0.32002000000000003</v>
      </c>
      <c r="E66" s="497">
        <f>SUM('Rates in Detail'!L65,'Rates in Detail'!P65,'Rates in Detail'!Q65)</f>
        <v>1.256E-2</v>
      </c>
      <c r="F66" s="497">
        <f>'Rates in Detail'!V65</f>
        <v>-1.7600000000000001E-3</v>
      </c>
      <c r="G66" s="497"/>
      <c r="H66" s="1521">
        <f t="shared" si="1"/>
        <v>0.33082000000000006</v>
      </c>
      <c r="I66" s="497"/>
      <c r="J66" s="571">
        <f t="shared" si="2"/>
        <v>0.33082000000000006</v>
      </c>
      <c r="K66" s="497">
        <f>'Rates in Detail'!Y65</f>
        <v>6.3200000000000001E-3</v>
      </c>
      <c r="L66" s="497">
        <f>'Rates in Detail'!Z65</f>
        <v>-9.0000000000000006E-5</v>
      </c>
      <c r="M66" s="497"/>
      <c r="N66" s="854">
        <f t="shared" si="3"/>
        <v>0.33705000000000007</v>
      </c>
      <c r="O66" s="497"/>
      <c r="P66" s="1529">
        <f t="shared" si="4"/>
        <v>0.33881000000000006</v>
      </c>
      <c r="R66" s="157"/>
      <c r="S66" s="157"/>
      <c r="T66" s="157"/>
      <c r="U66" s="157"/>
      <c r="V66" s="157"/>
      <c r="W66" s="157"/>
    </row>
    <row r="67" spans="1:23" x14ac:dyDescent="0.2">
      <c r="A67" s="86">
        <f t="shared" si="0"/>
        <v>60</v>
      </c>
      <c r="B67" s="161"/>
      <c r="C67" s="1491" t="s">
        <v>9</v>
      </c>
      <c r="D67" s="862">
        <f>'Rates in Detail'!J66</f>
        <v>0.2853</v>
      </c>
      <c r="E67" s="365">
        <f>SUM('Rates in Detail'!L66,'Rates in Detail'!P66,'Rates in Detail'!Q66)</f>
        <v>4.7100000000000006E-3</v>
      </c>
      <c r="F67" s="365">
        <f>'Rates in Detail'!V66</f>
        <v>-6.6E-4</v>
      </c>
      <c r="G67" s="365"/>
      <c r="H67" s="1519">
        <f t="shared" si="1"/>
        <v>0.28935</v>
      </c>
      <c r="I67" s="365"/>
      <c r="J67" s="570">
        <f t="shared" si="2"/>
        <v>0.28935</v>
      </c>
      <c r="K67" s="365">
        <f>'Rates in Detail'!Y66</f>
        <v>2.3700000000000001E-3</v>
      </c>
      <c r="L67" s="365">
        <f>'Rates in Detail'!Z66</f>
        <v>-3.0000000000000001E-5</v>
      </c>
      <c r="M67" s="365"/>
      <c r="N67" s="852">
        <f t="shared" si="3"/>
        <v>0.29169</v>
      </c>
      <c r="O67" s="365"/>
      <c r="P67" s="1527">
        <f t="shared" si="4"/>
        <v>0.29235</v>
      </c>
      <c r="R67" s="157"/>
      <c r="S67" s="157"/>
      <c r="T67" s="157"/>
      <c r="U67" s="157"/>
      <c r="V67" s="157"/>
      <c r="W67" s="157"/>
    </row>
    <row r="68" spans="1:23" x14ac:dyDescent="0.2">
      <c r="A68" s="86">
        <f t="shared" si="0"/>
        <v>61</v>
      </c>
      <c r="B68" s="86" t="str">
        <f>'WA Volumes &amp; Revenues'!B69</f>
        <v>42C Inter Transpt</v>
      </c>
      <c r="C68" s="1490" t="s">
        <v>4</v>
      </c>
      <c r="D68" s="864">
        <f>'Rates in Detail'!J67</f>
        <v>0.13459999999999997</v>
      </c>
      <c r="E68" s="497">
        <f>SUM('Rates in Detail'!L67,'Rates in Detail'!P67,'Rates in Detail'!Q67)</f>
        <v>1.5730000000000001E-2</v>
      </c>
      <c r="F68" s="497">
        <f>'Rates in Detail'!V67</f>
        <v>-2.3800000000000002E-3</v>
      </c>
      <c r="G68" s="497"/>
      <c r="H68" s="1521">
        <f t="shared" si="1"/>
        <v>0.14794999999999997</v>
      </c>
      <c r="I68" s="497"/>
      <c r="J68" s="571">
        <f t="shared" si="2"/>
        <v>0.14794999999999997</v>
      </c>
      <c r="K68" s="497">
        <f>'Rates in Detail'!Y67</f>
        <v>8.4799999999999997E-3</v>
      </c>
      <c r="L68" s="497">
        <f>'Rates in Detail'!Z67</f>
        <v>-1.2E-4</v>
      </c>
      <c r="M68" s="497"/>
      <c r="N68" s="854">
        <f t="shared" si="3"/>
        <v>0.15630999999999995</v>
      </c>
      <c r="O68" s="497"/>
      <c r="P68" s="1529">
        <f t="shared" si="4"/>
        <v>0.15868999999999994</v>
      </c>
      <c r="R68" s="157"/>
      <c r="S68" s="157"/>
      <c r="T68" s="157"/>
      <c r="U68" s="157"/>
      <c r="V68" s="157"/>
      <c r="W68" s="157"/>
    </row>
    <row r="69" spans="1:23" x14ac:dyDescent="0.2">
      <c r="A69" s="86">
        <f t="shared" si="0"/>
        <v>62</v>
      </c>
      <c r="B69" s="86"/>
      <c r="C69" s="1490" t="s">
        <v>5</v>
      </c>
      <c r="D69" s="864">
        <f>'Rates in Detail'!J68</f>
        <v>0.12048999999999999</v>
      </c>
      <c r="E69" s="497">
        <f>SUM('Rates in Detail'!L68,'Rates in Detail'!P68,'Rates in Detail'!Q68)</f>
        <v>1.409E-2</v>
      </c>
      <c r="F69" s="497">
        <f>'Rates in Detail'!V68</f>
        <v>-2.1299999999999999E-3</v>
      </c>
      <c r="G69" s="497"/>
      <c r="H69" s="1521">
        <f t="shared" si="1"/>
        <v>0.13244999999999998</v>
      </c>
      <c r="I69" s="497"/>
      <c r="J69" s="571">
        <f t="shared" si="2"/>
        <v>0.13244999999999998</v>
      </c>
      <c r="K69" s="497">
        <f>'Rates in Detail'!Y68</f>
        <v>7.5900000000000004E-3</v>
      </c>
      <c r="L69" s="497">
        <f>'Rates in Detail'!Z68</f>
        <v>-1.1E-4</v>
      </c>
      <c r="M69" s="497"/>
      <c r="N69" s="854">
        <f t="shared" si="3"/>
        <v>0.13993</v>
      </c>
      <c r="O69" s="497"/>
      <c r="P69" s="1529">
        <f t="shared" si="4"/>
        <v>0.14205999999999999</v>
      </c>
      <c r="R69" s="157"/>
      <c r="S69" s="157"/>
      <c r="T69" s="157"/>
      <c r="U69" s="157"/>
      <c r="V69" s="157"/>
      <c r="W69" s="157"/>
    </row>
    <row r="70" spans="1:23" x14ac:dyDescent="0.2">
      <c r="A70" s="86">
        <f t="shared" si="0"/>
        <v>63</v>
      </c>
      <c r="B70" s="86"/>
      <c r="C70" s="1490" t="s">
        <v>6</v>
      </c>
      <c r="D70" s="864">
        <f>'Rates in Detail'!J69</f>
        <v>9.2380000000000004E-2</v>
      </c>
      <c r="E70" s="497">
        <f>SUM('Rates in Detail'!L69,'Rates in Detail'!P69,'Rates in Detail'!Q69)</f>
        <v>1.0800000000000001E-2</v>
      </c>
      <c r="F70" s="497">
        <f>'Rates in Detail'!V69</f>
        <v>-1.6299999999999999E-3</v>
      </c>
      <c r="G70" s="497"/>
      <c r="H70" s="1521">
        <f t="shared" si="1"/>
        <v>0.10155</v>
      </c>
      <c r="I70" s="497"/>
      <c r="J70" s="571">
        <f t="shared" si="2"/>
        <v>0.10155</v>
      </c>
      <c r="K70" s="497">
        <f>'Rates in Detail'!Y69</f>
        <v>5.8199999999999997E-3</v>
      </c>
      <c r="L70" s="497">
        <f>'Rates in Detail'!Z69</f>
        <v>-8.0000000000000007E-5</v>
      </c>
      <c r="M70" s="497"/>
      <c r="N70" s="854">
        <f t="shared" si="3"/>
        <v>0.10729000000000001</v>
      </c>
      <c r="O70" s="497"/>
      <c r="P70" s="1529">
        <f t="shared" si="4"/>
        <v>0.10892000000000002</v>
      </c>
      <c r="R70" s="157"/>
      <c r="S70" s="157"/>
      <c r="T70" s="157"/>
      <c r="U70" s="157"/>
      <c r="V70" s="157"/>
      <c r="W70" s="157"/>
    </row>
    <row r="71" spans="1:23" x14ac:dyDescent="0.2">
      <c r="A71" s="86">
        <f t="shared" si="0"/>
        <v>64</v>
      </c>
      <c r="B71" s="86"/>
      <c r="C71" s="1490" t="s">
        <v>7</v>
      </c>
      <c r="D71" s="864">
        <f>'Rates in Detail'!J70</f>
        <v>7.392E-2</v>
      </c>
      <c r="E71" s="497">
        <f>SUM('Rates in Detail'!L70,'Rates in Detail'!P70,'Rates in Detail'!Q70)</f>
        <v>8.6400000000000001E-3</v>
      </c>
      <c r="F71" s="497">
        <f>'Rates in Detail'!V70</f>
        <v>-1.31E-3</v>
      </c>
      <c r="G71" s="497"/>
      <c r="H71" s="1521">
        <f t="shared" si="1"/>
        <v>8.1249999999999989E-2</v>
      </c>
      <c r="I71" s="497"/>
      <c r="J71" s="571">
        <f t="shared" si="2"/>
        <v>8.1249999999999989E-2</v>
      </c>
      <c r="K71" s="497">
        <f>'Rates in Detail'!Y70</f>
        <v>4.6600000000000001E-3</v>
      </c>
      <c r="L71" s="497">
        <f>'Rates in Detail'!Z70</f>
        <v>-6.9999999999999994E-5</v>
      </c>
      <c r="M71" s="497"/>
      <c r="N71" s="854">
        <f t="shared" si="3"/>
        <v>8.5839999999999986E-2</v>
      </c>
      <c r="O71" s="497"/>
      <c r="P71" s="1529">
        <f t="shared" si="4"/>
        <v>8.7149999999999991E-2</v>
      </c>
      <c r="R71" s="157"/>
      <c r="S71" s="157"/>
      <c r="T71" s="157"/>
      <c r="U71" s="157"/>
      <c r="V71" s="157"/>
      <c r="W71" s="157"/>
    </row>
    <row r="72" spans="1:23" x14ac:dyDescent="0.2">
      <c r="A72" s="86">
        <f t="shared" si="0"/>
        <v>65</v>
      </c>
      <c r="B72" s="86"/>
      <c r="C72" s="1490" t="s">
        <v>8</v>
      </c>
      <c r="D72" s="864">
        <f>'Rates in Detail'!J71</f>
        <v>4.929E-2</v>
      </c>
      <c r="E72" s="497">
        <f>SUM('Rates in Detail'!L71,'Rates in Detail'!P71,'Rates in Detail'!Q71)</f>
        <v>5.7599999999999995E-3</v>
      </c>
      <c r="F72" s="497">
        <f>'Rates in Detail'!V71</f>
        <v>-8.7000000000000001E-4</v>
      </c>
      <c r="G72" s="497"/>
      <c r="H72" s="1521">
        <f t="shared" si="1"/>
        <v>5.4179999999999999E-2</v>
      </c>
      <c r="I72" s="497"/>
      <c r="J72" s="571">
        <f t="shared" si="2"/>
        <v>5.4179999999999999E-2</v>
      </c>
      <c r="K72" s="497">
        <f>'Rates in Detail'!Y71</f>
        <v>3.1099999999999999E-3</v>
      </c>
      <c r="L72" s="497">
        <f>'Rates in Detail'!Z71</f>
        <v>-4.0000000000000003E-5</v>
      </c>
      <c r="M72" s="497"/>
      <c r="N72" s="854">
        <f t="shared" si="3"/>
        <v>5.7250000000000002E-2</v>
      </c>
      <c r="O72" s="497"/>
      <c r="P72" s="1529">
        <f t="shared" si="4"/>
        <v>5.8120000000000005E-2</v>
      </c>
      <c r="R72" s="157"/>
      <c r="S72" s="157"/>
      <c r="T72" s="157"/>
      <c r="U72" s="157"/>
      <c r="V72" s="157"/>
      <c r="W72" s="157"/>
    </row>
    <row r="73" spans="1:23" x14ac:dyDescent="0.2">
      <c r="A73" s="86">
        <f t="shared" si="0"/>
        <v>66</v>
      </c>
      <c r="B73" s="161"/>
      <c r="C73" s="1491" t="s">
        <v>9</v>
      </c>
      <c r="D73" s="862">
        <f>'Rates in Detail'!J72</f>
        <v>1.8460000000000001E-2</v>
      </c>
      <c r="E73" s="365">
        <f>SUM('Rates in Detail'!L72,'Rates in Detail'!P72,'Rates in Detail'!Q72)</f>
        <v>2.16E-3</v>
      </c>
      <c r="F73" s="365">
        <f>'Rates in Detail'!V72</f>
        <v>-3.3E-4</v>
      </c>
      <c r="G73" s="365"/>
      <c r="H73" s="1519">
        <f t="shared" si="1"/>
        <v>2.0289999999999999E-2</v>
      </c>
      <c r="I73" s="365"/>
      <c r="J73" s="570">
        <f t="shared" si="2"/>
        <v>2.0289999999999999E-2</v>
      </c>
      <c r="K73" s="365">
        <f>'Rates in Detail'!Y72</f>
        <v>1.16E-3</v>
      </c>
      <c r="L73" s="365">
        <f>'Rates in Detail'!Z72</f>
        <v>-2.0000000000000002E-5</v>
      </c>
      <c r="M73" s="365"/>
      <c r="N73" s="852">
        <f t="shared" si="3"/>
        <v>2.1430000000000001E-2</v>
      </c>
      <c r="O73" s="365"/>
      <c r="P73" s="1527">
        <f t="shared" si="4"/>
        <v>2.1760000000000002E-2</v>
      </c>
      <c r="R73" s="157"/>
      <c r="S73" s="157"/>
      <c r="T73" s="157"/>
      <c r="U73" s="157"/>
      <c r="V73" s="157"/>
      <c r="W73" s="157"/>
    </row>
    <row r="74" spans="1:23" x14ac:dyDescent="0.2">
      <c r="A74" s="86">
        <f t="shared" si="0"/>
        <v>67</v>
      </c>
      <c r="B74" s="86" t="str">
        <f>'WA Volumes &amp; Revenues'!B75</f>
        <v>42I Inter Transpt</v>
      </c>
      <c r="C74" s="1490" t="s">
        <v>4</v>
      </c>
      <c r="D74" s="864">
        <f>'Rates in Detail'!J73</f>
        <v>0.13459999999999997</v>
      </c>
      <c r="E74" s="497">
        <f>SUM('Rates in Detail'!L73,'Rates in Detail'!P73,'Rates in Detail'!Q73)</f>
        <v>2.017E-2</v>
      </c>
      <c r="F74" s="497">
        <f>'Rates in Detail'!V73</f>
        <v>-2.82E-3</v>
      </c>
      <c r="G74" s="497"/>
      <c r="H74" s="1521">
        <f t="shared" si="1"/>
        <v>0.15194999999999997</v>
      </c>
      <c r="I74" s="497"/>
      <c r="J74" s="571">
        <f t="shared" si="2"/>
        <v>0.15194999999999997</v>
      </c>
      <c r="K74" s="497">
        <f>'Rates in Detail'!Y73</f>
        <v>1.0160000000000001E-2</v>
      </c>
      <c r="L74" s="497">
        <f>'Rates in Detail'!Z73</f>
        <v>-1.3999999999999999E-4</v>
      </c>
      <c r="M74" s="497"/>
      <c r="N74" s="854">
        <f t="shared" si="3"/>
        <v>0.16196999999999998</v>
      </c>
      <c r="O74" s="497"/>
      <c r="P74" s="1529">
        <f t="shared" si="4"/>
        <v>0.16478999999999996</v>
      </c>
      <c r="R74" s="157"/>
      <c r="S74" s="157"/>
      <c r="T74" s="157"/>
      <c r="U74" s="157"/>
      <c r="V74" s="157"/>
      <c r="W74" s="157"/>
    </row>
    <row r="75" spans="1:23" x14ac:dyDescent="0.2">
      <c r="A75" s="86">
        <f t="shared" si="0"/>
        <v>68</v>
      </c>
      <c r="B75" s="86"/>
      <c r="C75" s="1490" t="s">
        <v>5</v>
      </c>
      <c r="D75" s="864">
        <f>'Rates in Detail'!J74</f>
        <v>0.12048999999999999</v>
      </c>
      <c r="E75" s="497">
        <f>SUM('Rates in Detail'!L74,'Rates in Detail'!P74,'Rates in Detail'!Q74)</f>
        <v>1.806E-2</v>
      </c>
      <c r="F75" s="497">
        <f>'Rates in Detail'!V74</f>
        <v>-2.5300000000000001E-3</v>
      </c>
      <c r="G75" s="497"/>
      <c r="H75" s="1521">
        <f t="shared" si="1"/>
        <v>0.13601999999999997</v>
      </c>
      <c r="I75" s="497"/>
      <c r="J75" s="571">
        <f t="shared" si="2"/>
        <v>0.13601999999999997</v>
      </c>
      <c r="K75" s="497">
        <f>'Rates in Detail'!Y74</f>
        <v>9.0900000000000009E-3</v>
      </c>
      <c r="L75" s="497">
        <f>'Rates in Detail'!Z74</f>
        <v>-1.2999999999999999E-4</v>
      </c>
      <c r="M75" s="497"/>
      <c r="N75" s="854">
        <f t="shared" si="3"/>
        <v>0.14497999999999997</v>
      </c>
      <c r="O75" s="497"/>
      <c r="P75" s="1529">
        <f t="shared" si="4"/>
        <v>0.14750999999999997</v>
      </c>
      <c r="R75" s="157"/>
      <c r="S75" s="157"/>
      <c r="T75" s="157"/>
      <c r="U75" s="157"/>
      <c r="V75" s="157"/>
      <c r="W75" s="157"/>
    </row>
    <row r="76" spans="1:23" x14ac:dyDescent="0.2">
      <c r="A76" s="86">
        <f t="shared" si="0"/>
        <v>69</v>
      </c>
      <c r="B76" s="86"/>
      <c r="C76" s="1490" t="s">
        <v>6</v>
      </c>
      <c r="D76" s="864">
        <f>'Rates in Detail'!J75</f>
        <v>9.2380000000000004E-2</v>
      </c>
      <c r="E76" s="497">
        <f>SUM('Rates in Detail'!L75,'Rates in Detail'!P75,'Rates in Detail'!Q75)</f>
        <v>1.3849999999999999E-2</v>
      </c>
      <c r="F76" s="497">
        <f>'Rates in Detail'!V75</f>
        <v>-1.9400000000000001E-3</v>
      </c>
      <c r="G76" s="497"/>
      <c r="H76" s="1521">
        <f t="shared" si="1"/>
        <v>0.10429000000000001</v>
      </c>
      <c r="I76" s="497"/>
      <c r="J76" s="571">
        <f t="shared" si="2"/>
        <v>0.10429000000000001</v>
      </c>
      <c r="K76" s="497">
        <f>'Rates in Detail'!Y75</f>
        <v>6.9699999999999996E-3</v>
      </c>
      <c r="L76" s="497">
        <f>'Rates in Detail'!Z75</f>
        <v>-1E-4</v>
      </c>
      <c r="M76" s="497"/>
      <c r="N76" s="854">
        <f t="shared" si="3"/>
        <v>0.11116000000000001</v>
      </c>
      <c r="O76" s="497"/>
      <c r="P76" s="1529">
        <f t="shared" si="4"/>
        <v>0.11310000000000001</v>
      </c>
      <c r="R76" s="157"/>
      <c r="S76" s="157"/>
      <c r="T76" s="157"/>
      <c r="U76" s="157"/>
      <c r="V76" s="157"/>
      <c r="W76" s="157"/>
    </row>
    <row r="77" spans="1:23" x14ac:dyDescent="0.2">
      <c r="A77" s="86">
        <f t="shared" si="0"/>
        <v>70</v>
      </c>
      <c r="B77" s="86"/>
      <c r="C77" s="1490" t="s">
        <v>7</v>
      </c>
      <c r="D77" s="864">
        <f>'Rates in Detail'!J76</f>
        <v>7.392E-2</v>
      </c>
      <c r="E77" s="497">
        <f>SUM('Rates in Detail'!L76,'Rates in Detail'!P76,'Rates in Detail'!Q76)</f>
        <v>1.107E-2</v>
      </c>
      <c r="F77" s="497">
        <f>'Rates in Detail'!V76</f>
        <v>-1.5499999999999999E-3</v>
      </c>
      <c r="G77" s="497"/>
      <c r="H77" s="1521">
        <f t="shared" si="1"/>
        <v>8.344E-2</v>
      </c>
      <c r="I77" s="497"/>
      <c r="J77" s="571">
        <f t="shared" si="2"/>
        <v>8.344E-2</v>
      </c>
      <c r="K77" s="497">
        <f>'Rates in Detail'!Y76</f>
        <v>5.5799999999999999E-3</v>
      </c>
      <c r="L77" s="497">
        <f>'Rates in Detail'!Z76</f>
        <v>-8.0000000000000007E-5</v>
      </c>
      <c r="M77" s="497"/>
      <c r="N77" s="854">
        <f t="shared" si="3"/>
        <v>8.8940000000000005E-2</v>
      </c>
      <c r="O77" s="497"/>
      <c r="P77" s="1529">
        <f t="shared" si="4"/>
        <v>9.0490000000000001E-2</v>
      </c>
      <c r="R77" s="157"/>
      <c r="S77" s="157"/>
      <c r="T77" s="157"/>
      <c r="U77" s="157"/>
      <c r="V77" s="157"/>
      <c r="W77" s="157"/>
    </row>
    <row r="78" spans="1:23" x14ac:dyDescent="0.2">
      <c r="A78" s="86">
        <f t="shared" si="0"/>
        <v>71</v>
      </c>
      <c r="B78" s="86"/>
      <c r="C78" s="1490" t="s">
        <v>8</v>
      </c>
      <c r="D78" s="864">
        <f>'Rates in Detail'!J77</f>
        <v>4.929E-2</v>
      </c>
      <c r="E78" s="497">
        <f>SUM('Rates in Detail'!L77,'Rates in Detail'!P77,'Rates in Detail'!Q77)</f>
        <v>7.3799999999999994E-3</v>
      </c>
      <c r="F78" s="497">
        <f>'Rates in Detail'!V77</f>
        <v>-1.0300000000000001E-3</v>
      </c>
      <c r="G78" s="497"/>
      <c r="H78" s="1521">
        <f t="shared" si="1"/>
        <v>5.5639999999999995E-2</v>
      </c>
      <c r="I78" s="497"/>
      <c r="J78" s="571">
        <f t="shared" si="2"/>
        <v>5.5639999999999995E-2</v>
      </c>
      <c r="K78" s="497">
        <f>'Rates in Detail'!Y77</f>
        <v>3.7200000000000002E-3</v>
      </c>
      <c r="L78" s="497">
        <f>'Rates in Detail'!Z77</f>
        <v>-5.0000000000000002E-5</v>
      </c>
      <c r="M78" s="497"/>
      <c r="N78" s="854">
        <f t="shared" si="3"/>
        <v>5.9309999999999995E-2</v>
      </c>
      <c r="O78" s="497"/>
      <c r="P78" s="1529">
        <f t="shared" si="4"/>
        <v>6.0339999999999998E-2</v>
      </c>
      <c r="R78" s="157"/>
      <c r="S78" s="157"/>
      <c r="T78" s="157"/>
      <c r="U78" s="157"/>
      <c r="V78" s="157"/>
      <c r="W78" s="157"/>
    </row>
    <row r="79" spans="1:23" x14ac:dyDescent="0.2">
      <c r="A79" s="86">
        <f t="shared" si="0"/>
        <v>72</v>
      </c>
      <c r="B79" s="161"/>
      <c r="C79" s="1491" t="s">
        <v>9</v>
      </c>
      <c r="D79" s="864">
        <f>'Rates in Detail'!J78</f>
        <v>1.8460000000000001E-2</v>
      </c>
      <c r="E79" s="497">
        <f>SUM('Rates in Detail'!L78,'Rates in Detail'!P78,'Rates in Detail'!Q78)</f>
        <v>2.7699999999999999E-3</v>
      </c>
      <c r="F79" s="497">
        <f>'Rates in Detail'!V78</f>
        <v>-3.8999999999999999E-4</v>
      </c>
      <c r="G79" s="497"/>
      <c r="H79" s="1521">
        <f t="shared" ref="H79:H82" si="5">SUM(D79:G79)</f>
        <v>2.0839999999999997E-2</v>
      </c>
      <c r="I79" s="497"/>
      <c r="J79" s="570">
        <f t="shared" ref="J79:J82" si="6">SUM(H79:I79)</f>
        <v>2.0839999999999997E-2</v>
      </c>
      <c r="K79" s="497">
        <f>'Rates in Detail'!Y78</f>
        <v>1.39E-3</v>
      </c>
      <c r="L79" s="497">
        <f>'Rates in Detail'!Z78</f>
        <v>-2.0000000000000002E-5</v>
      </c>
      <c r="M79" s="497"/>
      <c r="N79" s="854">
        <f t="shared" ref="N79:N82" si="7">SUM(J79:M79)</f>
        <v>2.2209999999999997E-2</v>
      </c>
      <c r="O79" s="497"/>
      <c r="P79" s="1527">
        <f t="shared" ref="P79:P82" si="8">SUM(N79:O79)-F79</f>
        <v>2.2599999999999999E-2</v>
      </c>
      <c r="R79" s="157"/>
      <c r="S79" s="157"/>
      <c r="T79" s="157"/>
      <c r="U79" s="157"/>
      <c r="V79" s="157"/>
      <c r="W79" s="157"/>
    </row>
    <row r="80" spans="1:23" x14ac:dyDescent="0.2">
      <c r="A80" s="86">
        <f t="shared" si="0"/>
        <v>73</v>
      </c>
      <c r="B80" s="1001" t="str">
        <f>'WA Volumes &amp; Revenues'!B81</f>
        <v>43 Firm Transpt</v>
      </c>
      <c r="C80" s="1001" t="s">
        <v>283</v>
      </c>
      <c r="D80" s="863">
        <f>'Rates in Detail'!J79</f>
        <v>4.919999999999999E-3</v>
      </c>
      <c r="E80" s="390">
        <f>SUM('Rates in Detail'!L79,'Rates in Detail'!P79,'Rates in Detail'!Q79)</f>
        <v>0</v>
      </c>
      <c r="F80" s="390">
        <f>'Rates in Detail'!V79</f>
        <v>0</v>
      </c>
      <c r="G80" s="390"/>
      <c r="H80" s="1522">
        <f t="shared" si="5"/>
        <v>4.919999999999999E-3</v>
      </c>
      <c r="I80" s="390"/>
      <c r="J80" s="569">
        <f t="shared" si="6"/>
        <v>4.919999999999999E-3</v>
      </c>
      <c r="K80" s="390">
        <f>'Rates in Detail'!Y79</f>
        <v>0</v>
      </c>
      <c r="L80" s="390">
        <f>'Rates in Detail'!Z79</f>
        <v>0</v>
      </c>
      <c r="M80" s="390"/>
      <c r="N80" s="855">
        <f t="shared" si="7"/>
        <v>4.919999999999999E-3</v>
      </c>
      <c r="O80" s="390"/>
      <c r="P80" s="1528">
        <f t="shared" si="8"/>
        <v>4.919999999999999E-3</v>
      </c>
      <c r="R80" s="157"/>
      <c r="S80" s="157"/>
      <c r="T80" s="157"/>
      <c r="U80" s="157"/>
      <c r="V80" s="157"/>
      <c r="W80" s="157"/>
    </row>
    <row r="81" spans="1:23" x14ac:dyDescent="0.2">
      <c r="A81" s="86">
        <f t="shared" si="0"/>
        <v>74</v>
      </c>
      <c r="B81" s="1001" t="str">
        <f>'WA Volumes &amp; Revenues'!B82</f>
        <v>43 Interr Transpt</v>
      </c>
      <c r="C81" s="1001" t="s">
        <v>283</v>
      </c>
      <c r="D81" s="865">
        <f>'Rates in Detail'!J80</f>
        <v>4.919999999999999E-3</v>
      </c>
      <c r="E81" s="365">
        <f>SUM('Rates in Detail'!L80,'Rates in Detail'!P80,'Rates in Detail'!Q80)</f>
        <v>0</v>
      </c>
      <c r="F81" s="365">
        <f>'Rates in Detail'!V80</f>
        <v>0</v>
      </c>
      <c r="G81" s="153"/>
      <c r="H81" s="1520">
        <f t="shared" si="5"/>
        <v>4.919999999999999E-3</v>
      </c>
      <c r="I81" s="153"/>
      <c r="J81" s="569">
        <f t="shared" si="6"/>
        <v>4.919999999999999E-3</v>
      </c>
      <c r="K81" s="365">
        <f>'Rates in Detail'!Y80</f>
        <v>0</v>
      </c>
      <c r="L81" s="365">
        <f>'Rates in Detail'!Z80</f>
        <v>0</v>
      </c>
      <c r="M81" s="153"/>
      <c r="N81" s="853">
        <f t="shared" si="7"/>
        <v>4.919999999999999E-3</v>
      </c>
      <c r="O81" s="153"/>
      <c r="P81" s="1528">
        <f t="shared" si="8"/>
        <v>4.919999999999999E-3</v>
      </c>
      <c r="R81" s="157"/>
      <c r="S81" s="157"/>
      <c r="T81" s="157"/>
      <c r="U81" s="157"/>
      <c r="V81" s="157"/>
      <c r="W81" s="157"/>
    </row>
    <row r="82" spans="1:23" ht="13.5" thickBot="1" x14ac:dyDescent="0.25">
      <c r="A82" s="86">
        <f t="shared" si="0"/>
        <v>75</v>
      </c>
      <c r="B82" s="1506" t="str">
        <f>'WA Volumes &amp; Revenues'!B83</f>
        <v>Special Contract</v>
      </c>
      <c r="C82" s="1506" t="s">
        <v>283</v>
      </c>
      <c r="D82" s="866">
        <f>'Rates in Detail'!J81</f>
        <v>0</v>
      </c>
      <c r="E82" s="858">
        <f>SUM('Rates in Detail'!L81,'Rates in Detail'!P81,'Rates in Detail'!Q81)</f>
        <v>0</v>
      </c>
      <c r="F82" s="847">
        <f>'Rates in Detail'!V81</f>
        <v>0</v>
      </c>
      <c r="G82" s="166"/>
      <c r="H82" s="1523">
        <f t="shared" si="5"/>
        <v>0</v>
      </c>
      <c r="I82" s="165"/>
      <c r="J82" s="857">
        <f t="shared" si="6"/>
        <v>0</v>
      </c>
      <c r="K82" s="858">
        <f>'Rates in Detail'!Y81</f>
        <v>0</v>
      </c>
      <c r="L82" s="847">
        <f>'Rates in Detail'!Z81</f>
        <v>0</v>
      </c>
      <c r="M82" s="166"/>
      <c r="N82" s="856">
        <f t="shared" si="7"/>
        <v>0</v>
      </c>
      <c r="O82" s="165"/>
      <c r="P82" s="1530">
        <f t="shared" si="8"/>
        <v>0</v>
      </c>
      <c r="R82" s="157"/>
      <c r="S82" s="157"/>
      <c r="T82" s="157"/>
      <c r="U82" s="157"/>
      <c r="V82" s="157"/>
      <c r="W82" s="157"/>
    </row>
    <row r="83" spans="1:23" x14ac:dyDescent="0.2">
      <c r="A83" s="86">
        <f t="shared" si="0"/>
        <v>76</v>
      </c>
      <c r="J83" s="55"/>
      <c r="P83" s="55"/>
    </row>
    <row r="84" spans="1:23" x14ac:dyDescent="0.2">
      <c r="A84" s="86">
        <f t="shared" ref="A84:A90" si="9">+A83+1</f>
        <v>77</v>
      </c>
    </row>
    <row r="85" spans="1:23" ht="13.5" thickBot="1" x14ac:dyDescent="0.25">
      <c r="A85" s="86">
        <f t="shared" si="9"/>
        <v>78</v>
      </c>
      <c r="B85" s="168" t="s">
        <v>58</v>
      </c>
    </row>
    <row r="86" spans="1:23" ht="13.5" thickBot="1" x14ac:dyDescent="0.25">
      <c r="A86" s="86">
        <f t="shared" si="9"/>
        <v>79</v>
      </c>
      <c r="B86" s="867" t="s">
        <v>59</v>
      </c>
      <c r="C86" s="868"/>
      <c r="D86" s="869"/>
      <c r="E86" s="869"/>
      <c r="F86" s="869"/>
      <c r="G86" s="869"/>
      <c r="H86" s="870"/>
      <c r="I86" s="869"/>
      <c r="J86" s="871"/>
      <c r="K86" s="869"/>
      <c r="L86" s="869"/>
      <c r="M86" s="869"/>
      <c r="N86" s="870"/>
      <c r="O86" s="869"/>
      <c r="P86" s="871"/>
    </row>
    <row r="87" spans="1:23" ht="13.5" thickBot="1" x14ac:dyDescent="0.25">
      <c r="A87" s="86">
        <f t="shared" si="9"/>
        <v>80</v>
      </c>
    </row>
    <row r="88" spans="1:23" ht="13.5" thickBot="1" x14ac:dyDescent="0.25">
      <c r="A88" s="86">
        <f t="shared" si="9"/>
        <v>81</v>
      </c>
      <c r="B88" s="867" t="s">
        <v>62</v>
      </c>
      <c r="C88" s="868"/>
      <c r="D88" s="868"/>
      <c r="E88" s="868"/>
      <c r="F88" s="868"/>
      <c r="G88" s="868"/>
      <c r="H88" s="872"/>
      <c r="I88" s="868"/>
      <c r="J88" s="873"/>
      <c r="K88" s="868"/>
      <c r="L88" s="868"/>
      <c r="M88" s="868"/>
      <c r="N88" s="872"/>
      <c r="O88" s="868"/>
      <c r="P88" s="873"/>
    </row>
    <row r="89" spans="1:23" x14ac:dyDescent="0.2">
      <c r="A89" s="86">
        <f t="shared" si="9"/>
        <v>82</v>
      </c>
    </row>
    <row r="90" spans="1:23" x14ac:dyDescent="0.2">
      <c r="A90" s="86">
        <f t="shared" si="9"/>
        <v>83</v>
      </c>
      <c r="B90" s="170" t="s">
        <v>183</v>
      </c>
      <c r="C90" s="550"/>
      <c r="D90" s="550"/>
      <c r="E90" s="550"/>
      <c r="F90" s="550"/>
      <c r="G90" s="550"/>
      <c r="H90" s="551"/>
      <c r="I90" s="550"/>
      <c r="J90" s="550"/>
      <c r="K90" s="550"/>
      <c r="L90" s="550"/>
      <c r="M90" s="550"/>
      <c r="N90" s="551"/>
      <c r="O90" s="550"/>
      <c r="P90" s="550"/>
    </row>
    <row r="91" spans="1:23" x14ac:dyDescent="0.2">
      <c r="A91" s="86"/>
      <c r="B91" s="170"/>
      <c r="C91" s="550"/>
      <c r="D91" s="550"/>
      <c r="E91" s="550"/>
      <c r="F91" s="550"/>
      <c r="G91" s="550"/>
      <c r="H91" s="551"/>
      <c r="I91" s="550"/>
      <c r="J91" s="550"/>
      <c r="K91" s="550"/>
      <c r="L91" s="550"/>
      <c r="M91" s="550"/>
      <c r="N91" s="551"/>
      <c r="O91" s="550"/>
      <c r="P91" s="550"/>
    </row>
    <row r="92" spans="1:23" x14ac:dyDescent="0.2">
      <c r="A92" s="86"/>
    </row>
    <row r="93" spans="1:23" x14ac:dyDescent="0.2">
      <c r="A93" s="86"/>
    </row>
  </sheetData>
  <customSheetViews>
    <customSheetView guid="{80646397-1CEF-4A79-B348-594AB32B8020}">
      <pane xSplit="4" ySplit="13" topLeftCell="E14" activePane="bottomRight" state="frozen"/>
      <selection pane="bottomRight" activeCell="P25" sqref="P25"/>
      <pageMargins left="0.5" right="0.5" top="0.5" bottom="0.5" header="0.25" footer="0.25"/>
      <printOptions horizontalCentered="1"/>
      <pageSetup scale="51" orientation="portrait" r:id="rId1"/>
      <headerFooter alignWithMargins="0">
        <oddHeader>&amp;RUG 388 - NW Natural/2500
Wyman/WP02</oddHeader>
        <oddFooter xml:space="preserve">&amp;C&amp;F &amp;D &amp;T
&amp;A </oddFooter>
      </headerFooter>
    </customSheetView>
    <customSheetView guid="{37B35166-7378-4B00-BB4E-9E442A0D870E}">
      <pane xSplit="4" ySplit="13" topLeftCell="E14" activePane="bottomRight" state="frozen"/>
      <selection pane="bottomRight" activeCell="P25" sqref="P25"/>
      <pageMargins left="0.5" right="0.5" top="0.5" bottom="0.5" header="0.25" footer="0.25"/>
      <printOptions horizontalCentered="1"/>
      <pageSetup scale="51" orientation="portrait" r:id="rId2"/>
      <headerFooter alignWithMargins="0">
        <oddHeader>&amp;RUG 388 - NW Natural/2500
Wyman/WP02</oddHeader>
        <oddFooter xml:space="preserve">&amp;C&amp;F &amp;D &amp;T
&amp;A </oddFooter>
      </headerFooter>
    </customSheetView>
  </customSheetViews>
  <phoneticPr fontId="10" type="noConversion"/>
  <printOptions horizontalCentered="1"/>
  <pageMargins left="0.5" right="0.5" top="0.5" bottom="0.5" header="0.25" footer="0.25"/>
  <pageSetup scale="51" orientation="portrait" r:id="rId3"/>
  <headerFooter alignWithMargins="0">
    <oddHeader>&amp;RExh. RJW-3 Wyman WP1</oddHeader>
    <oddFooter xml:space="preserve">&amp;C&amp;F &amp;D &amp;T
&amp;A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theme="6" tint="0.79998168889431442"/>
  </sheetPr>
  <dimension ref="A1:BS108"/>
  <sheetViews>
    <sheetView workbookViewId="0">
      <pane xSplit="3" ySplit="13" topLeftCell="D14" activePane="bottomRight" state="frozen"/>
      <selection pane="topRight" activeCell="D1" sqref="D1"/>
      <selection pane="bottomLeft" activeCell="A14" sqref="A14"/>
      <selection pane="bottomRight" activeCell="AP3" sqref="AP3"/>
    </sheetView>
  </sheetViews>
  <sheetFormatPr defaultColWidth="9.33203125" defaultRowHeight="12.75" outlineLevelCol="2" x14ac:dyDescent="0.2"/>
  <cols>
    <col min="1" max="1" width="6.83203125" style="55" customWidth="1"/>
    <col min="2" max="2" width="17.83203125" style="56" customWidth="1"/>
    <col min="3" max="3" width="9.33203125" style="56"/>
    <col min="4" max="4" width="17.5" style="56" customWidth="1" outlineLevel="1"/>
    <col min="5" max="5" width="17.5" style="56" hidden="1" customWidth="1" outlineLevel="1"/>
    <col min="6" max="6" width="13.33203125" style="56" customWidth="1" outlineLevel="1"/>
    <col min="7" max="7" width="13.6640625" style="56" customWidth="1" outlineLevel="1"/>
    <col min="8" max="8" width="13.6640625" style="56" hidden="1" customWidth="1" outlineLevel="1"/>
    <col min="9" max="9" width="14" style="56" customWidth="1" outlineLevel="1"/>
    <col min="10" max="10" width="14.1640625" style="56" customWidth="1" outlineLevel="1"/>
    <col min="11" max="12" width="11.83203125" style="56" customWidth="1" outlineLevel="1"/>
    <col min="13" max="13" width="15.5" style="56" customWidth="1" outlineLevel="1"/>
    <col min="14" max="14" width="15.5" style="56" hidden="1" customWidth="1" outlineLevel="1"/>
    <col min="15" max="15" width="15.5" style="56" customWidth="1" outlineLevel="1"/>
    <col min="16" max="16" width="15.5" style="56" hidden="1" customWidth="1" outlineLevel="1"/>
    <col min="17" max="19" width="16.6640625" style="56" customWidth="1"/>
    <col min="20" max="25" width="15.5" style="56" hidden="1" customWidth="1" outlineLevel="1"/>
    <col min="26" max="26" width="15.5" style="56" customWidth="1" collapsed="1"/>
    <col min="27" max="31" width="15.5" style="56" customWidth="1"/>
    <col min="32" max="35" width="16.6640625" style="56" customWidth="1"/>
    <col min="36" max="38" width="16.6640625" style="56" customWidth="1" outlineLevel="1"/>
    <col min="39" max="41" width="15.5" style="56" hidden="1" customWidth="1" outlineLevel="2"/>
    <col min="42" max="42" width="15.5" style="56" customWidth="1" outlineLevel="1" collapsed="1"/>
    <col min="43" max="44" width="15.5" style="56" customWidth="1" outlineLevel="1"/>
    <col min="45" max="47" width="16.6640625" style="56" customWidth="1" outlineLevel="1"/>
    <col min="48" max="48" width="17.6640625" style="55" bestFit="1" customWidth="1"/>
    <col min="49" max="49" width="2.5" style="55" customWidth="1"/>
    <col min="50" max="50" width="11.5" style="55" customWidth="1"/>
    <col min="51" max="51" width="12.33203125" style="55" customWidth="1"/>
    <col min="52" max="52" width="2.5" style="55" customWidth="1"/>
    <col min="53" max="53" width="12" style="55" customWidth="1"/>
    <col min="54" max="55" width="16.1640625" style="55" customWidth="1"/>
    <col min="56" max="57" width="16.1640625" style="55" hidden="1" customWidth="1" outlineLevel="1"/>
    <col min="58" max="58" width="16.1640625" style="55" customWidth="1" collapsed="1"/>
    <col min="59" max="59" width="16.1640625" style="55" customWidth="1"/>
    <col min="60" max="61" width="15.1640625" style="55" customWidth="1"/>
    <col min="62" max="63" width="15.1640625" style="55" hidden="1" customWidth="1" outlineLevel="1"/>
    <col min="64" max="64" width="15.1640625" style="55" customWidth="1" collapsed="1"/>
    <col min="65" max="65" width="15.1640625" style="55" customWidth="1"/>
    <col min="66" max="66" width="20.6640625" style="55" bestFit="1" customWidth="1"/>
    <col min="67" max="67" width="11.5" style="55" bestFit="1" customWidth="1"/>
    <col min="68" max="69" width="9.33203125" style="55"/>
    <col min="70" max="70" width="11.1640625" style="55" customWidth="1"/>
    <col min="71" max="71" width="10.6640625" style="55" customWidth="1"/>
    <col min="72" max="16384" width="9.33203125" style="55"/>
  </cols>
  <sheetData>
    <row r="1" spans="1:65" ht="15" x14ac:dyDescent="0.25">
      <c r="A1" s="173" t="str">
        <f>+'WA Volumes &amp; Revenues'!A1</f>
        <v>NW Natural</v>
      </c>
      <c r="R1" s="352"/>
      <c r="V1" s="352"/>
      <c r="Y1" s="352"/>
      <c r="Z1" s="352"/>
      <c r="AA1" s="352"/>
      <c r="AB1" s="352"/>
      <c r="AC1" s="352"/>
      <c r="AD1" s="352"/>
      <c r="AE1" s="352"/>
      <c r="AF1" s="352"/>
      <c r="AG1" s="352"/>
      <c r="AK1" s="352"/>
      <c r="AL1" s="352"/>
      <c r="AO1" s="352"/>
      <c r="AP1" s="352"/>
      <c r="AQ1" s="352"/>
      <c r="AR1" s="352"/>
      <c r="AS1" s="352"/>
      <c r="AT1" s="352"/>
    </row>
    <row r="2" spans="1:65" ht="15" x14ac:dyDescent="0.25">
      <c r="A2" s="173" t="str">
        <f>+'WA Volumes &amp; Revenues'!A2</f>
        <v>Rates &amp; Regulatory Affairs</v>
      </c>
      <c r="I2" s="55"/>
      <c r="J2" s="55"/>
      <c r="K2" s="55"/>
      <c r="L2" s="55"/>
      <c r="Q2" s="140"/>
      <c r="R2" s="351"/>
      <c r="S2" s="1266"/>
      <c r="V2" s="352"/>
      <c r="Y2" s="352"/>
      <c r="Z2" s="352"/>
      <c r="AA2" s="352"/>
      <c r="AB2" s="352"/>
      <c r="AC2" s="352"/>
      <c r="AD2" s="352"/>
      <c r="AE2" s="352"/>
      <c r="AF2" s="352"/>
      <c r="AG2" s="352"/>
      <c r="AH2" s="351"/>
      <c r="AI2" s="351"/>
      <c r="AJ2" s="140"/>
      <c r="AK2" s="352"/>
      <c r="AL2" s="352"/>
      <c r="AO2" s="352"/>
      <c r="AP2" s="352"/>
      <c r="AQ2" s="352"/>
      <c r="AR2" s="352"/>
      <c r="AS2" s="352"/>
      <c r="AT2" s="352"/>
      <c r="AU2" s="351"/>
    </row>
    <row r="3" spans="1:65" ht="14.45" customHeight="1" x14ac:dyDescent="0.25">
      <c r="A3" s="173" t="str">
        <f>+'WA Volumes &amp; Revenues'!A3</f>
        <v>Test Year Ending September 30, 2020</v>
      </c>
      <c r="I3" s="596"/>
      <c r="J3" s="86"/>
      <c r="K3" s="372"/>
      <c r="L3" s="372"/>
      <c r="Q3" s="171"/>
      <c r="R3" s="352"/>
      <c r="S3" s="171"/>
      <c r="AB3" s="171"/>
      <c r="AC3" s="171"/>
      <c r="AF3" s="171"/>
      <c r="AG3" s="352"/>
      <c r="AH3" s="352"/>
      <c r="AI3" s="352"/>
      <c r="AJ3" s="171"/>
      <c r="AK3" s="352"/>
      <c r="AL3" s="352"/>
      <c r="AT3" s="352"/>
      <c r="AU3" s="352"/>
    </row>
    <row r="4" spans="1:65" ht="14.45" customHeight="1" thickBot="1" x14ac:dyDescent="0.3">
      <c r="A4" s="415" t="s">
        <v>239</v>
      </c>
      <c r="I4" s="596"/>
      <c r="J4" s="156"/>
      <c r="K4" s="657"/>
      <c r="L4" s="657"/>
      <c r="AF4" s="1255"/>
      <c r="AG4" s="352"/>
      <c r="AT4" s="352"/>
    </row>
    <row r="5" spans="1:65" ht="15.75" thickBot="1" x14ac:dyDescent="0.3">
      <c r="I5" s="596"/>
      <c r="J5" s="156"/>
      <c r="K5" s="657"/>
      <c r="L5" s="657"/>
      <c r="M5" s="404"/>
      <c r="N5" s="404"/>
      <c r="O5" s="404"/>
      <c r="P5" s="404"/>
      <c r="Q5" s="1613" t="s">
        <v>565</v>
      </c>
      <c r="R5" s="1614"/>
      <c r="S5" s="1614"/>
      <c r="T5" s="1614"/>
      <c r="U5" s="1614"/>
      <c r="V5" s="1614"/>
      <c r="W5" s="1614"/>
      <c r="X5" s="1614"/>
      <c r="Y5" s="1614"/>
      <c r="Z5" s="1614"/>
      <c r="AA5" s="1614"/>
      <c r="AB5" s="1614"/>
      <c r="AC5" s="1614"/>
      <c r="AD5" s="1614"/>
      <c r="AE5" s="1614"/>
      <c r="AF5" s="1614"/>
      <c r="AG5" s="1614"/>
      <c r="AH5" s="1615"/>
      <c r="AI5" s="1532"/>
      <c r="AJ5" s="1616" t="s">
        <v>566</v>
      </c>
      <c r="AK5" s="1617"/>
      <c r="AL5" s="1617"/>
      <c r="AM5" s="1617"/>
      <c r="AN5" s="1617"/>
      <c r="AO5" s="1617"/>
      <c r="AP5" s="1617"/>
      <c r="AQ5" s="1617"/>
      <c r="AR5" s="1617"/>
      <c r="AS5" s="1617"/>
      <c r="AT5" s="1617"/>
      <c r="AU5" s="1618"/>
      <c r="AV5" s="1533"/>
    </row>
    <row r="6" spans="1:65" ht="15" x14ac:dyDescent="0.25">
      <c r="A6" s="665"/>
      <c r="I6" s="55"/>
      <c r="J6" s="55"/>
      <c r="K6" s="55"/>
      <c r="L6" s="55"/>
      <c r="M6" s="55"/>
      <c r="N6" s="55"/>
      <c r="O6" s="55"/>
      <c r="P6" s="55"/>
      <c r="Q6" s="1622" t="s">
        <v>447</v>
      </c>
      <c r="R6" s="1623"/>
      <c r="S6" s="1624"/>
      <c r="T6" s="1625" t="s">
        <v>421</v>
      </c>
      <c r="U6" s="1626"/>
      <c r="V6" s="1627"/>
      <c r="W6" s="1625" t="s">
        <v>531</v>
      </c>
      <c r="X6" s="1626"/>
      <c r="Y6" s="1627"/>
      <c r="Z6" s="1625" t="s">
        <v>532</v>
      </c>
      <c r="AA6" s="1626"/>
      <c r="AB6" s="1627"/>
      <c r="AC6" s="1625" t="s">
        <v>533</v>
      </c>
      <c r="AD6" s="1626"/>
      <c r="AE6" s="1627"/>
      <c r="AF6" s="1622" t="s">
        <v>189</v>
      </c>
      <c r="AG6" s="1623"/>
      <c r="AH6" s="1624"/>
      <c r="AI6" s="1252"/>
      <c r="AJ6" s="1622" t="s">
        <v>244</v>
      </c>
      <c r="AK6" s="1623"/>
      <c r="AL6" s="1624"/>
      <c r="AM6" s="1625" t="s">
        <v>425</v>
      </c>
      <c r="AN6" s="1626"/>
      <c r="AO6" s="1627"/>
      <c r="AP6" s="1625" t="s">
        <v>534</v>
      </c>
      <c r="AQ6" s="1626"/>
      <c r="AR6" s="1627"/>
      <c r="AS6" s="1622" t="s">
        <v>189</v>
      </c>
      <c r="AT6" s="1623"/>
      <c r="AU6" s="1624"/>
      <c r="AV6" s="1260"/>
    </row>
    <row r="7" spans="1:65" ht="13.5" thickBot="1" x14ac:dyDescent="0.25">
      <c r="G7" s="442" t="str">
        <f>D8</f>
        <v>UG-20XXXX</v>
      </c>
      <c r="H7" s="442" t="s">
        <v>236</v>
      </c>
      <c r="I7" s="55"/>
      <c r="M7" s="58" t="s">
        <v>420</v>
      </c>
      <c r="N7" s="55"/>
      <c r="O7" s="58" t="s">
        <v>419</v>
      </c>
      <c r="P7" s="55"/>
      <c r="Q7" s="406"/>
      <c r="R7" s="405"/>
      <c r="S7" s="407"/>
      <c r="T7" s="273"/>
      <c r="U7" s="55"/>
      <c r="V7" s="574"/>
      <c r="W7" s="273"/>
      <c r="X7" s="425" t="s">
        <v>535</v>
      </c>
      <c r="Y7" s="574"/>
      <c r="Z7" s="273"/>
      <c r="AA7" s="425" t="s">
        <v>190</v>
      </c>
      <c r="AB7" s="574"/>
      <c r="AC7" s="273"/>
      <c r="AD7" s="425" t="s">
        <v>190</v>
      </c>
      <c r="AE7" s="574"/>
      <c r="AF7" s="553"/>
      <c r="AG7" s="405"/>
      <c r="AH7" s="407"/>
      <c r="AI7" s="405"/>
      <c r="AJ7" s="406"/>
      <c r="AK7" s="405"/>
      <c r="AL7" s="407"/>
      <c r="AM7" s="273"/>
      <c r="AN7" s="55"/>
      <c r="AO7" s="574"/>
      <c r="AP7" s="273"/>
      <c r="AQ7" s="425" t="s">
        <v>190</v>
      </c>
      <c r="AR7" s="574"/>
      <c r="AS7" s="553"/>
      <c r="AT7" s="405"/>
      <c r="AU7" s="407"/>
      <c r="AV7" s="1261"/>
    </row>
    <row r="8" spans="1:65" x14ac:dyDescent="0.2">
      <c r="A8" s="86">
        <v>1</v>
      </c>
      <c r="D8" s="442" t="s">
        <v>557</v>
      </c>
      <c r="E8" s="442" t="s">
        <v>236</v>
      </c>
      <c r="G8" s="353" t="s">
        <v>81</v>
      </c>
      <c r="H8" s="353" t="s">
        <v>81</v>
      </c>
      <c r="I8" s="61" t="s">
        <v>18</v>
      </c>
      <c r="J8" s="354" t="str">
        <f>D8</f>
        <v>UG-20XXXX</v>
      </c>
      <c r="K8" s="61" t="s">
        <v>18</v>
      </c>
      <c r="L8" s="61" t="s">
        <v>18</v>
      </c>
      <c r="M8" s="354" t="str">
        <f>D8</f>
        <v>UG-20XXXX</v>
      </c>
      <c r="N8" s="354" t="s">
        <v>236</v>
      </c>
      <c r="O8" s="354" t="str">
        <f>M8</f>
        <v>UG-20XXXX</v>
      </c>
      <c r="P8" s="354" t="s">
        <v>236</v>
      </c>
      <c r="Q8" s="573" t="str">
        <f>D8</f>
        <v>UG-20XXXX</v>
      </c>
      <c r="R8" s="356" t="str">
        <f>Q8</f>
        <v>UG-20XXXX</v>
      </c>
      <c r="S8" s="1022" t="str">
        <f>Q8</f>
        <v>UG-20XXXX</v>
      </c>
      <c r="T8" s="573" t="str">
        <f>Q8</f>
        <v>UG-20XXXX</v>
      </c>
      <c r="U8" s="356" t="str">
        <f t="shared" ref="U8:V10" si="0">T8</f>
        <v>UG-20XXXX</v>
      </c>
      <c r="V8" s="1022" t="str">
        <f t="shared" si="0"/>
        <v>UG-20XXXX</v>
      </c>
      <c r="W8" s="573" t="str">
        <f>T8</f>
        <v>UG-20XXXX</v>
      </c>
      <c r="X8" s="356" t="str">
        <f t="shared" ref="X8:X10" si="1">W8</f>
        <v>UG-20XXXX</v>
      </c>
      <c r="Y8" s="1022" t="str">
        <f t="shared" ref="Y8:Y10" si="2">X8</f>
        <v>UG-20XXXX</v>
      </c>
      <c r="Z8" s="573" t="str">
        <f>W8</f>
        <v>UG-20XXXX</v>
      </c>
      <c r="AA8" s="356" t="str">
        <f t="shared" ref="AA8:AA10" si="3">Z8</f>
        <v>UG-20XXXX</v>
      </c>
      <c r="AB8" s="1022" t="str">
        <f t="shared" ref="AB8:AB10" si="4">AA8</f>
        <v>UG-20XXXX</v>
      </c>
      <c r="AC8" s="356" t="str">
        <f>Z8</f>
        <v>UG-20XXXX</v>
      </c>
      <c r="AD8" s="356" t="str">
        <f t="shared" ref="AD8:AD10" si="5">AC8</f>
        <v>UG-20XXXX</v>
      </c>
      <c r="AE8" s="1022" t="str">
        <f t="shared" ref="AE8:AE10" si="6">AD8</f>
        <v>UG-20XXXX</v>
      </c>
      <c r="AF8" s="573" t="s">
        <v>645</v>
      </c>
      <c r="AG8" s="356" t="str">
        <f t="shared" ref="AG8:AG10" si="7">AF8</f>
        <v>UG-20XXXX + PGA</v>
      </c>
      <c r="AH8" s="1022" t="str">
        <f t="shared" ref="AH8:AH10" si="8">AG8</f>
        <v>UG-20XXXX + PGA</v>
      </c>
      <c r="AI8" s="573"/>
      <c r="AJ8" s="573" t="str">
        <f>Q8</f>
        <v>UG-20XXXX</v>
      </c>
      <c r="AK8" s="356" t="str">
        <f>Q8</f>
        <v>UG-20XXXX</v>
      </c>
      <c r="AL8" s="1022" t="str">
        <f>AJ8</f>
        <v>UG-20XXXX</v>
      </c>
      <c r="AM8" s="573" t="str">
        <f>AJ8</f>
        <v>UG-20XXXX</v>
      </c>
      <c r="AN8" s="356" t="str">
        <f t="shared" ref="AN8:AN10" si="9">AM8</f>
        <v>UG-20XXXX</v>
      </c>
      <c r="AO8" s="1022" t="str">
        <f t="shared" ref="AO8:AO10" si="10">AN8</f>
        <v>UG-20XXXX</v>
      </c>
      <c r="AP8" s="356" t="str">
        <f>AM8</f>
        <v>UG-20XXXX</v>
      </c>
      <c r="AQ8" s="356" t="str">
        <f t="shared" ref="AQ8:AQ10" si="11">AP8</f>
        <v>UG-20XXXX</v>
      </c>
      <c r="AR8" s="1022" t="str">
        <f t="shared" ref="AR8:AR10" si="12">AQ8</f>
        <v>UG-20XXXX</v>
      </c>
      <c r="AS8" s="573" t="s">
        <v>645</v>
      </c>
      <c r="AT8" s="356" t="str">
        <f t="shared" ref="AT8:AU10" si="13">AS8</f>
        <v>UG-20XXXX + PGA</v>
      </c>
      <c r="AU8" s="1022" t="str">
        <f t="shared" si="13"/>
        <v>UG-20XXXX + PGA</v>
      </c>
      <c r="AV8" s="357"/>
    </row>
    <row r="9" spans="1:65" ht="13.5" thickBot="1" x14ac:dyDescent="0.25">
      <c r="A9" s="86">
        <f t="shared" ref="A9:A91" si="14">+A8+1</f>
        <v>2</v>
      </c>
      <c r="D9" s="61" t="s">
        <v>372</v>
      </c>
      <c r="E9" s="61" t="str">
        <f>D9</f>
        <v>Washington</v>
      </c>
      <c r="F9" s="353"/>
      <c r="G9" s="353" t="s">
        <v>67</v>
      </c>
      <c r="H9" s="353" t="s">
        <v>67</v>
      </c>
      <c r="I9" s="61" t="s">
        <v>69</v>
      </c>
      <c r="J9" s="61" t="s">
        <v>69</v>
      </c>
      <c r="K9" s="354">
        <v>44136</v>
      </c>
      <c r="L9" s="354">
        <v>44501</v>
      </c>
      <c r="M9" s="353">
        <f>+K9</f>
        <v>44136</v>
      </c>
      <c r="N9" s="353">
        <f>+M9</f>
        <v>44136</v>
      </c>
      <c r="O9" s="353">
        <v>44501</v>
      </c>
      <c r="P9" s="353">
        <f>+O9</f>
        <v>44501</v>
      </c>
      <c r="Q9" s="355">
        <v>44501</v>
      </c>
      <c r="R9" s="356">
        <f>Q9</f>
        <v>44501</v>
      </c>
      <c r="S9" s="357">
        <f>R9</f>
        <v>44501</v>
      </c>
      <c r="T9" s="573">
        <f>Q9</f>
        <v>44501</v>
      </c>
      <c r="U9" s="356">
        <f t="shared" si="0"/>
        <v>44501</v>
      </c>
      <c r="V9" s="357">
        <f t="shared" si="0"/>
        <v>44501</v>
      </c>
      <c r="W9" s="573">
        <f>T9</f>
        <v>44501</v>
      </c>
      <c r="X9" s="356">
        <f t="shared" si="1"/>
        <v>44501</v>
      </c>
      <c r="Y9" s="357">
        <f t="shared" si="2"/>
        <v>44501</v>
      </c>
      <c r="Z9" s="573">
        <f>W9</f>
        <v>44501</v>
      </c>
      <c r="AA9" s="356">
        <f t="shared" si="3"/>
        <v>44501</v>
      </c>
      <c r="AB9" s="357">
        <f t="shared" si="4"/>
        <v>44501</v>
      </c>
      <c r="AC9" s="356">
        <f>Z9</f>
        <v>44501</v>
      </c>
      <c r="AD9" s="356">
        <f t="shared" si="5"/>
        <v>44501</v>
      </c>
      <c r="AE9" s="357">
        <f t="shared" si="6"/>
        <v>44501</v>
      </c>
      <c r="AF9" s="573">
        <f>Q9</f>
        <v>44501</v>
      </c>
      <c r="AG9" s="356">
        <f t="shared" si="7"/>
        <v>44501</v>
      </c>
      <c r="AH9" s="357">
        <f t="shared" si="8"/>
        <v>44501</v>
      </c>
      <c r="AI9" s="573"/>
      <c r="AJ9" s="355">
        <v>44866</v>
      </c>
      <c r="AK9" s="356">
        <f>AJ9</f>
        <v>44866</v>
      </c>
      <c r="AL9" s="357">
        <f>AK9</f>
        <v>44866</v>
      </c>
      <c r="AM9" s="573">
        <f>AJ9</f>
        <v>44866</v>
      </c>
      <c r="AN9" s="356">
        <f t="shared" si="9"/>
        <v>44866</v>
      </c>
      <c r="AO9" s="357">
        <f t="shared" si="10"/>
        <v>44866</v>
      </c>
      <c r="AP9" s="356">
        <f>AM9</f>
        <v>44866</v>
      </c>
      <c r="AQ9" s="356">
        <f t="shared" si="11"/>
        <v>44866</v>
      </c>
      <c r="AR9" s="357">
        <f t="shared" si="12"/>
        <v>44866</v>
      </c>
      <c r="AS9" s="573">
        <f>AJ9</f>
        <v>44866</v>
      </c>
      <c r="AT9" s="356">
        <f t="shared" si="13"/>
        <v>44866</v>
      </c>
      <c r="AU9" s="357">
        <f t="shared" si="13"/>
        <v>44866</v>
      </c>
      <c r="AV9" s="357"/>
    </row>
    <row r="10" spans="1:65" ht="13.5" thickBot="1" x14ac:dyDescent="0.25">
      <c r="A10" s="86">
        <f t="shared" si="14"/>
        <v>3</v>
      </c>
      <c r="D10" s="61" t="s">
        <v>192</v>
      </c>
      <c r="E10" s="61" t="s">
        <v>192</v>
      </c>
      <c r="F10" s="61" t="s">
        <v>66</v>
      </c>
      <c r="G10" s="61" t="s">
        <v>70</v>
      </c>
      <c r="H10" s="61" t="s">
        <v>70</v>
      </c>
      <c r="I10" s="61" t="s">
        <v>70</v>
      </c>
      <c r="J10" s="61" t="s">
        <v>70</v>
      </c>
      <c r="K10" s="61" t="s">
        <v>15</v>
      </c>
      <c r="L10" s="61" t="s">
        <v>15</v>
      </c>
      <c r="M10" s="61" t="s">
        <v>18</v>
      </c>
      <c r="N10" s="61" t="s">
        <v>18</v>
      </c>
      <c r="O10" s="61" t="s">
        <v>18</v>
      </c>
      <c r="P10" s="61" t="s">
        <v>18</v>
      </c>
      <c r="Q10" s="423" t="s">
        <v>21</v>
      </c>
      <c r="R10" s="86" t="str">
        <f>Q10</f>
        <v>Proposed</v>
      </c>
      <c r="S10" s="572" t="str">
        <f>R10</f>
        <v>Proposed</v>
      </c>
      <c r="T10" s="423" t="s">
        <v>21</v>
      </c>
      <c r="U10" s="86" t="str">
        <f t="shared" si="0"/>
        <v>Proposed</v>
      </c>
      <c r="V10" s="575" t="str">
        <f t="shared" si="0"/>
        <v>Proposed</v>
      </c>
      <c r="W10" s="423" t="s">
        <v>21</v>
      </c>
      <c r="X10" s="86" t="str">
        <f t="shared" si="1"/>
        <v>Proposed</v>
      </c>
      <c r="Y10" s="575" t="str">
        <f t="shared" si="2"/>
        <v>Proposed</v>
      </c>
      <c r="Z10" s="423" t="s">
        <v>21</v>
      </c>
      <c r="AA10" s="86" t="str">
        <f t="shared" si="3"/>
        <v>Proposed</v>
      </c>
      <c r="AB10" s="575" t="str">
        <f t="shared" si="4"/>
        <v>Proposed</v>
      </c>
      <c r="AC10" s="86" t="s">
        <v>21</v>
      </c>
      <c r="AD10" s="86" t="str">
        <f t="shared" si="5"/>
        <v>Proposed</v>
      </c>
      <c r="AE10" s="575" t="str">
        <f t="shared" si="6"/>
        <v>Proposed</v>
      </c>
      <c r="AF10" s="423" t="s">
        <v>21</v>
      </c>
      <c r="AG10" s="86" t="str">
        <f t="shared" si="7"/>
        <v>Proposed</v>
      </c>
      <c r="AH10" s="572" t="str">
        <f t="shared" si="8"/>
        <v>Proposed</v>
      </c>
      <c r="AI10" s="1256" t="s">
        <v>536</v>
      </c>
      <c r="AJ10" s="423" t="s">
        <v>21</v>
      </c>
      <c r="AK10" s="86" t="str">
        <f>AJ10</f>
        <v>Proposed</v>
      </c>
      <c r="AL10" s="572" t="str">
        <f>AK10</f>
        <v>Proposed</v>
      </c>
      <c r="AM10" s="423" t="s">
        <v>21</v>
      </c>
      <c r="AN10" s="86" t="str">
        <f t="shared" si="9"/>
        <v>Proposed</v>
      </c>
      <c r="AO10" s="575" t="str">
        <f t="shared" si="10"/>
        <v>Proposed</v>
      </c>
      <c r="AP10" s="86" t="s">
        <v>21</v>
      </c>
      <c r="AQ10" s="86" t="str">
        <f t="shared" si="11"/>
        <v>Proposed</v>
      </c>
      <c r="AR10" s="575" t="str">
        <f t="shared" si="12"/>
        <v>Proposed</v>
      </c>
      <c r="AS10" s="423" t="s">
        <v>21</v>
      </c>
      <c r="AT10" s="86" t="str">
        <f t="shared" si="13"/>
        <v>Proposed</v>
      </c>
      <c r="AU10" s="572" t="str">
        <f t="shared" si="13"/>
        <v>Proposed</v>
      </c>
      <c r="AV10" s="572" t="s">
        <v>539</v>
      </c>
      <c r="BB10" s="1606" t="s">
        <v>565</v>
      </c>
      <c r="BC10" s="1607"/>
      <c r="BD10" s="1607"/>
      <c r="BE10" s="1607"/>
      <c r="BF10" s="1607"/>
      <c r="BG10" s="1608"/>
      <c r="BH10" s="1609" t="s">
        <v>566</v>
      </c>
      <c r="BI10" s="1610"/>
      <c r="BJ10" s="1610"/>
      <c r="BK10" s="1610"/>
      <c r="BL10" s="1610"/>
      <c r="BM10" s="1611"/>
    </row>
    <row r="11" spans="1:65" s="57" customFormat="1" ht="13.5" thickBot="1" x14ac:dyDescent="0.25">
      <c r="A11" s="86">
        <f t="shared" si="14"/>
        <v>4</v>
      </c>
      <c r="B11" s="56"/>
      <c r="C11" s="56"/>
      <c r="D11" s="358" t="s">
        <v>174</v>
      </c>
      <c r="E11" s="358" t="s">
        <v>174</v>
      </c>
      <c r="F11" s="358" t="s">
        <v>3</v>
      </c>
      <c r="G11" s="358" t="s">
        <v>68</v>
      </c>
      <c r="H11" s="358" t="s">
        <v>68</v>
      </c>
      <c r="I11" s="358" t="s">
        <v>71</v>
      </c>
      <c r="J11" s="358" t="s">
        <v>71</v>
      </c>
      <c r="K11" s="358" t="s">
        <v>16</v>
      </c>
      <c r="L11" s="358" t="s">
        <v>16</v>
      </c>
      <c r="M11" s="358" t="s">
        <v>72</v>
      </c>
      <c r="N11" s="358" t="s">
        <v>72</v>
      </c>
      <c r="O11" s="358" t="s">
        <v>72</v>
      </c>
      <c r="P11" s="358" t="s">
        <v>72</v>
      </c>
      <c r="Q11" s="295" t="s">
        <v>16</v>
      </c>
      <c r="R11" s="294" t="s">
        <v>72</v>
      </c>
      <c r="S11" s="360" t="s">
        <v>73</v>
      </c>
      <c r="T11" s="295" t="s">
        <v>28</v>
      </c>
      <c r="U11" s="294" t="s">
        <v>72</v>
      </c>
      <c r="V11" s="549" t="s">
        <v>73</v>
      </c>
      <c r="W11" s="295" t="s">
        <v>28</v>
      </c>
      <c r="X11" s="294" t="s">
        <v>72</v>
      </c>
      <c r="Y11" s="549" t="s">
        <v>73</v>
      </c>
      <c r="Z11" s="295" t="s">
        <v>28</v>
      </c>
      <c r="AA11" s="294" t="s">
        <v>72</v>
      </c>
      <c r="AB11" s="549" t="s">
        <v>73</v>
      </c>
      <c r="AC11" s="295" t="s">
        <v>28</v>
      </c>
      <c r="AD11" s="294" t="s">
        <v>72</v>
      </c>
      <c r="AE11" s="549" t="s">
        <v>73</v>
      </c>
      <c r="AF11" s="295" t="s">
        <v>16</v>
      </c>
      <c r="AG11" s="294" t="s">
        <v>72</v>
      </c>
      <c r="AH11" s="360" t="s">
        <v>73</v>
      </c>
      <c r="AI11" s="295" t="s">
        <v>537</v>
      </c>
      <c r="AJ11" s="295" t="s">
        <v>16</v>
      </c>
      <c r="AK11" s="294" t="s">
        <v>72</v>
      </c>
      <c r="AL11" s="360" t="s">
        <v>73</v>
      </c>
      <c r="AM11" s="295" t="s">
        <v>28</v>
      </c>
      <c r="AN11" s="294" t="s">
        <v>72</v>
      </c>
      <c r="AO11" s="549" t="s">
        <v>73</v>
      </c>
      <c r="AP11" s="295" t="s">
        <v>28</v>
      </c>
      <c r="AQ11" s="294" t="s">
        <v>72</v>
      </c>
      <c r="AR11" s="549" t="s">
        <v>73</v>
      </c>
      <c r="AS11" s="295" t="s">
        <v>16</v>
      </c>
      <c r="AT11" s="294" t="s">
        <v>72</v>
      </c>
      <c r="AU11" s="360" t="s">
        <v>73</v>
      </c>
      <c r="AV11" s="549" t="s">
        <v>537</v>
      </c>
      <c r="BB11" s="1619" t="str">
        <f>Q6</f>
        <v xml:space="preserve">REVENUE REQUIREMENT </v>
      </c>
      <c r="BC11" s="1620"/>
      <c r="BD11" s="1620" t="str">
        <f>T6</f>
        <v>2021-2022 PGA</v>
      </c>
      <c r="BE11" s="1620"/>
      <c r="BF11" s="1621" t="s">
        <v>271</v>
      </c>
      <c r="BG11" s="1620"/>
      <c r="BH11" s="1619" t="str">
        <f>AJ6</f>
        <v>REVENUE REQUIREMENT</v>
      </c>
      <c r="BI11" s="1620"/>
      <c r="BJ11" s="1620" t="str">
        <f>AM6</f>
        <v>2022-2023 PGA</v>
      </c>
      <c r="BK11" s="1620"/>
      <c r="BL11" s="1621" t="s">
        <v>271</v>
      </c>
      <c r="BM11" s="1620"/>
    </row>
    <row r="12" spans="1:65" s="57" customFormat="1" x14ac:dyDescent="0.2">
      <c r="A12" s="86">
        <f t="shared" si="14"/>
        <v>5</v>
      </c>
      <c r="B12" s="56"/>
      <c r="C12" s="411"/>
      <c r="D12" s="150"/>
      <c r="E12" s="150"/>
      <c r="F12" s="150"/>
      <c r="G12" s="150"/>
      <c r="H12" s="150"/>
      <c r="I12" s="150"/>
      <c r="J12" s="150"/>
      <c r="K12" s="150"/>
      <c r="L12" s="150"/>
      <c r="M12" s="59" t="s">
        <v>613</v>
      </c>
      <c r="N12" s="59" t="s">
        <v>612</v>
      </c>
      <c r="O12" s="59" t="s">
        <v>446</v>
      </c>
      <c r="P12" s="59" t="s">
        <v>614</v>
      </c>
      <c r="Q12" s="148"/>
      <c r="R12" s="361"/>
      <c r="S12" s="362"/>
      <c r="T12" s="148"/>
      <c r="U12" s="58"/>
      <c r="V12" s="547"/>
      <c r="W12" s="148"/>
      <c r="X12" s="58"/>
      <c r="Y12" s="547"/>
      <c r="Z12" s="148"/>
      <c r="AA12" s="58"/>
      <c r="AB12" s="547"/>
      <c r="AC12" s="58"/>
      <c r="AD12" s="58"/>
      <c r="AE12" s="148"/>
      <c r="AF12" s="148"/>
      <c r="AG12" s="361"/>
      <c r="AH12" s="362"/>
      <c r="AI12" s="151"/>
      <c r="AJ12" s="148"/>
      <c r="AK12" s="361"/>
      <c r="AL12" s="362"/>
      <c r="AM12" s="148"/>
      <c r="AN12" s="58"/>
      <c r="AO12" s="547"/>
      <c r="AP12" s="58"/>
      <c r="AQ12" s="58"/>
      <c r="AR12" s="148"/>
      <c r="AS12" s="148"/>
      <c r="AT12" s="361"/>
      <c r="AU12" s="362"/>
      <c r="AV12" s="861"/>
      <c r="BA12" s="890" t="s">
        <v>269</v>
      </c>
      <c r="BB12" s="1628" t="s">
        <v>268</v>
      </c>
      <c r="BC12" s="1604" t="s">
        <v>270</v>
      </c>
      <c r="BD12" s="1628" t="s">
        <v>268</v>
      </c>
      <c r="BE12" s="1604" t="s">
        <v>270</v>
      </c>
      <c r="BF12" s="1602" t="s">
        <v>268</v>
      </c>
      <c r="BG12" s="1604" t="s">
        <v>270</v>
      </c>
      <c r="BH12" s="1628" t="s">
        <v>268</v>
      </c>
      <c r="BI12" s="1604" t="s">
        <v>270</v>
      </c>
      <c r="BJ12" s="1628" t="s">
        <v>268</v>
      </c>
      <c r="BK12" s="1604" t="s">
        <v>270</v>
      </c>
      <c r="BL12" s="1602" t="s">
        <v>268</v>
      </c>
      <c r="BM12" s="1604" t="s">
        <v>270</v>
      </c>
    </row>
    <row r="13" spans="1:65" s="57" customFormat="1" ht="12.75" customHeight="1" x14ac:dyDescent="0.2">
      <c r="A13" s="86">
        <f t="shared" si="14"/>
        <v>6</v>
      </c>
      <c r="B13" s="741" t="s">
        <v>2</v>
      </c>
      <c r="C13" s="874" t="s">
        <v>3</v>
      </c>
      <c r="D13" s="124" t="s">
        <v>35</v>
      </c>
      <c r="E13" s="124" t="s">
        <v>36</v>
      </c>
      <c r="F13" s="124" t="s">
        <v>13</v>
      </c>
      <c r="G13" s="124" t="s">
        <v>37</v>
      </c>
      <c r="H13" s="124" t="s">
        <v>38</v>
      </c>
      <c r="I13" s="124" t="s">
        <v>39</v>
      </c>
      <c r="J13" s="124" t="s">
        <v>40</v>
      </c>
      <c r="K13" s="124" t="s">
        <v>41</v>
      </c>
      <c r="L13" s="722" t="s">
        <v>42</v>
      </c>
      <c r="M13" s="124" t="s">
        <v>129</v>
      </c>
      <c r="N13" s="124" t="s">
        <v>130</v>
      </c>
      <c r="O13" s="722" t="s">
        <v>42</v>
      </c>
      <c r="P13" s="722" t="s">
        <v>131</v>
      </c>
      <c r="Q13" s="152" t="s">
        <v>132</v>
      </c>
      <c r="R13" s="669" t="s">
        <v>133</v>
      </c>
      <c r="S13" s="363" t="s">
        <v>134</v>
      </c>
      <c r="T13" s="152" t="s">
        <v>93</v>
      </c>
      <c r="U13" s="124" t="s">
        <v>94</v>
      </c>
      <c r="V13" s="363" t="s">
        <v>186</v>
      </c>
      <c r="W13" s="152" t="s">
        <v>93</v>
      </c>
      <c r="X13" s="722" t="s">
        <v>94</v>
      </c>
      <c r="Y13" s="363" t="s">
        <v>186</v>
      </c>
      <c r="Z13" s="152" t="s">
        <v>135</v>
      </c>
      <c r="AA13" s="722" t="s">
        <v>89</v>
      </c>
      <c r="AB13" s="363" t="s">
        <v>92</v>
      </c>
      <c r="AC13" s="58" t="s">
        <v>93</v>
      </c>
      <c r="AD13" s="722" t="s">
        <v>94</v>
      </c>
      <c r="AE13" s="152" t="s">
        <v>186</v>
      </c>
      <c r="AF13" s="152" t="s">
        <v>232</v>
      </c>
      <c r="AG13" s="722" t="s">
        <v>227</v>
      </c>
      <c r="AH13" s="363" t="s">
        <v>233</v>
      </c>
      <c r="AI13" s="152" t="s">
        <v>234</v>
      </c>
      <c r="AJ13" s="152" t="s">
        <v>235</v>
      </c>
      <c r="AK13" s="722" t="s">
        <v>254</v>
      </c>
      <c r="AL13" s="363" t="s">
        <v>438</v>
      </c>
      <c r="AM13" s="152" t="s">
        <v>93</v>
      </c>
      <c r="AN13" s="722" t="s">
        <v>94</v>
      </c>
      <c r="AO13" s="363" t="s">
        <v>186</v>
      </c>
      <c r="AP13" s="58" t="s">
        <v>255</v>
      </c>
      <c r="AQ13" s="722" t="s">
        <v>256</v>
      </c>
      <c r="AR13" s="152" t="s">
        <v>615</v>
      </c>
      <c r="AS13" s="152" t="s">
        <v>260</v>
      </c>
      <c r="AT13" s="124" t="s">
        <v>494</v>
      </c>
      <c r="AU13" s="363" t="s">
        <v>616</v>
      </c>
      <c r="AV13" s="363" t="s">
        <v>439</v>
      </c>
      <c r="BA13" s="891" t="s">
        <v>2</v>
      </c>
      <c r="BB13" s="1629"/>
      <c r="BC13" s="1605"/>
      <c r="BD13" s="1629"/>
      <c r="BE13" s="1605"/>
      <c r="BF13" s="1603"/>
      <c r="BG13" s="1605"/>
      <c r="BH13" s="1629"/>
      <c r="BI13" s="1605"/>
      <c r="BJ13" s="1629"/>
      <c r="BK13" s="1605"/>
      <c r="BL13" s="1603"/>
      <c r="BM13" s="1605"/>
    </row>
    <row r="14" spans="1:65" x14ac:dyDescent="0.2">
      <c r="A14" s="86">
        <f t="shared" si="14"/>
        <v>7</v>
      </c>
      <c r="B14" s="724" t="str">
        <f>'WA Volumes &amp; Revenues'!B15</f>
        <v>1R</v>
      </c>
      <c r="C14" s="846" t="s">
        <v>283</v>
      </c>
      <c r="D14" s="364">
        <f>'WA Volumes &amp; Revenues'!E15</f>
        <v>214704.20066131229</v>
      </c>
      <c r="E14" s="364">
        <f>'WA Volumes &amp; Revenues'!F15</f>
        <v>218577.4</v>
      </c>
      <c r="F14" s="365" t="s">
        <v>283</v>
      </c>
      <c r="G14" s="366">
        <f>'WA Volumes &amp; Revenues'!I15</f>
        <v>19.639970000000002</v>
      </c>
      <c r="H14" s="366">
        <f>'WA Volumes &amp; Revenues'!L15</f>
        <v>20</v>
      </c>
      <c r="I14" s="878">
        <f>'WA Volumes &amp; Revenues'!O15</f>
        <v>5.5</v>
      </c>
      <c r="J14" s="367">
        <f>'WA Volumes &amp; Revenues'!N15</f>
        <v>5.5</v>
      </c>
      <c r="K14" s="123">
        <f>+'Rates in summary'!D14</f>
        <v>1.1525299999999998</v>
      </c>
      <c r="L14" s="123">
        <f>+'Rates in summary'!J14</f>
        <v>1.22725</v>
      </c>
      <c r="M14" s="367">
        <f>ROUND(+$I14+(K14*$G14),2)</f>
        <v>28.14</v>
      </c>
      <c r="N14" s="367">
        <f>ROUND(I14+(K14*H14),2)</f>
        <v>28.55</v>
      </c>
      <c r="O14" s="367">
        <f>ROUND(+$I14+(L14*$G14),2)</f>
        <v>29.6</v>
      </c>
      <c r="P14" s="367">
        <f>ROUND(I14+(L14*H14),2)</f>
        <v>30.05</v>
      </c>
      <c r="Q14" s="368">
        <f>'Rates in summary'!H14-'Rates in summary'!F14</f>
        <v>1.2756799999999999</v>
      </c>
      <c r="R14" s="367">
        <f>ROUND(J14+(Q14*G14),2)</f>
        <v>30.55</v>
      </c>
      <c r="S14" s="369">
        <f>ROUND((R14-M14)/M14,3)</f>
        <v>8.5999999999999993E-2</v>
      </c>
      <c r="T14" s="368">
        <f>'Rates in summary'!I14</f>
        <v>0</v>
      </c>
      <c r="U14" s="367">
        <f t="shared" ref="U14:U19" si="15">ROUND(I14+(T14*H14),2)</f>
        <v>5.5</v>
      </c>
      <c r="V14" s="576">
        <f>ROUND((U14-N14)/N14,3)</f>
        <v>-0.80700000000000005</v>
      </c>
      <c r="W14" s="368">
        <f>'Rates in Detail'!J13+'Rates in Detail'!P13</f>
        <v>1.1434299999999997</v>
      </c>
      <c r="X14" s="367">
        <f>ROUND($J14+($W14*$G14),2)</f>
        <v>27.96</v>
      </c>
      <c r="Y14" s="576">
        <f>ROUND(($X14-$M14)/$M14,3)</f>
        <v>-6.0000000000000001E-3</v>
      </c>
      <c r="Z14" s="368">
        <f>'Rates in Detail'!J13+'Rates in Detail'!S13</f>
        <v>1.1213399999999998</v>
      </c>
      <c r="AA14" s="367">
        <f t="shared" ref="AA14:AA19" si="16">ROUND($J14+($Z14*$G14),2)</f>
        <v>27.52</v>
      </c>
      <c r="AB14" s="576">
        <f t="shared" ref="AB14:AB19" si="17">ROUND(($AA14-$M14)/$M14,3)</f>
        <v>-2.1999999999999999E-2</v>
      </c>
      <c r="AC14" s="368">
        <f>'Rates in Detail'!J13+'Rates in Detail'!T13</f>
        <v>1.1352899999999999</v>
      </c>
      <c r="AD14" s="367">
        <f t="shared" ref="AD14:AD19" si="18">ROUND($J14+($AC14*$G14),2)</f>
        <v>27.8</v>
      </c>
      <c r="AE14" s="576">
        <f t="shared" ref="AE14:AE19" si="19">ROUND(($AD14-$M14)/$M14,3)</f>
        <v>-1.2E-2</v>
      </c>
      <c r="AF14" s="368">
        <f>'Rates in summary'!J14</f>
        <v>1.22725</v>
      </c>
      <c r="AG14" s="367">
        <f>ROUND(J14+(G14*AF14),2)</f>
        <v>29.6</v>
      </c>
      <c r="AH14" s="369">
        <f>ROUND((AG14-M14)/M14,3)</f>
        <v>5.1999999999999998E-2</v>
      </c>
      <c r="AI14" s="1257">
        <f>AG14-M14</f>
        <v>1.4600000000000009</v>
      </c>
      <c r="AJ14" s="368">
        <f>L14+'Rates in summary'!K14</f>
        <v>1.2892599999999999</v>
      </c>
      <c r="AK14" s="367">
        <f>ROUND(J14+(AJ14*G14),2)</f>
        <v>30.82</v>
      </c>
      <c r="AL14" s="369">
        <f t="shared" ref="AL14:AL19" si="20">ROUND((AK14-O14)/O14,3)</f>
        <v>4.1000000000000002E-2</v>
      </c>
      <c r="AM14" s="368">
        <f>'Rates in summary'!O14</f>
        <v>0</v>
      </c>
      <c r="AN14" s="367">
        <f>ROUND(I14+(AM14*H14),2)</f>
        <v>5.5</v>
      </c>
      <c r="AO14" s="576">
        <f>ROUND((AN14-P14)/P14,3)</f>
        <v>-0.81699999999999995</v>
      </c>
      <c r="AP14" s="368">
        <f>'Rates in Detail'!W13+'Rates in Detail'!Z13</f>
        <v>1.2263699999999997</v>
      </c>
      <c r="AQ14" s="367">
        <f t="shared" ref="AQ14:AQ19" si="21">ROUND($J14+($AP14*$G14),2)</f>
        <v>29.59</v>
      </c>
      <c r="AR14" s="576">
        <f t="shared" ref="AR14:AR19" si="22">ROUND(($AQ14-$O14)/$O14,3)</f>
        <v>0</v>
      </c>
      <c r="AS14" s="368">
        <f>'Rates in summary'!P14</f>
        <v>1.3368099999999998</v>
      </c>
      <c r="AT14" s="367">
        <f t="shared" ref="AT14:AT19" si="23">ROUND(J14+(G14*AS14),2)</f>
        <v>31.75</v>
      </c>
      <c r="AU14" s="369">
        <f t="shared" ref="AU14:AU19" si="24">ROUND((AT14-O14)/O14,3)</f>
        <v>7.2999999999999995E-2</v>
      </c>
      <c r="AV14" s="1262">
        <f>AT14-O14</f>
        <v>2.1499999999999986</v>
      </c>
      <c r="AW14" s="370"/>
      <c r="AX14" s="1482"/>
      <c r="AY14" s="370"/>
      <c r="AZ14" s="370"/>
      <c r="BA14" s="892" t="s">
        <v>281</v>
      </c>
      <c r="BB14" s="662">
        <f t="shared" ref="BB14:BB19" si="25">R14-M14</f>
        <v>2.41</v>
      </c>
      <c r="BC14" s="666">
        <f t="shared" ref="BC14:BC19" si="26">S14</f>
        <v>8.5999999999999993E-2</v>
      </c>
      <c r="BD14" s="662">
        <f t="shared" ref="BD14:BD19" si="27">U14-N14</f>
        <v>-23.05</v>
      </c>
      <c r="BE14" s="666">
        <f>V14</f>
        <v>-0.80700000000000005</v>
      </c>
      <c r="BF14" s="372">
        <f t="shared" ref="BF14:BF19" si="28">AG14-M14</f>
        <v>1.4600000000000009</v>
      </c>
      <c r="BG14" s="666">
        <f t="shared" ref="BG14:BG19" si="29">AH14</f>
        <v>5.1999999999999998E-2</v>
      </c>
      <c r="BH14" s="662">
        <f t="shared" ref="BH14:BH19" si="30">AK14-O14</f>
        <v>1.2199999999999989</v>
      </c>
      <c r="BI14" s="666">
        <f t="shared" ref="BI14:BI19" si="31">AL14</f>
        <v>4.1000000000000002E-2</v>
      </c>
      <c r="BJ14" s="662">
        <f t="shared" ref="BJ14:BJ19" si="32">AN14-P14</f>
        <v>-24.55</v>
      </c>
      <c r="BK14" s="666">
        <f t="shared" ref="BK14:BK19" si="33">AO14</f>
        <v>-0.81699999999999995</v>
      </c>
      <c r="BL14" s="372">
        <f t="shared" ref="BL14:BL19" si="34">AT14-O14</f>
        <v>2.1499999999999986</v>
      </c>
      <c r="BM14" s="1013">
        <f t="shared" ref="BM14:BM19" si="35">AU14</f>
        <v>7.2999999999999995E-2</v>
      </c>
    </row>
    <row r="15" spans="1:65" x14ac:dyDescent="0.2">
      <c r="A15" s="86">
        <f t="shared" si="14"/>
        <v>8</v>
      </c>
      <c r="B15" s="724" t="str">
        <f>'WA Volumes &amp; Revenues'!B16</f>
        <v>1C</v>
      </c>
      <c r="C15" s="846" t="s">
        <v>283</v>
      </c>
      <c r="D15" s="364">
        <f>'WA Volumes &amp; Revenues'!E16</f>
        <v>46539.057144390383</v>
      </c>
      <c r="E15" s="364">
        <f>'WA Volumes &amp; Revenues'!F16</f>
        <v>38726</v>
      </c>
      <c r="F15" s="365" t="s">
        <v>283</v>
      </c>
      <c r="G15" s="366">
        <f>'WA Volumes &amp; Revenues'!I16</f>
        <v>114.06632</v>
      </c>
      <c r="H15" s="366">
        <f>'WA Volumes &amp; Revenues'!L16</f>
        <v>92</v>
      </c>
      <c r="I15" s="878">
        <f>'WA Volumes &amp; Revenues'!O16</f>
        <v>7</v>
      </c>
      <c r="J15" s="367">
        <f>'WA Volumes &amp; Revenues'!N16</f>
        <v>7</v>
      </c>
      <c r="K15" s="123">
        <f>+'Rates in summary'!D15</f>
        <v>1.18929</v>
      </c>
      <c r="L15" s="123">
        <f>+'Rates in summary'!J15</f>
        <v>1.25143</v>
      </c>
      <c r="M15" s="367">
        <f t="shared" ref="M15:M19" si="36">ROUND(+$I15+(K15*$G15),2)</f>
        <v>142.66</v>
      </c>
      <c r="N15" s="367">
        <f t="shared" ref="N15" si="37">ROUND(I15+(K15*H15),2)</f>
        <v>116.41</v>
      </c>
      <c r="O15" s="367">
        <f t="shared" ref="O15:O18" si="38">ROUND(+$I15+(L15*$G15),2)</f>
        <v>149.75</v>
      </c>
      <c r="P15" s="367">
        <f t="shared" ref="P15:P19" si="39">ROUND(I15+(L15*H15),2)</f>
        <v>122.13</v>
      </c>
      <c r="Q15" s="368">
        <f>'Rates in summary'!H15-'Rates in summary'!F15</f>
        <v>1.2917000000000001</v>
      </c>
      <c r="R15" s="367">
        <f t="shared" ref="R15" si="40">ROUND(J15+(Q15*G15),2)</f>
        <v>154.34</v>
      </c>
      <c r="S15" s="369">
        <f t="shared" ref="S15" si="41">ROUND((R15-M15)/M15,3)</f>
        <v>8.2000000000000003E-2</v>
      </c>
      <c r="T15" s="368">
        <f>'Rates in summary'!I15</f>
        <v>0</v>
      </c>
      <c r="U15" s="367">
        <f t="shared" si="15"/>
        <v>7</v>
      </c>
      <c r="V15" s="576">
        <f t="shared" ref="V15:V19" si="42">ROUND((U15-N15)/N15,3)</f>
        <v>-0.94</v>
      </c>
      <c r="W15" s="368">
        <f>'Rates in Detail'!J14+'Rates in Detail'!P14</f>
        <v>1.1817299999999999</v>
      </c>
      <c r="X15" s="367">
        <f t="shared" ref="X15:X19" si="43">ROUND($J15+($W15*$G15),2)</f>
        <v>141.80000000000001</v>
      </c>
      <c r="Y15" s="576">
        <f t="shared" ref="Y15:Y19" si="44">ROUND(($X15-$M15)/$M15,3)</f>
        <v>-6.0000000000000001E-3</v>
      </c>
      <c r="Z15" s="368">
        <f>'Rates in Detail'!J14+'Rates in Detail'!S14</f>
        <v>1.1633499999999999</v>
      </c>
      <c r="AA15" s="367">
        <f t="shared" si="16"/>
        <v>139.69999999999999</v>
      </c>
      <c r="AB15" s="576">
        <f t="shared" si="17"/>
        <v>-2.1000000000000001E-2</v>
      </c>
      <c r="AC15" s="123">
        <f>'Rates in Detail'!J14+'Rates in Detail'!T14</f>
        <v>1.17496</v>
      </c>
      <c r="AD15" s="367">
        <f t="shared" si="18"/>
        <v>141.02000000000001</v>
      </c>
      <c r="AE15" s="576">
        <f t="shared" si="19"/>
        <v>-1.0999999999999999E-2</v>
      </c>
      <c r="AF15" s="368">
        <f>'Rates in summary'!J15</f>
        <v>1.25143</v>
      </c>
      <c r="AG15" s="367">
        <f t="shared" ref="AG15:AG19" si="45">ROUND(J15+(G15*AF15),2)</f>
        <v>149.75</v>
      </c>
      <c r="AH15" s="369">
        <f t="shared" ref="AH15:AH19" si="46">ROUND((AG15-M15)/M15,3)</f>
        <v>0.05</v>
      </c>
      <c r="AI15" s="1257">
        <f t="shared" ref="AI15:AI72" si="47">AG15-M15</f>
        <v>7.0900000000000034</v>
      </c>
      <c r="AJ15" s="368">
        <f>L15+'Rates in summary'!K15</f>
        <v>1.3029999999999999</v>
      </c>
      <c r="AK15" s="367">
        <f t="shared" ref="AK15:AK19" si="48">ROUND(J15+(AJ15*G15),2)</f>
        <v>155.63</v>
      </c>
      <c r="AL15" s="369">
        <f t="shared" si="20"/>
        <v>3.9E-2</v>
      </c>
      <c r="AM15" s="368">
        <f>'Rates in summary'!O15</f>
        <v>0</v>
      </c>
      <c r="AN15" s="367">
        <f t="shared" ref="AN15:AN19" si="49">ROUND(I15+(AM15*H15),2)</f>
        <v>7</v>
      </c>
      <c r="AO15" s="576">
        <f t="shared" ref="AO15:AO19" si="50">ROUND((AN15-P15)/P15,3)</f>
        <v>-0.94299999999999995</v>
      </c>
      <c r="AP15" s="123">
        <f>'Rates in Detail'!W14+'Rates in Detail'!Z14</f>
        <v>1.2506999999999999</v>
      </c>
      <c r="AQ15" s="367">
        <f t="shared" si="21"/>
        <v>149.66</v>
      </c>
      <c r="AR15" s="576">
        <f t="shared" si="22"/>
        <v>-1E-3</v>
      </c>
      <c r="AS15" s="368">
        <f>'Rates in summary'!P15</f>
        <v>1.3425400000000001</v>
      </c>
      <c r="AT15" s="367">
        <f t="shared" si="23"/>
        <v>160.13999999999999</v>
      </c>
      <c r="AU15" s="369">
        <f t="shared" si="24"/>
        <v>6.9000000000000006E-2</v>
      </c>
      <c r="AV15" s="1262">
        <f t="shared" ref="AV15:AV72" si="51">AT15-O15</f>
        <v>10.389999999999986</v>
      </c>
      <c r="AW15" s="370"/>
      <c r="AX15" s="370"/>
      <c r="AY15" s="370"/>
      <c r="AZ15" s="370"/>
      <c r="BA15" s="893" t="s">
        <v>282</v>
      </c>
      <c r="BB15" s="662">
        <f t="shared" si="25"/>
        <v>11.680000000000007</v>
      </c>
      <c r="BC15" s="666">
        <f t="shared" si="26"/>
        <v>8.2000000000000003E-2</v>
      </c>
      <c r="BD15" s="662">
        <f t="shared" si="27"/>
        <v>-109.41</v>
      </c>
      <c r="BE15" s="666">
        <f t="shared" ref="BE15:BE19" si="52">V15</f>
        <v>-0.94</v>
      </c>
      <c r="BF15" s="372">
        <f t="shared" si="28"/>
        <v>7.0900000000000034</v>
      </c>
      <c r="BG15" s="666">
        <f t="shared" si="29"/>
        <v>0.05</v>
      </c>
      <c r="BH15" s="662">
        <f t="shared" si="30"/>
        <v>5.8799999999999955</v>
      </c>
      <c r="BI15" s="666">
        <f t="shared" si="31"/>
        <v>3.9E-2</v>
      </c>
      <c r="BJ15" s="662">
        <f t="shared" si="32"/>
        <v>-115.13</v>
      </c>
      <c r="BK15" s="666">
        <f t="shared" si="33"/>
        <v>-0.94299999999999995</v>
      </c>
      <c r="BL15" s="372">
        <f t="shared" si="34"/>
        <v>10.389999999999986</v>
      </c>
      <c r="BM15" s="666">
        <f t="shared" si="35"/>
        <v>6.9000000000000006E-2</v>
      </c>
    </row>
    <row r="16" spans="1:65" x14ac:dyDescent="0.2">
      <c r="A16" s="86">
        <f t="shared" si="14"/>
        <v>9</v>
      </c>
      <c r="B16" s="724" t="str">
        <f>'WA Volumes &amp; Revenues'!B17</f>
        <v>2R</v>
      </c>
      <c r="C16" s="846" t="s">
        <v>283</v>
      </c>
      <c r="D16" s="364">
        <f>'WA Volumes &amp; Revenues'!E17</f>
        <v>54953515.785084128</v>
      </c>
      <c r="E16" s="364">
        <f>'WA Volumes &amp; Revenues'!F17</f>
        <v>55009539.100000001</v>
      </c>
      <c r="F16" s="365" t="s">
        <v>283</v>
      </c>
      <c r="G16" s="153">
        <f>'WA Volumes &amp; Revenues'!I17</f>
        <v>56.453600000000002</v>
      </c>
      <c r="H16" s="366">
        <f>'WA Volumes &amp; Revenues'!L17</f>
        <v>57</v>
      </c>
      <c r="I16" s="878">
        <f>'WA Volumes &amp; Revenues'!O17</f>
        <v>8</v>
      </c>
      <c r="J16" s="367">
        <f>'WA Volumes &amp; Revenues'!N17</f>
        <v>8</v>
      </c>
      <c r="K16" s="123">
        <f>+'Rates in summary'!D16</f>
        <v>0.88947999999999972</v>
      </c>
      <c r="L16" s="123">
        <f>+'Rates in summary'!J16</f>
        <v>0.93676999999999977</v>
      </c>
      <c r="M16" s="367">
        <f t="shared" si="36"/>
        <v>58.21</v>
      </c>
      <c r="N16" s="367">
        <f>ROUND(I16+(K16*H16),2)</f>
        <v>58.7</v>
      </c>
      <c r="O16" s="367">
        <f t="shared" si="38"/>
        <v>60.88</v>
      </c>
      <c r="P16" s="367">
        <f t="shared" si="39"/>
        <v>61.4</v>
      </c>
      <c r="Q16" s="368">
        <f>'Rates in summary'!H16-'Rates in summary'!F16</f>
        <v>0.96741999999999972</v>
      </c>
      <c r="R16" s="367">
        <f>ROUND(J16+(Q16*G16),2)</f>
        <v>62.61</v>
      </c>
      <c r="S16" s="369">
        <f>ROUND((R16-M16)/M16,3)</f>
        <v>7.5999999999999998E-2</v>
      </c>
      <c r="T16" s="368">
        <f>'Rates in summary'!I16</f>
        <v>0</v>
      </c>
      <c r="U16" s="367">
        <f t="shared" si="15"/>
        <v>8</v>
      </c>
      <c r="V16" s="576">
        <f t="shared" si="42"/>
        <v>-0.86399999999999999</v>
      </c>
      <c r="W16" s="368">
        <f>'Rates in Detail'!J15+'Rates in Detail'!P15</f>
        <v>0.88371999999999973</v>
      </c>
      <c r="X16" s="367">
        <f t="shared" si="43"/>
        <v>57.89</v>
      </c>
      <c r="Y16" s="576">
        <f t="shared" si="44"/>
        <v>-5.0000000000000001E-3</v>
      </c>
      <c r="Z16" s="368">
        <f>'Rates in Detail'!J15+'Rates in Detail'!S15</f>
        <v>0.86973999999999974</v>
      </c>
      <c r="AA16" s="367">
        <f t="shared" si="16"/>
        <v>57.1</v>
      </c>
      <c r="AB16" s="576">
        <f t="shared" si="17"/>
        <v>-1.9E-2</v>
      </c>
      <c r="AC16" s="123">
        <f>'Rates in Detail'!J15+'Rates in Detail'!T15</f>
        <v>0.87856999999999974</v>
      </c>
      <c r="AD16" s="367">
        <f t="shared" si="18"/>
        <v>57.6</v>
      </c>
      <c r="AE16" s="576">
        <f t="shared" si="19"/>
        <v>-0.01</v>
      </c>
      <c r="AF16" s="368">
        <f>'Rates in summary'!J16</f>
        <v>0.93676999999999977</v>
      </c>
      <c r="AG16" s="367">
        <f>ROUND(J16+(G16*AF16),2)</f>
        <v>60.88</v>
      </c>
      <c r="AH16" s="369">
        <f t="shared" si="46"/>
        <v>4.5999999999999999E-2</v>
      </c>
      <c r="AI16" s="1257">
        <f t="shared" si="47"/>
        <v>2.6700000000000017</v>
      </c>
      <c r="AJ16" s="368">
        <f>L16+'Rates in summary'!K16</f>
        <v>0.97601999999999978</v>
      </c>
      <c r="AK16" s="367">
        <f t="shared" si="48"/>
        <v>63.1</v>
      </c>
      <c r="AL16" s="369">
        <f t="shared" si="20"/>
        <v>3.5999999999999997E-2</v>
      </c>
      <c r="AM16" s="368">
        <f>'Rates in summary'!O16</f>
        <v>0</v>
      </c>
      <c r="AN16" s="367">
        <f t="shared" si="49"/>
        <v>8</v>
      </c>
      <c r="AO16" s="576">
        <f t="shared" si="50"/>
        <v>-0.87</v>
      </c>
      <c r="AP16" s="123">
        <f>'Rates in Detail'!W15+'Rates in Detail'!Z15</f>
        <v>0.93621999999999983</v>
      </c>
      <c r="AQ16" s="367">
        <f t="shared" si="21"/>
        <v>60.85</v>
      </c>
      <c r="AR16" s="576">
        <f t="shared" si="22"/>
        <v>0</v>
      </c>
      <c r="AS16" s="368">
        <f>'Rates in summary'!P16</f>
        <v>1.0061199999999997</v>
      </c>
      <c r="AT16" s="367">
        <f t="shared" si="23"/>
        <v>64.8</v>
      </c>
      <c r="AU16" s="369">
        <f t="shared" si="24"/>
        <v>6.4000000000000001E-2</v>
      </c>
      <c r="AV16" s="1262">
        <f t="shared" si="51"/>
        <v>3.9199999999999946</v>
      </c>
      <c r="AW16" s="370"/>
      <c r="AX16" s="370"/>
      <c r="AY16" s="370"/>
      <c r="AZ16" s="370"/>
      <c r="BA16" s="893" t="s">
        <v>12</v>
      </c>
      <c r="BB16" s="662">
        <f t="shared" si="25"/>
        <v>4.3999999999999986</v>
      </c>
      <c r="BC16" s="666">
        <f t="shared" si="26"/>
        <v>7.5999999999999998E-2</v>
      </c>
      <c r="BD16" s="662">
        <f t="shared" si="27"/>
        <v>-50.7</v>
      </c>
      <c r="BE16" s="666">
        <f t="shared" si="52"/>
        <v>-0.86399999999999999</v>
      </c>
      <c r="BF16" s="372">
        <f t="shared" si="28"/>
        <v>2.6700000000000017</v>
      </c>
      <c r="BG16" s="666">
        <f t="shared" si="29"/>
        <v>4.5999999999999999E-2</v>
      </c>
      <c r="BH16" s="662">
        <f t="shared" si="30"/>
        <v>2.2199999999999989</v>
      </c>
      <c r="BI16" s="666">
        <f t="shared" si="31"/>
        <v>3.5999999999999997E-2</v>
      </c>
      <c r="BJ16" s="662">
        <f t="shared" si="32"/>
        <v>-53.4</v>
      </c>
      <c r="BK16" s="666">
        <f t="shared" si="33"/>
        <v>-0.87</v>
      </c>
      <c r="BL16" s="372">
        <f t="shared" si="34"/>
        <v>3.9199999999999946</v>
      </c>
      <c r="BM16" s="666">
        <f t="shared" si="35"/>
        <v>6.4000000000000001E-2</v>
      </c>
    </row>
    <row r="17" spans="1:65" x14ac:dyDescent="0.2">
      <c r="A17" s="86">
        <f t="shared" si="14"/>
        <v>10</v>
      </c>
      <c r="B17" s="724" t="str">
        <f>'WA Volumes &amp; Revenues'!B18</f>
        <v>3 CFS</v>
      </c>
      <c r="C17" s="846" t="s">
        <v>283</v>
      </c>
      <c r="D17" s="364">
        <f>'WA Volumes &amp; Revenues'!E18</f>
        <v>17867210.60654201</v>
      </c>
      <c r="E17" s="364">
        <f>'WA Volumes &amp; Revenues'!F18</f>
        <v>18385904.899999999</v>
      </c>
      <c r="F17" s="365" t="s">
        <v>283</v>
      </c>
      <c r="G17" s="366">
        <f>'WA Volumes &amp; Revenues'!I18</f>
        <v>235.66542999999999</v>
      </c>
      <c r="H17" s="366">
        <f>'WA Volumes &amp; Revenues'!L18</f>
        <v>242</v>
      </c>
      <c r="I17" s="878">
        <f>'WA Volumes &amp; Revenues'!O18</f>
        <v>22</v>
      </c>
      <c r="J17" s="367">
        <f>'WA Volumes &amp; Revenues'!N18</f>
        <v>22</v>
      </c>
      <c r="K17" s="123">
        <f>+'Rates in summary'!D17</f>
        <v>0.86690000000000011</v>
      </c>
      <c r="L17" s="123">
        <f>+'Rates in summary'!J17</f>
        <v>0.9093500000000001</v>
      </c>
      <c r="M17" s="367">
        <f t="shared" si="36"/>
        <v>226.3</v>
      </c>
      <c r="N17" s="367">
        <f>ROUND(I17+(K17*H17),2)</f>
        <v>231.79</v>
      </c>
      <c r="O17" s="367">
        <f t="shared" si="38"/>
        <v>236.3</v>
      </c>
      <c r="P17" s="367">
        <f t="shared" si="39"/>
        <v>242.06</v>
      </c>
      <c r="Q17" s="368">
        <f>'Rates in summary'!H17-'Rates in summary'!F17</f>
        <v>0.93688000000000016</v>
      </c>
      <c r="R17" s="367">
        <f t="shared" ref="R17:R18" si="53">ROUND(J17+(Q17*G17),2)</f>
        <v>242.79</v>
      </c>
      <c r="S17" s="369">
        <f t="shared" ref="S17:S19" si="54">ROUND((R17-M17)/M17,3)</f>
        <v>7.2999999999999995E-2</v>
      </c>
      <c r="T17" s="368">
        <f>'Rates in summary'!I17</f>
        <v>0</v>
      </c>
      <c r="U17" s="367">
        <f t="shared" si="15"/>
        <v>22</v>
      </c>
      <c r="V17" s="576">
        <f t="shared" si="42"/>
        <v>-0.90500000000000003</v>
      </c>
      <c r="W17" s="368">
        <f>'Rates in Detail'!J16+'Rates in Detail'!P16</f>
        <v>0.86173000000000011</v>
      </c>
      <c r="X17" s="367">
        <f t="shared" si="43"/>
        <v>225.08</v>
      </c>
      <c r="Y17" s="576">
        <f t="shared" si="44"/>
        <v>-5.0000000000000001E-3</v>
      </c>
      <c r="Z17" s="368">
        <f>'Rates in Detail'!J16+'Rates in Detail'!S16</f>
        <v>0.84917000000000009</v>
      </c>
      <c r="AA17" s="367">
        <f t="shared" si="16"/>
        <v>222.12</v>
      </c>
      <c r="AB17" s="576">
        <f t="shared" si="17"/>
        <v>-1.7999999999999999E-2</v>
      </c>
      <c r="AC17" s="123">
        <f>'Rates in Detail'!J16+'Rates in Detail'!T16</f>
        <v>0.85710000000000008</v>
      </c>
      <c r="AD17" s="367">
        <f t="shared" si="18"/>
        <v>223.99</v>
      </c>
      <c r="AE17" s="576">
        <f t="shared" si="19"/>
        <v>-0.01</v>
      </c>
      <c r="AF17" s="368">
        <f>'Rates in summary'!J17</f>
        <v>0.9093500000000001</v>
      </c>
      <c r="AG17" s="367">
        <f t="shared" si="45"/>
        <v>236.3</v>
      </c>
      <c r="AH17" s="369">
        <f t="shared" si="46"/>
        <v>4.3999999999999997E-2</v>
      </c>
      <c r="AI17" s="1257">
        <f t="shared" si="47"/>
        <v>10</v>
      </c>
      <c r="AJ17" s="368">
        <f>L17+'Rates in summary'!K17</f>
        <v>0.94459000000000015</v>
      </c>
      <c r="AK17" s="367">
        <f t="shared" si="48"/>
        <v>244.61</v>
      </c>
      <c r="AL17" s="369">
        <f t="shared" si="20"/>
        <v>3.5000000000000003E-2</v>
      </c>
      <c r="AM17" s="368">
        <f>'Rates in summary'!O17</f>
        <v>0</v>
      </c>
      <c r="AN17" s="367">
        <f t="shared" si="49"/>
        <v>22</v>
      </c>
      <c r="AO17" s="576">
        <f t="shared" si="50"/>
        <v>-0.90900000000000003</v>
      </c>
      <c r="AP17" s="123">
        <f>'Rates in Detail'!W16+'Rates in Detail'!Z16</f>
        <v>0.90885000000000016</v>
      </c>
      <c r="AQ17" s="367">
        <f t="shared" si="21"/>
        <v>236.18</v>
      </c>
      <c r="AR17" s="576">
        <f t="shared" si="22"/>
        <v>-1E-3</v>
      </c>
      <c r="AS17" s="368">
        <f>'Rates in summary'!P17</f>
        <v>0.97162000000000015</v>
      </c>
      <c r="AT17" s="367">
        <f t="shared" si="23"/>
        <v>250.98</v>
      </c>
      <c r="AU17" s="369">
        <f t="shared" si="24"/>
        <v>6.2E-2</v>
      </c>
      <c r="AV17" s="1262">
        <f t="shared" si="51"/>
        <v>14.679999999999978</v>
      </c>
      <c r="AW17" s="370"/>
      <c r="AX17" s="370"/>
      <c r="AY17" s="370"/>
      <c r="AZ17" s="370"/>
      <c r="BA17" s="893" t="s">
        <v>10</v>
      </c>
      <c r="BB17" s="662">
        <f t="shared" si="25"/>
        <v>16.489999999999981</v>
      </c>
      <c r="BC17" s="666">
        <f t="shared" si="26"/>
        <v>7.2999999999999995E-2</v>
      </c>
      <c r="BD17" s="662">
        <f t="shared" si="27"/>
        <v>-209.79</v>
      </c>
      <c r="BE17" s="666">
        <f t="shared" si="52"/>
        <v>-0.90500000000000003</v>
      </c>
      <c r="BF17" s="372">
        <f t="shared" si="28"/>
        <v>10</v>
      </c>
      <c r="BG17" s="666">
        <f t="shared" si="29"/>
        <v>4.3999999999999997E-2</v>
      </c>
      <c r="BH17" s="662">
        <f t="shared" si="30"/>
        <v>8.3100000000000023</v>
      </c>
      <c r="BI17" s="666">
        <f t="shared" si="31"/>
        <v>3.5000000000000003E-2</v>
      </c>
      <c r="BJ17" s="662">
        <f t="shared" si="32"/>
        <v>-220.06</v>
      </c>
      <c r="BK17" s="666">
        <f t="shared" si="33"/>
        <v>-0.90900000000000003</v>
      </c>
      <c r="BL17" s="372">
        <f t="shared" si="34"/>
        <v>14.679999999999978</v>
      </c>
      <c r="BM17" s="666">
        <f t="shared" si="35"/>
        <v>6.2E-2</v>
      </c>
    </row>
    <row r="18" spans="1:65" x14ac:dyDescent="0.2">
      <c r="A18" s="86">
        <f>+A17+1</f>
        <v>11</v>
      </c>
      <c r="B18" s="724" t="str">
        <f>'WA Volumes &amp; Revenues'!B19</f>
        <v>3 IFS</v>
      </c>
      <c r="C18" s="846" t="s">
        <v>283</v>
      </c>
      <c r="D18" s="364">
        <f>'WA Volumes &amp; Revenues'!E19</f>
        <v>283651.99999999994</v>
      </c>
      <c r="E18" s="364">
        <f>'WA Volumes &amp; Revenues'!F19</f>
        <v>263842</v>
      </c>
      <c r="F18" s="365" t="s">
        <v>283</v>
      </c>
      <c r="G18" s="366">
        <f>'WA Volumes &amp; Revenues'!I19</f>
        <v>974.74914000000001</v>
      </c>
      <c r="H18" s="366">
        <f>'WA Volumes &amp; Revenues'!L19</f>
        <v>916</v>
      </c>
      <c r="I18" s="878">
        <f>'WA Volumes &amp; Revenues'!O19</f>
        <v>22</v>
      </c>
      <c r="J18" s="367">
        <f>'WA Volumes &amp; Revenues'!N19</f>
        <v>22</v>
      </c>
      <c r="K18" s="123">
        <f>+'Rates in summary'!D18</f>
        <v>0.82713999999999999</v>
      </c>
      <c r="L18" s="123">
        <f>+'Rates in summary'!J18</f>
        <v>0.88166</v>
      </c>
      <c r="M18" s="367">
        <f t="shared" si="36"/>
        <v>828.25</v>
      </c>
      <c r="N18" s="367">
        <f>ROUND(I18+(K18*H18),2)</f>
        <v>779.66</v>
      </c>
      <c r="O18" s="367">
        <f t="shared" si="38"/>
        <v>881.4</v>
      </c>
      <c r="P18" s="367">
        <f t="shared" si="39"/>
        <v>829.6</v>
      </c>
      <c r="Q18" s="368">
        <f>'Rates in summary'!H18-'Rates in summary'!F18</f>
        <v>0.89053000000000004</v>
      </c>
      <c r="R18" s="367">
        <f t="shared" si="53"/>
        <v>890.04</v>
      </c>
      <c r="S18" s="369">
        <f t="shared" si="54"/>
        <v>7.4999999999999997E-2</v>
      </c>
      <c r="T18" s="368">
        <f>'Rates in summary'!I18</f>
        <v>0</v>
      </c>
      <c r="U18" s="367">
        <f t="shared" si="15"/>
        <v>22</v>
      </c>
      <c r="V18" s="576">
        <f t="shared" si="42"/>
        <v>-0.97199999999999998</v>
      </c>
      <c r="W18" s="368">
        <f>'Rates in Detail'!J17+'Rates in Detail'!P17</f>
        <v>0.82245000000000001</v>
      </c>
      <c r="X18" s="367">
        <f t="shared" si="43"/>
        <v>823.68</v>
      </c>
      <c r="Y18" s="576">
        <f t="shared" si="44"/>
        <v>-6.0000000000000001E-3</v>
      </c>
      <c r="Z18" s="368">
        <f>'Rates in Detail'!J17+'Rates in Detail'!S17</f>
        <v>0.82713999999999999</v>
      </c>
      <c r="AA18" s="367">
        <f t="shared" si="16"/>
        <v>828.25</v>
      </c>
      <c r="AB18" s="576">
        <f t="shared" si="17"/>
        <v>0</v>
      </c>
      <c r="AC18" s="123">
        <f>'Rates in Detail'!J17+'Rates in Detail'!T17</f>
        <v>0.81826999999999994</v>
      </c>
      <c r="AD18" s="367">
        <f t="shared" si="18"/>
        <v>819.61</v>
      </c>
      <c r="AE18" s="576">
        <f t="shared" si="19"/>
        <v>-0.01</v>
      </c>
      <c r="AF18" s="368">
        <f>'Rates in summary'!J18</f>
        <v>0.88166</v>
      </c>
      <c r="AG18" s="367">
        <f t="shared" si="45"/>
        <v>881.4</v>
      </c>
      <c r="AH18" s="369">
        <f t="shared" si="46"/>
        <v>6.4000000000000001E-2</v>
      </c>
      <c r="AI18" s="1257">
        <f t="shared" si="47"/>
        <v>53.149999999999977</v>
      </c>
      <c r="AJ18" s="368">
        <f>L18+'Rates in summary'!K18</f>
        <v>0.91357999999999995</v>
      </c>
      <c r="AK18" s="367">
        <f t="shared" si="48"/>
        <v>912.51</v>
      </c>
      <c r="AL18" s="369">
        <f t="shared" si="20"/>
        <v>3.5000000000000003E-2</v>
      </c>
      <c r="AM18" s="368">
        <f>'Rates in summary'!O18</f>
        <v>0</v>
      </c>
      <c r="AN18" s="367">
        <f t="shared" si="49"/>
        <v>22</v>
      </c>
      <c r="AO18" s="576">
        <f t="shared" si="50"/>
        <v>-0.97299999999999998</v>
      </c>
      <c r="AP18" s="123">
        <f>'Rates in Detail'!W17+'Rates in Detail'!Z17</f>
        <v>0.88120999999999994</v>
      </c>
      <c r="AQ18" s="367">
        <f t="shared" si="21"/>
        <v>880.96</v>
      </c>
      <c r="AR18" s="576">
        <f t="shared" si="22"/>
        <v>0</v>
      </c>
      <c r="AS18" s="368">
        <f>'Rates in summary'!P18</f>
        <v>0.92200000000000004</v>
      </c>
      <c r="AT18" s="367">
        <f t="shared" si="23"/>
        <v>920.72</v>
      </c>
      <c r="AU18" s="369">
        <f t="shared" si="24"/>
        <v>4.4999999999999998E-2</v>
      </c>
      <c r="AV18" s="1262">
        <f t="shared" si="51"/>
        <v>39.32000000000005</v>
      </c>
      <c r="AW18" s="370"/>
      <c r="AX18" s="370"/>
      <c r="AY18" s="370"/>
      <c r="AZ18" s="370"/>
      <c r="BA18" s="893" t="s">
        <v>11</v>
      </c>
      <c r="BB18" s="662">
        <f t="shared" si="25"/>
        <v>61.789999999999964</v>
      </c>
      <c r="BC18" s="666">
        <f t="shared" si="26"/>
        <v>7.4999999999999997E-2</v>
      </c>
      <c r="BD18" s="662">
        <f t="shared" si="27"/>
        <v>-757.66</v>
      </c>
      <c r="BE18" s="666">
        <f t="shared" si="52"/>
        <v>-0.97199999999999998</v>
      </c>
      <c r="BF18" s="372">
        <f t="shared" si="28"/>
        <v>53.149999999999977</v>
      </c>
      <c r="BG18" s="666">
        <f t="shared" si="29"/>
        <v>6.4000000000000001E-2</v>
      </c>
      <c r="BH18" s="662">
        <f t="shared" si="30"/>
        <v>31.110000000000014</v>
      </c>
      <c r="BI18" s="666">
        <f t="shared" si="31"/>
        <v>3.5000000000000003E-2</v>
      </c>
      <c r="BJ18" s="662">
        <f t="shared" si="32"/>
        <v>-807.6</v>
      </c>
      <c r="BK18" s="666">
        <f t="shared" si="33"/>
        <v>-0.97299999999999998</v>
      </c>
      <c r="BL18" s="372">
        <f t="shared" si="34"/>
        <v>39.32000000000005</v>
      </c>
      <c r="BM18" s="666">
        <f t="shared" si="35"/>
        <v>4.4999999999999998E-2</v>
      </c>
    </row>
    <row r="19" spans="1:65" x14ac:dyDescent="0.2">
      <c r="A19" s="86">
        <f t="shared" si="14"/>
        <v>12</v>
      </c>
      <c r="B19" s="724" t="str">
        <f>'WA Volumes &amp; Revenues'!B20</f>
        <v>27R</v>
      </c>
      <c r="C19" s="846" t="s">
        <v>283</v>
      </c>
      <c r="D19" s="364">
        <f>'WA Volumes &amp; Revenues'!E20</f>
        <v>461371.76933137607</v>
      </c>
      <c r="E19" s="364">
        <f>'WA Volumes &amp; Revenues'!F20</f>
        <v>591910</v>
      </c>
      <c r="F19" s="365" t="s">
        <v>283</v>
      </c>
      <c r="G19" s="366">
        <f>'WA Volumes &amp; Revenues'!I20</f>
        <v>49.545940000000002</v>
      </c>
      <c r="H19" s="366">
        <f>'WA Volumes &amp; Revenues'!L20</f>
        <v>65</v>
      </c>
      <c r="I19" s="878">
        <f>'WA Volumes &amp; Revenues'!O20</f>
        <v>9</v>
      </c>
      <c r="J19" s="367">
        <f>'WA Volumes &amp; Revenues'!N20</f>
        <v>9</v>
      </c>
      <c r="K19" s="123">
        <f>+'Rates in summary'!D19</f>
        <v>0.64432999999999974</v>
      </c>
      <c r="L19" s="123">
        <f>+'Rates in summary'!J19</f>
        <v>0.67797999999999981</v>
      </c>
      <c r="M19" s="367">
        <f t="shared" si="36"/>
        <v>40.92</v>
      </c>
      <c r="N19" s="367">
        <f>ROUND(I19+(K19*H19),2)</f>
        <v>50.88</v>
      </c>
      <c r="O19" s="367">
        <f>ROUND(+$I19+(L19*$G19),2)</f>
        <v>42.59</v>
      </c>
      <c r="P19" s="367">
        <f t="shared" si="39"/>
        <v>53.07</v>
      </c>
      <c r="Q19" s="368">
        <f>'Rates in summary'!H19-'Rates in summary'!F19</f>
        <v>0.69979999999999976</v>
      </c>
      <c r="R19" s="367">
        <f>ROUND(J19+(Q19*G19),2)</f>
        <v>43.67</v>
      </c>
      <c r="S19" s="369">
        <f t="shared" si="54"/>
        <v>6.7000000000000004E-2</v>
      </c>
      <c r="T19" s="368">
        <f>'Rates in summary'!I19</f>
        <v>0</v>
      </c>
      <c r="U19" s="367">
        <f t="shared" si="15"/>
        <v>9</v>
      </c>
      <c r="V19" s="576">
        <f t="shared" si="42"/>
        <v>-0.82299999999999995</v>
      </c>
      <c r="W19" s="368">
        <f>'Rates in Detail'!J18+'Rates in Detail'!P18</f>
        <v>0.64022999999999974</v>
      </c>
      <c r="X19" s="367">
        <f t="shared" si="43"/>
        <v>40.72</v>
      </c>
      <c r="Y19" s="576">
        <f t="shared" si="44"/>
        <v>-5.0000000000000001E-3</v>
      </c>
      <c r="Z19" s="368">
        <f>'Rates in Detail'!J18+'Rates in Detail'!S18</f>
        <v>0.63027999999999973</v>
      </c>
      <c r="AA19" s="367">
        <f t="shared" si="16"/>
        <v>40.229999999999997</v>
      </c>
      <c r="AB19" s="576">
        <f t="shared" si="17"/>
        <v>-1.7000000000000001E-2</v>
      </c>
      <c r="AC19" s="123">
        <f>'Rates in Detail'!J18+'Rates in Detail'!T18</f>
        <v>0.63655999999999968</v>
      </c>
      <c r="AD19" s="367">
        <f t="shared" si="18"/>
        <v>40.54</v>
      </c>
      <c r="AE19" s="576">
        <f t="shared" si="19"/>
        <v>-8.9999999999999993E-3</v>
      </c>
      <c r="AF19" s="368">
        <f>'Rates in summary'!J19</f>
        <v>0.67797999999999981</v>
      </c>
      <c r="AG19" s="367">
        <f t="shared" si="45"/>
        <v>42.59</v>
      </c>
      <c r="AH19" s="369">
        <f t="shared" si="46"/>
        <v>4.1000000000000002E-2</v>
      </c>
      <c r="AI19" s="1257">
        <f t="shared" si="47"/>
        <v>1.6700000000000017</v>
      </c>
      <c r="AJ19" s="368">
        <f>L19+'Rates in summary'!K19</f>
        <v>0.70590999999999982</v>
      </c>
      <c r="AK19" s="367">
        <f t="shared" si="48"/>
        <v>43.97</v>
      </c>
      <c r="AL19" s="369">
        <f t="shared" si="20"/>
        <v>3.2000000000000001E-2</v>
      </c>
      <c r="AM19" s="368">
        <f>'Rates in summary'!O19</f>
        <v>0</v>
      </c>
      <c r="AN19" s="367">
        <f t="shared" si="49"/>
        <v>9</v>
      </c>
      <c r="AO19" s="576">
        <f t="shared" si="50"/>
        <v>-0.83</v>
      </c>
      <c r="AP19" s="123">
        <f>'Rates in Detail'!W18+'Rates in Detail'!Z18</f>
        <v>0.6775899999999998</v>
      </c>
      <c r="AQ19" s="367">
        <f t="shared" si="21"/>
        <v>42.57</v>
      </c>
      <c r="AR19" s="576">
        <f t="shared" si="22"/>
        <v>0</v>
      </c>
      <c r="AS19" s="368">
        <f>'Rates in summary'!P19</f>
        <v>0.72733999999999976</v>
      </c>
      <c r="AT19" s="367">
        <f t="shared" si="23"/>
        <v>45.04</v>
      </c>
      <c r="AU19" s="369">
        <f t="shared" si="24"/>
        <v>5.8000000000000003E-2</v>
      </c>
      <c r="AV19" s="1262">
        <f t="shared" si="51"/>
        <v>2.4499999999999957</v>
      </c>
      <c r="AW19" s="370"/>
      <c r="AX19" s="370"/>
      <c r="AY19" s="370"/>
      <c r="AZ19" s="370"/>
      <c r="BA19" s="893">
        <v>27</v>
      </c>
      <c r="BB19" s="662">
        <f t="shared" si="25"/>
        <v>2.75</v>
      </c>
      <c r="BC19" s="666">
        <f t="shared" si="26"/>
        <v>6.7000000000000004E-2</v>
      </c>
      <c r="BD19" s="662">
        <f t="shared" si="27"/>
        <v>-41.88</v>
      </c>
      <c r="BE19" s="666">
        <f t="shared" si="52"/>
        <v>-0.82299999999999995</v>
      </c>
      <c r="BF19" s="372">
        <f t="shared" si="28"/>
        <v>1.6700000000000017</v>
      </c>
      <c r="BG19" s="666">
        <f t="shared" si="29"/>
        <v>4.1000000000000002E-2</v>
      </c>
      <c r="BH19" s="662">
        <f t="shared" si="30"/>
        <v>1.3799999999999955</v>
      </c>
      <c r="BI19" s="666">
        <f t="shared" si="31"/>
        <v>3.2000000000000001E-2</v>
      </c>
      <c r="BJ19" s="662">
        <f t="shared" si="32"/>
        <v>-44.07</v>
      </c>
      <c r="BK19" s="666">
        <f t="shared" si="33"/>
        <v>-0.83</v>
      </c>
      <c r="BL19" s="372">
        <f t="shared" si="34"/>
        <v>2.4499999999999957</v>
      </c>
      <c r="BM19" s="666">
        <f t="shared" si="35"/>
        <v>5.8000000000000003E-2</v>
      </c>
    </row>
    <row r="20" spans="1:65" x14ac:dyDescent="0.2">
      <c r="A20" s="86">
        <f t="shared" si="14"/>
        <v>13</v>
      </c>
      <c r="B20" s="733" t="str">
        <f>'WA Volumes &amp; Revenues'!B21</f>
        <v>41C Firm Sales</v>
      </c>
      <c r="C20" s="875" t="s">
        <v>4</v>
      </c>
      <c r="D20" s="299">
        <f>'WA Volumes &amp; Revenues'!E21</f>
        <v>1777065.1510316674</v>
      </c>
      <c r="E20" s="299">
        <f>'WA Volumes &amp; Revenues'!F21</f>
        <v>1992236.2</v>
      </c>
      <c r="F20" s="371">
        <v>2000</v>
      </c>
      <c r="G20" s="300">
        <f>+'WA Volumes &amp; Revenues'!I21</f>
        <v>3436</v>
      </c>
      <c r="H20" s="300">
        <f>'WA Volumes &amp; Revenues'!L21</f>
        <v>3745</v>
      </c>
      <c r="I20" s="879">
        <f>'WA Volumes &amp; Revenues'!O21</f>
        <v>250</v>
      </c>
      <c r="J20" s="372">
        <f>'WA Volumes &amp; Revenues'!N21</f>
        <v>250</v>
      </c>
      <c r="K20" s="122">
        <f>+'Rates in summary'!D20</f>
        <v>0.65150000000000008</v>
      </c>
      <c r="L20" s="122">
        <f>+'Rates in summary'!J20</f>
        <v>0.6852100000000001</v>
      </c>
      <c r="M20" s="372"/>
      <c r="N20" s="372"/>
      <c r="O20" s="966"/>
      <c r="P20" s="966"/>
      <c r="Q20" s="373">
        <f>'Rates in summary'!H20-'Rates in summary'!F20</f>
        <v>0.70707000000000009</v>
      </c>
      <c r="R20" s="372"/>
      <c r="S20" s="374"/>
      <c r="T20" s="373">
        <f>'Rates in summary'!I20</f>
        <v>0</v>
      </c>
      <c r="U20" s="372"/>
      <c r="V20" s="577"/>
      <c r="W20" s="373">
        <f>'Rates in Detail'!J19+'Rates in Detail'!P19</f>
        <v>0.64739000000000013</v>
      </c>
      <c r="X20" s="372"/>
      <c r="Y20" s="577"/>
      <c r="Z20" s="373">
        <f>'Rates in Detail'!J19+'Rates in Detail'!S19</f>
        <v>0.6374200000000001</v>
      </c>
      <c r="AA20" s="372"/>
      <c r="AB20" s="577"/>
      <c r="AC20" s="122">
        <f>'Rates in Detail'!J19+'Rates in Detail'!T19</f>
        <v>0.64372000000000007</v>
      </c>
      <c r="AD20" s="372"/>
      <c r="AE20" s="577"/>
      <c r="AF20" s="373">
        <f>'Rates in summary'!J20</f>
        <v>0.6852100000000001</v>
      </c>
      <c r="AG20" s="372"/>
      <c r="AH20" s="374"/>
      <c r="AI20" s="1258"/>
      <c r="AJ20" s="373">
        <f>L20+'Rates in summary'!K20</f>
        <v>0.71320000000000006</v>
      </c>
      <c r="AK20" s="372"/>
      <c r="AL20" s="374"/>
      <c r="AM20" s="373">
        <f>'Rates in summary'!O20</f>
        <v>0</v>
      </c>
      <c r="AN20" s="372"/>
      <c r="AO20" s="577"/>
      <c r="AP20" s="122">
        <f>'Rates in Detail'!W19+'Rates in Detail'!Z19</f>
        <v>0.68481000000000014</v>
      </c>
      <c r="AQ20" s="372"/>
      <c r="AR20" s="577"/>
      <c r="AS20" s="373">
        <f>'Rates in summary'!P20</f>
        <v>0.73466000000000009</v>
      </c>
      <c r="AT20" s="372"/>
      <c r="AU20" s="374"/>
      <c r="AV20" s="1263"/>
      <c r="BA20" s="893" t="s">
        <v>352</v>
      </c>
      <c r="BB20" s="662">
        <f>R22-M22</f>
        <v>181.46000000000004</v>
      </c>
      <c r="BC20" s="666">
        <f>S22</f>
        <v>7.4999999999999997E-2</v>
      </c>
      <c r="BD20" s="662">
        <f>U22-N22</f>
        <v>-2357.4499999999998</v>
      </c>
      <c r="BE20" s="666">
        <f>V22</f>
        <v>-0.90400000000000003</v>
      </c>
      <c r="BF20" s="372">
        <f>AG22-M22</f>
        <v>110.09000000000015</v>
      </c>
      <c r="BG20" s="666">
        <f>AH22</f>
        <v>4.4999999999999998E-2</v>
      </c>
      <c r="BH20" s="662">
        <f>AK22-O22</f>
        <v>91.389999999999873</v>
      </c>
      <c r="BI20" s="666">
        <f>AL22</f>
        <v>3.5999999999999997E-2</v>
      </c>
      <c r="BJ20" s="662">
        <f>AN22-P22</f>
        <v>-2476.7199999999998</v>
      </c>
      <c r="BK20" s="666">
        <f>AO22</f>
        <v>-0.90800000000000003</v>
      </c>
      <c r="BL20" s="372">
        <f>AT22-O22</f>
        <v>161.46000000000004</v>
      </c>
      <c r="BM20" s="666">
        <f>AU22</f>
        <v>6.4000000000000001E-2</v>
      </c>
    </row>
    <row r="21" spans="1:65" x14ac:dyDescent="0.2">
      <c r="A21" s="86">
        <f t="shared" si="14"/>
        <v>14</v>
      </c>
      <c r="B21" s="725"/>
      <c r="C21" s="875" t="s">
        <v>5</v>
      </c>
      <c r="D21" s="299">
        <f>'WA Volumes &amp; Revenues'!E22</f>
        <v>1974656.4658023661</v>
      </c>
      <c r="E21" s="299">
        <f>'WA Volumes &amp; Revenues'!F22</f>
        <v>2142067.7000000002</v>
      </c>
      <c r="F21" s="371" t="s">
        <v>74</v>
      </c>
      <c r="G21" s="300"/>
      <c r="H21" s="300"/>
      <c r="I21" s="879"/>
      <c r="J21" s="372"/>
      <c r="K21" s="122">
        <f>+'Rates in summary'!D21</f>
        <v>0.60426999999999997</v>
      </c>
      <c r="L21" s="122">
        <f>+'Rates in summary'!J21</f>
        <v>0.63397999999999999</v>
      </c>
      <c r="M21" s="372"/>
      <c r="N21" s="372"/>
      <c r="O21" s="966"/>
      <c r="P21" s="966"/>
      <c r="Q21" s="373">
        <f>'Rates in summary'!H21-'Rates in summary'!F21</f>
        <v>0.65324000000000004</v>
      </c>
      <c r="R21" s="372"/>
      <c r="S21" s="374"/>
      <c r="T21" s="373">
        <f>'Rates in summary'!I21</f>
        <v>0</v>
      </c>
      <c r="U21" s="372"/>
      <c r="V21" s="577"/>
      <c r="W21" s="373">
        <f>'Rates in Detail'!J20+'Rates in Detail'!P20</f>
        <v>0.60065000000000002</v>
      </c>
      <c r="X21" s="372"/>
      <c r="Y21" s="577"/>
      <c r="Z21" s="373">
        <f>'Rates in Detail'!J20+'Rates in Detail'!S20</f>
        <v>0.59187000000000001</v>
      </c>
      <c r="AA21" s="372"/>
      <c r="AB21" s="577"/>
      <c r="AC21" s="122">
        <f>'Rates in Detail'!J20+'Rates in Detail'!T20</f>
        <v>0.59741</v>
      </c>
      <c r="AD21" s="372"/>
      <c r="AE21" s="577"/>
      <c r="AF21" s="373">
        <f>'Rates in summary'!J21</f>
        <v>0.63397999999999999</v>
      </c>
      <c r="AG21" s="372"/>
      <c r="AH21" s="374"/>
      <c r="AI21" s="1258"/>
      <c r="AJ21" s="373">
        <f>L21+'Rates in summary'!K21</f>
        <v>0.65864</v>
      </c>
      <c r="AK21" s="372"/>
      <c r="AL21" s="374"/>
      <c r="AM21" s="373">
        <f>'Rates in summary'!O21</f>
        <v>0</v>
      </c>
      <c r="AN21" s="372"/>
      <c r="AO21" s="577"/>
      <c r="AP21" s="122">
        <f>'Rates in Detail'!W20+'Rates in Detail'!Z20</f>
        <v>0.63363000000000003</v>
      </c>
      <c r="AQ21" s="372"/>
      <c r="AR21" s="577"/>
      <c r="AS21" s="373">
        <f>'Rates in summary'!P21</f>
        <v>0.6775500000000001</v>
      </c>
      <c r="AT21" s="372"/>
      <c r="AU21" s="374"/>
      <c r="AV21" s="1263"/>
      <c r="BA21" s="893" t="s">
        <v>353</v>
      </c>
      <c r="BB21" s="662">
        <f>R25-M25</f>
        <v>233.55999999999995</v>
      </c>
      <c r="BC21" s="666">
        <f>S25</f>
        <v>7.8E-2</v>
      </c>
      <c r="BD21" s="662">
        <f>U25-N25</f>
        <v>-2773.71</v>
      </c>
      <c r="BE21" s="666">
        <f>V25</f>
        <v>-0.91700000000000004</v>
      </c>
      <c r="BF21" s="372">
        <f>AG25-M25</f>
        <v>200.88999999999987</v>
      </c>
      <c r="BG21" s="666">
        <f>AH25</f>
        <v>6.7000000000000004E-2</v>
      </c>
      <c r="BH21" s="662">
        <f>AK25-O25</f>
        <v>117.61000000000013</v>
      </c>
      <c r="BI21" s="666">
        <f>AL25</f>
        <v>3.6999999999999998E-2</v>
      </c>
      <c r="BJ21" s="662">
        <f>AN25-P25</f>
        <v>-2975.76</v>
      </c>
      <c r="BK21" s="666">
        <f>AO25</f>
        <v>-0.92200000000000004</v>
      </c>
      <c r="BL21" s="372">
        <f>AT25-O25</f>
        <v>148.62000000000035</v>
      </c>
      <c r="BM21" s="666">
        <f>AU25</f>
        <v>4.5999999999999999E-2</v>
      </c>
    </row>
    <row r="22" spans="1:65" x14ac:dyDescent="0.2">
      <c r="A22" s="86">
        <f t="shared" si="14"/>
        <v>15</v>
      </c>
      <c r="B22" s="723"/>
      <c r="C22" s="876" t="s">
        <v>78</v>
      </c>
      <c r="D22" s="375"/>
      <c r="E22" s="375"/>
      <c r="F22" s="376"/>
      <c r="G22" s="377"/>
      <c r="H22" s="377"/>
      <c r="I22" s="880"/>
      <c r="J22" s="379"/>
      <c r="K22" s="378"/>
      <c r="L22" s="378"/>
      <c r="M22" s="379">
        <f>$I20+ROUND(IF($G20&lt;$F20,($G20*K20),IF($G20&gt;SUM($F20:$F21),(($F20*K20)+(($G20-$F20)*K21)),0)),2)</f>
        <v>2420.73</v>
      </c>
      <c r="N22" s="379">
        <f>I20+ROUND(IF($H20&lt;$F20,($H20*$K20),IF($H20&gt;SUM(F20:F21),(($F20*K20)+(($H20-F20)*K21)),0)),2)</f>
        <v>2607.4499999999998</v>
      </c>
      <c r="O22" s="379">
        <f>$I20+ROUND(IF($G20&lt;$F20,($G20*L20),IF($G20&gt;SUM($F20:$F21),(($F20*L20)+(($G20-$F20)*L21)),0)),2)</f>
        <v>2530.8200000000002</v>
      </c>
      <c r="P22" s="379">
        <f>I20+ROUND(IF($H20&lt;$F20,($H20*$L20),IF($H20&gt;SUM(F20:F21),(($F20*L20)+(($H20-F20)*L21)),0)),2)</f>
        <v>2726.72</v>
      </c>
      <c r="Q22" s="381"/>
      <c r="R22" s="379">
        <f>$J20+ROUND(IF($G20&lt;$F20,($G20*Q20),IF($G20&gt;SUM($F20:$F21),(($F20*Q20)+(($G20-$F20)*Q21)),0)),2)</f>
        <v>2602.19</v>
      </c>
      <c r="S22" s="382">
        <f>ROUND((R22-M22)/M22,3)</f>
        <v>7.4999999999999997E-2</v>
      </c>
      <c r="T22" s="380"/>
      <c r="U22" s="379">
        <f>$I20+ROUND(IF($H20&lt;$F20,($H20*T20),IF($H20&gt;SUM($F20:$F21),(($F20*T20)+(($H20-$F20)*T21)),0)),2)</f>
        <v>250</v>
      </c>
      <c r="V22" s="578">
        <f>ROUND((U22-N22)/N22,3)</f>
        <v>-0.90400000000000003</v>
      </c>
      <c r="W22" s="380"/>
      <c r="X22" s="379">
        <f>$J20+ROUND(IF($G20&lt;$F20,($G20*W20),IF($G20&gt;SUM($F20:$F21),(($F20*W20)+(($G20-$F20)*W21)),0)),2)</f>
        <v>2407.31</v>
      </c>
      <c r="Y22" s="578">
        <f t="shared" ref="Y22" si="55">ROUND(($X22-$M22)/$M22,3)</f>
        <v>-6.0000000000000001E-3</v>
      </c>
      <c r="Z22" s="380"/>
      <c r="AA22" s="379">
        <f>$J20+ROUND(IF($G20&lt;$F20,($G20*Z20),IF($G20&gt;SUM($F20:$F21),(($F20*Z20)+(($G20-$F20)*Z21)),0)),2)</f>
        <v>2374.77</v>
      </c>
      <c r="AB22" s="578">
        <f>ROUND(($AA22-$M22)/$M22,3)</f>
        <v>-1.9E-2</v>
      </c>
      <c r="AC22" s="379"/>
      <c r="AD22" s="379">
        <f>$J20+ROUND(IF($G20&lt;$F20,($G20*AC20),IF($G20&gt;SUM($F20:$F21),(($F20*AC20)+(($G20-$F20)*AC21)),0)),2)</f>
        <v>2395.3200000000002</v>
      </c>
      <c r="AE22" s="578">
        <f>ROUND(($AD22-$M22)/$M22,3)</f>
        <v>-0.01</v>
      </c>
      <c r="AF22" s="381"/>
      <c r="AG22" s="379">
        <f>$J20+ROUND(IF($G20&lt;$F20,($G20*AF20),IF($G20&gt;SUM($F20:$F21),(($F20*AF20)+(($G20-$F20)*AF21)),0)),2)</f>
        <v>2530.8200000000002</v>
      </c>
      <c r="AH22" s="382">
        <f>ROUND((AG22-M22)/M22,3)</f>
        <v>4.4999999999999998E-2</v>
      </c>
      <c r="AI22" s="1259">
        <f t="shared" si="47"/>
        <v>110.09000000000015</v>
      </c>
      <c r="AJ22" s="381"/>
      <c r="AK22" s="379">
        <f>$J20+ROUND(IF($G20&lt;$F20,($G20*AJ20),IF($G20&gt;SUM($F20:$F21),(($F20*AJ20)+(($G20-$F20)*AJ21)),0)),2)</f>
        <v>2622.21</v>
      </c>
      <c r="AL22" s="382">
        <f>ROUND((AK22-O22)/O22,3)</f>
        <v>3.5999999999999997E-2</v>
      </c>
      <c r="AM22" s="380"/>
      <c r="AN22" s="379">
        <f>$I20+ROUND(IF($H20&lt;$F20,($H20*AM20),IF($H20&gt;SUM($F20:$F21),(($F20*AM20)+(($H20-$F20)*AM21)),0)),2)</f>
        <v>250</v>
      </c>
      <c r="AO22" s="578">
        <f>ROUND((AN22-P22)/P22,3)</f>
        <v>-0.90800000000000003</v>
      </c>
      <c r="AP22" s="379"/>
      <c r="AQ22" s="379">
        <f>$J20+ROUND(IF($G20&lt;$F20,($G20*AP20),IF($G20&gt;SUM($F20:$F21),(($F20*AP20)+(($G20-$F20)*AP21)),0)),2)</f>
        <v>2529.5100000000002</v>
      </c>
      <c r="AR22" s="578">
        <f>ROUND(($AQ22-$O22)/$O22,3)</f>
        <v>-1E-3</v>
      </c>
      <c r="AS22" s="381"/>
      <c r="AT22" s="379">
        <f>$J20+ROUND(IF($G20&lt;$F20,($G20*AS20),IF($G20&gt;SUM($F20:$F21),(($F20*AS20)+(($G20-$F20)*AS21)),0)),2)</f>
        <v>2692.28</v>
      </c>
      <c r="AU22" s="382">
        <f>ROUND((AT22-O22)/O22,3)</f>
        <v>6.4000000000000001E-2</v>
      </c>
      <c r="AV22" s="1264">
        <f t="shared" si="51"/>
        <v>161.46000000000004</v>
      </c>
      <c r="AW22" s="370"/>
      <c r="AX22" s="370"/>
      <c r="AY22" s="370"/>
      <c r="AZ22" s="370"/>
      <c r="BA22" s="893" t="s">
        <v>355</v>
      </c>
      <c r="BB22" s="662">
        <f>R28-M28</f>
        <v>0</v>
      </c>
      <c r="BC22" s="666">
        <f>S28</f>
        <v>0</v>
      </c>
      <c r="BD22" s="662">
        <f>U28-N28</f>
        <v>0</v>
      </c>
      <c r="BE22" s="666">
        <f>V28</f>
        <v>0</v>
      </c>
      <c r="BF22" s="372">
        <f>AG28-M28</f>
        <v>0</v>
      </c>
      <c r="BG22" s="666">
        <f>AH28</f>
        <v>0</v>
      </c>
      <c r="BH22" s="662">
        <f>AK28-O28</f>
        <v>0</v>
      </c>
      <c r="BI22" s="666">
        <f>AL28</f>
        <v>0</v>
      </c>
      <c r="BJ22" s="662">
        <f>AN28-P28</f>
        <v>0</v>
      </c>
      <c r="BK22" s="666">
        <f>AO28</f>
        <v>0</v>
      </c>
      <c r="BL22" s="372">
        <f>AT28-O28</f>
        <v>0</v>
      </c>
      <c r="BM22" s="666">
        <f>AU28</f>
        <v>0</v>
      </c>
    </row>
    <row r="23" spans="1:65" x14ac:dyDescent="0.2">
      <c r="A23" s="86">
        <f t="shared" si="14"/>
        <v>16</v>
      </c>
      <c r="B23" s="733" t="str">
        <f>'WA Volumes &amp; Revenues'!B23</f>
        <v>41I Firm Sales</v>
      </c>
      <c r="C23" s="875" t="s">
        <v>4</v>
      </c>
      <c r="D23" s="299">
        <f>'WA Volumes &amp; Revenues'!E23</f>
        <v>392890.20000000007</v>
      </c>
      <c r="E23" s="299">
        <f>'WA Volumes &amp; Revenues'!F23</f>
        <v>399967</v>
      </c>
      <c r="F23" s="371">
        <v>2000</v>
      </c>
      <c r="G23" s="300">
        <f>'WA Volumes &amp; Revenues'!I23</f>
        <v>4741</v>
      </c>
      <c r="H23" s="300">
        <f>'WA Volumes &amp; Revenues'!L23</f>
        <v>4770</v>
      </c>
      <c r="I23" s="879">
        <f>'WA Volumes &amp; Revenues'!O23</f>
        <v>250</v>
      </c>
      <c r="J23" s="372">
        <f>'WA Volumes &amp; Revenues'!N23</f>
        <v>250</v>
      </c>
      <c r="K23" s="122">
        <f>+'Rates in summary'!D22</f>
        <v>0.60577000000000025</v>
      </c>
      <c r="L23" s="122">
        <f>+'Rates in summary'!J22</f>
        <v>0.65127000000000035</v>
      </c>
      <c r="M23" s="372"/>
      <c r="N23" s="372"/>
      <c r="O23" s="966"/>
      <c r="P23" s="966"/>
      <c r="Q23" s="373">
        <f>'Rates in summary'!H22-'Rates in summary'!F22</f>
        <v>0.65867000000000031</v>
      </c>
      <c r="R23" s="372"/>
      <c r="S23" s="374"/>
      <c r="T23" s="373">
        <f>'Rates in summary'!I22</f>
        <v>0</v>
      </c>
      <c r="U23" s="372"/>
      <c r="V23" s="577"/>
      <c r="W23" s="373">
        <f>'Rates in Detail'!J21+'Rates in Detail'!P21</f>
        <v>0.60186000000000028</v>
      </c>
      <c r="X23" s="372"/>
      <c r="Y23" s="577"/>
      <c r="Z23" s="373">
        <f>'Rates in Detail'!J21+'Rates in Detail'!S21</f>
        <v>0.60577000000000025</v>
      </c>
      <c r="AA23" s="372"/>
      <c r="AB23" s="577"/>
      <c r="AC23" s="122">
        <f>'Rates in Detail'!J21+'Rates in Detail'!T21</f>
        <v>0.59837000000000029</v>
      </c>
      <c r="AD23" s="372"/>
      <c r="AE23" s="577"/>
      <c r="AF23" s="373">
        <f>'Rates in summary'!J22</f>
        <v>0.65127000000000035</v>
      </c>
      <c r="AG23" s="372"/>
      <c r="AH23" s="374"/>
      <c r="AI23" s="1258"/>
      <c r="AJ23" s="373">
        <f>L23+'Rates in summary'!K22</f>
        <v>0.67791000000000035</v>
      </c>
      <c r="AK23" s="372"/>
      <c r="AL23" s="374"/>
      <c r="AM23" s="373">
        <f>'Rates in summary'!O22</f>
        <v>0</v>
      </c>
      <c r="AN23" s="372"/>
      <c r="AO23" s="577"/>
      <c r="AP23" s="122">
        <f>'Rates in Detail'!W21+'Rates in Detail'!Z21</f>
        <v>0.65089000000000019</v>
      </c>
      <c r="AQ23" s="372"/>
      <c r="AR23" s="577"/>
      <c r="AS23" s="373">
        <f>'Rates in summary'!P22</f>
        <v>0.68493000000000026</v>
      </c>
      <c r="AT23" s="372"/>
      <c r="AU23" s="374"/>
      <c r="AV23" s="1263"/>
      <c r="BA23" s="893" t="s">
        <v>356</v>
      </c>
      <c r="BB23" s="662">
        <f>R31-M31</f>
        <v>0</v>
      </c>
      <c r="BC23" s="666">
        <f>S31</f>
        <v>0</v>
      </c>
      <c r="BD23" s="662">
        <f>U31-N31</f>
        <v>0</v>
      </c>
      <c r="BE23" s="666">
        <f>V31</f>
        <v>0</v>
      </c>
      <c r="BF23" s="372">
        <f>AG31-M31</f>
        <v>0</v>
      </c>
      <c r="BG23" s="666">
        <f>AH31</f>
        <v>0</v>
      </c>
      <c r="BH23" s="662">
        <f>AK31-O31</f>
        <v>0</v>
      </c>
      <c r="BI23" s="666">
        <f>AL31</f>
        <v>0</v>
      </c>
      <c r="BJ23" s="662">
        <f>AN31-P31</f>
        <v>0</v>
      </c>
      <c r="BK23" s="666">
        <f>AO31</f>
        <v>0</v>
      </c>
      <c r="BL23" s="372">
        <f>AT31-O31</f>
        <v>0</v>
      </c>
      <c r="BM23" s="666">
        <f>AU31</f>
        <v>0</v>
      </c>
    </row>
    <row r="24" spans="1:65" x14ac:dyDescent="0.2">
      <c r="A24" s="86">
        <f t="shared" si="14"/>
        <v>17</v>
      </c>
      <c r="B24" s="725"/>
      <c r="C24" s="875" t="s">
        <v>5</v>
      </c>
      <c r="D24" s="299">
        <f>'WA Volumes &amp; Revenues'!E24</f>
        <v>621650.00000000012</v>
      </c>
      <c r="E24" s="299">
        <f>'WA Volumes &amp; Revenues'!F24</f>
        <v>630361</v>
      </c>
      <c r="F24" s="371" t="s">
        <v>74</v>
      </c>
      <c r="G24" s="300"/>
      <c r="H24" s="300"/>
      <c r="I24" s="879"/>
      <c r="J24" s="372"/>
      <c r="K24" s="122">
        <f>+'Rates in summary'!D23</f>
        <v>0.56396000000000013</v>
      </c>
      <c r="L24" s="122">
        <f>+'Rates in summary'!J23</f>
        <v>0.6040500000000002</v>
      </c>
      <c r="M24" s="372"/>
      <c r="N24" s="372"/>
      <c r="O24" s="966"/>
      <c r="P24" s="966"/>
      <c r="Q24" s="373">
        <f>'Rates in summary'!H23-'Rates in summary'!F23</f>
        <v>0.61057000000000017</v>
      </c>
      <c r="R24" s="372"/>
      <c r="S24" s="374"/>
      <c r="T24" s="373">
        <f>'Rates in summary'!I23</f>
        <v>0</v>
      </c>
      <c r="U24" s="372"/>
      <c r="V24" s="577"/>
      <c r="W24" s="373">
        <f>'Rates in Detail'!J22+'Rates in Detail'!P22</f>
        <v>0.56052000000000013</v>
      </c>
      <c r="X24" s="372"/>
      <c r="Y24" s="577"/>
      <c r="Z24" s="373">
        <f>'Rates in Detail'!J22+'Rates in Detail'!S22</f>
        <v>0.56396000000000013</v>
      </c>
      <c r="AA24" s="372"/>
      <c r="AB24" s="577"/>
      <c r="AC24" s="122">
        <f>'Rates in Detail'!J22+'Rates in Detail'!T22</f>
        <v>0.55744000000000016</v>
      </c>
      <c r="AD24" s="372"/>
      <c r="AE24" s="577"/>
      <c r="AF24" s="373">
        <f>'Rates in summary'!J23</f>
        <v>0.6040500000000002</v>
      </c>
      <c r="AG24" s="372"/>
      <c r="AH24" s="374"/>
      <c r="AI24" s="1258"/>
      <c r="AJ24" s="373">
        <f>L24+'Rates in summary'!K23</f>
        <v>0.62752000000000019</v>
      </c>
      <c r="AK24" s="372"/>
      <c r="AL24" s="374"/>
      <c r="AM24" s="373">
        <f>'Rates in summary'!O23</f>
        <v>0</v>
      </c>
      <c r="AN24" s="372"/>
      <c r="AO24" s="577"/>
      <c r="AP24" s="122">
        <f>'Rates in Detail'!W22+'Rates in Detail'!Z22</f>
        <v>0.60372000000000003</v>
      </c>
      <c r="AQ24" s="372"/>
      <c r="AR24" s="577"/>
      <c r="AS24" s="373">
        <f>'Rates in summary'!P23</f>
        <v>0.63371000000000011</v>
      </c>
      <c r="AT24" s="372"/>
      <c r="AU24" s="374"/>
      <c r="AV24" s="1263"/>
      <c r="BA24" s="893" t="s">
        <v>357</v>
      </c>
      <c r="BB24" s="662">
        <f>R34-M34</f>
        <v>254.80000000000018</v>
      </c>
      <c r="BC24" s="666">
        <f>S34</f>
        <v>0.127</v>
      </c>
      <c r="BD24" s="662">
        <f>U34-N34</f>
        <v>-1463.1</v>
      </c>
      <c r="BE24" s="666">
        <f>V34</f>
        <v>-0.745</v>
      </c>
      <c r="BF24" s="372">
        <f>AG34-M34</f>
        <v>219.13999999999987</v>
      </c>
      <c r="BG24" s="666">
        <f>AH34</f>
        <v>0.109</v>
      </c>
      <c r="BH24" s="662">
        <f>AK34-O34</f>
        <v>128.30000000000018</v>
      </c>
      <c r="BI24" s="666">
        <f>AL34</f>
        <v>5.7000000000000002E-2</v>
      </c>
      <c r="BJ24" s="662">
        <f>AN34-P34</f>
        <v>-1674.8400000000001</v>
      </c>
      <c r="BK24" s="666">
        <f>AO34</f>
        <v>-0.77</v>
      </c>
      <c r="BL24" s="372">
        <f>AT34-O34</f>
        <v>162.13999999999987</v>
      </c>
      <c r="BM24" s="666">
        <f>AU34</f>
        <v>7.2999999999999995E-2</v>
      </c>
    </row>
    <row r="25" spans="1:65" x14ac:dyDescent="0.2">
      <c r="A25" s="86">
        <f t="shared" si="14"/>
        <v>18</v>
      </c>
      <c r="B25" s="723"/>
      <c r="C25" s="876" t="s">
        <v>78</v>
      </c>
      <c r="D25" s="375"/>
      <c r="E25" s="375"/>
      <c r="F25" s="376"/>
      <c r="G25" s="377"/>
      <c r="H25" s="377"/>
      <c r="I25" s="880"/>
      <c r="J25" s="379"/>
      <c r="K25" s="378"/>
      <c r="L25" s="378"/>
      <c r="M25" s="379">
        <f>$I23+ROUND(IF($G23&lt;$F23,($G23*K23),IF($G23&gt;SUM($F23:$F24),(($F23*K23)+(($G23-$F23)*K24)),0)),2)</f>
        <v>3007.35</v>
      </c>
      <c r="N25" s="379">
        <f>I23+ROUND(IF($H23&lt;$F23,($H23*$K23),IF($H23&gt;SUM(F23:F24),(($F23*K23)+(($H23-F23)*K24)),0)),2)</f>
        <v>3023.71</v>
      </c>
      <c r="O25" s="379">
        <f>$I23+ROUND(IF($G23&lt;$F23,($G23*L23),IF($G23&gt;SUM($F23:$F24),(($F23*L23)+(($G23-$F23)*L24)),0)),2)</f>
        <v>3208.24</v>
      </c>
      <c r="P25" s="379">
        <f>I23+ROUND(IF($H23&lt;$F23,($H23*$L23),IF($H23&gt;SUM(F23:F24),(($F23*L23)+(($H23-F23)*L24)),0)),2)</f>
        <v>3225.76</v>
      </c>
      <c r="Q25" s="381"/>
      <c r="R25" s="379">
        <f>$J23+ROUND(IF($G23&lt;$F23,($G23*Q23),IF($G23&gt;SUM($F23:$F24),(($F23*Q23)+(($G23-$F23)*Q24)),0)),2)</f>
        <v>3240.91</v>
      </c>
      <c r="S25" s="382">
        <f>ROUND((R25-M25)/M25,3)</f>
        <v>7.8E-2</v>
      </c>
      <c r="T25" s="380"/>
      <c r="U25" s="379">
        <f>$I23+ROUND(IF($H23&lt;$F23,($H23*T23),IF($H23&gt;SUM($F23:$F24),(($F23*T23)+(($H23-$F23)*T24)),0)),2)</f>
        <v>250</v>
      </c>
      <c r="V25" s="578">
        <f>ROUND((U25-N25)/N25,3)</f>
        <v>-0.91700000000000004</v>
      </c>
      <c r="W25" s="380"/>
      <c r="X25" s="379">
        <f>$J23+ROUND(IF($G23&lt;$F23,($G23*W23),IF($G23&gt;SUM($F23:$F24),(($F23*W23)+(($G23-$F23)*W24)),0)),2)</f>
        <v>2990.11</v>
      </c>
      <c r="Y25" s="578">
        <f t="shared" ref="Y25" si="56">ROUND(($X25-$M25)/$M25,3)</f>
        <v>-6.0000000000000001E-3</v>
      </c>
      <c r="Z25" s="380"/>
      <c r="AA25" s="379">
        <f>$J23+ROUND(IF($G23&lt;$F23,($G23*Z23),IF($G23&gt;SUM($F23:$F24),(($F23*Z23)+(($G23-$F23)*Z24)),0)),2)</f>
        <v>3007.35</v>
      </c>
      <c r="AB25" s="578">
        <f>ROUND(($AA25-$M25)/$M25,3)</f>
        <v>0</v>
      </c>
      <c r="AC25" s="379"/>
      <c r="AD25" s="379">
        <f>$J23+ROUND(IF($G23&lt;$F23,($G23*AC23),IF($G23&gt;SUM($F23:$F24),(($F23*AC23)+(($G23-$F23)*AC24)),0)),2)</f>
        <v>2974.68</v>
      </c>
      <c r="AE25" s="578">
        <f>ROUND(($AD25-$M25)/$M25,3)</f>
        <v>-1.0999999999999999E-2</v>
      </c>
      <c r="AF25" s="381"/>
      <c r="AG25" s="379">
        <f>$J23+ROUND(IF($G23&lt;$F23,($G23*AF23),IF($G23&gt;SUM($F23:$F24),(($F23*AF23)+(($G23-$F23)*AF24)),0)),2)</f>
        <v>3208.24</v>
      </c>
      <c r="AH25" s="382">
        <f>ROUND((AG25-M25)/M25,3)</f>
        <v>6.7000000000000004E-2</v>
      </c>
      <c r="AI25" s="1259">
        <f t="shared" si="47"/>
        <v>200.88999999999987</v>
      </c>
      <c r="AJ25" s="381"/>
      <c r="AK25" s="379">
        <f>$J23+ROUND(IF($G23&lt;$F23,($G23*AJ23),IF($G23&gt;SUM($F23:$F24),(($F23*AJ23)+(($G23-$F23)*AJ24)),0)),2)</f>
        <v>3325.85</v>
      </c>
      <c r="AL25" s="382">
        <f>ROUND((AK25-O25)/O25,3)</f>
        <v>3.6999999999999998E-2</v>
      </c>
      <c r="AM25" s="380"/>
      <c r="AN25" s="379">
        <f>$I23+ROUND(IF($H23&lt;$F23,($H23*AM23),IF($H23&gt;SUM($F23:$F24),(($F23*AM23)+(($H23-$F23)*AM24)),0)),2)</f>
        <v>250</v>
      </c>
      <c r="AO25" s="578">
        <f>ROUND((AN25-P25)/P25,3)</f>
        <v>-0.92200000000000004</v>
      </c>
      <c r="AP25" s="379"/>
      <c r="AQ25" s="379">
        <f>$J23+ROUND(IF($G23&lt;$F23,($G23*AP23),IF($G23&gt;SUM($F23:$F24),(($F23*AP23)+(($G23-$F23)*AP24)),0)),2)</f>
        <v>3206.58</v>
      </c>
      <c r="AR25" s="578">
        <f>ROUND(($AQ25-$O25)/$O25,3)</f>
        <v>-1E-3</v>
      </c>
      <c r="AS25" s="381"/>
      <c r="AT25" s="379">
        <f>$J23+ROUND(IF($G23&lt;$F23,($G23*AS23),IF($G23&gt;SUM($F23:$F24),(($F23*AS23)+(($G23-$F23)*AS24)),0)),2)</f>
        <v>3356.86</v>
      </c>
      <c r="AU25" s="382">
        <f>ROUND((AT25-O25)/O25,3)</f>
        <v>4.5999999999999999E-2</v>
      </c>
      <c r="AV25" s="1264">
        <f t="shared" si="51"/>
        <v>148.62000000000035</v>
      </c>
      <c r="AW25" s="370"/>
      <c r="AX25" s="370"/>
      <c r="AY25" s="370"/>
      <c r="AZ25" s="370"/>
      <c r="BA25" s="893" t="s">
        <v>358</v>
      </c>
      <c r="BB25" s="662">
        <f>R37-M37</f>
        <v>0</v>
      </c>
      <c r="BC25" s="666">
        <f>S37</f>
        <v>0</v>
      </c>
      <c r="BD25" s="662">
        <f>U37-N37</f>
        <v>0</v>
      </c>
      <c r="BE25" s="666">
        <f>V37</f>
        <v>0</v>
      </c>
      <c r="BF25" s="372">
        <f>AG37-M37</f>
        <v>0</v>
      </c>
      <c r="BG25" s="666">
        <f>AH37</f>
        <v>0</v>
      </c>
      <c r="BH25" s="662">
        <f>AK37-O37</f>
        <v>0</v>
      </c>
      <c r="BI25" s="666">
        <f>AL37</f>
        <v>0</v>
      </c>
      <c r="BJ25" s="662">
        <f>AN37-P37</f>
        <v>0</v>
      </c>
      <c r="BK25" s="666">
        <f>AO37</f>
        <v>0</v>
      </c>
      <c r="BL25" s="372">
        <f>AT37-O37</f>
        <v>0</v>
      </c>
      <c r="BM25" s="666">
        <f>AU37</f>
        <v>0</v>
      </c>
    </row>
    <row r="26" spans="1:65" x14ac:dyDescent="0.2">
      <c r="A26" s="86">
        <f t="shared" si="14"/>
        <v>19</v>
      </c>
      <c r="B26" s="725" t="str">
        <f>'WA Volumes &amp; Revenues'!B25</f>
        <v>41C Interr Sales</v>
      </c>
      <c r="C26" s="875" t="s">
        <v>4</v>
      </c>
      <c r="D26" s="299">
        <f>'WA Volumes &amp; Revenues'!E25</f>
        <v>0</v>
      </c>
      <c r="E26" s="299">
        <f>'WA Volumes &amp; Revenues'!F25</f>
        <v>0</v>
      </c>
      <c r="F26" s="371">
        <v>2000</v>
      </c>
      <c r="G26" s="300">
        <f>'WA Volumes &amp; Revenues'!I25</f>
        <v>0</v>
      </c>
      <c r="H26" s="300">
        <f>'WA Volumes &amp; Revenues'!L25</f>
        <v>0</v>
      </c>
      <c r="I26" s="879">
        <f>'WA Volumes &amp; Revenues'!O25</f>
        <v>250</v>
      </c>
      <c r="J26" s="372">
        <f>'WA Volumes &amp; Revenues'!N25</f>
        <v>250</v>
      </c>
      <c r="K26" s="122">
        <f>+'Rates in summary'!D24</f>
        <v>0.66024999999999989</v>
      </c>
      <c r="L26" s="122">
        <f>+'Rates in summary'!J24</f>
        <v>0.68044999999999989</v>
      </c>
      <c r="M26" s="372"/>
      <c r="N26" s="372"/>
      <c r="O26" s="966"/>
      <c r="P26" s="966"/>
      <c r="Q26" s="373">
        <f>'Rates in summary'!H24-'Rates in summary'!F24</f>
        <v>0.70058999999999994</v>
      </c>
      <c r="R26" s="372"/>
      <c r="S26" s="374"/>
      <c r="T26" s="373">
        <f>'Rates in summary'!I24</f>
        <v>0</v>
      </c>
      <c r="U26" s="372"/>
      <c r="V26" s="577"/>
      <c r="W26" s="373">
        <f>'Rates in Detail'!J23+'Rates in Detail'!P23</f>
        <v>0.65702999999999989</v>
      </c>
      <c r="X26" s="372"/>
      <c r="Y26" s="577"/>
      <c r="Z26" s="373">
        <f>'Rates in Detail'!J23+'Rates in Detail'!S23</f>
        <v>0.64620999999999984</v>
      </c>
      <c r="AA26" s="372"/>
      <c r="AB26" s="577"/>
      <c r="AC26" s="122">
        <f>'Rates in Detail'!J23+'Rates in Detail'!T23</f>
        <v>0.6541499999999999</v>
      </c>
      <c r="AD26" s="372"/>
      <c r="AE26" s="577"/>
      <c r="AF26" s="373">
        <f>'Rates in summary'!J24</f>
        <v>0.68044999999999989</v>
      </c>
      <c r="AG26" s="372"/>
      <c r="AH26" s="374"/>
      <c r="AI26" s="1258"/>
      <c r="AJ26" s="373">
        <f>L26+'Rates in summary'!K24</f>
        <v>0.70219999999999994</v>
      </c>
      <c r="AK26" s="372"/>
      <c r="AL26" s="374"/>
      <c r="AM26" s="373">
        <f>'Rates in summary'!O24</f>
        <v>0</v>
      </c>
      <c r="AN26" s="372"/>
      <c r="AO26" s="577"/>
      <c r="AP26" s="122">
        <f>'Rates in Detail'!W23+'Rates in Detail'!Z23</f>
        <v>0.68013999999999986</v>
      </c>
      <c r="AQ26" s="372"/>
      <c r="AR26" s="577"/>
      <c r="AS26" s="373">
        <f>'Rates in summary'!P24</f>
        <v>0.72202999999999995</v>
      </c>
      <c r="AT26" s="372"/>
      <c r="AU26" s="374"/>
      <c r="AV26" s="1263"/>
      <c r="BA26" s="893" t="s">
        <v>359</v>
      </c>
      <c r="BB26" s="662">
        <f>R44-M44</f>
        <v>491.61000000000058</v>
      </c>
      <c r="BC26" s="666">
        <f>S44</f>
        <v>7.5999999999999998E-2</v>
      </c>
      <c r="BD26" s="662">
        <f>U44-N44</f>
        <v>-7969.41</v>
      </c>
      <c r="BE26" s="666">
        <f>V44</f>
        <v>-0.86</v>
      </c>
      <c r="BF26" s="372">
        <f>AG44-M44</f>
        <v>298.27999999999975</v>
      </c>
      <c r="BG26" s="666">
        <f>AH44</f>
        <v>4.5999999999999999E-2</v>
      </c>
      <c r="BH26" s="662">
        <f>AK44-O44</f>
        <v>247.5600000000004</v>
      </c>
      <c r="BI26" s="666">
        <f>AL44</f>
        <v>3.6999999999999998E-2</v>
      </c>
      <c r="BJ26" s="662">
        <f>AN44-P44</f>
        <v>-8420.74</v>
      </c>
      <c r="BK26" s="666">
        <f>AO44</f>
        <v>-0.86599999999999999</v>
      </c>
      <c r="BL26" s="372">
        <f>AT44-O44</f>
        <v>437.36000000000058</v>
      </c>
      <c r="BM26" s="666">
        <f>AU44</f>
        <v>6.5000000000000002E-2</v>
      </c>
    </row>
    <row r="27" spans="1:65" x14ac:dyDescent="0.2">
      <c r="A27" s="86">
        <f t="shared" si="14"/>
        <v>20</v>
      </c>
      <c r="B27" s="725"/>
      <c r="C27" s="875" t="s">
        <v>5</v>
      </c>
      <c r="D27" s="299">
        <f>'WA Volumes &amp; Revenues'!E26</f>
        <v>0</v>
      </c>
      <c r="E27" s="299">
        <f>'WA Volumes &amp; Revenues'!F26</f>
        <v>0</v>
      </c>
      <c r="F27" s="371" t="s">
        <v>74</v>
      </c>
      <c r="G27" s="300"/>
      <c r="H27" s="300"/>
      <c r="I27" s="879"/>
      <c r="J27" s="372"/>
      <c r="K27" s="122">
        <f>+'Rates in summary'!D25</f>
        <v>0.61316999999999988</v>
      </c>
      <c r="L27" s="122">
        <f>+'Rates in summary'!J25</f>
        <v>0.63096999999999992</v>
      </c>
      <c r="M27" s="372"/>
      <c r="N27" s="372"/>
      <c r="O27" s="966"/>
      <c r="P27" s="966"/>
      <c r="Q27" s="373">
        <f>'Rates in summary'!H25-'Rates in summary'!F25</f>
        <v>0.6487099999999999</v>
      </c>
      <c r="R27" s="372"/>
      <c r="S27" s="374"/>
      <c r="T27" s="373">
        <f>'Rates in summary'!I25</f>
        <v>0</v>
      </c>
      <c r="U27" s="372"/>
      <c r="V27" s="577"/>
      <c r="W27" s="373">
        <f>'Rates in Detail'!J24+'Rates in Detail'!P24</f>
        <v>0.61032999999999993</v>
      </c>
      <c r="X27" s="372"/>
      <c r="Y27" s="577"/>
      <c r="Z27" s="373">
        <f>'Rates in Detail'!J24+'Rates in Detail'!S24</f>
        <v>0.60079999999999989</v>
      </c>
      <c r="AA27" s="372"/>
      <c r="AB27" s="577"/>
      <c r="AC27" s="122">
        <f>'Rates in Detail'!J24+'Rates in Detail'!T24</f>
        <v>0.6077999999999999</v>
      </c>
      <c r="AD27" s="372"/>
      <c r="AE27" s="577"/>
      <c r="AF27" s="373">
        <f>'Rates in summary'!J25</f>
        <v>0.63096999999999992</v>
      </c>
      <c r="AG27" s="372"/>
      <c r="AH27" s="374"/>
      <c r="AI27" s="1258"/>
      <c r="AJ27" s="373">
        <f>L27+'Rates in summary'!K25</f>
        <v>0.65013999999999994</v>
      </c>
      <c r="AK27" s="372"/>
      <c r="AL27" s="374"/>
      <c r="AM27" s="373">
        <f>'Rates in summary'!O25</f>
        <v>0</v>
      </c>
      <c r="AN27" s="372"/>
      <c r="AO27" s="577"/>
      <c r="AP27" s="122">
        <f>'Rates in Detail'!W24+'Rates in Detail'!Z24</f>
        <v>0.63069999999999982</v>
      </c>
      <c r="AQ27" s="372"/>
      <c r="AR27" s="577"/>
      <c r="AS27" s="373">
        <f>'Rates in summary'!P25</f>
        <v>0.66760999999999993</v>
      </c>
      <c r="AT27" s="372"/>
      <c r="AU27" s="374"/>
      <c r="AV27" s="1263"/>
      <c r="BA27" s="893" t="s">
        <v>360</v>
      </c>
      <c r="BB27" s="662">
        <f>R51-M51</f>
        <v>467.92999999999938</v>
      </c>
      <c r="BC27" s="666">
        <f>S51</f>
        <v>7.1999999999999995E-2</v>
      </c>
      <c r="BD27" s="662">
        <f>U51-N51</f>
        <v>-5460.53</v>
      </c>
      <c r="BE27" s="666">
        <f>V51</f>
        <v>-0.80800000000000005</v>
      </c>
      <c r="BF27" s="372">
        <f>AG51-M51</f>
        <v>402.42999999999938</v>
      </c>
      <c r="BG27" s="666">
        <f>AH51</f>
        <v>6.2E-2</v>
      </c>
      <c r="BH27" s="662">
        <f>AK51-O51</f>
        <v>235.64000000000033</v>
      </c>
      <c r="BI27" s="666">
        <f>AL51</f>
        <v>3.4000000000000002E-2</v>
      </c>
      <c r="BJ27" s="662">
        <f>AN51-P51</f>
        <v>-5883.71</v>
      </c>
      <c r="BK27" s="666">
        <f>AO51</f>
        <v>-0.81899999999999995</v>
      </c>
      <c r="BL27" s="372">
        <f>AT51-O51</f>
        <v>297.75</v>
      </c>
      <c r="BM27" s="666">
        <f>AU51</f>
        <v>4.2999999999999997E-2</v>
      </c>
    </row>
    <row r="28" spans="1:65" x14ac:dyDescent="0.2">
      <c r="A28" s="86">
        <f t="shared" si="14"/>
        <v>21</v>
      </c>
      <c r="B28" s="723"/>
      <c r="C28" s="876" t="s">
        <v>78</v>
      </c>
      <c r="D28" s="375"/>
      <c r="E28" s="375"/>
      <c r="F28" s="376"/>
      <c r="G28" s="377"/>
      <c r="H28" s="377"/>
      <c r="I28" s="880"/>
      <c r="J28" s="379"/>
      <c r="K28" s="378"/>
      <c r="L28" s="378"/>
      <c r="M28" s="379">
        <f>$I26+ROUND(IF($G26&lt;$F26,($G26*K26),IF($G26&gt;SUM($F26:$F27),(($F26*K26)+(($G26-$F26)*K27)),0)),2)</f>
        <v>250</v>
      </c>
      <c r="N28" s="379">
        <f>I26+ROUND(IF($H26&lt;$F26,($H26*$K26),IF($H26&gt;SUM(F26:F27),(($F26*K26)+(($H26-F26)*K27)),0)),2)</f>
        <v>250</v>
      </c>
      <c r="O28" s="379">
        <f>$I26+ROUND(IF($G26&lt;$F26,($G26*L26),IF($G26&gt;SUM($F26:$F27),(($F26*L26)+(($G26-$F26)*L27)),0)),2)</f>
        <v>250</v>
      </c>
      <c r="P28" s="379">
        <f>I26+ROUND(IF($H26&lt;$F26,($H26*$L26),IF($H26&gt;SUM(F26:F27),(($F26*L26)+(($H26-F26)*L27)),0)),2)</f>
        <v>250</v>
      </c>
      <c r="Q28" s="381"/>
      <c r="R28" s="379">
        <f>$J26+ROUND(IF($G26&lt;$F26,($G26*Q26),IF($G26&gt;SUM($F26:$F27),(($F26*Q26)+(($G26-$F26)*Q27)),0)),2)</f>
        <v>250</v>
      </c>
      <c r="S28" s="382">
        <f>ROUND((R28-M28)/M28,3)</f>
        <v>0</v>
      </c>
      <c r="T28" s="380"/>
      <c r="U28" s="379">
        <f>$I26+ROUND(IF($H26&lt;$F26,($H26*T26),IF($H26&gt;SUM($F26:$F27),(($F26*T26)+(($H26-$F26)*T27)),0)),2)</f>
        <v>250</v>
      </c>
      <c r="V28" s="578">
        <f>ROUND((U28-N28)/N28,3)</f>
        <v>0</v>
      </c>
      <c r="W28" s="380"/>
      <c r="X28" s="379">
        <f>$J26+ROUND(IF($G26&lt;$F26,($G26*W26),IF($G26&gt;SUM($F26:$F27),(($F26*W26)+(($G26-$F26)*W27)),0)),2)</f>
        <v>250</v>
      </c>
      <c r="Y28" s="578">
        <f t="shared" ref="Y28" si="57">ROUND(($X28-$M28)/$M28,3)</f>
        <v>0</v>
      </c>
      <c r="Z28" s="380"/>
      <c r="AA28" s="379">
        <f>$J26+ROUND(IF($G26&lt;$F26,($G26*Z26),IF($G26&gt;SUM($F26:$F27),(($F26*Z26)+(($G26-$F26)*Z27)),0)),2)</f>
        <v>250</v>
      </c>
      <c r="AB28" s="578">
        <f>ROUND(($AA28-$M28)/$M28,3)</f>
        <v>0</v>
      </c>
      <c r="AC28" s="379"/>
      <c r="AD28" s="379">
        <f>$J26+ROUND(IF($G26&lt;$F26,($G26*AC26),IF($G26&gt;SUM($F26:$F27),(($F26*AC26)+(($G26-$F26)*AC27)),0)),2)</f>
        <v>250</v>
      </c>
      <c r="AE28" s="578">
        <f>ROUND(($AD28-$M28)/$M28,3)</f>
        <v>0</v>
      </c>
      <c r="AF28" s="381"/>
      <c r="AG28" s="379">
        <f>$J26+ROUND(IF($G26&lt;$F26,($G26*AF26),IF($G26&gt;SUM($F26:$F27),(($F26*AF26)+(($G26-$F26)*AF27)),0)),2)</f>
        <v>250</v>
      </c>
      <c r="AH28" s="382">
        <f>ROUND((AG28-M28)/M28,3)</f>
        <v>0</v>
      </c>
      <c r="AI28" s="1259">
        <f t="shared" si="47"/>
        <v>0</v>
      </c>
      <c r="AJ28" s="381"/>
      <c r="AK28" s="379">
        <f>$J26+ROUND(IF($G26&lt;$F26,($G26*AJ26),IF($G26&gt;SUM($F26:$F27),(($F26*AJ26)+(($G26-$F26)*AJ27)),0)),2)</f>
        <v>250</v>
      </c>
      <c r="AL28" s="382">
        <f>ROUND((AK28-O28)/O28,3)</f>
        <v>0</v>
      </c>
      <c r="AM28" s="380"/>
      <c r="AN28" s="379">
        <f>$I26+ROUND(IF($H26&lt;$F26,($H26*AM26),IF($H26&gt;SUM($F26:$F27),(($F26*AM26)+(($H26-$F26)*AM27)),0)),2)</f>
        <v>250</v>
      </c>
      <c r="AO28" s="578">
        <f>ROUND((AN28-P28)/P28,3)</f>
        <v>0</v>
      </c>
      <c r="AP28" s="379"/>
      <c r="AQ28" s="379">
        <f>$J26+ROUND(IF($G26&lt;$F26,($G26*AP26),IF($G26&gt;SUM($F26:$F27),(($F26*AP26)+(($G26-$F26)*AP27)),0)),2)</f>
        <v>250</v>
      </c>
      <c r="AR28" s="578">
        <f>ROUND(($AQ28-$O28)/$O28,3)</f>
        <v>0</v>
      </c>
      <c r="AS28" s="381"/>
      <c r="AT28" s="379">
        <f>$J26+ROUND(IF($G26&lt;$F26,($G26*AS26),IF($G26&gt;SUM($F26:$F27),(($F26*AS26)+(($G26-$F26)*AS27)),0)),2)</f>
        <v>250</v>
      </c>
      <c r="AU28" s="382">
        <f>ROUND((AT28-O28)/O28,3)</f>
        <v>0</v>
      </c>
      <c r="AV28" s="1264">
        <f t="shared" si="51"/>
        <v>0</v>
      </c>
      <c r="AW28" s="370"/>
      <c r="AX28" s="370"/>
      <c r="AY28" s="370"/>
      <c r="AZ28" s="370"/>
      <c r="BA28" s="893" t="s">
        <v>361</v>
      </c>
      <c r="BB28" s="662">
        <f>R58-M58</f>
        <v>1003.8000000000002</v>
      </c>
      <c r="BC28" s="666">
        <f>S58</f>
        <v>0.13500000000000001</v>
      </c>
      <c r="BD28" s="662">
        <f>U58-N58</f>
        <v>-5671.15</v>
      </c>
      <c r="BE28" s="666">
        <f>V58</f>
        <v>-0.78500000000000003</v>
      </c>
      <c r="BF28" s="372">
        <f>AG58-M58</f>
        <v>863.42000000000098</v>
      </c>
      <c r="BG28" s="666">
        <f>AH58</f>
        <v>0.11600000000000001</v>
      </c>
      <c r="BH28" s="662">
        <f>AK58-O58</f>
        <v>505.52000000000044</v>
      </c>
      <c r="BI28" s="666">
        <f>AL58</f>
        <v>6.0999999999999999E-2</v>
      </c>
      <c r="BJ28" s="662">
        <f>AN58-P58</f>
        <v>-6504.1</v>
      </c>
      <c r="BK28" s="666">
        <f>AO58</f>
        <v>-0.80800000000000005</v>
      </c>
      <c r="BL28" s="372">
        <f>AT58-O58</f>
        <v>638.65999999999985</v>
      </c>
      <c r="BM28" s="666">
        <f>AU58</f>
        <v>7.6999999999999999E-2</v>
      </c>
    </row>
    <row r="29" spans="1:65" x14ac:dyDescent="0.2">
      <c r="A29" s="86">
        <f t="shared" si="14"/>
        <v>22</v>
      </c>
      <c r="B29" s="725" t="str">
        <f>'WA Volumes &amp; Revenues'!B27</f>
        <v>41I Interr Sales</v>
      </c>
      <c r="C29" s="875" t="s">
        <v>4</v>
      </c>
      <c r="D29" s="299">
        <f>'WA Volumes &amp; Revenues'!E27</f>
        <v>0</v>
      </c>
      <c r="E29" s="299">
        <f>'WA Volumes &amp; Revenues'!F27</f>
        <v>0</v>
      </c>
      <c r="F29" s="371">
        <v>2000</v>
      </c>
      <c r="G29" s="300">
        <f>'WA Volumes &amp; Revenues'!I27</f>
        <v>0</v>
      </c>
      <c r="H29" s="300">
        <f>'WA Volumes &amp; Revenues'!L27</f>
        <v>0</v>
      </c>
      <c r="I29" s="879">
        <f>'WA Volumes &amp; Revenues'!O27</f>
        <v>250</v>
      </c>
      <c r="J29" s="372">
        <f>'WA Volumes &amp; Revenues'!N27</f>
        <v>250</v>
      </c>
      <c r="K29" s="122">
        <f>+'Rates in summary'!D26</f>
        <v>0.61580999999999997</v>
      </c>
      <c r="L29" s="122">
        <f>+'Rates in summary'!J26</f>
        <v>0.65005000000000002</v>
      </c>
      <c r="M29" s="372"/>
      <c r="N29" s="372"/>
      <c r="O29" s="966"/>
      <c r="P29" s="966"/>
      <c r="Q29" s="373">
        <f>'Rates in summary'!H26-'Rates in summary'!F26</f>
        <v>0.65615000000000001</v>
      </c>
      <c r="R29" s="372"/>
      <c r="S29" s="374"/>
      <c r="T29" s="373">
        <f>'Rates in summary'!I26</f>
        <v>0</v>
      </c>
      <c r="U29" s="372"/>
      <c r="V29" s="577"/>
      <c r="W29" s="373">
        <f>'Rates in Detail'!J25+'Rates in Detail'!P25</f>
        <v>0.61258999999999997</v>
      </c>
      <c r="X29" s="372"/>
      <c r="Y29" s="577"/>
      <c r="Z29" s="373">
        <f>'Rates in Detail'!J25+'Rates in Detail'!S25</f>
        <v>0.61580999999999997</v>
      </c>
      <c r="AA29" s="372"/>
      <c r="AB29" s="577"/>
      <c r="AC29" s="122">
        <f>'Rates in Detail'!J25+'Rates in Detail'!T25</f>
        <v>0.60970999999999997</v>
      </c>
      <c r="AD29" s="372"/>
      <c r="AE29" s="577"/>
      <c r="AF29" s="373">
        <f>'Rates in summary'!J26</f>
        <v>0.65005000000000002</v>
      </c>
      <c r="AG29" s="372"/>
      <c r="AH29" s="374"/>
      <c r="AI29" s="1258"/>
      <c r="AJ29" s="373">
        <f>L29+'Rates in summary'!K26</f>
        <v>0.67180000000000006</v>
      </c>
      <c r="AK29" s="372"/>
      <c r="AL29" s="374"/>
      <c r="AM29" s="373">
        <f>'Rates in summary'!O26</f>
        <v>0</v>
      </c>
      <c r="AN29" s="372"/>
      <c r="AO29" s="577"/>
      <c r="AP29" s="122">
        <f>'Rates in Detail'!W25+'Rates in Detail'!Z25</f>
        <v>0.64973999999999998</v>
      </c>
      <c r="AQ29" s="372"/>
      <c r="AR29" s="577"/>
      <c r="AS29" s="373">
        <f>'Rates in summary'!P26</f>
        <v>0.67759000000000003</v>
      </c>
      <c r="AT29" s="372"/>
      <c r="AU29" s="374"/>
      <c r="AV29" s="1263"/>
      <c r="BA29" s="893" t="s">
        <v>362</v>
      </c>
      <c r="BB29" s="662">
        <f>R65-M65</f>
        <v>1173.8400000000001</v>
      </c>
      <c r="BC29" s="666">
        <f>S65</f>
        <v>0.14000000000000001</v>
      </c>
      <c r="BD29" s="662">
        <f>U65-N65</f>
        <v>-6836.869999999999</v>
      </c>
      <c r="BE29" s="666">
        <f>V65</f>
        <v>-0.81499999999999995</v>
      </c>
      <c r="BF29" s="372">
        <f>AG65-M65</f>
        <v>1009.630000000001</v>
      </c>
      <c r="BG29" s="666">
        <f>AH65</f>
        <v>0.12</v>
      </c>
      <c r="BH29" s="662">
        <f>AK65-O65</f>
        <v>590.96999999999935</v>
      </c>
      <c r="BI29" s="666">
        <f>AL65</f>
        <v>6.3E-2</v>
      </c>
      <c r="BJ29" s="662">
        <f>AN65-P65</f>
        <v>-7843.619999999999</v>
      </c>
      <c r="BK29" s="666">
        <f>AO65</f>
        <v>-0.83499999999999996</v>
      </c>
      <c r="BL29" s="372">
        <f>AT65-O65</f>
        <v>746.86999999999898</v>
      </c>
      <c r="BM29" s="666">
        <f>AU65</f>
        <v>7.9000000000000001E-2</v>
      </c>
    </row>
    <row r="30" spans="1:65" x14ac:dyDescent="0.2">
      <c r="A30" s="86">
        <f t="shared" si="14"/>
        <v>23</v>
      </c>
      <c r="B30" s="725"/>
      <c r="C30" s="875" t="s">
        <v>5</v>
      </c>
      <c r="D30" s="299">
        <f>'WA Volumes &amp; Revenues'!E28</f>
        <v>0</v>
      </c>
      <c r="E30" s="299">
        <f>'WA Volumes &amp; Revenues'!F28</f>
        <v>0</v>
      </c>
      <c r="F30" s="371" t="s">
        <v>74</v>
      </c>
      <c r="G30" s="383"/>
      <c r="H30" s="383"/>
      <c r="I30" s="881"/>
      <c r="J30" s="660"/>
      <c r="K30" s="122">
        <f>+'Rates in summary'!D27</f>
        <v>0.57401999999999986</v>
      </c>
      <c r="L30" s="122">
        <f>+'Rates in summary'!J27</f>
        <v>0.60418999999999989</v>
      </c>
      <c r="M30" s="372"/>
      <c r="N30" s="372"/>
      <c r="O30" s="966"/>
      <c r="P30" s="966"/>
      <c r="Q30" s="373">
        <f>'Rates in summary'!H27-'Rates in summary'!F27</f>
        <v>0.60955999999999988</v>
      </c>
      <c r="R30" s="372"/>
      <c r="S30" s="374"/>
      <c r="T30" s="373">
        <f>'Rates in summary'!I27</f>
        <v>0</v>
      </c>
      <c r="U30" s="372"/>
      <c r="V30" s="577"/>
      <c r="W30" s="373">
        <f>'Rates in Detail'!J26+'Rates in Detail'!P26</f>
        <v>0.57117999999999991</v>
      </c>
      <c r="X30" s="372"/>
      <c r="Y30" s="577"/>
      <c r="Z30" s="373">
        <f>'Rates in Detail'!J26+'Rates in Detail'!S26</f>
        <v>0.57401999999999986</v>
      </c>
      <c r="AA30" s="372"/>
      <c r="AB30" s="577"/>
      <c r="AC30" s="122">
        <f>'Rates in Detail'!J26+'Rates in Detail'!T26</f>
        <v>0.56864999999999988</v>
      </c>
      <c r="AD30" s="372"/>
      <c r="AE30" s="577"/>
      <c r="AF30" s="373">
        <f>'Rates in summary'!J27</f>
        <v>0.60418999999999989</v>
      </c>
      <c r="AG30" s="372"/>
      <c r="AH30" s="374"/>
      <c r="AI30" s="1258"/>
      <c r="AJ30" s="373">
        <f>L30+'Rates in summary'!K27</f>
        <v>0.62335999999999991</v>
      </c>
      <c r="AK30" s="372"/>
      <c r="AL30" s="374"/>
      <c r="AM30" s="373">
        <f>'Rates in summary'!O27</f>
        <v>0</v>
      </c>
      <c r="AN30" s="372"/>
      <c r="AO30" s="577"/>
      <c r="AP30" s="122">
        <f>'Rates in Detail'!W26+'Rates in Detail'!Z26</f>
        <v>0.60391999999999979</v>
      </c>
      <c r="AQ30" s="372"/>
      <c r="AR30" s="577"/>
      <c r="AS30" s="373">
        <f>'Rates in summary'!P27</f>
        <v>0.62845999999999991</v>
      </c>
      <c r="AT30" s="372"/>
      <c r="AU30" s="374"/>
      <c r="AV30" s="1263"/>
      <c r="BA30" s="893" t="s">
        <v>363</v>
      </c>
      <c r="BB30" s="662">
        <f>R72-M72</f>
        <v>852.92999999999665</v>
      </c>
      <c r="BC30" s="666">
        <f>S72</f>
        <v>0.05</v>
      </c>
      <c r="BD30" s="662">
        <f>U72-N72</f>
        <v>-15972.870000000003</v>
      </c>
      <c r="BE30" s="666">
        <f>V72</f>
        <v>-0.92500000000000004</v>
      </c>
      <c r="BF30" s="372">
        <f>AG72-M72</f>
        <v>517.37999999999738</v>
      </c>
      <c r="BG30" s="666">
        <f>AH72</f>
        <v>0.03</v>
      </c>
      <c r="BH30" s="662">
        <f>AK72-O72</f>
        <v>429.47000000000116</v>
      </c>
      <c r="BI30" s="666">
        <f>AL72</f>
        <v>2.4E-2</v>
      </c>
      <c r="BJ30" s="662">
        <f>AN72-P72</f>
        <v>-16493.55</v>
      </c>
      <c r="BK30" s="666">
        <f>AO72</f>
        <v>-0.92700000000000005</v>
      </c>
      <c r="BL30" s="372">
        <f>AT72-O72</f>
        <v>758.90999999999985</v>
      </c>
      <c r="BM30" s="666">
        <f>AU72</f>
        <v>4.2999999999999997E-2</v>
      </c>
    </row>
    <row r="31" spans="1:65" x14ac:dyDescent="0.2">
      <c r="A31" s="86">
        <f t="shared" si="14"/>
        <v>24</v>
      </c>
      <c r="B31" s="723"/>
      <c r="C31" s="876" t="s">
        <v>78</v>
      </c>
      <c r="D31" s="375"/>
      <c r="E31" s="375"/>
      <c r="F31" s="376"/>
      <c r="G31" s="377"/>
      <c r="H31" s="377"/>
      <c r="I31" s="880"/>
      <c r="J31" s="379"/>
      <c r="K31" s="378"/>
      <c r="L31" s="378"/>
      <c r="M31" s="379">
        <f>$I29+ROUND(IF($G29&lt;$F29,($G29*K29),IF($G29&gt;SUM($F29:$F30),(($F29*K29)+(($G29-$F29)*K30)),0)),2)</f>
        <v>250</v>
      </c>
      <c r="N31" s="379">
        <f>I29+ROUND(IF($H29&lt;$F29,($H29*$K29),IF($H29&gt;SUM(F29:F30),(($F29*K29)+(($H29-F29)*K30)),0)),2)</f>
        <v>250</v>
      </c>
      <c r="O31" s="379">
        <f>$I29+ROUND(IF($G29&lt;$F29,($G29*L29),IF($G29&gt;SUM($F29:$F30),(($F29*L29)+(($G29-$F29)*L30)),0)),2)</f>
        <v>250</v>
      </c>
      <c r="P31" s="379">
        <f>I29+ROUND(IF($H29&lt;$F29,($H29*$L29),IF($H29&gt;SUM(F29:F30),(($F29*L29)+(($H29-F29)*L30)),0)),2)</f>
        <v>250</v>
      </c>
      <c r="Q31" s="381"/>
      <c r="R31" s="379">
        <f>$J29+ROUND(IF($G29&lt;$F29,($G29*Q29),IF($G29&gt;SUM($F29:$F30),(($F29*Q29)+(($G29-$F29)*Q30)),0)),2)</f>
        <v>250</v>
      </c>
      <c r="S31" s="382">
        <f>ROUND((R31-M31)/M31,3)</f>
        <v>0</v>
      </c>
      <c r="T31" s="380"/>
      <c r="U31" s="379">
        <f>$I29+ROUND(IF($H29&lt;$F29,($H29*T29),IF($H29&gt;SUM($F29:$F30),(($F29*T29)+(($H29-$F29)*T30)),0)),2)</f>
        <v>250</v>
      </c>
      <c r="V31" s="578">
        <f>ROUND((U31-N31)/N31,3)</f>
        <v>0</v>
      </c>
      <c r="W31" s="380"/>
      <c r="X31" s="379">
        <f>$J29+ROUND(IF($G29&lt;$F29,($G29*W29),IF($G29&gt;SUM($F29:$F30),(($F29*W29)+(($G29-$F29)*W30)),0)),2)</f>
        <v>250</v>
      </c>
      <c r="Y31" s="578">
        <f t="shared" ref="Y31" si="58">ROUND(($X31-$M31)/$M31,3)</f>
        <v>0</v>
      </c>
      <c r="Z31" s="380"/>
      <c r="AA31" s="379">
        <f>$J29+ROUND(IF($G29&lt;$F29,($G29*Z29),IF($G29&gt;SUM($F29:$F30),(($F29*Z29)+(($G29-$F29)*Z30)),0)),2)</f>
        <v>250</v>
      </c>
      <c r="AB31" s="578">
        <f>ROUND(($AA31-$M31)/$M31,3)</f>
        <v>0</v>
      </c>
      <c r="AC31" s="379"/>
      <c r="AD31" s="379">
        <f>$J29+ROUND(IF($G29&lt;$F29,($G29*AC29),IF($G29&gt;SUM($F29:$F30),(($F29*AC29)+(($G29-$F29)*AC30)),0)),2)</f>
        <v>250</v>
      </c>
      <c r="AE31" s="578">
        <f>ROUND(($AD31-$M31)/$M31,3)</f>
        <v>0</v>
      </c>
      <c r="AF31" s="381"/>
      <c r="AG31" s="379">
        <f>$J29+ROUND(IF($G29&lt;$F29,($G29*AF29),IF($G29&gt;SUM($F29:$F30),(($F29*AF29)+(($G29-$F29)*AF30)),0)),2)</f>
        <v>250</v>
      </c>
      <c r="AH31" s="382">
        <f>ROUND((AG31-M31)/M31,3)</f>
        <v>0</v>
      </c>
      <c r="AI31" s="1259">
        <f t="shared" si="47"/>
        <v>0</v>
      </c>
      <c r="AJ31" s="381"/>
      <c r="AK31" s="379">
        <f>$J29+ROUND(IF($G29&lt;$F29,($G29*AJ29),IF($G29&gt;SUM($F29:$F30),(($F29*AJ29)+(($G29-$F29)*AJ30)),0)),2)</f>
        <v>250</v>
      </c>
      <c r="AL31" s="382">
        <f>ROUND((AK31-O31)/O31,3)</f>
        <v>0</v>
      </c>
      <c r="AM31" s="380"/>
      <c r="AN31" s="379">
        <f>$I29+ROUND(IF($H29&lt;$F29,($H29*AM29),IF($H29&gt;SUM($F29:$F30),(($F29*AM29)+(($H29-$F29)*AM30)),0)),2)</f>
        <v>250</v>
      </c>
      <c r="AO31" s="578">
        <f>ROUND((AN31-P31)/P31,3)</f>
        <v>0</v>
      </c>
      <c r="AP31" s="379"/>
      <c r="AQ31" s="379">
        <f>$J29+ROUND(IF($G29&lt;$F29,($G29*AP29),IF($G29&gt;SUM($F29:$F30),(($F29*AP29)+(($G29-$F29)*AP30)),0)),2)</f>
        <v>250</v>
      </c>
      <c r="AR31" s="578">
        <f>ROUND(($AQ31-$O31)/$O31,3)</f>
        <v>0</v>
      </c>
      <c r="AS31" s="381"/>
      <c r="AT31" s="379">
        <f>$J29+ROUND(IF($G29&lt;$F29,($G29*AS29),IF($G29&gt;SUM($F29:$F30),(($F29*AS29)+(($G29-$F29)*AS30)),0)),2)</f>
        <v>250</v>
      </c>
      <c r="AU31" s="382">
        <f>ROUND((AT31-O31)/O31,3)</f>
        <v>0</v>
      </c>
      <c r="AV31" s="1264">
        <f t="shared" si="51"/>
        <v>0</v>
      </c>
      <c r="AW31" s="370"/>
      <c r="AX31" s="370"/>
      <c r="AY31" s="370"/>
      <c r="AZ31" s="370"/>
      <c r="BA31" s="893" t="s">
        <v>364</v>
      </c>
      <c r="BB31" s="662">
        <f>R79-M79</f>
        <v>458.40999999999985</v>
      </c>
      <c r="BC31" s="666">
        <f>S79</f>
        <v>6.6000000000000003E-2</v>
      </c>
      <c r="BD31" s="662">
        <f>U79-N79</f>
        <v>-3545.51</v>
      </c>
      <c r="BE31" s="666">
        <f>V79</f>
        <v>-0.73199999999999998</v>
      </c>
      <c r="BF31" s="372">
        <f>AG79-M79</f>
        <v>394.25</v>
      </c>
      <c r="BG31" s="666">
        <f>AH79</f>
        <v>5.7000000000000002E-2</v>
      </c>
      <c r="BH31" s="662">
        <f>AK79-O79</f>
        <v>230.89999999999964</v>
      </c>
      <c r="BI31" s="666">
        <f>AL79</f>
        <v>3.1E-2</v>
      </c>
      <c r="BJ31" s="662">
        <f>AN79-P79</f>
        <v>-3796.8500000000004</v>
      </c>
      <c r="BK31" s="666">
        <f>AO79</f>
        <v>-0.745</v>
      </c>
      <c r="BL31" s="372">
        <f>AT79-O79</f>
        <v>291.82999999999993</v>
      </c>
      <c r="BM31" s="666">
        <f>AU79</f>
        <v>0.04</v>
      </c>
    </row>
    <row r="32" spans="1:65" x14ac:dyDescent="0.2">
      <c r="A32" s="86">
        <f t="shared" si="14"/>
        <v>25</v>
      </c>
      <c r="B32" s="725" t="str">
        <f>'WA Volumes &amp; Revenues'!B29</f>
        <v>41C Firm Transpt</v>
      </c>
      <c r="C32" s="875" t="s">
        <v>4</v>
      </c>
      <c r="D32" s="299">
        <f>'WA Volumes &amp; Revenues'!E29</f>
        <v>168721</v>
      </c>
      <c r="E32" s="299">
        <f>'WA Volumes &amp; Revenues'!F29</f>
        <v>169264</v>
      </c>
      <c r="F32" s="371">
        <v>2000</v>
      </c>
      <c r="G32" s="300">
        <f>'WA Volumes &amp; Revenues'!I29</f>
        <v>4648</v>
      </c>
      <c r="H32" s="300">
        <f>'WA Volumes &amp; Revenues'!L29</f>
        <v>4482</v>
      </c>
      <c r="I32" s="879">
        <f>'WA Volumes &amp; Revenues'!O29</f>
        <v>500</v>
      </c>
      <c r="J32" s="372">
        <f>'WA Volumes &amp; Revenues'!N29</f>
        <v>500</v>
      </c>
      <c r="K32" s="122">
        <f>+'Rates in summary'!D28</f>
        <v>0.34945999999999999</v>
      </c>
      <c r="L32" s="122">
        <f>+'Rates in summary'!J28</f>
        <v>0.40003</v>
      </c>
      <c r="M32" s="372"/>
      <c r="N32" s="372"/>
      <c r="O32" s="966"/>
      <c r="P32" s="966"/>
      <c r="Q32" s="373">
        <f>'Rates in summary'!H28-'Rates in summary'!F28</f>
        <v>0.40826000000000001</v>
      </c>
      <c r="R32" s="372"/>
      <c r="S32" s="374"/>
      <c r="T32" s="373">
        <f>'Rates in summary'!I28</f>
        <v>0</v>
      </c>
      <c r="U32" s="372"/>
      <c r="V32" s="577"/>
      <c r="W32" s="373">
        <f>'Rates in Detail'!J27+'Rates in Detail'!P27</f>
        <v>0.34510999999999997</v>
      </c>
      <c r="X32" s="372"/>
      <c r="Y32" s="577"/>
      <c r="Z32" s="373">
        <f>'Rates in Detail'!J27+'Rates in Detail'!S27</f>
        <v>0.34945999999999999</v>
      </c>
      <c r="AA32" s="372"/>
      <c r="AB32" s="577"/>
      <c r="AC32" s="122">
        <f>'Rates in Detail'!J27+'Rates in Detail'!T27</f>
        <v>0.34122999999999998</v>
      </c>
      <c r="AD32" s="372"/>
      <c r="AE32" s="577"/>
      <c r="AF32" s="373">
        <f>'Rates in summary'!J28</f>
        <v>0.40003</v>
      </c>
      <c r="AG32" s="372"/>
      <c r="AH32" s="374"/>
      <c r="AI32" s="1258"/>
      <c r="AJ32" s="373">
        <f>L32+'Rates in summary'!K28</f>
        <v>0.42964000000000002</v>
      </c>
      <c r="AK32" s="372"/>
      <c r="AL32" s="374"/>
      <c r="AM32" s="373">
        <f>'Rates in summary'!O28</f>
        <v>0</v>
      </c>
      <c r="AN32" s="372"/>
      <c r="AO32" s="577"/>
      <c r="AP32" s="122">
        <f>'Rates in Detail'!W27+'Rates in Detail'!Z27</f>
        <v>0.39960999999999997</v>
      </c>
      <c r="AQ32" s="372"/>
      <c r="AR32" s="577"/>
      <c r="AS32" s="373">
        <f>'Rates in summary'!P28</f>
        <v>0.43745000000000006</v>
      </c>
      <c r="AT32" s="372"/>
      <c r="AU32" s="374"/>
      <c r="AV32" s="1263"/>
      <c r="BA32" s="893" t="s">
        <v>366</v>
      </c>
      <c r="BB32" s="662">
        <f>R86-M86</f>
        <v>0</v>
      </c>
      <c r="BC32" s="666">
        <f>S86</f>
        <v>0</v>
      </c>
      <c r="BD32" s="662">
        <f>U86-N86</f>
        <v>0</v>
      </c>
      <c r="BE32" s="666">
        <f>V86</f>
        <v>0</v>
      </c>
      <c r="BF32" s="372">
        <f>AG86-M86</f>
        <v>0</v>
      </c>
      <c r="BG32" s="666">
        <f>AH86</f>
        <v>0</v>
      </c>
      <c r="BH32" s="662">
        <f>AK86-O86</f>
        <v>0</v>
      </c>
      <c r="BI32" s="666">
        <f>AL86</f>
        <v>0</v>
      </c>
      <c r="BJ32" s="662">
        <f>AN86-P86</f>
        <v>0</v>
      </c>
      <c r="BK32" s="666">
        <f>AO86</f>
        <v>0</v>
      </c>
      <c r="BL32" s="372">
        <f>AT86-O86</f>
        <v>0</v>
      </c>
      <c r="BM32" s="666">
        <f>AU86</f>
        <v>0</v>
      </c>
    </row>
    <row r="33" spans="1:71" x14ac:dyDescent="0.2">
      <c r="A33" s="86">
        <f t="shared" si="14"/>
        <v>26</v>
      </c>
      <c r="B33" s="725"/>
      <c r="C33" s="875" t="s">
        <v>5</v>
      </c>
      <c r="D33" s="299">
        <f>'WA Volumes &amp; Revenues'!E30</f>
        <v>272866</v>
      </c>
      <c r="E33" s="299">
        <f>'WA Volumes &amp; Revenues'!F30</f>
        <v>260994</v>
      </c>
      <c r="F33" s="371" t="s">
        <v>74</v>
      </c>
      <c r="G33" s="383"/>
      <c r="H33" s="383"/>
      <c r="I33" s="881"/>
      <c r="J33" s="660"/>
      <c r="K33" s="122">
        <f>+'Rates in summary'!D29</f>
        <v>0.30789000000000011</v>
      </c>
      <c r="L33" s="122">
        <f>+'Rates in summary'!J29</f>
        <v>0.35245000000000015</v>
      </c>
      <c r="M33" s="372"/>
      <c r="N33" s="372"/>
      <c r="O33" s="966"/>
      <c r="P33" s="966"/>
      <c r="Q33" s="373">
        <f>'Rates in summary'!H29-'Rates in summary'!F29</f>
        <v>0.35970000000000013</v>
      </c>
      <c r="R33" s="372"/>
      <c r="S33" s="374"/>
      <c r="T33" s="373">
        <f>'Rates in summary'!I29</f>
        <v>0</v>
      </c>
      <c r="U33" s="372"/>
      <c r="V33" s="577"/>
      <c r="W33" s="373">
        <f>'Rates in Detail'!J28+'Rates in Detail'!P28</f>
        <v>0.30406000000000011</v>
      </c>
      <c r="X33" s="372"/>
      <c r="Y33" s="577"/>
      <c r="Z33" s="373">
        <f>'Rates in Detail'!J28+'Rates in Detail'!S28</f>
        <v>0.30789000000000011</v>
      </c>
      <c r="AA33" s="372"/>
      <c r="AB33" s="577"/>
      <c r="AC33" s="122">
        <f>'Rates in Detail'!J28+'Rates in Detail'!T28</f>
        <v>0.30064000000000013</v>
      </c>
      <c r="AD33" s="372"/>
      <c r="AE33" s="577"/>
      <c r="AF33" s="373">
        <f>'Rates in summary'!J29</f>
        <v>0.35245000000000015</v>
      </c>
      <c r="AG33" s="372"/>
      <c r="AH33" s="374"/>
      <c r="AI33" s="1258"/>
      <c r="AJ33" s="373">
        <f>L33+'Rates in summary'!K29</f>
        <v>0.37854000000000015</v>
      </c>
      <c r="AK33" s="372"/>
      <c r="AL33" s="374"/>
      <c r="AM33" s="373">
        <f>'Rates in summary'!O29</f>
        <v>0</v>
      </c>
      <c r="AN33" s="372"/>
      <c r="AO33" s="577"/>
      <c r="AP33" s="122">
        <f>'Rates in Detail'!W28+'Rates in Detail'!Z28</f>
        <v>0.35208000000000017</v>
      </c>
      <c r="AQ33" s="372"/>
      <c r="AR33" s="577"/>
      <c r="AS33" s="373">
        <f>'Rates in summary'!P29</f>
        <v>0.38542000000000015</v>
      </c>
      <c r="AT33" s="372"/>
      <c r="AU33" s="374"/>
      <c r="AV33" s="1263"/>
      <c r="BA33" s="893" t="s">
        <v>367</v>
      </c>
      <c r="BB33" s="662">
        <f>R93-M93</f>
        <v>1345.0599999999995</v>
      </c>
      <c r="BC33" s="666">
        <f>S93</f>
        <v>0.128</v>
      </c>
      <c r="BD33" s="662">
        <f>U93-N93</f>
        <v>-6613.89</v>
      </c>
      <c r="BE33" s="666">
        <f>V93</f>
        <v>-0.81</v>
      </c>
      <c r="BF33" s="372">
        <f>AG93-M93</f>
        <v>1156.7299999999996</v>
      </c>
      <c r="BG33" s="666">
        <f>AH93</f>
        <v>0.11</v>
      </c>
      <c r="BH33" s="662">
        <f>AK93-O93</f>
        <v>677.44000000000051</v>
      </c>
      <c r="BI33" s="666">
        <f>AL93</f>
        <v>5.8000000000000003E-2</v>
      </c>
      <c r="BJ33" s="662">
        <f>AN93-P93</f>
        <v>-7466.32</v>
      </c>
      <c r="BK33" s="666">
        <f>AO93</f>
        <v>-0.82799999999999996</v>
      </c>
      <c r="BL33" s="372">
        <f>AT93-O93</f>
        <v>856.1200000000008</v>
      </c>
      <c r="BM33" s="666">
        <f>AU93</f>
        <v>7.2999999999999995E-2</v>
      </c>
    </row>
    <row r="34" spans="1:71" x14ac:dyDescent="0.2">
      <c r="A34" s="86">
        <f t="shared" si="14"/>
        <v>27</v>
      </c>
      <c r="B34" s="723"/>
      <c r="C34" s="876" t="s">
        <v>78</v>
      </c>
      <c r="D34" s="375"/>
      <c r="E34" s="375"/>
      <c r="F34" s="376"/>
      <c r="G34" s="377"/>
      <c r="H34" s="377"/>
      <c r="I34" s="880"/>
      <c r="J34" s="379"/>
      <c r="K34" s="378"/>
      <c r="L34" s="378"/>
      <c r="M34" s="379">
        <f>$I32+ROUND(IF($G32&lt;$F32,($G32*K32),IF($G32&gt;SUM($F32:$F33),(($F32*K32)+(($G32-$F32)*K33)),0)),2)</f>
        <v>2014.21</v>
      </c>
      <c r="N34" s="379">
        <f>I32+ROUND(IF($H32&lt;$F32,($H32*$K32),IF($H32&gt;SUM(F32:F33),(($F32*K32)+(($H32-F32)*K33)),0)),2)</f>
        <v>1963.1</v>
      </c>
      <c r="O34" s="379">
        <f>$I32+ROUND(IF($G32&lt;$F32,($G32*L32),IF($G32&gt;SUM($F32:$F33),(($F32*L32)+(($G32-$F32)*L33)),0)),2)</f>
        <v>2233.35</v>
      </c>
      <c r="P34" s="379">
        <f>I32+ROUND(IF($H32&lt;$F32,($H32*$L32),IF($H32&gt;SUM(F32:F33),(($F32*L32)+(($H32-F32)*L33)),0)),2)</f>
        <v>2174.84</v>
      </c>
      <c r="Q34" s="381"/>
      <c r="R34" s="379">
        <f>$J32+ROUND(IF($G32&lt;$F32,($G32*Q32),IF($G32&gt;SUM($F32:$F33),(($F32*Q32)+(($G32-$F32)*Q33)),0)),2)</f>
        <v>2269.0100000000002</v>
      </c>
      <c r="S34" s="382">
        <f>ROUND((R34-M34)/M34,3)</f>
        <v>0.127</v>
      </c>
      <c r="T34" s="380"/>
      <c r="U34" s="379">
        <f>$I32+ROUND(IF($H32&lt;$F32,($H32*T32),IF($H32&gt;SUM($F32:$F33),(($F32*T32)+(($H32-$F32)*T33)),0)),2)</f>
        <v>500</v>
      </c>
      <c r="V34" s="578">
        <f>ROUND((U34-N34)/N34,3)</f>
        <v>-0.745</v>
      </c>
      <c r="W34" s="380"/>
      <c r="X34" s="379">
        <f>$J32+ROUND(IF($G32&lt;$F32,($G32*W32),IF($G32&gt;SUM($F32:$F33),(($F32*W32)+(($G32-$F32)*W33)),0)),2)</f>
        <v>1995.37</v>
      </c>
      <c r="Y34" s="578">
        <f t="shared" ref="Y34" si="59">ROUND(($X34-$M34)/$M34,3)</f>
        <v>-8.9999999999999993E-3</v>
      </c>
      <c r="Z34" s="380"/>
      <c r="AA34" s="379">
        <f>$J32+ROUND(IF($G32&lt;$F32,($G32*Z32),IF($G32&gt;SUM($F32:$F33),(($F32*Z32)+(($G32-$F32)*Z33)),0)),2)</f>
        <v>2014.21</v>
      </c>
      <c r="AB34" s="578">
        <f>ROUND(($AA34-$M34)/$M34,3)</f>
        <v>0</v>
      </c>
      <c r="AC34" s="379"/>
      <c r="AD34" s="379">
        <f>$J32+ROUND(IF($G32&lt;$F32,($G32*AC32),IF($G32&gt;SUM($F32:$F33),(($F32*AC32)+(($G32-$F32)*AC33)),0)),2)</f>
        <v>1978.55</v>
      </c>
      <c r="AE34" s="578">
        <f>ROUND(($AD34-$M34)/$M34,3)</f>
        <v>-1.7999999999999999E-2</v>
      </c>
      <c r="AF34" s="381"/>
      <c r="AG34" s="379">
        <f>$J32+ROUND(IF($G32&lt;$F32,($G32*AF32),IF($G32&gt;SUM($F32:$F33),(($F32*AF32)+(($G32-$F32)*AF33)),0)),2)</f>
        <v>2233.35</v>
      </c>
      <c r="AH34" s="382">
        <f>ROUND((AG34-M34)/M34,3)</f>
        <v>0.109</v>
      </c>
      <c r="AI34" s="1259">
        <f t="shared" si="47"/>
        <v>219.13999999999987</v>
      </c>
      <c r="AJ34" s="381"/>
      <c r="AK34" s="379">
        <f>$J32+ROUND(IF($G32&lt;$F32,($G32*AJ32),IF($G32&gt;SUM($F32:$F33),(($F32*AJ32)+(($G32-$F32)*AJ33)),0)),2)</f>
        <v>2361.65</v>
      </c>
      <c r="AL34" s="382">
        <f>ROUND((AK34-O34)/O34,3)</f>
        <v>5.7000000000000002E-2</v>
      </c>
      <c r="AM34" s="380"/>
      <c r="AN34" s="379">
        <f>$I32+ROUND(IF($H32&lt;$F32,($H32*AM32),IF($H32&gt;SUM($F32:$F33),(($F32*AM32)+(($H32-$F32)*AM33)),0)),2)</f>
        <v>500</v>
      </c>
      <c r="AO34" s="578">
        <f>ROUND((AN34-P34)/P34,3)</f>
        <v>-0.77</v>
      </c>
      <c r="AP34" s="379"/>
      <c r="AQ34" s="379">
        <f>$J32+ROUND(IF($G32&lt;$F32,($G32*AP32),IF($G32&gt;SUM($F32:$F33),(($F32*AP32)+(($G32-$F32)*AP33)),0)),2)</f>
        <v>2231.5299999999997</v>
      </c>
      <c r="AR34" s="578">
        <f>ROUND(($AQ34-$O34)/$O34,3)</f>
        <v>-1E-3</v>
      </c>
      <c r="AS34" s="381"/>
      <c r="AT34" s="379">
        <f>$J32+ROUND(IF($G32&lt;$F32,($G32*AS32),IF($G32&gt;SUM($F32:$F33),(($F32*AS32)+(($G32-$F32)*AS33)),0)),2)</f>
        <v>2395.4899999999998</v>
      </c>
      <c r="AU34" s="382">
        <f>ROUND((AT34-O34)/O34,3)</f>
        <v>7.2999999999999995E-2</v>
      </c>
      <c r="AV34" s="1264">
        <f t="shared" si="51"/>
        <v>162.13999999999987</v>
      </c>
      <c r="AW34" s="370"/>
      <c r="AX34" s="370"/>
      <c r="AY34" s="370"/>
      <c r="AZ34" s="370"/>
      <c r="BA34" s="893" t="s">
        <v>56</v>
      </c>
      <c r="BB34" s="662">
        <f>R94-M94</f>
        <v>0</v>
      </c>
      <c r="BC34" s="666">
        <f>S94</f>
        <v>0</v>
      </c>
      <c r="BD34" s="662">
        <f>U94-N94</f>
        <v>0</v>
      </c>
      <c r="BE34" s="666">
        <f>V94</f>
        <v>0</v>
      </c>
      <c r="BF34" s="372">
        <f>AG94-M94</f>
        <v>0</v>
      </c>
      <c r="BG34" s="666">
        <f>AH94</f>
        <v>0</v>
      </c>
      <c r="BH34" s="662">
        <f>AK94-O94</f>
        <v>0</v>
      </c>
      <c r="BI34" s="666">
        <f>AL94</f>
        <v>0</v>
      </c>
      <c r="BJ34" s="662">
        <f>AN94-P94</f>
        <v>0</v>
      </c>
      <c r="BK34" s="666">
        <f>AO94</f>
        <v>0</v>
      </c>
      <c r="BL34" s="372">
        <f>AT94-O94</f>
        <v>0</v>
      </c>
      <c r="BM34" s="666">
        <f>AU94</f>
        <v>0</v>
      </c>
    </row>
    <row r="35" spans="1:71" x14ac:dyDescent="0.2">
      <c r="A35" s="86">
        <f t="shared" si="14"/>
        <v>28</v>
      </c>
      <c r="B35" s="725" t="str">
        <f>'WA Volumes &amp; Revenues'!B31</f>
        <v>41I Firm Transpt</v>
      </c>
      <c r="C35" s="875" t="s">
        <v>4</v>
      </c>
      <c r="D35" s="299">
        <f>'WA Volumes &amp; Revenues'!E31</f>
        <v>0</v>
      </c>
      <c r="E35" s="299">
        <f>'WA Volumes &amp; Revenues'!F31</f>
        <v>0</v>
      </c>
      <c r="F35" s="371">
        <v>2000</v>
      </c>
      <c r="G35" s="300">
        <f>'WA Volumes &amp; Revenues'!I31</f>
        <v>0</v>
      </c>
      <c r="H35" s="300">
        <f>'WA Volumes &amp; Revenues'!L31</f>
        <v>0</v>
      </c>
      <c r="I35" s="879">
        <f>'WA Volumes &amp; Revenues'!O31</f>
        <v>500</v>
      </c>
      <c r="J35" s="372">
        <f>'WA Volumes &amp; Revenues'!N31</f>
        <v>500</v>
      </c>
      <c r="K35" s="122">
        <f>+'Rates in summary'!D30</f>
        <v>0.34945999999999999</v>
      </c>
      <c r="L35" s="122">
        <f>+'Rates in summary'!J30</f>
        <v>0.38411999999999996</v>
      </c>
      <c r="M35" s="372"/>
      <c r="N35" s="372"/>
      <c r="O35" s="966"/>
      <c r="P35" s="966"/>
      <c r="Q35" s="373">
        <f>'Rates in summary'!H30-'Rates in summary'!F30</f>
        <v>0.39028999999999997</v>
      </c>
      <c r="R35" s="372"/>
      <c r="S35" s="374"/>
      <c r="T35" s="373">
        <f>'Rates in summary'!I30</f>
        <v>0</v>
      </c>
      <c r="U35" s="372"/>
      <c r="V35" s="577"/>
      <c r="W35" s="373">
        <f>'Rates in Detail'!J29+'Rates in Detail'!P29</f>
        <v>0.34620000000000001</v>
      </c>
      <c r="X35" s="372"/>
      <c r="Y35" s="577"/>
      <c r="Z35" s="373">
        <f>'Rates in Detail'!J29+'Rates in Detail'!S29</f>
        <v>0.34945999999999999</v>
      </c>
      <c r="AA35" s="372"/>
      <c r="AB35" s="577"/>
      <c r="AC35" s="122">
        <f>'Rates in Detail'!J29+'Rates in Detail'!T29</f>
        <v>0.34328999999999998</v>
      </c>
      <c r="AD35" s="372"/>
      <c r="AE35" s="577"/>
      <c r="AF35" s="373">
        <f>'Rates in summary'!J30</f>
        <v>0.38411999999999996</v>
      </c>
      <c r="AG35" s="372"/>
      <c r="AH35" s="374"/>
      <c r="AI35" s="1258"/>
      <c r="AJ35" s="373">
        <f>L35+'Rates in summary'!K30</f>
        <v>0.40613999999999995</v>
      </c>
      <c r="AK35" s="372"/>
      <c r="AL35" s="374"/>
      <c r="AM35" s="373">
        <f>'Rates in summary'!O30</f>
        <v>0</v>
      </c>
      <c r="AN35" s="372"/>
      <c r="AO35" s="577"/>
      <c r="AP35" s="122">
        <f>'Rates in Detail'!W29+'Rates in Detail'!Z29</f>
        <v>0.38381000000000004</v>
      </c>
      <c r="AQ35" s="372"/>
      <c r="AR35" s="577"/>
      <c r="AS35" s="373">
        <f>'Rates in summary'!P30</f>
        <v>0.41199999999999998</v>
      </c>
      <c r="AT35" s="372"/>
      <c r="AU35" s="374"/>
      <c r="AV35" s="1263"/>
      <c r="BA35" s="893" t="s">
        <v>348</v>
      </c>
      <c r="BB35" s="662">
        <f>R95-M95</f>
        <v>0</v>
      </c>
      <c r="BC35" s="666">
        <f>S95</f>
        <v>0</v>
      </c>
      <c r="BD35" s="662">
        <f>U95-N95</f>
        <v>0</v>
      </c>
      <c r="BE35" s="666">
        <f>V95</f>
        <v>0</v>
      </c>
      <c r="BF35" s="372">
        <f>AG95-M95</f>
        <v>0</v>
      </c>
      <c r="BG35" s="666">
        <f>AH95</f>
        <v>0</v>
      </c>
      <c r="BH35" s="662">
        <f>AK95-O95</f>
        <v>0</v>
      </c>
      <c r="BI35" s="666">
        <f>AL95</f>
        <v>0</v>
      </c>
      <c r="BJ35" s="662">
        <f>AN95-P95</f>
        <v>0</v>
      </c>
      <c r="BK35" s="666">
        <f>AO95</f>
        <v>0</v>
      </c>
      <c r="BL35" s="372">
        <f>AT95-O95</f>
        <v>0</v>
      </c>
      <c r="BM35" s="666">
        <f>AU95</f>
        <v>0</v>
      </c>
    </row>
    <row r="36" spans="1:71" x14ac:dyDescent="0.2">
      <c r="A36" s="86">
        <f t="shared" si="14"/>
        <v>29</v>
      </c>
      <c r="B36" s="725"/>
      <c r="C36" s="875" t="s">
        <v>5</v>
      </c>
      <c r="D36" s="299">
        <f>'WA Volumes &amp; Revenues'!E32</f>
        <v>0</v>
      </c>
      <c r="E36" s="299">
        <f>'WA Volumes &amp; Revenues'!F32</f>
        <v>0</v>
      </c>
      <c r="F36" s="371" t="s">
        <v>74</v>
      </c>
      <c r="G36" s="300"/>
      <c r="H36" s="300"/>
      <c r="I36" s="879"/>
      <c r="J36" s="372"/>
      <c r="K36" s="122">
        <f>+'Rates in summary'!D31</f>
        <v>0.30789000000000011</v>
      </c>
      <c r="L36" s="122">
        <f>+'Rates in summary'!J31</f>
        <v>0.33843000000000012</v>
      </c>
      <c r="M36" s="372"/>
      <c r="N36" s="372"/>
      <c r="O36" s="966"/>
      <c r="P36" s="966"/>
      <c r="Q36" s="373">
        <f>'Rates in summary'!H31-'Rates in summary'!F31</f>
        <v>0.34387000000000012</v>
      </c>
      <c r="R36" s="372"/>
      <c r="S36" s="374"/>
      <c r="T36" s="373">
        <f>'Rates in summary'!I31</f>
        <v>0</v>
      </c>
      <c r="U36" s="372"/>
      <c r="V36" s="577"/>
      <c r="W36" s="373">
        <f>'Rates in Detail'!J30+'Rates in Detail'!P30</f>
        <v>0.30502000000000012</v>
      </c>
      <c r="X36" s="372"/>
      <c r="Y36" s="577"/>
      <c r="Z36" s="373">
        <f>'Rates in Detail'!J30+'Rates in Detail'!S30</f>
        <v>0.30789000000000011</v>
      </c>
      <c r="AA36" s="372"/>
      <c r="AB36" s="577"/>
      <c r="AC36" s="122">
        <f>'Rates in Detail'!J30+'Rates in Detail'!T30</f>
        <v>0.30245000000000011</v>
      </c>
      <c r="AD36" s="372"/>
      <c r="AE36" s="577"/>
      <c r="AF36" s="373">
        <f>'Rates in summary'!J31</f>
        <v>0.33843000000000012</v>
      </c>
      <c r="AG36" s="372"/>
      <c r="AH36" s="374"/>
      <c r="AI36" s="1258"/>
      <c r="AJ36" s="373">
        <f>L36+'Rates in summary'!K31</f>
        <v>0.35783000000000009</v>
      </c>
      <c r="AK36" s="372"/>
      <c r="AL36" s="374"/>
      <c r="AM36" s="373">
        <f>'Rates in summary'!O31</f>
        <v>0</v>
      </c>
      <c r="AN36" s="372"/>
      <c r="AO36" s="577"/>
      <c r="AP36" s="122">
        <f>'Rates in Detail'!W30+'Rates in Detail'!Z30</f>
        <v>0.33815000000000012</v>
      </c>
      <c r="AQ36" s="372"/>
      <c r="AR36" s="577"/>
      <c r="AS36" s="373">
        <f>'Rates in summary'!P31</f>
        <v>0.36299000000000009</v>
      </c>
      <c r="AT36" s="372"/>
      <c r="AU36" s="374"/>
      <c r="AV36" s="1263"/>
      <c r="BA36" s="894" t="s">
        <v>391</v>
      </c>
      <c r="BB36" s="661">
        <f>R96-M96</f>
        <v>0</v>
      </c>
      <c r="BC36" s="667">
        <f>S96</f>
        <v>0</v>
      </c>
      <c r="BD36" s="661">
        <f>U96-N96</f>
        <v>0</v>
      </c>
      <c r="BE36" s="667">
        <f>V96</f>
        <v>0</v>
      </c>
      <c r="BF36" s="367">
        <f>AG96-M96</f>
        <v>0</v>
      </c>
      <c r="BG36" s="667">
        <f>AH96</f>
        <v>0</v>
      </c>
      <c r="BH36" s="661">
        <f>AK96-O96</f>
        <v>0</v>
      </c>
      <c r="BI36" s="667">
        <f>AL96</f>
        <v>0</v>
      </c>
      <c r="BJ36" s="661">
        <f>AN96-P96</f>
        <v>0</v>
      </c>
      <c r="BK36" s="667">
        <f>AO96</f>
        <v>0</v>
      </c>
      <c r="BL36" s="367">
        <f>AT96-O96</f>
        <v>0</v>
      </c>
      <c r="BM36" s="667">
        <f>AU96</f>
        <v>0</v>
      </c>
    </row>
    <row r="37" spans="1:71" x14ac:dyDescent="0.2">
      <c r="A37" s="86">
        <f t="shared" si="14"/>
        <v>30</v>
      </c>
      <c r="B37" s="723"/>
      <c r="C37" s="876" t="s">
        <v>78</v>
      </c>
      <c r="D37" s="375"/>
      <c r="E37" s="375"/>
      <c r="F37" s="376"/>
      <c r="G37" s="377"/>
      <c r="H37" s="377"/>
      <c r="I37" s="880"/>
      <c r="J37" s="379"/>
      <c r="K37" s="378"/>
      <c r="L37" s="378"/>
      <c r="M37" s="379">
        <f>$I35+ROUND(IF($G35&lt;$F35,($G35*K35),IF($G35&gt;SUM($F35:$F36),(($F35*K35)+(($G35-$F35)*K36)),0)),2)</f>
        <v>500</v>
      </c>
      <c r="N37" s="379">
        <f>I35+ROUND(IF($H35&lt;$F35,($H35*$K35),IF($H35&gt;SUM(F35:F36),(($F35*K35)+(($H35-F35)*K36)),0)),2)</f>
        <v>500</v>
      </c>
      <c r="O37" s="379">
        <f>$I35+ROUND(IF($G35&lt;$F35,($G35*L35),IF($G35&gt;SUM($F35:$F36),(($F35*L35)+(($G35-$F35)*L36)),0)),2)</f>
        <v>500</v>
      </c>
      <c r="P37" s="379">
        <f>I35+ROUND(IF($H35&lt;$F35,($H35*$L35),IF($H35&gt;SUM(F35:F36),(($F35*L35)+(($H35-F35)*L36)),0)),2)</f>
        <v>500</v>
      </c>
      <c r="Q37" s="381"/>
      <c r="R37" s="379">
        <f>$J35+ROUND(IF($G35&lt;$F35,($G35*Q35),IF($G35&gt;SUM($F35:$F36),(($F35*Q35)+(($G35-$F35)*Q36)),0)),2)</f>
        <v>500</v>
      </c>
      <c r="S37" s="382">
        <f>ROUND((R37-M37)/M37,3)</f>
        <v>0</v>
      </c>
      <c r="T37" s="380"/>
      <c r="U37" s="379">
        <f>$I35+ROUND(IF($H35&lt;$F35,($H35*T35),IF($H35&gt;SUM($F35:$F36),(($F35*T35)+(($H35-$F35)*T36)),0)),2)</f>
        <v>500</v>
      </c>
      <c r="V37" s="578">
        <f>ROUND((U37-N37)/N37,3)</f>
        <v>0</v>
      </c>
      <c r="W37" s="380"/>
      <c r="X37" s="379">
        <f>$J35+ROUND(IF($G35&lt;$F35,($G35*W35),IF($G35&gt;SUM($F35:$F36),(($F35*W35)+(($G35-$F35)*W36)),0)),2)</f>
        <v>500</v>
      </c>
      <c r="Y37" s="578">
        <f t="shared" ref="Y37" si="60">ROUND(($X37-$M37)/$M37,3)</f>
        <v>0</v>
      </c>
      <c r="Z37" s="380"/>
      <c r="AA37" s="379">
        <f>$J35+ROUND(IF($G35&lt;$F35,($G35*Z35),IF($G35&gt;SUM($F35:$F36),(($F35*Z35)+(($G35-$F35)*Z36)),0)),2)</f>
        <v>500</v>
      </c>
      <c r="AB37" s="578">
        <f>ROUND(($AA37-$M37)/$M37,3)</f>
        <v>0</v>
      </c>
      <c r="AC37" s="379"/>
      <c r="AD37" s="379">
        <f>$J35+ROUND(IF($G35&lt;$F35,($G35*AC35),IF($G35&gt;SUM($F35:$F36),(($F35*AC35)+(($G35-$F35)*AC36)),0)),2)</f>
        <v>500</v>
      </c>
      <c r="AE37" s="578">
        <f>ROUND(($AD37-$M37)/$M37,3)</f>
        <v>0</v>
      </c>
      <c r="AF37" s="381"/>
      <c r="AG37" s="379">
        <f>$J35+ROUND(IF($G35&lt;$F35,($G35*AF35),IF($G35&gt;SUM($F35:$F36),(($F35*AF35)+(($G35-$F35)*AF36)),0)),2)</f>
        <v>500</v>
      </c>
      <c r="AH37" s="382">
        <f>ROUND((AG37-M37)/M37,3)</f>
        <v>0</v>
      </c>
      <c r="AI37" s="1259">
        <f t="shared" si="47"/>
        <v>0</v>
      </c>
      <c r="AJ37" s="381"/>
      <c r="AK37" s="379">
        <f>$J35+ROUND(IF($G35&lt;$F35,($G35*AJ35),IF($G35&gt;SUM($F35:$F36),(($F35*AJ35)+(($G35-$F35)*AJ36)),0)),2)</f>
        <v>500</v>
      </c>
      <c r="AL37" s="382">
        <f>ROUND((AK37-O37)/O37,3)</f>
        <v>0</v>
      </c>
      <c r="AM37" s="380"/>
      <c r="AN37" s="379">
        <f>$I35+ROUND(IF($H35&lt;$F35,($H35*AM35),IF($H35&gt;SUM($F35:$F36),(($F35*AM35)+(($H35-$F35)*AM36)),0)),2)</f>
        <v>500</v>
      </c>
      <c r="AO37" s="578">
        <f>ROUND((AN37-P37)/P37,3)</f>
        <v>0</v>
      </c>
      <c r="AP37" s="379"/>
      <c r="AQ37" s="379">
        <f>$J35+ROUND(IF($G35&lt;$F35,($G35*AP35),IF($G35&gt;SUM($F35:$F36),(($F35*AP35)+(($G35-$F35)*AP36)),0)),2)</f>
        <v>500</v>
      </c>
      <c r="AR37" s="578">
        <f>ROUND(($AQ37-$O37)/$O37,3)</f>
        <v>0</v>
      </c>
      <c r="AS37" s="381"/>
      <c r="AT37" s="379">
        <f>$J35+ROUND(IF($G35&lt;$F35,($G35*AS35),IF($G35&gt;SUM($F35:$F36),(($F35*AS35)+(($G35-$F35)*AS36)),0)),2)</f>
        <v>500</v>
      </c>
      <c r="AU37" s="382">
        <f>ROUND((AT37-O37)/O37,3)</f>
        <v>0</v>
      </c>
      <c r="AV37" s="1264">
        <f t="shared" si="51"/>
        <v>0</v>
      </c>
      <c r="AW37" s="370"/>
      <c r="AX37" s="370"/>
      <c r="AY37" s="370"/>
      <c r="AZ37" s="370"/>
      <c r="BA37" s="668" t="s">
        <v>392</v>
      </c>
    </row>
    <row r="38" spans="1:71" x14ac:dyDescent="0.2">
      <c r="A38" s="86">
        <f t="shared" si="14"/>
        <v>31</v>
      </c>
      <c r="B38" s="725" t="str">
        <f>'WA Volumes &amp; Revenues'!B33</f>
        <v>42C Firm Sales</v>
      </c>
      <c r="C38" s="875" t="s">
        <v>4</v>
      </c>
      <c r="D38" s="299">
        <f>'WA Volumes &amp; Revenues'!E33</f>
        <v>350769.66174469434</v>
      </c>
      <c r="E38" s="299">
        <f>'WA Volumes &amp; Revenues'!F33</f>
        <v>542975.5</v>
      </c>
      <c r="F38" s="299">
        <v>10000</v>
      </c>
      <c r="G38" s="300">
        <f>'WA Volumes &amp; Revenues'!I33</f>
        <v>11949</v>
      </c>
      <c r="H38" s="300">
        <f>'WA Volumes &amp; Revenues'!L33</f>
        <v>18685</v>
      </c>
      <c r="I38" s="879">
        <f>'WA Volumes &amp; Revenues'!O33</f>
        <v>1300</v>
      </c>
      <c r="J38" s="372">
        <f>'WA Volumes &amp; Revenues'!N33</f>
        <v>1300</v>
      </c>
      <c r="K38" s="122">
        <f>+'Rates in summary'!D32</f>
        <v>0.43535000000000001</v>
      </c>
      <c r="L38" s="122">
        <f>+'Rates in summary'!J32</f>
        <v>0.46075000000000005</v>
      </c>
      <c r="M38" s="372"/>
      <c r="N38" s="372"/>
      <c r="O38" s="966"/>
      <c r="P38" s="966"/>
      <c r="Q38" s="373">
        <f>'Rates in summary'!H32-'Rates in summary'!F32</f>
        <v>0.47721000000000002</v>
      </c>
      <c r="R38" s="372"/>
      <c r="S38" s="374"/>
      <c r="T38" s="373">
        <f>'Rates in summary'!I32</f>
        <v>0</v>
      </c>
      <c r="U38" s="372"/>
      <c r="V38" s="577"/>
      <c r="W38" s="373">
        <f>'Rates in Detail'!J31+'Rates in Detail'!P31</f>
        <v>0.43226000000000003</v>
      </c>
      <c r="X38" s="372"/>
      <c r="Y38" s="577"/>
      <c r="Z38" s="373">
        <f>'Rates in Detail'!J31+'Rates in Detail'!S31</f>
        <v>0.42475000000000002</v>
      </c>
      <c r="AA38" s="372"/>
      <c r="AB38" s="577"/>
      <c r="AC38" s="122">
        <f>'Rates in Detail'!J31+'Rates in Detail'!T31</f>
        <v>0.42949000000000004</v>
      </c>
      <c r="AD38" s="372"/>
      <c r="AE38" s="577"/>
      <c r="AF38" s="373">
        <f>'Rates in summary'!J32</f>
        <v>0.46075000000000005</v>
      </c>
      <c r="AG38" s="372"/>
      <c r="AH38" s="374"/>
      <c r="AI38" s="1258"/>
      <c r="AJ38" s="373">
        <f>L38+'Rates in summary'!K32</f>
        <v>0.48183000000000004</v>
      </c>
      <c r="AK38" s="372"/>
      <c r="AL38" s="374"/>
      <c r="AM38" s="373">
        <f>'Rates in summary'!O32</f>
        <v>0</v>
      </c>
      <c r="AN38" s="372"/>
      <c r="AO38" s="577"/>
      <c r="AP38" s="122">
        <f>'Rates in Detail'!W31+'Rates in Detail'!Z31</f>
        <v>0.46044999999999997</v>
      </c>
      <c r="AQ38" s="372"/>
      <c r="AR38" s="577"/>
      <c r="AS38" s="373">
        <f>'Rates in summary'!P32</f>
        <v>0.49798999999999999</v>
      </c>
      <c r="AT38" s="372"/>
      <c r="AU38" s="374"/>
      <c r="AV38" s="1263"/>
      <c r="BA38" s="668" t="s">
        <v>393</v>
      </c>
    </row>
    <row r="39" spans="1:71" ht="13.5" thickBot="1" x14ac:dyDescent="0.25">
      <c r="A39" s="86">
        <f t="shared" si="14"/>
        <v>32</v>
      </c>
      <c r="B39" s="725"/>
      <c r="C39" s="875" t="s">
        <v>5</v>
      </c>
      <c r="D39" s="299">
        <f>'WA Volumes &amp; Revenues'!E34</f>
        <v>303088.75426472601</v>
      </c>
      <c r="E39" s="299">
        <f>'WA Volumes &amp; Revenues'!F34</f>
        <v>474167</v>
      </c>
      <c r="F39" s="299">
        <v>20000</v>
      </c>
      <c r="G39" s="300"/>
      <c r="H39" s="300"/>
      <c r="I39" s="879"/>
      <c r="J39" s="372"/>
      <c r="K39" s="122">
        <f>+'Rates in summary'!D33</f>
        <v>0.41633999999999971</v>
      </c>
      <c r="L39" s="122">
        <f>+'Rates in summary'!J33</f>
        <v>0.43905999999999973</v>
      </c>
      <c r="M39" s="372"/>
      <c r="N39" s="372"/>
      <c r="O39" s="966"/>
      <c r="P39" s="966"/>
      <c r="Q39" s="373">
        <f>'Rates in summary'!H33-'Rates in summary'!F33</f>
        <v>0.4537999999999997</v>
      </c>
      <c r="R39" s="372"/>
      <c r="S39" s="374"/>
      <c r="T39" s="373">
        <f>'Rates in summary'!I33</f>
        <v>0</v>
      </c>
      <c r="U39" s="372"/>
      <c r="V39" s="577"/>
      <c r="W39" s="373">
        <f>'Rates in Detail'!J32+'Rates in Detail'!P32</f>
        <v>0.41356999999999972</v>
      </c>
      <c r="X39" s="372"/>
      <c r="Y39" s="577"/>
      <c r="Z39" s="373">
        <f>'Rates in Detail'!J32+'Rates in Detail'!S32</f>
        <v>0.40684999999999971</v>
      </c>
      <c r="AA39" s="372"/>
      <c r="AB39" s="577"/>
      <c r="AC39" s="122">
        <f>'Rates in Detail'!J32+'Rates in Detail'!T32</f>
        <v>0.41108999999999973</v>
      </c>
      <c r="AD39" s="372"/>
      <c r="AE39" s="577"/>
      <c r="AF39" s="373">
        <f>'Rates in summary'!J33</f>
        <v>0.43905999999999973</v>
      </c>
      <c r="AG39" s="372"/>
      <c r="AH39" s="374"/>
      <c r="AI39" s="1258"/>
      <c r="AJ39" s="373">
        <f>L39+'Rates in summary'!K33</f>
        <v>0.45791999999999972</v>
      </c>
      <c r="AK39" s="372"/>
      <c r="AL39" s="374"/>
      <c r="AM39" s="373">
        <f>'Rates in summary'!O33</f>
        <v>0</v>
      </c>
      <c r="AN39" s="372"/>
      <c r="AO39" s="577"/>
      <c r="AP39" s="122">
        <f>'Rates in Detail'!W32+'Rates in Detail'!Z32</f>
        <v>0.43878999999999968</v>
      </c>
      <c r="AQ39" s="372"/>
      <c r="AR39" s="577"/>
      <c r="AS39" s="373">
        <f>'Rates in summary'!P33</f>
        <v>0.4723899999999997</v>
      </c>
      <c r="AT39" s="372"/>
      <c r="AU39" s="374"/>
      <c r="AV39" s="1263"/>
      <c r="BF39" s="654"/>
    </row>
    <row r="40" spans="1:71" ht="13.5" thickBot="1" x14ac:dyDescent="0.25">
      <c r="A40" s="86">
        <f t="shared" si="14"/>
        <v>33</v>
      </c>
      <c r="B40" s="725"/>
      <c r="C40" s="875" t="s">
        <v>6</v>
      </c>
      <c r="D40" s="299">
        <f>'WA Volumes &amp; Revenues'!E35</f>
        <v>59441.942130257296</v>
      </c>
      <c r="E40" s="299">
        <f>'WA Volumes &amp; Revenues'!F35</f>
        <v>97890.5</v>
      </c>
      <c r="F40" s="299">
        <v>20000</v>
      </c>
      <c r="G40" s="300"/>
      <c r="H40" s="300"/>
      <c r="I40" s="879"/>
      <c r="J40" s="372"/>
      <c r="K40" s="122">
        <f>+'Rates in summary'!D34</f>
        <v>0.37851999999999986</v>
      </c>
      <c r="L40" s="122">
        <f>+'Rates in summary'!J34</f>
        <v>0.39595999999999987</v>
      </c>
      <c r="M40" s="372"/>
      <c r="N40" s="372"/>
      <c r="O40" s="966"/>
      <c r="P40" s="966"/>
      <c r="Q40" s="373">
        <f>'Rates in summary'!H34-'Rates in summary'!F34</f>
        <v>0.40725999999999984</v>
      </c>
      <c r="R40" s="372"/>
      <c r="S40" s="374"/>
      <c r="T40" s="373">
        <f>'Rates in summary'!I34</f>
        <v>0</v>
      </c>
      <c r="U40" s="372"/>
      <c r="V40" s="577"/>
      <c r="W40" s="373">
        <f>'Rates in Detail'!J33+'Rates in Detail'!P33</f>
        <v>0.37639999999999985</v>
      </c>
      <c r="X40" s="372"/>
      <c r="Y40" s="577"/>
      <c r="Z40" s="373">
        <f>'Rates in Detail'!J33+'Rates in Detail'!S33</f>
        <v>0.37123999999999985</v>
      </c>
      <c r="AA40" s="372"/>
      <c r="AB40" s="577"/>
      <c r="AC40" s="122">
        <f>'Rates in Detail'!J33+'Rates in Detail'!T33</f>
        <v>0.37449999999999983</v>
      </c>
      <c r="AD40" s="372"/>
      <c r="AE40" s="577"/>
      <c r="AF40" s="373">
        <f>'Rates in summary'!J34</f>
        <v>0.39595999999999987</v>
      </c>
      <c r="AG40" s="372"/>
      <c r="AH40" s="374"/>
      <c r="AI40" s="1258"/>
      <c r="AJ40" s="373">
        <f>L40+'Rates in summary'!K34</f>
        <v>0.41042999999999985</v>
      </c>
      <c r="AK40" s="372"/>
      <c r="AL40" s="374"/>
      <c r="AM40" s="373">
        <f>'Rates in summary'!O34</f>
        <v>0</v>
      </c>
      <c r="AN40" s="372"/>
      <c r="AO40" s="577"/>
      <c r="AP40" s="122">
        <f>'Rates in Detail'!W33+'Rates in Detail'!Z33</f>
        <v>0.39575999999999983</v>
      </c>
      <c r="AQ40" s="372"/>
      <c r="AR40" s="577"/>
      <c r="AS40" s="373">
        <f>'Rates in summary'!P34</f>
        <v>0.42152999999999985</v>
      </c>
      <c r="AT40" s="372"/>
      <c r="AU40" s="374"/>
      <c r="AV40" s="1263"/>
      <c r="BB40" s="1606" t="s">
        <v>565</v>
      </c>
      <c r="BC40" s="1607"/>
      <c r="BD40" s="1607"/>
      <c r="BE40" s="1607"/>
      <c r="BF40" s="1607"/>
      <c r="BG40" s="1608"/>
      <c r="BH40" s="1609" t="s">
        <v>566</v>
      </c>
      <c r="BI40" s="1610"/>
      <c r="BJ40" s="1610"/>
      <c r="BK40" s="1610"/>
      <c r="BL40" s="1610"/>
      <c r="BM40" s="1611"/>
    </row>
    <row r="41" spans="1:71" x14ac:dyDescent="0.2">
      <c r="A41" s="86">
        <f t="shared" si="14"/>
        <v>34</v>
      </c>
      <c r="B41" s="725"/>
      <c r="C41" s="875" t="s">
        <v>7</v>
      </c>
      <c r="D41" s="299">
        <f>'WA Volumes &amp; Revenues'!E36</f>
        <v>3614.6071898605187</v>
      </c>
      <c r="E41" s="299">
        <f>'WA Volumes &amp; Revenues'!F36</f>
        <v>6094</v>
      </c>
      <c r="F41" s="299">
        <v>100000</v>
      </c>
      <c r="G41" s="300"/>
      <c r="H41" s="300"/>
      <c r="I41" s="879"/>
      <c r="J41" s="372"/>
      <c r="K41" s="122">
        <f>+'Rates in summary'!D35</f>
        <v>0.35361000000000004</v>
      </c>
      <c r="L41" s="122">
        <f>+'Rates in summary'!J35</f>
        <v>0.36755000000000004</v>
      </c>
      <c r="M41" s="372"/>
      <c r="N41" s="372"/>
      <c r="O41" s="966"/>
      <c r="P41" s="966"/>
      <c r="Q41" s="373">
        <f>'Rates in summary'!H35-'Rates in summary'!F35</f>
        <v>0.37659000000000004</v>
      </c>
      <c r="R41" s="372"/>
      <c r="S41" s="374"/>
      <c r="T41" s="373">
        <f>'Rates in summary'!I35</f>
        <v>0</v>
      </c>
      <c r="U41" s="372"/>
      <c r="V41" s="577"/>
      <c r="W41" s="373">
        <f>'Rates in Detail'!J34+'Rates in Detail'!P34</f>
        <v>0.35191000000000006</v>
      </c>
      <c r="X41" s="372"/>
      <c r="Y41" s="577"/>
      <c r="Z41" s="373">
        <f>'Rates in Detail'!J34+'Rates in Detail'!S34</f>
        <v>0.34779000000000004</v>
      </c>
      <c r="AA41" s="372"/>
      <c r="AB41" s="577"/>
      <c r="AC41" s="122">
        <f>'Rates in Detail'!J34+'Rates in Detail'!T34</f>
        <v>0.35039000000000003</v>
      </c>
      <c r="AD41" s="372"/>
      <c r="AE41" s="577"/>
      <c r="AF41" s="373">
        <f>'Rates in summary'!J35</f>
        <v>0.36755000000000004</v>
      </c>
      <c r="AG41" s="372"/>
      <c r="AH41" s="374"/>
      <c r="AI41" s="1258"/>
      <c r="AJ41" s="373">
        <f>L41+'Rates in summary'!K35</f>
        <v>0.37912000000000007</v>
      </c>
      <c r="AK41" s="372"/>
      <c r="AL41" s="374"/>
      <c r="AM41" s="373">
        <f>'Rates in summary'!O35</f>
        <v>0</v>
      </c>
      <c r="AN41" s="372"/>
      <c r="AO41" s="577"/>
      <c r="AP41" s="122">
        <f>'Rates in Detail'!W34+'Rates in Detail'!Z34</f>
        <v>0.36739000000000005</v>
      </c>
      <c r="AQ41" s="372"/>
      <c r="AR41" s="577"/>
      <c r="AS41" s="373">
        <f>'Rates in summary'!P35</f>
        <v>0.38800000000000007</v>
      </c>
      <c r="AT41" s="372"/>
      <c r="AU41" s="374"/>
      <c r="AV41" s="1263"/>
      <c r="BA41" s="890" t="s">
        <v>269</v>
      </c>
      <c r="BB41" s="1285" t="s">
        <v>557</v>
      </c>
      <c r="BC41" s="741" t="s">
        <v>557</v>
      </c>
      <c r="BD41" s="1214"/>
      <c r="BE41" s="1214"/>
      <c r="BF41" s="1602" t="s">
        <v>268</v>
      </c>
      <c r="BG41" s="1604" t="s">
        <v>270</v>
      </c>
      <c r="BH41" s="1285" t="s">
        <v>557</v>
      </c>
      <c r="BI41" s="741" t="s">
        <v>557</v>
      </c>
      <c r="BJ41" s="1214"/>
      <c r="BK41" s="1214"/>
      <c r="BL41" s="1602" t="s">
        <v>268</v>
      </c>
      <c r="BM41" s="1604" t="s">
        <v>270</v>
      </c>
    </row>
    <row r="42" spans="1:71" x14ac:dyDescent="0.2">
      <c r="A42" s="86">
        <f t="shared" si="14"/>
        <v>35</v>
      </c>
      <c r="B42" s="725"/>
      <c r="C42" s="875" t="s">
        <v>8</v>
      </c>
      <c r="D42" s="299">
        <f>'WA Volumes &amp; Revenues'!E37</f>
        <v>0</v>
      </c>
      <c r="E42" s="299">
        <f>'WA Volumes &amp; Revenues'!F37</f>
        <v>0</v>
      </c>
      <c r="F42" s="299">
        <v>600000</v>
      </c>
      <c r="G42" s="300"/>
      <c r="H42" s="300"/>
      <c r="I42" s="879"/>
      <c r="J42" s="372"/>
      <c r="K42" s="122">
        <f>+'Rates in summary'!D36</f>
        <v>0.32038</v>
      </c>
      <c r="L42" s="122">
        <f>+'Rates in summary'!J36</f>
        <v>0.32967000000000002</v>
      </c>
      <c r="M42" s="372"/>
      <c r="N42" s="372"/>
      <c r="O42" s="966"/>
      <c r="P42" s="966"/>
      <c r="Q42" s="373">
        <f>'Rates in summary'!H36-'Rates in summary'!F36</f>
        <v>0.3357</v>
      </c>
      <c r="R42" s="372"/>
      <c r="S42" s="374"/>
      <c r="T42" s="373">
        <f>'Rates in summary'!I36</f>
        <v>0</v>
      </c>
      <c r="U42" s="372"/>
      <c r="V42" s="577"/>
      <c r="W42" s="373">
        <f>'Rates in Detail'!J35+'Rates in Detail'!P35</f>
        <v>0.31924999999999998</v>
      </c>
      <c r="X42" s="372"/>
      <c r="Y42" s="577"/>
      <c r="Z42" s="373">
        <f>'Rates in Detail'!J35+'Rates in Detail'!S35</f>
        <v>0.3165</v>
      </c>
      <c r="AA42" s="372"/>
      <c r="AB42" s="577"/>
      <c r="AC42" s="122">
        <f>'Rates in Detail'!J35+'Rates in Detail'!T35</f>
        <v>0.31823000000000001</v>
      </c>
      <c r="AD42" s="372"/>
      <c r="AE42" s="577"/>
      <c r="AF42" s="373">
        <f>'Rates in summary'!J36</f>
        <v>0.32967000000000002</v>
      </c>
      <c r="AG42" s="372"/>
      <c r="AH42" s="374"/>
      <c r="AI42" s="1258"/>
      <c r="AJ42" s="373">
        <f>L42+'Rates in summary'!K36</f>
        <v>0.33738000000000001</v>
      </c>
      <c r="AK42" s="372"/>
      <c r="AL42" s="374"/>
      <c r="AM42" s="373">
        <f>'Rates in summary'!O36</f>
        <v>0</v>
      </c>
      <c r="AN42" s="372"/>
      <c r="AO42" s="577"/>
      <c r="AP42" s="122">
        <f>'Rates in Detail'!W35+'Rates in Detail'!Z35</f>
        <v>0.32956000000000002</v>
      </c>
      <c r="AQ42" s="372"/>
      <c r="AR42" s="577"/>
      <c r="AS42" s="373">
        <f>'Rates in summary'!P36</f>
        <v>0.34329999999999999</v>
      </c>
      <c r="AT42" s="372"/>
      <c r="AU42" s="374"/>
      <c r="AV42" s="1263"/>
      <c r="BA42" s="891" t="s">
        <v>2</v>
      </c>
      <c r="BB42" s="459" t="s">
        <v>556</v>
      </c>
      <c r="BC42" s="722" t="s">
        <v>558</v>
      </c>
      <c r="BD42" s="1153"/>
      <c r="BE42" s="1153"/>
      <c r="BF42" s="1603"/>
      <c r="BG42" s="1605"/>
      <c r="BH42" s="459" t="s">
        <v>556</v>
      </c>
      <c r="BI42" s="722" t="s">
        <v>558</v>
      </c>
      <c r="BJ42" s="1153"/>
      <c r="BK42" s="1153"/>
      <c r="BL42" s="1603"/>
      <c r="BM42" s="1605"/>
      <c r="BR42" s="1289" t="s">
        <v>422</v>
      </c>
      <c r="BS42" s="1289" t="s">
        <v>417</v>
      </c>
    </row>
    <row r="43" spans="1:71" x14ac:dyDescent="0.2">
      <c r="A43" s="86">
        <f t="shared" si="14"/>
        <v>36</v>
      </c>
      <c r="B43" s="725"/>
      <c r="C43" s="875" t="s">
        <v>9</v>
      </c>
      <c r="D43" s="299">
        <f>'WA Volumes &amp; Revenues'!E38</f>
        <v>0</v>
      </c>
      <c r="E43" s="299">
        <f>'WA Volumes &amp; Revenues'!F38</f>
        <v>0</v>
      </c>
      <c r="F43" s="371" t="s">
        <v>74</v>
      </c>
      <c r="G43" s="300"/>
      <c r="H43" s="300"/>
      <c r="I43" s="879"/>
      <c r="J43" s="372"/>
      <c r="K43" s="122">
        <f>+'Rates in summary'!D37</f>
        <v>0.27890000000000004</v>
      </c>
      <c r="L43" s="122">
        <f>+'Rates in summary'!J37</f>
        <v>0.28240000000000004</v>
      </c>
      <c r="M43" s="372"/>
      <c r="N43" s="372"/>
      <c r="O43" s="966"/>
      <c r="P43" s="966"/>
      <c r="Q43" s="373">
        <f>'Rates in summary'!H37-'Rates in summary'!F37</f>
        <v>0.28465000000000001</v>
      </c>
      <c r="R43" s="372"/>
      <c r="S43" s="374"/>
      <c r="T43" s="373">
        <f>'Rates in summary'!I37</f>
        <v>0</v>
      </c>
      <c r="U43" s="372"/>
      <c r="V43" s="577"/>
      <c r="W43" s="373">
        <f>'Rates in Detail'!J36+'Rates in Detail'!P36</f>
        <v>0.27848000000000006</v>
      </c>
      <c r="X43" s="372"/>
      <c r="Y43" s="577"/>
      <c r="Z43" s="373">
        <f>'Rates in Detail'!J36+'Rates in Detail'!S36</f>
        <v>0.27745000000000003</v>
      </c>
      <c r="AA43" s="372"/>
      <c r="AB43" s="577"/>
      <c r="AC43" s="122">
        <f>'Rates in Detail'!J36+'Rates in Detail'!T36</f>
        <v>0.27810000000000001</v>
      </c>
      <c r="AD43" s="372"/>
      <c r="AE43" s="577"/>
      <c r="AF43" s="373">
        <f>'Rates in summary'!J37</f>
        <v>0.28240000000000004</v>
      </c>
      <c r="AG43" s="372"/>
      <c r="AH43" s="374"/>
      <c r="AI43" s="1258"/>
      <c r="AJ43" s="373">
        <f>L43+'Rates in summary'!K37</f>
        <v>0.28529000000000004</v>
      </c>
      <c r="AK43" s="372"/>
      <c r="AL43" s="374"/>
      <c r="AM43" s="373">
        <f>'Rates in summary'!O37</f>
        <v>0</v>
      </c>
      <c r="AN43" s="372"/>
      <c r="AO43" s="577"/>
      <c r="AP43" s="122">
        <f>'Rates in Detail'!W36+'Rates in Detail'!Z36</f>
        <v>0.28236000000000006</v>
      </c>
      <c r="AQ43" s="372"/>
      <c r="AR43" s="577"/>
      <c r="AS43" s="373">
        <f>'Rates in summary'!P37</f>
        <v>0.28750000000000003</v>
      </c>
      <c r="AT43" s="372"/>
      <c r="AU43" s="374"/>
      <c r="AV43" s="1263"/>
      <c r="BA43" s="892" t="s">
        <v>281</v>
      </c>
      <c r="BB43" s="662">
        <f>M14</f>
        <v>28.14</v>
      </c>
      <c r="BC43" s="372">
        <f t="shared" ref="BC43:BC48" si="61">AG14</f>
        <v>29.6</v>
      </c>
      <c r="BF43" s="1284">
        <f>BC43-BB43</f>
        <v>1.4600000000000009</v>
      </c>
      <c r="BG43" s="1286">
        <f>SUM(BC43-BB43)/BB43</f>
        <v>5.1883439943141464E-2</v>
      </c>
      <c r="BH43" s="662">
        <f t="shared" ref="BH43:BH48" si="62">O14</f>
        <v>29.6</v>
      </c>
      <c r="BI43" s="372">
        <f t="shared" ref="BI43:BI48" si="63">AT14</f>
        <v>31.75</v>
      </c>
      <c r="BL43" s="1284">
        <f>BI43-BH43</f>
        <v>2.1499999999999986</v>
      </c>
      <c r="BM43" s="1286">
        <f>SUM(BI43-BH43)/BH43</f>
        <v>7.2635135135135087E-2</v>
      </c>
      <c r="BN43" s="293" t="s">
        <v>264</v>
      </c>
    </row>
    <row r="44" spans="1:71" x14ac:dyDescent="0.2">
      <c r="A44" s="86">
        <f t="shared" si="14"/>
        <v>37</v>
      </c>
      <c r="B44" s="723"/>
      <c r="C44" s="876" t="s">
        <v>78</v>
      </c>
      <c r="D44" s="375"/>
      <c r="E44" s="375"/>
      <c r="F44" s="376"/>
      <c r="G44" s="377"/>
      <c r="H44" s="377"/>
      <c r="I44" s="880"/>
      <c r="J44" s="379"/>
      <c r="K44" s="378"/>
      <c r="L44" s="378"/>
      <c r="M44" s="379">
        <f>$I38+ROUND(IF($G38&lt;$F38,($G38*K38),IF($G38&lt;SUM($F38:$F39),(($F38*K38)+(($G38-$F38)*K39)),IF($G38&lt;SUM($F38:$F40),(($F38*K38)+($F39*K39)+(($G38-$F38-$F39)*K40)),IF($G38&lt;SUM($F38:$F41),(($F38*K38)+($F39*K39)+($F40*K40)+(($G38-SUM($F38:$F40))*K41)),IF($G38&lt;SUM($F38:$F42),(($F38*K38)+($F39*K39)+($F40*K40)+($F41*K41)+(($G38-SUM($F38:$F41))*K42)),(($F38*K38)+($F39*K39)+($F40*K40)+($F41*K40)+($F42*K42)+(($G38-SUM($F38:$F42))*K43))))))),2)</f>
        <v>6464.95</v>
      </c>
      <c r="N44" s="379">
        <f>$I38+ROUND(IF($H38&lt;$F38,($H38*K38),IF($H38&lt;SUM($F38:$F39),(($F38*K38)+(($H38-$F38)*K39)),IF($H38&lt;SUM($F38:$F40),(($F38*K38)+($F39*K39)+(($H38-$F38-$F39)*K40)),IF($H38&lt;SUM($F38:$F41),(($F38*K38)+($F39*K39)+($F40*K40)+(($H38-SUM($F38:$F40))*K41)),IF($H38&lt;SUM($F38:$F42),(($F38*K38)+($F39*K39)+($F40*K40)+($F41*K41)+(($H38-SUM($F38:$F41))*K42)),(($F38*K38)+($F39*K39)+($F40*K40)+($F41*K40)+($F42*K42)+(($H38-SUM($F38:$F42))*K43))))))),2)</f>
        <v>9269.41</v>
      </c>
      <c r="O44" s="379">
        <f>$I38+ROUND(IF($G38&lt;$F38,($G38*L38),IF($G38&lt;SUM($F38:$F39),(($F38*L38)+(($G38-$F38)*L39)),IF($G38&lt;SUM($F38:$F40),(($F38*L38)+($F39*L39)+(($G38-$F38-$F39)*L40)),IF($G38&lt;SUM($F38:$F41),(($F38*L38)+($F39*L39)+($F40*L40)+(($G38-SUM($F38:$F40))*L41)),IF($G38&lt;SUM($F38:$F42),(($F38*L38)+($F39*L39)+($F40*L40)+($F41*L41)+(($G38-SUM($F38:$F41))*L42)),(($F38*L38)+($F39*L39)+($F40*L40)+($F41*L40)+($F42*L42)+(($G38-SUM($F38:$F42))*L43))))))),2)</f>
        <v>6763.23</v>
      </c>
      <c r="P44" s="379">
        <f>$I38+ROUND(IF($H38&lt;$F38,($H38*L38),IF($H38&lt;SUM($F38:$F39),(($F38*L38)+(($H38-$F38)*L39)),IF($H38&lt;SUM($F38:$F40),(($F38*L38)+($F39*L39)+(($H38-$F38-$F39)*L40)),IF($H38&lt;SUM($F38:$F41),(($F38*L38)+($F39*L39)+($F40*L40)+(($H38-SUM($F38:$F40))*L41)),IF($H38&lt;SUM($F38:$F42),(($F38*L38)+($F39*L39)+($F40*L40)+($F41*LB41)+(($H38-SUM($F38:$F41))*L42)),(($F38*L38)+($F39*L39)+($F40*L40)+($F41*L40)+($F42*L42)+(($H38-SUM($F38:$F42))*L43))))))),2)</f>
        <v>9720.74</v>
      </c>
      <c r="Q44" s="381"/>
      <c r="R44" s="379">
        <f>$J38+ROUND(IF($G38&lt;$F38,($G38*Q38),IF($G38&lt;SUM($F38:$F39),(($F38*Q38)+(($G38-$F38)*Q39)),IF($G38&lt;SUM($F38:$F40),(($F38*Q38)+($F39*Q39)+(($G38-$F38-$F39)*Q40)),IF($G38&lt;SUM($F38:$F41),(($F38*Q38)+($F39*Q39)+($F40*Q40)+(($G38-SUM($F38:$F40))*Q41)),IF($G38&lt;SUM($F38:$F42),(($F38*Q38)+($F39*Q39)+($F40*Q40)+($F41*Q41)+(($G38-SUM($F38:$F41))*Q42)),(($F38*Q38)+($F39*Q39)+($F40*Q40)+($F41*Q40)+($F42*Q42)+(($G38-SUM($F38:$F42))*Q43))))))),2)</f>
        <v>6956.56</v>
      </c>
      <c r="S44" s="382">
        <f>ROUND((R44-M44)/M44,3)</f>
        <v>7.5999999999999998E-2</v>
      </c>
      <c r="T44" s="380"/>
      <c r="U44" s="379">
        <f>$I38+ROUND(IF($H38&lt;$F38,($H38*T38),IF($H38&lt;SUM($F38:$F39),(($F38*T38)+(($H38-$F38)*T39)),IF($H38&lt;SUM($F38:$F40),(($F38*T38)+($F39*T39)+(($H38-$F38-$F39)*T40)),IF($H38&lt;SUM($F38:$F41),(($F38*T38)+($F39*T39)+($F40*T40)+(($H38-SUM($F38:$F40))*T41)),IF($H38&lt;SUM($F38:$F42),(($F38*T38)+($F39*T39)+($F40*T40)+($F41*T41)+(($H38-SUM($F38:$F41))*T42)),(($F38*T38)+($F39*T39)+($F40*T40)+($F41*T40)+($F42*T42)+(($H38-SUM($F38:$F42))*T43))))))),2)</f>
        <v>1300</v>
      </c>
      <c r="V44" s="578">
        <f>ROUND((U44-N44)/N44,3)</f>
        <v>-0.86</v>
      </c>
      <c r="W44" s="380"/>
      <c r="X44" s="379">
        <f>$J38+ROUND(IF($G38&lt;$F38,($G38*W38),IF($G38&lt;SUM($F38:$F39),(($F38*W38)+(($G38-$F38)*W39)),IF($G38&lt;SUM($F38:$F40),(($F38*W38)+($F39*W39)+(($G38-$F38-$F39)*W40)),IF($G38&lt;SUM($F38:$F41),(($F38*W38)+($F39*W39)+($F40*W40)+(($G38-SUM($F38:$F40))*W41)),IF($G38&lt;SUM($F38:$F42),(($F38*W38)+($F39*W39)+($F40*W40)+($F41*W41)+(($G38-SUM($F38:$F41))*W42)),(($F38*W38)+($F39*W39)+($F40*W40)+($F41*W40)+($F42*W42)+(($G38-SUM($F38:$F42))*W43))))))),2)</f>
        <v>6428.65</v>
      </c>
      <c r="Y44" s="578">
        <f t="shared" ref="Y44" si="64">ROUND(($X44-$M44)/$M44,3)</f>
        <v>-6.0000000000000001E-3</v>
      </c>
      <c r="Z44" s="380"/>
      <c r="AA44" s="379">
        <f>$J38+ROUND(IF($G38&lt;$F38,($G38*Z38),IF($G38&lt;SUM($F38:$F39),(($F38*Z38)+(($G38-$F38)*Z39)),IF($G38&lt;SUM($F38:$F40),(($F38*Z38)+($F39*Z39)+(($G38-$F38-$F39)*Z40)),IF($G38&lt;SUM($F38:$F41),(($F38*Z38)+($F39*Z39)+($F40*Z40)+(($G38-SUM($F38:$F40))*Z41)),IF($G38&lt;SUM($F38:$F42),(($F38*Z38)+($F39*Z39)+($F40*Z40)+($F41*Z41)+(($G38-SUM($F38:$F41))*Z42)),(($F38*Z38)+($F39*Z39)+($F40*Z40)+($F41*Z40)+($F42*Z42)+(($G38-SUM($F38:$F42))*Z43))))))),2)</f>
        <v>6340.45</v>
      </c>
      <c r="AB44" s="578">
        <f>ROUND(($AA44-$M44)/$M44,3)</f>
        <v>-1.9E-2</v>
      </c>
      <c r="AC44" s="379"/>
      <c r="AD44" s="379">
        <f>$J38+ROUND(IF($G38&lt;$F38,($G38*AC38),IF($G38&lt;SUM($F38:$F39),(($F38*AC38)+(($G38-$F38)*AC39)),IF($G38&lt;SUM($F38:$F40),(($F38*AC38)+($F39*AC39)+(($G38-$F38-$F39)*AC40)),IF($G38&lt;SUM($F38:$F41),(($F38*AC38)+($F39*AC39)+($F40*AC40)+(($G38-SUM($F38:$F40))*AC41)),IF($G38&lt;SUM($F38:$F42),(($F38*AC38)+($F39*AC39)+($F40*AC40)+($F41*AC41)+(($G38-SUM($F38:$F41))*AC42)),(($F38*AC38)+($F39*AC39)+($F40*AC40)+($F41*AC40)+($F42*AC42)+(($G38-SUM($F38:$F42))*AC43))))))),2)</f>
        <v>6396.11</v>
      </c>
      <c r="AE44" s="578">
        <f>ROUND(($AD44-$M44)/$M44,3)</f>
        <v>-1.0999999999999999E-2</v>
      </c>
      <c r="AF44" s="381"/>
      <c r="AG44" s="379">
        <f>$J38+ROUND(IF($G38&lt;$F38,($G38*AF38),IF($G38&lt;SUM($F38:$F39),(($F38*AF38)+(($G38-$F38)*AF39)),IF($G38&lt;SUM($F38:$F40),(($F38*AF38)+($F39*AF39)+(($G38-$F38-$F39)*AF40)),IF($G38&lt;SUM($F38:$F41),(($F38*AF38)+($F39*AF39)+($F40*AF40)+(($G38-SUM($F38:$F40))*AF41)),IF($G38&lt;SUM($F38:$F42),(($F38*AF38)+($F39*AF39)+($F40*AF40)+($F41*AF41)+(($G38-SUM($F38:$F41))*AF42)),(($F38*AF38)+($F39*AF39)+($F40*AF40)+($F41*AF40)+($F42*AF42)+(($G38-SUM($F38:$F42))*AF43))))))),2)</f>
        <v>6763.23</v>
      </c>
      <c r="AH44" s="382">
        <f>ROUND((AG44-M44)/M44,3)</f>
        <v>4.5999999999999999E-2</v>
      </c>
      <c r="AI44" s="1259">
        <f t="shared" si="47"/>
        <v>298.27999999999975</v>
      </c>
      <c r="AJ44" s="381"/>
      <c r="AK44" s="379">
        <f>$J38+ROUND(IF($G38&lt;$F38,($G38*AJ38),IF($G38&lt;SUM($F38:$F39),(($F38*AJ38)+(($G38-$F38)*AJ39)),IF($G38&lt;SUM($F38:$F40),(($F38*AJ38)+($F39*AJ39)+(($G38-$F38-$F39)*AJ40)),IF($G38&lt;SUM($F38:$F41),(($F38*AJ38)+($F39*AJ39)+($F40*AJ40)+(($G38-SUM($F38:$F40))*AJ41)),IF($G38&lt;SUM($F38:$F42),(($F38*AJ38)+($F39*AJ39)+($F40*AJ40)+($F41*AJ41)+(($G38-SUM($F38:$F41))*AJ42)),(($F38*AJ38)+($F39*AJ39)+($F40*AJ40)+($F41*AJ40)+($F42*AJ42)+(($G38-SUM($F38:$F42))*AJ43))))))),2)</f>
        <v>7010.79</v>
      </c>
      <c r="AL44" s="382">
        <f>ROUND((AK44-O44)/O44,3)</f>
        <v>3.6999999999999998E-2</v>
      </c>
      <c r="AM44" s="380"/>
      <c r="AN44" s="379">
        <f>$I38+ROUND(IF($H38&lt;$F38,($H38*AM38),IF($H38&lt;SUM($F38:$F39),(($F38*AM38)+(($H38-$F38)*AM39)),IF($H38&lt;SUM($F38:$F40),(($F38*AM38)+($F39*AM39)+(($H38-$F38-$F39)*AM40)),IF($H38&lt;SUM($F38:$F41),(($F38*AM38)+($F39*AM39)+($F40*AM40)+(($H38-SUM($F38:$F40))*AM41)),IF($H38&lt;SUM($F38:$F42),(($F38*AM38)+($F39*AM39)+($F40*AM40)+($F41*AM41)+(($H38-SUM($F38:$F41))*AM42)),(($F38*AM38)+($F39*AM39)+($F40*AM40)+($F41*AM40)+($F42*AM42)+(($H38-SUM($F38:$F42))*AM43))))))),2)</f>
        <v>1300</v>
      </c>
      <c r="AO44" s="578">
        <f>ROUND((AN44-P44)/P44,3)</f>
        <v>-0.86599999999999999</v>
      </c>
      <c r="AP44" s="379"/>
      <c r="AQ44" s="379">
        <f>$J38+ROUND(IF($G38&lt;$F38,($G38*AP38),IF($G38&lt;SUM($F38:$F39),(($F38*AP38)+(($G38-$F38)*AP39)),IF($G38&lt;SUM($F38:$F40),(($F38*AP38)+($F39*AP39)+(($G38-$F38-$F39)*AP40)),IF($G38&lt;SUM($F38:$F41),(($F38*AP38)+($F39*AP39)+($F40*AP40)+(($G38-SUM($F38:$F40))*AP41)),IF($G38&lt;SUM($F38:$F42),(($F38*AP38)+($F39*AP39)+($F40*AP40)+($F41*AP41)+(($G38-SUM($F38:$F41))*AP42)),(($F38*AP38)+($F39*AP39)+($F40*AP40)+($F41*AP40)+($F42*AP42)+(($G38-SUM($F38:$F42))*AP43))))))),2)</f>
        <v>6759.7</v>
      </c>
      <c r="AR44" s="578">
        <f>ROUND(($AQ44-$O44)/$O44,3)</f>
        <v>-1E-3</v>
      </c>
      <c r="AS44" s="381"/>
      <c r="AT44" s="379">
        <f>$J38+ROUND(IF($G38&lt;$F38,($G38*AS38),IF($G38&lt;SUM($F38:$F39),(($F38*AS38)+(($G38-$F38)*AS39)),IF($G38&lt;SUM($F38:$F40),(($F38*AS38)+($F39*AS39)+(($G38-$F38-$F39)*AS40)),IF($G38&lt;SUM($F38:$F41),(($F38*AS38)+($F39*AS39)+($F40*AS40)+(($G38-SUM($F38:$F40))*AS41)),IF($G38&lt;SUM($F38:$F42),(($F38*AS38)+($F39*AS39)+($F40*AS40)+($F41*AS41)+(($G38-SUM($F38:$F41))*AS42)),(($F38*AS38)+($F39*AS39)+($F40*AS40)+($F41*AS40)+($F42*AS42)+(($G38-SUM($F38:$F42))*AS43))))))),2)</f>
        <v>7200.59</v>
      </c>
      <c r="AU44" s="382">
        <f>ROUND((AT44-O44)/O44,3)</f>
        <v>6.5000000000000002E-2</v>
      </c>
      <c r="AV44" s="1264">
        <f t="shared" si="51"/>
        <v>437.36000000000058</v>
      </c>
      <c r="AW44" s="370"/>
      <c r="AX44" s="370"/>
      <c r="AY44" s="370"/>
      <c r="AZ44" s="370"/>
      <c r="BA44" s="893" t="s">
        <v>282</v>
      </c>
      <c r="BB44" s="662">
        <f t="shared" ref="BB44:BB48" si="65">M15</f>
        <v>142.66</v>
      </c>
      <c r="BC44" s="372">
        <f t="shared" si="61"/>
        <v>149.75</v>
      </c>
      <c r="BF44" s="1284">
        <f t="shared" ref="BF44:BF65" si="66">BC44-BB44</f>
        <v>7.0900000000000034</v>
      </c>
      <c r="BG44" s="1286">
        <f t="shared" ref="BG44:BG65" si="67">SUM(BC44-BB44)/BB44</f>
        <v>4.9698584045983485E-2</v>
      </c>
      <c r="BH44" s="662">
        <f t="shared" si="62"/>
        <v>149.75</v>
      </c>
      <c r="BI44" s="372">
        <f t="shared" si="63"/>
        <v>160.13999999999999</v>
      </c>
      <c r="BL44" s="1284">
        <f t="shared" ref="BL44:BL65" si="68">BI44-BH44</f>
        <v>10.389999999999986</v>
      </c>
      <c r="BM44" s="1286">
        <f t="shared" ref="BM44:BM65" si="69">SUM(BI44-BH44)/BH44</f>
        <v>6.9382303839732803E-2</v>
      </c>
      <c r="BN44" s="293" t="s">
        <v>26</v>
      </c>
      <c r="BQ44" s="653" t="s">
        <v>264</v>
      </c>
      <c r="BR44" s="372">
        <f>SUMIF($BN$43:$BN$65,BQ44,$BC$43:$BC$65)-SUMIF($BN$43:$BN$65,BQ44,$BB$43:$BB$65)</f>
        <v>4.1300000000000097</v>
      </c>
      <c r="BS44" s="372">
        <f>SUMIF($BN$43:$BN$65,BQ44,$BI$43:$BI$65)-SUMIF($BN$43:$BN$65,BQ44,$BH$43:$BH$65)</f>
        <v>6.0699999999999932</v>
      </c>
    </row>
    <row r="45" spans="1:71" x14ac:dyDescent="0.2">
      <c r="A45" s="86">
        <f t="shared" si="14"/>
        <v>38</v>
      </c>
      <c r="B45" s="725" t="str">
        <f>'WA Volumes &amp; Revenues'!B39</f>
        <v>42I Firm Sales</v>
      </c>
      <c r="C45" s="875" t="s">
        <v>4</v>
      </c>
      <c r="D45" s="299">
        <f>'WA Volumes &amp; Revenues'!E39</f>
        <v>1093724.2000000002</v>
      </c>
      <c r="E45" s="299">
        <f>'WA Volumes &amp; Revenues'!F39</f>
        <v>1086353</v>
      </c>
      <c r="F45" s="299">
        <v>10000</v>
      </c>
      <c r="G45" s="300">
        <f>'WA Volumes &amp; Revenues'!I39</f>
        <v>12869</v>
      </c>
      <c r="H45" s="300">
        <f>'WA Volumes &amp; Revenues'!L39</f>
        <v>13593</v>
      </c>
      <c r="I45" s="879">
        <f>'WA Volumes &amp; Revenues'!O39</f>
        <v>1300</v>
      </c>
      <c r="J45" s="372">
        <f>'WA Volumes &amp; Revenues'!N39</f>
        <v>1300</v>
      </c>
      <c r="K45" s="122">
        <f>+'Rates in summary'!D38</f>
        <v>0.40593000000000001</v>
      </c>
      <c r="L45" s="122">
        <f>+'Rates in summary'!J38</f>
        <v>0.43795000000000001</v>
      </c>
      <c r="M45" s="372"/>
      <c r="N45" s="372"/>
      <c r="O45" s="966"/>
      <c r="P45" s="966"/>
      <c r="Q45" s="373">
        <f>'Rates in summary'!H38-'Rates in summary'!F38</f>
        <v>0.44316</v>
      </c>
      <c r="R45" s="372"/>
      <c r="S45" s="374"/>
      <c r="T45" s="373">
        <f>'Rates in summary'!I38</f>
        <v>0</v>
      </c>
      <c r="U45" s="372"/>
      <c r="V45" s="577"/>
      <c r="W45" s="373">
        <f>'Rates in Detail'!J37+'Rates in Detail'!P37</f>
        <v>0.40318000000000004</v>
      </c>
      <c r="X45" s="372"/>
      <c r="Y45" s="577"/>
      <c r="Z45" s="373">
        <f>'Rates in Detail'!J37+'Rates in Detail'!S37</f>
        <v>0.40593000000000001</v>
      </c>
      <c r="AA45" s="372"/>
      <c r="AB45" s="577"/>
      <c r="AC45" s="122">
        <f>'Rates in Detail'!J37+'Rates in Detail'!T37</f>
        <v>0.40072000000000002</v>
      </c>
      <c r="AD45" s="372"/>
      <c r="AE45" s="577"/>
      <c r="AF45" s="373">
        <f>'Rates in summary'!J38</f>
        <v>0.43795000000000001</v>
      </c>
      <c r="AG45" s="372"/>
      <c r="AH45" s="374"/>
      <c r="AI45" s="1258"/>
      <c r="AJ45" s="373">
        <f>L45+'Rates in summary'!K38</f>
        <v>0.45669999999999999</v>
      </c>
      <c r="AK45" s="372"/>
      <c r="AL45" s="374"/>
      <c r="AM45" s="373">
        <f>'Rates in summary'!O38</f>
        <v>0</v>
      </c>
      <c r="AN45" s="372"/>
      <c r="AO45" s="577"/>
      <c r="AP45" s="122">
        <f>'Rates in Detail'!W37+'Rates in Detail'!Z37</f>
        <v>0.43768000000000007</v>
      </c>
      <c r="AQ45" s="372"/>
      <c r="AR45" s="577"/>
      <c r="AS45" s="373">
        <f>'Rates in summary'!P38</f>
        <v>0.46163999999999999</v>
      </c>
      <c r="AT45" s="372"/>
      <c r="AU45" s="374"/>
      <c r="AV45" s="1263"/>
      <c r="BA45" s="893" t="s">
        <v>12</v>
      </c>
      <c r="BB45" s="662">
        <f t="shared" si="65"/>
        <v>58.21</v>
      </c>
      <c r="BC45" s="372">
        <f t="shared" si="61"/>
        <v>60.88</v>
      </c>
      <c r="BF45" s="1284">
        <f t="shared" si="66"/>
        <v>2.6700000000000017</v>
      </c>
      <c r="BG45" s="1286">
        <f t="shared" si="67"/>
        <v>4.5868407490121998E-2</v>
      </c>
      <c r="BH45" s="662">
        <f t="shared" si="62"/>
        <v>60.88</v>
      </c>
      <c r="BI45" s="372">
        <f t="shared" si="63"/>
        <v>64.8</v>
      </c>
      <c r="BL45" s="1284">
        <f t="shared" si="68"/>
        <v>3.9199999999999946</v>
      </c>
      <c r="BM45" s="1286">
        <f t="shared" si="69"/>
        <v>6.4388961892246951E-2</v>
      </c>
      <c r="BN45" s="293" t="s">
        <v>264</v>
      </c>
      <c r="BQ45" s="653" t="s">
        <v>26</v>
      </c>
      <c r="BR45" s="372">
        <f>SUMIF($BN$43:$BN$65,BQ45,$BC$43:$BC$65)-SUMIF($BN$43:$BN$65,BQ45,$BB$43:$BB$65)</f>
        <v>425.46000000000095</v>
      </c>
      <c r="BS45" s="372">
        <f t="shared" ref="BS45:BS48" si="70">SUMIF($BN$43:$BN$65,BQ45,$BI$43:$BI$65)-SUMIF($BN$43:$BN$65,BQ45,$BH$43:$BH$65)</f>
        <v>623.88999999999942</v>
      </c>
    </row>
    <row r="46" spans="1:71" x14ac:dyDescent="0.2">
      <c r="A46" s="86">
        <f t="shared" si="14"/>
        <v>39</v>
      </c>
      <c r="B46" s="725"/>
      <c r="C46" s="875" t="s">
        <v>5</v>
      </c>
      <c r="D46" s="299">
        <f>'WA Volumes &amp; Revenues'!E40</f>
        <v>655939.80000000005</v>
      </c>
      <c r="E46" s="299">
        <f>'WA Volumes &amp; Revenues'!F40</f>
        <v>638955</v>
      </c>
      <c r="F46" s="299">
        <v>20000</v>
      </c>
      <c r="G46" s="300"/>
      <c r="H46" s="300"/>
      <c r="I46" s="879"/>
      <c r="J46" s="372"/>
      <c r="K46" s="122">
        <f>+'Rates in summary'!D39</f>
        <v>0.38999</v>
      </c>
      <c r="L46" s="122">
        <f>+'Rates in summary'!J39</f>
        <v>0.41865000000000002</v>
      </c>
      <c r="M46" s="372"/>
      <c r="N46" s="372"/>
      <c r="O46" s="966"/>
      <c r="P46" s="966"/>
      <c r="Q46" s="373">
        <f>'Rates in summary'!H39-'Rates in summary'!F39</f>
        <v>0.42332000000000003</v>
      </c>
      <c r="R46" s="372"/>
      <c r="S46" s="374"/>
      <c r="T46" s="373">
        <f>'Rates in summary'!I39</f>
        <v>0</v>
      </c>
      <c r="U46" s="372"/>
      <c r="V46" s="577"/>
      <c r="W46" s="373">
        <f>'Rates in Detail'!J38+'Rates in Detail'!P38</f>
        <v>0.38752999999999999</v>
      </c>
      <c r="X46" s="372"/>
      <c r="Y46" s="577"/>
      <c r="Z46" s="373">
        <f>'Rates in Detail'!J38+'Rates in Detail'!S38</f>
        <v>0.38999</v>
      </c>
      <c r="AA46" s="372"/>
      <c r="AB46" s="577"/>
      <c r="AC46" s="122">
        <f>'Rates in Detail'!J38+'Rates in Detail'!T38</f>
        <v>0.38532</v>
      </c>
      <c r="AD46" s="372"/>
      <c r="AE46" s="577"/>
      <c r="AF46" s="373">
        <f>'Rates in summary'!J39</f>
        <v>0.41865000000000002</v>
      </c>
      <c r="AG46" s="372"/>
      <c r="AH46" s="374"/>
      <c r="AI46" s="1258"/>
      <c r="AJ46" s="373">
        <f>L46+'Rates in summary'!K39</f>
        <v>0.43543000000000004</v>
      </c>
      <c r="AK46" s="372"/>
      <c r="AL46" s="374"/>
      <c r="AM46" s="373">
        <f>'Rates in summary'!O39</f>
        <v>0</v>
      </c>
      <c r="AN46" s="372"/>
      <c r="AO46" s="577"/>
      <c r="AP46" s="122">
        <f>'Rates in Detail'!W38+'Rates in Detail'!Z38</f>
        <v>0.41840999999999995</v>
      </c>
      <c r="AQ46" s="372"/>
      <c r="AR46" s="577"/>
      <c r="AS46" s="373">
        <f>'Rates in summary'!P39</f>
        <v>0.43986000000000003</v>
      </c>
      <c r="AT46" s="372"/>
      <c r="AU46" s="374"/>
      <c r="AV46" s="1263"/>
      <c r="BA46" s="893" t="s">
        <v>10</v>
      </c>
      <c r="BB46" s="662">
        <f t="shared" si="65"/>
        <v>226.3</v>
      </c>
      <c r="BC46" s="372">
        <f t="shared" si="61"/>
        <v>236.3</v>
      </c>
      <c r="BF46" s="1284">
        <f t="shared" si="66"/>
        <v>10</v>
      </c>
      <c r="BG46" s="1286">
        <f t="shared" si="67"/>
        <v>4.4189129474149359E-2</v>
      </c>
      <c r="BH46" s="662">
        <f t="shared" si="62"/>
        <v>236.3</v>
      </c>
      <c r="BI46" s="372">
        <f t="shared" si="63"/>
        <v>250.98</v>
      </c>
      <c r="BL46" s="1284">
        <f t="shared" si="68"/>
        <v>14.679999999999978</v>
      </c>
      <c r="BM46" s="1286">
        <f t="shared" si="69"/>
        <v>6.2124418112568677E-2</v>
      </c>
      <c r="BN46" s="293" t="s">
        <v>26</v>
      </c>
      <c r="BQ46" s="653" t="s">
        <v>540</v>
      </c>
      <c r="BR46" s="372">
        <f t="shared" ref="BR46:BR48" si="71">SUMIF($BN$43:$BN$65,BQ46,$BC$43:$BC$65)-SUMIF($BN$43:$BN$65,BQ46,$BB$43:$BB$65)</f>
        <v>656.46999999999935</v>
      </c>
      <c r="BS46" s="372">
        <f t="shared" si="70"/>
        <v>485.68999999999869</v>
      </c>
    </row>
    <row r="47" spans="1:71" x14ac:dyDescent="0.2">
      <c r="A47" s="86">
        <f t="shared" si="14"/>
        <v>40</v>
      </c>
      <c r="B47" s="725"/>
      <c r="C47" s="875" t="s">
        <v>6</v>
      </c>
      <c r="D47" s="299">
        <f>'WA Volumes &amp; Revenues'!E41</f>
        <v>81241.3</v>
      </c>
      <c r="E47" s="299">
        <f>'WA Volumes &amp; Revenues'!F41</f>
        <v>68923</v>
      </c>
      <c r="F47" s="299">
        <v>20000</v>
      </c>
      <c r="G47" s="300"/>
      <c r="H47" s="300"/>
      <c r="I47" s="879"/>
      <c r="J47" s="372"/>
      <c r="K47" s="122">
        <f>+'Rates in summary'!D40</f>
        <v>0.35830999999999985</v>
      </c>
      <c r="L47" s="122">
        <f>+'Rates in summary'!J40</f>
        <v>0.38027999999999984</v>
      </c>
      <c r="M47" s="372"/>
      <c r="N47" s="372"/>
      <c r="O47" s="966"/>
      <c r="P47" s="966"/>
      <c r="Q47" s="373">
        <f>'Rates in summary'!H40-'Rates in summary'!F40</f>
        <v>0.38385999999999987</v>
      </c>
      <c r="R47" s="372"/>
      <c r="S47" s="374"/>
      <c r="T47" s="373">
        <f>'Rates in summary'!I40</f>
        <v>0</v>
      </c>
      <c r="U47" s="372"/>
      <c r="V47" s="577"/>
      <c r="W47" s="373">
        <f>'Rates in Detail'!J39+'Rates in Detail'!P39</f>
        <v>0.35641999999999985</v>
      </c>
      <c r="X47" s="372"/>
      <c r="Y47" s="577"/>
      <c r="Z47" s="373">
        <f>'Rates in Detail'!J39+'Rates in Detail'!S39</f>
        <v>0.35830999999999985</v>
      </c>
      <c r="AA47" s="372"/>
      <c r="AB47" s="577"/>
      <c r="AC47" s="122">
        <f>'Rates in Detail'!J39+'Rates in Detail'!T39</f>
        <v>0.35472999999999988</v>
      </c>
      <c r="AD47" s="372"/>
      <c r="AE47" s="577"/>
      <c r="AF47" s="373">
        <f>'Rates in summary'!J40</f>
        <v>0.38027999999999984</v>
      </c>
      <c r="AG47" s="372"/>
      <c r="AH47" s="374"/>
      <c r="AI47" s="1258"/>
      <c r="AJ47" s="373">
        <f>L47+'Rates in summary'!K40</f>
        <v>0.39314999999999983</v>
      </c>
      <c r="AK47" s="372"/>
      <c r="AL47" s="374"/>
      <c r="AM47" s="373">
        <f>'Rates in summary'!O40</f>
        <v>0</v>
      </c>
      <c r="AN47" s="372"/>
      <c r="AO47" s="577"/>
      <c r="AP47" s="122">
        <f>'Rates in Detail'!W39+'Rates in Detail'!Z39</f>
        <v>0.38009999999999983</v>
      </c>
      <c r="AQ47" s="372"/>
      <c r="AR47" s="577"/>
      <c r="AS47" s="373">
        <f>'Rates in summary'!P40</f>
        <v>0.39654999999999985</v>
      </c>
      <c r="AT47" s="372"/>
      <c r="AU47" s="374"/>
      <c r="AV47" s="1263"/>
      <c r="BA47" s="893" t="s">
        <v>11</v>
      </c>
      <c r="BB47" s="662">
        <f t="shared" si="65"/>
        <v>828.25</v>
      </c>
      <c r="BC47" s="372">
        <f t="shared" si="61"/>
        <v>881.4</v>
      </c>
      <c r="BF47" s="1284">
        <f t="shared" si="66"/>
        <v>53.149999999999977</v>
      </c>
      <c r="BG47" s="1286">
        <f t="shared" si="67"/>
        <v>6.4171445819498921E-2</v>
      </c>
      <c r="BH47" s="662">
        <f t="shared" si="62"/>
        <v>881.4</v>
      </c>
      <c r="BI47" s="372">
        <f t="shared" si="63"/>
        <v>920.72</v>
      </c>
      <c r="BL47" s="1284">
        <f t="shared" si="68"/>
        <v>39.32000000000005</v>
      </c>
      <c r="BM47" s="1286">
        <f t="shared" si="69"/>
        <v>4.4610846380757942E-2</v>
      </c>
      <c r="BN47" s="293" t="s">
        <v>540</v>
      </c>
      <c r="BQ47" s="653" t="s">
        <v>541</v>
      </c>
      <c r="BR47" s="372">
        <f t="shared" si="71"/>
        <v>913.29999999999927</v>
      </c>
      <c r="BS47" s="372">
        <f t="shared" si="70"/>
        <v>1053.1900000000023</v>
      </c>
    </row>
    <row r="48" spans="1:71" x14ac:dyDescent="0.2">
      <c r="A48" s="86">
        <f t="shared" si="14"/>
        <v>41</v>
      </c>
      <c r="B48" s="725"/>
      <c r="C48" s="875" t="s">
        <v>7</v>
      </c>
      <c r="D48" s="299">
        <f>'WA Volumes &amp; Revenues'!E42</f>
        <v>9320.1</v>
      </c>
      <c r="E48" s="299">
        <f>'WA Volumes &amp; Revenues'!F42</f>
        <v>0</v>
      </c>
      <c r="F48" s="299">
        <v>100000</v>
      </c>
      <c r="G48" s="300"/>
      <c r="H48" s="300"/>
      <c r="I48" s="879"/>
      <c r="J48" s="372"/>
      <c r="K48" s="122">
        <f>+'Rates in summary'!D41</f>
        <v>0.33743999999999996</v>
      </c>
      <c r="L48" s="122">
        <f>+'Rates in summary'!J41</f>
        <v>0.35503000000000001</v>
      </c>
      <c r="M48" s="372"/>
      <c r="N48" s="372"/>
      <c r="O48" s="966"/>
      <c r="P48" s="966"/>
      <c r="Q48" s="373">
        <f>'Rates in summary'!H41-'Rates in summary'!F41</f>
        <v>0.35788999999999999</v>
      </c>
      <c r="R48" s="372"/>
      <c r="S48" s="374"/>
      <c r="T48" s="373">
        <f>'Rates in summary'!I41</f>
        <v>0</v>
      </c>
      <c r="U48" s="372"/>
      <c r="V48" s="577"/>
      <c r="W48" s="373">
        <f>'Rates in Detail'!J40+'Rates in Detail'!P40</f>
        <v>0.33592999999999995</v>
      </c>
      <c r="X48" s="372"/>
      <c r="Y48" s="577"/>
      <c r="Z48" s="373">
        <f>'Rates in Detail'!J40+'Rates in Detail'!S40</f>
        <v>0.33743999999999996</v>
      </c>
      <c r="AA48" s="372"/>
      <c r="AB48" s="577"/>
      <c r="AC48" s="122">
        <f>'Rates in Detail'!J40+'Rates in Detail'!T40</f>
        <v>0.33457999999999999</v>
      </c>
      <c r="AD48" s="372"/>
      <c r="AE48" s="577"/>
      <c r="AF48" s="373">
        <f>'Rates in summary'!J41</f>
        <v>0.35503000000000001</v>
      </c>
      <c r="AG48" s="372"/>
      <c r="AH48" s="374"/>
      <c r="AI48" s="1258"/>
      <c r="AJ48" s="373">
        <f>L48+'Rates in summary'!K41</f>
        <v>0.36532999999999999</v>
      </c>
      <c r="AK48" s="372"/>
      <c r="AL48" s="374"/>
      <c r="AM48" s="373">
        <f>'Rates in summary'!O41</f>
        <v>0</v>
      </c>
      <c r="AN48" s="372"/>
      <c r="AO48" s="577"/>
      <c r="AP48" s="122">
        <f>'Rates in Detail'!W40+'Rates in Detail'!Z40</f>
        <v>0.35487999999999997</v>
      </c>
      <c r="AQ48" s="372"/>
      <c r="AR48" s="577"/>
      <c r="AS48" s="373">
        <f>'Rates in summary'!P41</f>
        <v>0.36803999999999998</v>
      </c>
      <c r="AT48" s="372"/>
      <c r="AU48" s="374"/>
      <c r="AV48" s="1263"/>
      <c r="BA48" s="893">
        <v>27</v>
      </c>
      <c r="BB48" s="662">
        <f t="shared" si="65"/>
        <v>40.92</v>
      </c>
      <c r="BC48" s="372">
        <f t="shared" si="61"/>
        <v>42.59</v>
      </c>
      <c r="BF48" s="1284">
        <f t="shared" si="66"/>
        <v>1.6700000000000017</v>
      </c>
      <c r="BG48" s="1286">
        <f t="shared" si="67"/>
        <v>4.0811339198436013E-2</v>
      </c>
      <c r="BH48" s="662">
        <f t="shared" si="62"/>
        <v>42.59</v>
      </c>
      <c r="BI48" s="372">
        <f t="shared" si="63"/>
        <v>45.04</v>
      </c>
      <c r="BL48" s="1284">
        <f t="shared" si="68"/>
        <v>2.4499999999999957</v>
      </c>
      <c r="BM48" s="1286">
        <f t="shared" si="69"/>
        <v>5.7525240666823095E-2</v>
      </c>
      <c r="BN48" s="293" t="s">
        <v>541</v>
      </c>
      <c r="BQ48" s="653" t="s">
        <v>137</v>
      </c>
      <c r="BR48" s="372">
        <f t="shared" si="71"/>
        <v>3248.9199999999983</v>
      </c>
      <c r="BS48" s="372">
        <f t="shared" si="70"/>
        <v>2403.7900000000081</v>
      </c>
    </row>
    <row r="49" spans="1:66" x14ac:dyDescent="0.2">
      <c r="A49" s="86">
        <f t="shared" si="14"/>
        <v>42</v>
      </c>
      <c r="B49" s="725"/>
      <c r="C49" s="875" t="s">
        <v>8</v>
      </c>
      <c r="D49" s="299">
        <f>'WA Volumes &amp; Revenues'!E43</f>
        <v>0</v>
      </c>
      <c r="E49" s="299">
        <f>'WA Volumes &amp; Revenues'!F43</f>
        <v>0</v>
      </c>
      <c r="F49" s="299">
        <v>600000</v>
      </c>
      <c r="G49" s="300"/>
      <c r="H49" s="300"/>
      <c r="I49" s="879"/>
      <c r="J49" s="372"/>
      <c r="K49" s="122">
        <f>+'Rates in summary'!D42</f>
        <v>0.30965000000000004</v>
      </c>
      <c r="L49" s="122">
        <f>+'Rates in summary'!J42</f>
        <v>0.32136999999999999</v>
      </c>
      <c r="M49" s="372"/>
      <c r="N49" s="372"/>
      <c r="O49" s="966"/>
      <c r="P49" s="966"/>
      <c r="Q49" s="373">
        <f>'Rates in summary'!H42-'Rates in summary'!F42</f>
        <v>0.32328000000000001</v>
      </c>
      <c r="R49" s="372"/>
      <c r="S49" s="374"/>
      <c r="T49" s="373">
        <f>'Rates in summary'!I42</f>
        <v>0</v>
      </c>
      <c r="U49" s="372"/>
      <c r="V49" s="577"/>
      <c r="W49" s="373">
        <f>'Rates in Detail'!J41+'Rates in Detail'!P41</f>
        <v>0.30864000000000003</v>
      </c>
      <c r="X49" s="372"/>
      <c r="Y49" s="577"/>
      <c r="Z49" s="373">
        <f>'Rates in Detail'!J41+'Rates in Detail'!S41</f>
        <v>0.30965000000000004</v>
      </c>
      <c r="AA49" s="372"/>
      <c r="AB49" s="577"/>
      <c r="AC49" s="122">
        <f>'Rates in Detail'!J41+'Rates in Detail'!T41</f>
        <v>0.30774000000000001</v>
      </c>
      <c r="AD49" s="372"/>
      <c r="AE49" s="577"/>
      <c r="AF49" s="373">
        <f>'Rates in summary'!J42</f>
        <v>0.32136999999999999</v>
      </c>
      <c r="AG49" s="372"/>
      <c r="AH49" s="374"/>
      <c r="AI49" s="1258"/>
      <c r="AJ49" s="373">
        <f>L49+'Rates in summary'!K42</f>
        <v>0.32823999999999998</v>
      </c>
      <c r="AK49" s="372"/>
      <c r="AL49" s="374"/>
      <c r="AM49" s="373">
        <f>'Rates in summary'!O42</f>
        <v>0</v>
      </c>
      <c r="AN49" s="372"/>
      <c r="AO49" s="577"/>
      <c r="AP49" s="122">
        <f>'Rates in Detail'!W41+'Rates in Detail'!Z41</f>
        <v>0.32127000000000006</v>
      </c>
      <c r="AQ49" s="372"/>
      <c r="AR49" s="577"/>
      <c r="AS49" s="373">
        <f>'Rates in summary'!P42</f>
        <v>0.33005000000000001</v>
      </c>
      <c r="AT49" s="372"/>
      <c r="AU49" s="374"/>
      <c r="AV49" s="1263"/>
      <c r="BA49" s="893" t="s">
        <v>352</v>
      </c>
      <c r="BB49" s="662">
        <f>M22</f>
        <v>2420.73</v>
      </c>
      <c r="BC49" s="372">
        <f>AG22</f>
        <v>2530.8200000000002</v>
      </c>
      <c r="BF49" s="1284">
        <f t="shared" si="66"/>
        <v>110.09000000000015</v>
      </c>
      <c r="BG49" s="1286">
        <f t="shared" si="67"/>
        <v>4.5478016961825622E-2</v>
      </c>
      <c r="BH49" s="662">
        <f>O22</f>
        <v>2530.8200000000002</v>
      </c>
      <c r="BI49" s="372">
        <f>AT22</f>
        <v>2692.28</v>
      </c>
      <c r="BL49" s="1284">
        <f t="shared" si="68"/>
        <v>161.46000000000004</v>
      </c>
      <c r="BM49" s="1286">
        <f t="shared" si="69"/>
        <v>6.3797504366173818E-2</v>
      </c>
      <c r="BN49" s="293" t="s">
        <v>26</v>
      </c>
    </row>
    <row r="50" spans="1:66" x14ac:dyDescent="0.2">
      <c r="A50" s="86">
        <f t="shared" si="14"/>
        <v>43</v>
      </c>
      <c r="B50" s="725"/>
      <c r="C50" s="875" t="s">
        <v>9</v>
      </c>
      <c r="D50" s="299">
        <f>'WA Volumes &amp; Revenues'!E44</f>
        <v>0</v>
      </c>
      <c r="E50" s="299">
        <f>'WA Volumes &amp; Revenues'!F44</f>
        <v>0</v>
      </c>
      <c r="F50" s="371" t="s">
        <v>74</v>
      </c>
      <c r="G50" s="300"/>
      <c r="H50" s="300"/>
      <c r="I50" s="879"/>
      <c r="J50" s="372"/>
      <c r="K50" s="122">
        <f>+'Rates in summary'!D43</f>
        <v>0.27485999999999999</v>
      </c>
      <c r="L50" s="122">
        <f>+'Rates in summary'!J43</f>
        <v>0.27925</v>
      </c>
      <c r="M50" s="372"/>
      <c r="N50" s="372"/>
      <c r="O50" s="966"/>
      <c r="P50" s="966"/>
      <c r="Q50" s="373">
        <f>'Rates in summary'!H43-'Rates in summary'!F43</f>
        <v>0.27997</v>
      </c>
      <c r="R50" s="372"/>
      <c r="S50" s="374"/>
      <c r="T50" s="373">
        <f>'Rates in summary'!I43</f>
        <v>0</v>
      </c>
      <c r="U50" s="372"/>
      <c r="V50" s="577"/>
      <c r="W50" s="373">
        <f>'Rates in Detail'!J42+'Rates in Detail'!P42</f>
        <v>0.27448</v>
      </c>
      <c r="X50" s="372"/>
      <c r="Y50" s="577"/>
      <c r="Z50" s="373">
        <f>'Rates in Detail'!J42+'Rates in Detail'!S42</f>
        <v>0.27485999999999999</v>
      </c>
      <c r="AA50" s="372"/>
      <c r="AB50" s="577"/>
      <c r="AC50" s="122">
        <f>'Rates in Detail'!J42+'Rates in Detail'!T42</f>
        <v>0.27413999999999999</v>
      </c>
      <c r="AD50" s="372"/>
      <c r="AE50" s="577"/>
      <c r="AF50" s="373">
        <f>'Rates in summary'!J43</f>
        <v>0.27925</v>
      </c>
      <c r="AG50" s="372"/>
      <c r="AH50" s="374"/>
      <c r="AI50" s="1258"/>
      <c r="AJ50" s="373">
        <f>L50+'Rates in summary'!K43</f>
        <v>0.28182000000000001</v>
      </c>
      <c r="AK50" s="372"/>
      <c r="AL50" s="374"/>
      <c r="AM50" s="373">
        <f>'Rates in summary'!O43</f>
        <v>0</v>
      </c>
      <c r="AN50" s="372"/>
      <c r="AO50" s="577"/>
      <c r="AP50" s="122">
        <f>'Rates in Detail'!W42+'Rates in Detail'!Z42</f>
        <v>0.27921000000000001</v>
      </c>
      <c r="AQ50" s="372"/>
      <c r="AR50" s="577"/>
      <c r="AS50" s="373">
        <f>'Rates in summary'!P43</f>
        <v>0.28250000000000003</v>
      </c>
      <c r="AT50" s="372"/>
      <c r="AU50" s="374"/>
      <c r="AV50" s="1263"/>
      <c r="BA50" s="893" t="s">
        <v>353</v>
      </c>
      <c r="BB50" s="662">
        <f>M25</f>
        <v>3007.35</v>
      </c>
      <c r="BC50" s="372">
        <f>AG25</f>
        <v>3208.24</v>
      </c>
      <c r="BF50" s="1284">
        <f t="shared" si="66"/>
        <v>200.88999999999987</v>
      </c>
      <c r="BG50" s="1286">
        <f t="shared" si="67"/>
        <v>6.6799674131710604E-2</v>
      </c>
      <c r="BH50" s="662">
        <f>O25</f>
        <v>3208.24</v>
      </c>
      <c r="BI50" s="372">
        <f>AT25</f>
        <v>3356.86</v>
      </c>
      <c r="BL50" s="1284">
        <f t="shared" si="68"/>
        <v>148.62000000000035</v>
      </c>
      <c r="BM50" s="1286">
        <f t="shared" si="69"/>
        <v>4.6324464503902561E-2</v>
      </c>
      <c r="BN50" s="293" t="s">
        <v>540</v>
      </c>
    </row>
    <row r="51" spans="1:66" x14ac:dyDescent="0.2">
      <c r="A51" s="86">
        <f t="shared" si="14"/>
        <v>44</v>
      </c>
      <c r="B51" s="723"/>
      <c r="C51" s="876" t="s">
        <v>78</v>
      </c>
      <c r="D51" s="375"/>
      <c r="E51" s="375"/>
      <c r="F51" s="376"/>
      <c r="G51" s="377"/>
      <c r="H51" s="377"/>
      <c r="I51" s="880"/>
      <c r="J51" s="379"/>
      <c r="K51" s="378"/>
      <c r="L51" s="378"/>
      <c r="M51" s="379">
        <f>$I45+ROUND(IF($G45&lt;$F45,($G45*K45),IF($G45&lt;SUM($F45:$F46),(($F45*K45)+(($G45-$F45)*K46)),IF($G45&lt;SUM($F45:$F47),(($F45*K45)+($F46*K46)+(($G45-$F45-$F46)*K47)),IF($G45&lt;SUM($F45:$F48),(($F45*K45)+($F46*K46)+($F47*K47)+(($G45-SUM($F45:$F47))*K48)),IF($G45&lt;SUM($F45:$F49),(($F45*K45)+($F46*K46)+($F47*K47)+($F48*K48)+(($G45-SUM($F45:$F48))*K49)),(($F45*K45)+($F46*K46)+($F47*K47)+($F48*K47)+($F49*K49)+(($G45-SUM($F45:$F49))*K50))))))),2)</f>
        <v>6478.18</v>
      </c>
      <c r="N51" s="379">
        <f>$I45+ROUND(IF($H45&lt;$F45,($H45*K45),IF($H45&lt;SUM($F45:$F46),(($F45*K45)+(($H45-$F45)*K46)),IF($H45&lt;SUM($F45:$F47),(($F45*K45)+($F46*K46)+(($H45-$F45-$F46)*K47)),IF($H45&lt;SUM($F45:$F48),(($F45*K45)+($F46*K46)+($F47*K47)+(($H45-SUM($F45:$F47))*K48)),IF($H45&lt;SUM($F45:$F49),(($F45*K45)+($F46*K46)+($F47*K47)+($F48*K48)+(($H45-SUM($F45:$F48))*K49)),(($F45*K45)+($F46*K46)+($F47*K47)+($F48*K47)+($F49*K49)+(($H45-SUM($F45:$F49))*K50))))))),2)</f>
        <v>6760.53</v>
      </c>
      <c r="O51" s="379">
        <f>$I45+ROUND(IF($G45&lt;$F45,($G45*L45),IF($G45&lt;SUM($F45:$F46),(($F45*L45)+(($G45-$F45)*L46)),IF($G45&lt;SUM($F45:$F47),(($F45*L45)+($F46*L46)+(($G45-$F45-$F46)*L47)),IF($G45&lt;SUM($F45:$F48),(($F45*L45)+($F46*L46)+($F47*L47)+(($G45-SUM($F45:$F47))*L48)),IF($G45&lt;SUM($F45:$F49),(($F45*L45)+($F46*L46)+($F47*L47)+($F48*L48)+(($G45-SUM($F45:$F48))*L49)),(($F45*L45)+($F46*L46)+($F47*L47)+($F48*L47)+($F49*L49)+(($G45-SUM($F45:$F49))*L50))))))),2)</f>
        <v>6880.61</v>
      </c>
      <c r="P51" s="379">
        <f>$I45+ROUND(IF($H45&lt;$F45,($H45*L45),IF($H45&lt;SUM($F45:$F46),(($F45*L45)+(($H45-$F45)*L46)),IF($H45&lt;SUM($F45:$F47),(($F45*L45)+($F46*L46)+(($H45-$F45-$F46)*L47)),IF($H45&lt;SUM($F45:$F48),(($F45*L45)+($F46*L46)+($F47*L47)+(($H45-SUM($F45:$F47))*L48)),IF($H45&lt;SUM($F45:$F49),(($F45*L45)+($F46*L46)+($F47*L47)+($F48*L48)+(($H45-SUM($F45:$F48))*L49)),(($F45*L45)+($F46*L46)+($F47*L47)+($F48*L47)+($F49*L49)+(($H45-SUM($F45:$F49))*L50))))))),2)</f>
        <v>7183.71</v>
      </c>
      <c r="Q51" s="381"/>
      <c r="R51" s="379">
        <f>$J45+ROUND(IF($G45&lt;$F45,($G45*Q45),IF($G45&lt;SUM($F45:$F46),(($F45*Q45)+(($G45-$F45)*Q46)),IF($G45&lt;SUM($F45:$F47),(($F45*Q45)+($F46*Q46)+(($G45-$F45-$F46)*Q47)),IF($G45&lt;SUM($F45:$F48),(($F45*Q45)+($F46*Q46)+($F47*Q47)+(($G45-SUM($F45:$F47))*Q48)),IF($G45&lt;SUM($F45:$F49),(($F45*Q45)+($F46*Q46)+($F47*Q47)+($F48*Q48)+(($G45-SUM($F45:$F48))*Q49)),(($F45*Q45)+($F46*Q46)+($F47*Q47)+($F48*Q47)+($F49*Q49)+(($G45-SUM($F45:$F49))*Q50))))))),2)</f>
        <v>6946.11</v>
      </c>
      <c r="S51" s="382">
        <f>ROUND((R51-M51)/M51,3)</f>
        <v>7.1999999999999995E-2</v>
      </c>
      <c r="T51" s="380"/>
      <c r="U51" s="379">
        <f>$I45+ROUND(IF($H45&lt;$F45,($H45*T45),IF($H45&lt;SUM($F45:$F46),(($F45*T45)+(($H45-$F45)*T46)),IF($H45&lt;SUM($F45:$F47),(($F45*T45)+($F46*T46)+(($H45-$F45-$F46)*T47)),IF($H45&lt;SUM($F45:$F48),(($F45*T45)+($F46*T46)+($F47*T47)+(($H45-SUM($F45:$F47))*T48)),IF($H45&lt;SUM($F45:$F49),(($F45*T45)+($F46*T46)+($F47*T47)+($F48*T48)+(($H45-SUM($F45:$F48))*T49)),(($F45*T45)+($F46*T46)+($F47*T47)+($F48*T47)+($F49*T49)+(($H45-SUM($F45:$F49))*T50))))))),2)</f>
        <v>1300</v>
      </c>
      <c r="V51" s="578">
        <f>ROUND((U51-N51)/N51,3)</f>
        <v>-0.80800000000000005</v>
      </c>
      <c r="W51" s="380"/>
      <c r="X51" s="379">
        <f>$J45+ROUND(IF($G45&lt;$F45,($G45*W45),IF($G45&lt;SUM($F45:$F46),(($F45*W45)+(($G45-$F45)*W46)),IF($G45&lt;SUM($F45:$F47),(($F45*W45)+($F46*W46)+(($G45-$F45-$F46)*W47)),IF($G45&lt;SUM($F45:$F48),(($F45*W45)+($F46*W46)+($F47*W47)+(($G45-SUM($F45:$F47))*W48)),IF($G45&lt;SUM($F45:$F49),(($F45*W45)+($F46*W46)+($F47*W47)+($F48*W48)+(($G45-SUM($F45:$F48))*W49)),(($F45*W45)+($F46*W46)+($F47*W47)+($F48*W47)+($F49*W49)+(($G45-SUM($F45:$F49))*W50))))))),2)</f>
        <v>6443.62</v>
      </c>
      <c r="Y51" s="578">
        <f t="shared" ref="Y51" si="72">ROUND(($X51-$M51)/$M51,3)</f>
        <v>-5.0000000000000001E-3</v>
      </c>
      <c r="Z51" s="380"/>
      <c r="AA51" s="379">
        <f>$J45+ROUND(IF($G45&lt;$F45,($G45*Z45),IF($G45&lt;SUM($F45:$F46),(($F45*Z45)+(($G45-$F45)*Z46)),IF($G45&lt;SUM($F45:$F47),(($F45*Z45)+($F46*Z46)+(($G45-$F45-$F46)*Z47)),IF($G45&lt;SUM($F45:$F48),(($F45*Z45)+($F46*Z46)+($F47*Z47)+(($G45-SUM($F45:$F47))*Z48)),IF($G45&lt;SUM($F45:$F49),(($F45*Z45)+($F46*Z46)+($F47*Z47)+($F48*Z48)+(($G45-SUM($F45:$F48))*Z49)),(($F45*Z45)+($F46*Z46)+($F47*Z47)+($F48*Z47)+($F49*Z49)+(($G45-SUM($F45:$F49))*Z50))))))),2)</f>
        <v>6478.18</v>
      </c>
      <c r="AB51" s="578">
        <f>ROUND(($AA51-$M51)/$M51,3)</f>
        <v>0</v>
      </c>
      <c r="AC51" s="379"/>
      <c r="AD51" s="379">
        <f>$J45+ROUND(IF($G45&lt;$F45,($G45*AC45),IF($G45&lt;SUM($F45:$F46),(($F45*AC45)+(($G45-$F45)*AC46)),IF($G45&lt;SUM($F45:$F47),(($F45*AC45)+($F46*AC46)+(($G45-$F45-$F46)*AC47)),IF($G45&lt;SUM($F45:$F48),(($F45*AC45)+($F46*AC46)+($F47*AC47)+(($G45-SUM($F45:$F47))*AC48)),IF($G45&lt;SUM($F45:$F49),(($F45*AC45)+($F46*AC46)+($F47*AC47)+($F48*AC48)+(($G45-SUM($F45:$F48))*AC49)),(($F45*AC45)+($F46*AC46)+($F47*AC47)+($F48*AC47)+($F49*AC49)+(($G45-SUM($F45:$F49))*AC50))))))),2)</f>
        <v>6412.68</v>
      </c>
      <c r="AE51" s="578">
        <f>ROUND(($AD51-$M51)/$M51,3)</f>
        <v>-0.01</v>
      </c>
      <c r="AF51" s="381"/>
      <c r="AG51" s="379">
        <f>$J45+ROUND(IF($G45&lt;$F45,($G45*AF45),IF($G45&lt;SUM($F45:$F46),(($F45*AF45)+(($G45-$F45)*AF46)),IF($G45&lt;SUM($F45:$F47),(($F45*AF45)+($F46*AF46)+(($G45-$F45-$F46)*AF47)),IF($G45&lt;SUM($F45:$F48),(($F45*AF45)+($F46*AF46)+($F47*AF47)+(($G45-SUM($F45:$F47))*AF48)),IF($G45&lt;SUM($F45:$F49),(($F45*AF45)+($F46*AF46)+($F47*AF47)+($F48*AF48)+(($G45-SUM($F45:$F48))*AF49)),(($F45*AF45)+($F46*AF46)+($F47*AF47)+($F48*AF47)+($F49*AF49)+(($G45-SUM($F45:$F49))*AF50))))))),2)</f>
        <v>6880.61</v>
      </c>
      <c r="AH51" s="382">
        <f>ROUND((AG51-M51)/M51,3)</f>
        <v>6.2E-2</v>
      </c>
      <c r="AI51" s="1259">
        <f t="shared" si="47"/>
        <v>402.42999999999938</v>
      </c>
      <c r="AJ51" s="381"/>
      <c r="AK51" s="379">
        <f>$J45+ROUND(IF($G45&lt;$F45,($G45*AJ45),IF($G45&lt;SUM($F45:$F46),(($F45*AJ45)+(($G45-$F45)*AJ46)),IF($G45&lt;SUM($F45:$F47),(($F45*AJ45)+($F46*AJ46)+(($G45-$F45-$F46)*AJ47)),IF($G45&lt;SUM($F45:$F48),(($F45*AJ45)+($F46*AJ46)+($F47*AJ47)+(($G45-SUM($F45:$F47))*AJ48)),IF($G45&lt;SUM($F45:$F49),(($F45*AJ45)+($F46*AJ46)+($F47*AJ47)+($F48*AJ48)+(($G45-SUM($F45:$F48))*AJ49)),(($F45*AJ45)+($F46*AJ46)+($F47*AJ47)+($F48*AJ47)+($F49*AJ49)+(($G45-SUM($F45:$F49))*AJ50))))))),2)</f>
        <v>7116.25</v>
      </c>
      <c r="AL51" s="382">
        <f>ROUND((AK51-O51)/O51,3)</f>
        <v>3.4000000000000002E-2</v>
      </c>
      <c r="AM51" s="380"/>
      <c r="AN51" s="379">
        <f>$I45+ROUND(IF($H45&lt;$F45,($H45*AM45),IF($H45&lt;SUM($F45:$F46),(($F45*AM45)+(($H45-$F45)*AM46)),IF($H45&lt;SUM($F45:$F47),(($F45*AM45)+($F46*AM46)+(($H45-$F45-$F46)*AM47)),IF($H45&lt;SUM($F45:$F48),(($F45*AM45)+($F46*AM46)+($F47*AM47)+(($H45-SUM($F45:$F47))*AM48)),IF($H45&lt;SUM($F45:$F49),(($F45*AM45)+($F46*AM46)+($F47*AM47)+($F48*AM48)+(($H45-SUM($F45:$F48))*AM49)),(($F45*AM45)+($F46*AM46)+($F47*AM47)+($F48*AM47)+($F49*AM49)+(($H45-SUM($F45:$F49))*AM50))))))),2)</f>
        <v>1300</v>
      </c>
      <c r="AO51" s="578">
        <f>ROUND((AN51-P51)/P51,3)</f>
        <v>-0.81899999999999995</v>
      </c>
      <c r="AP51" s="379"/>
      <c r="AQ51" s="379">
        <f>$J45+ROUND(IF($G45&lt;$F45,($G45*AP45),IF($G45&lt;SUM($F45:$F46),(($F45*AP45)+(($G45-$F45)*AP46)),IF($G45&lt;SUM($F45:$F47),(($F45*AP45)+($F46*AP46)+(($G45-$F45-$F46)*AP47)),IF($G45&lt;SUM($F45:$F48),(($F45*AP45)+($F46*AP46)+($F47*AP47)+(($G45-SUM($F45:$F47))*AP48)),IF($G45&lt;SUM($F45:$F49),(($F45*AP45)+($F46*AP46)+($F47*AP47)+($F48*AP48)+(($G45-SUM($F45:$F48))*AP49)),(($F45*AP45)+($F46*AP46)+($F47*AP47)+($F48*AP47)+($F49*AP49)+(($G45-SUM($F45:$F49))*AP50))))))),2)</f>
        <v>6877.22</v>
      </c>
      <c r="AR51" s="578">
        <f>ROUND(($AQ51-$O51)/$O51,3)</f>
        <v>0</v>
      </c>
      <c r="AS51" s="381"/>
      <c r="AT51" s="379">
        <f>$J45+ROUND(IF($G45&lt;$F45,($G45*AS45),IF($G45&lt;SUM($F45:$F46),(($F45*AS45)+(($G45-$F45)*AS46)),IF($G45&lt;SUM($F45:$F47),(($F45*AS45)+($F46*AS46)+(($G45-$F45-$F46)*AS47)),IF($G45&lt;SUM($F45:$F48),(($F45*AS45)+($F46*AS46)+($F47*AS47)+(($G45-SUM($F45:$F47))*AS48)),IF($G45&lt;SUM($F45:$F49),(($F45*AS45)+($F46*AS46)+($F47*AS47)+($F48*AS48)+(($G45-SUM($F45:$F48))*AS49)),(($F45*AS45)+($F46*AS46)+($F47*AS47)+($F48*AS47)+($F49*AS49)+(($G45-SUM($F45:$F49))*AS50))))))),2)</f>
        <v>7178.36</v>
      </c>
      <c r="AU51" s="382">
        <f>ROUND((AT51-O51)/O51,3)</f>
        <v>4.2999999999999997E-2</v>
      </c>
      <c r="AV51" s="1264">
        <f t="shared" si="51"/>
        <v>297.75</v>
      </c>
      <c r="AW51" s="370"/>
      <c r="AX51" s="370"/>
      <c r="AY51" s="370"/>
      <c r="AZ51" s="370"/>
      <c r="BA51" s="893" t="s">
        <v>355</v>
      </c>
      <c r="BB51" s="662">
        <f>M28</f>
        <v>250</v>
      </c>
      <c r="BC51" s="372">
        <f>AG28</f>
        <v>250</v>
      </c>
      <c r="BF51" s="1284">
        <f t="shared" si="66"/>
        <v>0</v>
      </c>
      <c r="BG51" s="1286">
        <f t="shared" si="67"/>
        <v>0</v>
      </c>
      <c r="BH51" s="662">
        <f>O28</f>
        <v>250</v>
      </c>
      <c r="BI51" s="372">
        <f>AT28</f>
        <v>250</v>
      </c>
      <c r="BL51" s="1284">
        <f t="shared" si="68"/>
        <v>0</v>
      </c>
      <c r="BM51" s="1286">
        <f t="shared" si="69"/>
        <v>0</v>
      </c>
      <c r="BN51" s="55" t="s">
        <v>541</v>
      </c>
    </row>
    <row r="52" spans="1:66" x14ac:dyDescent="0.2">
      <c r="A52" s="86">
        <f t="shared" si="14"/>
        <v>45</v>
      </c>
      <c r="B52" s="725" t="str">
        <f>'WA Volumes &amp; Revenues'!B45</f>
        <v>42C Firm Transpt</v>
      </c>
      <c r="C52" s="875" t="s">
        <v>4</v>
      </c>
      <c r="D52" s="299">
        <f>'WA Volumes &amp; Revenues'!E45</f>
        <v>480000</v>
      </c>
      <c r="E52" s="299">
        <f>'WA Volumes &amp; Revenues'!F45</f>
        <v>479847</v>
      </c>
      <c r="F52" s="299">
        <v>10000</v>
      </c>
      <c r="G52" s="300">
        <f>+'WA Volumes &amp; Revenues'!I45</f>
        <v>51470</v>
      </c>
      <c r="H52" s="300">
        <f>'WA Volumes &amp; Revenues'!L45</f>
        <v>48994</v>
      </c>
      <c r="I52" s="879">
        <f>'WA Volumes &amp; Revenues'!O45</f>
        <v>1550</v>
      </c>
      <c r="J52" s="372">
        <f>'WA Volumes &amp; Revenues'!N45</f>
        <v>1550</v>
      </c>
      <c r="K52" s="122">
        <f>+'Rates in summary'!D44</f>
        <v>0.13851999999999998</v>
      </c>
      <c r="L52" s="122">
        <f>+'Rates in summary'!J44</f>
        <v>0.15885999999999997</v>
      </c>
      <c r="M52" s="372"/>
      <c r="N52" s="372"/>
      <c r="O52" s="966"/>
      <c r="P52" s="966"/>
      <c r="Q52" s="373">
        <f>'Rates in summary'!H44-'Rates in summary'!F44</f>
        <v>0.16216999999999998</v>
      </c>
      <c r="R52" s="372"/>
      <c r="S52" s="374"/>
      <c r="T52" s="373">
        <f>'Rates in summary'!I44</f>
        <v>0</v>
      </c>
      <c r="U52" s="372"/>
      <c r="V52" s="577"/>
      <c r="W52" s="373">
        <f>'Rates in Detail'!J43+'Rates in Detail'!P43</f>
        <v>0.13676999999999997</v>
      </c>
      <c r="X52" s="372"/>
      <c r="Y52" s="577"/>
      <c r="Z52" s="373">
        <f>'Rates in Detail'!J43+'Rates in Detail'!S43</f>
        <v>0.13851999999999998</v>
      </c>
      <c r="AA52" s="372"/>
      <c r="AB52" s="577"/>
      <c r="AC52" s="122">
        <f>'Rates in Detail'!J43+'Rates in Detail'!T43</f>
        <v>0.13520999999999997</v>
      </c>
      <c r="AD52" s="372"/>
      <c r="AE52" s="577"/>
      <c r="AF52" s="373">
        <f>'Rates in summary'!J44</f>
        <v>0.15885999999999997</v>
      </c>
      <c r="AG52" s="372"/>
      <c r="AH52" s="374"/>
      <c r="AI52" s="1258"/>
      <c r="AJ52" s="373">
        <f>L52+'Rates in summary'!K44</f>
        <v>0.17076999999999998</v>
      </c>
      <c r="AK52" s="372"/>
      <c r="AL52" s="374"/>
      <c r="AM52" s="373">
        <f>'Rates in summary'!O44</f>
        <v>0</v>
      </c>
      <c r="AN52" s="372"/>
      <c r="AO52" s="577"/>
      <c r="AP52" s="122">
        <f>'Rates in Detail'!W43+'Rates in Detail'!Z43</f>
        <v>0.15868999999999997</v>
      </c>
      <c r="AQ52" s="372"/>
      <c r="AR52" s="577"/>
      <c r="AS52" s="373">
        <f>'Rates in summary'!P44</f>
        <v>0.17390999999999998</v>
      </c>
      <c r="AT52" s="372"/>
      <c r="AU52" s="374"/>
      <c r="AV52" s="1263"/>
      <c r="BA52" s="893" t="s">
        <v>356</v>
      </c>
      <c r="BB52" s="662">
        <f>M31</f>
        <v>250</v>
      </c>
      <c r="BC52" s="372">
        <f>AG31</f>
        <v>250</v>
      </c>
      <c r="BF52" s="1284">
        <f t="shared" si="66"/>
        <v>0</v>
      </c>
      <c r="BG52" s="1286">
        <f t="shared" si="67"/>
        <v>0</v>
      </c>
      <c r="BH52" s="662">
        <f>O31</f>
        <v>250</v>
      </c>
      <c r="BI52" s="372">
        <f>AT31</f>
        <v>250</v>
      </c>
      <c r="BL52" s="1284">
        <f t="shared" si="68"/>
        <v>0</v>
      </c>
      <c r="BM52" s="1286">
        <f t="shared" si="69"/>
        <v>0</v>
      </c>
      <c r="BN52" s="55" t="s">
        <v>541</v>
      </c>
    </row>
    <row r="53" spans="1:66" x14ac:dyDescent="0.2">
      <c r="A53" s="86">
        <f t="shared" si="14"/>
        <v>46</v>
      </c>
      <c r="B53" s="725"/>
      <c r="C53" s="875" t="s">
        <v>5</v>
      </c>
      <c r="D53" s="299">
        <f>'WA Volumes &amp; Revenues'!E46</f>
        <v>807846</v>
      </c>
      <c r="E53" s="299">
        <f>'WA Volumes &amp; Revenues'!F46</f>
        <v>792463</v>
      </c>
      <c r="F53" s="299">
        <v>20000</v>
      </c>
      <c r="G53" s="300"/>
      <c r="H53" s="300"/>
      <c r="I53" s="879"/>
      <c r="J53" s="372"/>
      <c r="K53" s="122">
        <f>+'Rates in summary'!D45</f>
        <v>0.12399999999999999</v>
      </c>
      <c r="L53" s="122">
        <f>+'Rates in summary'!J45</f>
        <v>0.14221</v>
      </c>
      <c r="M53" s="372"/>
      <c r="N53" s="372"/>
      <c r="O53" s="966"/>
      <c r="P53" s="966"/>
      <c r="Q53" s="373">
        <f>'Rates in summary'!H45-'Rates in summary'!F45</f>
        <v>0.14516999999999999</v>
      </c>
      <c r="R53" s="372"/>
      <c r="S53" s="374"/>
      <c r="T53" s="373">
        <f>'Rates in summary'!I45</f>
        <v>0</v>
      </c>
      <c r="U53" s="372"/>
      <c r="V53" s="577"/>
      <c r="W53" s="373">
        <f>'Rates in Detail'!J44+'Rates in Detail'!P44</f>
        <v>0.12242999999999998</v>
      </c>
      <c r="X53" s="372"/>
      <c r="Y53" s="577"/>
      <c r="Z53" s="373">
        <f>'Rates in Detail'!J44+'Rates in Detail'!S44</f>
        <v>0.12399999999999999</v>
      </c>
      <c r="AA53" s="372"/>
      <c r="AB53" s="577"/>
      <c r="AC53" s="122">
        <f>'Rates in Detail'!J44+'Rates in Detail'!T44</f>
        <v>0.12103999999999998</v>
      </c>
      <c r="AD53" s="372"/>
      <c r="AE53" s="577"/>
      <c r="AF53" s="373">
        <f>'Rates in summary'!J45</f>
        <v>0.14221</v>
      </c>
      <c r="AG53" s="372"/>
      <c r="AH53" s="374"/>
      <c r="AI53" s="1258"/>
      <c r="AJ53" s="373">
        <f>L53+'Rates in summary'!K45</f>
        <v>0.15287000000000001</v>
      </c>
      <c r="AK53" s="372"/>
      <c r="AL53" s="374"/>
      <c r="AM53" s="373">
        <f>'Rates in summary'!O45</f>
        <v>0</v>
      </c>
      <c r="AN53" s="372"/>
      <c r="AO53" s="577"/>
      <c r="AP53" s="122">
        <f>'Rates in Detail'!W44+'Rates in Detail'!Z44</f>
        <v>0.14205999999999999</v>
      </c>
      <c r="AQ53" s="372"/>
      <c r="AR53" s="577"/>
      <c r="AS53" s="373">
        <f>'Rates in summary'!P45</f>
        <v>0.15567999999999999</v>
      </c>
      <c r="AT53" s="372"/>
      <c r="AU53" s="374"/>
      <c r="AV53" s="1263"/>
      <c r="BA53" s="893" t="s">
        <v>357</v>
      </c>
      <c r="BB53" s="662">
        <f>M34</f>
        <v>2014.21</v>
      </c>
      <c r="BC53" s="372">
        <f>AG34</f>
        <v>2233.35</v>
      </c>
      <c r="BF53" s="1284">
        <f t="shared" si="66"/>
        <v>219.13999999999987</v>
      </c>
      <c r="BG53" s="1286">
        <f t="shared" si="67"/>
        <v>0.10879699733394227</v>
      </c>
      <c r="BH53" s="662">
        <f>O34</f>
        <v>2233.35</v>
      </c>
      <c r="BI53" s="372">
        <f>AT34</f>
        <v>2395.4899999999998</v>
      </c>
      <c r="BL53" s="1284">
        <f t="shared" si="68"/>
        <v>162.13999999999987</v>
      </c>
      <c r="BM53" s="1286">
        <f t="shared" si="69"/>
        <v>7.2599458212998361E-2</v>
      </c>
      <c r="BN53" s="55" t="s">
        <v>137</v>
      </c>
    </row>
    <row r="54" spans="1:66" x14ac:dyDescent="0.2">
      <c r="A54" s="86">
        <f t="shared" si="14"/>
        <v>47</v>
      </c>
      <c r="B54" s="725"/>
      <c r="C54" s="875" t="s">
        <v>6</v>
      </c>
      <c r="D54" s="299">
        <f>'WA Volumes &amp; Revenues'!E47</f>
        <v>583779</v>
      </c>
      <c r="E54" s="299">
        <f>'WA Volumes &amp; Revenues'!F47</f>
        <v>542281</v>
      </c>
      <c r="F54" s="299">
        <v>20000</v>
      </c>
      <c r="G54" s="300"/>
      <c r="H54" s="300"/>
      <c r="I54" s="879"/>
      <c r="J54" s="372"/>
      <c r="K54" s="122">
        <f>+'Rates in summary'!D46</f>
        <v>9.5079999999999998E-2</v>
      </c>
      <c r="L54" s="122">
        <f>+'Rates in summary'!J46</f>
        <v>0.10905000000000001</v>
      </c>
      <c r="M54" s="372"/>
      <c r="N54" s="372"/>
      <c r="O54" s="966"/>
      <c r="P54" s="966"/>
      <c r="Q54" s="373">
        <f>'Rates in summary'!H46-'Rates in summary'!F46</f>
        <v>0.11132</v>
      </c>
      <c r="R54" s="372"/>
      <c r="S54" s="374"/>
      <c r="T54" s="373">
        <f>'Rates in summary'!I46</f>
        <v>0</v>
      </c>
      <c r="U54" s="372"/>
      <c r="V54" s="577"/>
      <c r="W54" s="373">
        <f>'Rates in Detail'!J45+'Rates in Detail'!P45</f>
        <v>9.3879999999999991E-2</v>
      </c>
      <c r="X54" s="372"/>
      <c r="Y54" s="577"/>
      <c r="Z54" s="373">
        <f>'Rates in Detail'!J45+'Rates in Detail'!S45</f>
        <v>9.5079999999999998E-2</v>
      </c>
      <c r="AA54" s="372"/>
      <c r="AB54" s="577"/>
      <c r="AC54" s="122">
        <f>'Rates in Detail'!J45+'Rates in Detail'!T45</f>
        <v>9.2810000000000004E-2</v>
      </c>
      <c r="AD54" s="372"/>
      <c r="AE54" s="577"/>
      <c r="AF54" s="373">
        <f>'Rates in summary'!J46</f>
        <v>0.10905000000000001</v>
      </c>
      <c r="AG54" s="372"/>
      <c r="AH54" s="374"/>
      <c r="AI54" s="1258"/>
      <c r="AJ54" s="373">
        <f>L54+'Rates in summary'!K46</f>
        <v>0.11723</v>
      </c>
      <c r="AK54" s="372"/>
      <c r="AL54" s="374"/>
      <c r="AM54" s="373">
        <f>'Rates in summary'!O46</f>
        <v>0</v>
      </c>
      <c r="AN54" s="372"/>
      <c r="AO54" s="577"/>
      <c r="AP54" s="122">
        <f>'Rates in Detail'!W45+'Rates in Detail'!Z45</f>
        <v>0.10893</v>
      </c>
      <c r="AQ54" s="372"/>
      <c r="AR54" s="577"/>
      <c r="AS54" s="373">
        <f>'Rates in summary'!P46</f>
        <v>0.11938</v>
      </c>
      <c r="AT54" s="372"/>
      <c r="AU54" s="374"/>
      <c r="AV54" s="1263"/>
      <c r="BA54" s="893" t="s">
        <v>358</v>
      </c>
      <c r="BB54" s="662">
        <f>M37</f>
        <v>500</v>
      </c>
      <c r="BC54" s="372">
        <f>AG37</f>
        <v>500</v>
      </c>
      <c r="BF54" s="1284">
        <f t="shared" si="66"/>
        <v>0</v>
      </c>
      <c r="BG54" s="1286">
        <f t="shared" si="67"/>
        <v>0</v>
      </c>
      <c r="BH54" s="662">
        <f>O37</f>
        <v>500</v>
      </c>
      <c r="BI54" s="372">
        <f>AT37</f>
        <v>500</v>
      </c>
      <c r="BL54" s="1284">
        <f t="shared" si="68"/>
        <v>0</v>
      </c>
      <c r="BM54" s="1286">
        <f t="shared" si="69"/>
        <v>0</v>
      </c>
      <c r="BN54" s="55" t="s">
        <v>137</v>
      </c>
    </row>
    <row r="55" spans="1:66" x14ac:dyDescent="0.2">
      <c r="A55" s="86">
        <f t="shared" si="14"/>
        <v>48</v>
      </c>
      <c r="B55" s="725"/>
      <c r="C55" s="875" t="s">
        <v>7</v>
      </c>
      <c r="D55" s="299">
        <f>'WA Volumes &amp; Revenues'!E48</f>
        <v>598933</v>
      </c>
      <c r="E55" s="299">
        <f>'WA Volumes &amp; Revenues'!F48</f>
        <v>537117</v>
      </c>
      <c r="F55" s="299">
        <v>100000</v>
      </c>
      <c r="G55" s="300"/>
      <c r="H55" s="300"/>
      <c r="I55" s="879"/>
      <c r="J55" s="372"/>
      <c r="K55" s="122">
        <f>+'Rates in summary'!D47</f>
        <v>7.6070000000000013E-2</v>
      </c>
      <c r="L55" s="122">
        <f>+'Rates in summary'!J47</f>
        <v>8.7240000000000012E-2</v>
      </c>
      <c r="M55" s="372"/>
      <c r="N55" s="372"/>
      <c r="O55" s="966"/>
      <c r="P55" s="966"/>
      <c r="Q55" s="373">
        <f>'Rates in summary'!H47-'Rates in summary'!F47</f>
        <v>8.9060000000000014E-2</v>
      </c>
      <c r="R55" s="372"/>
      <c r="S55" s="374"/>
      <c r="T55" s="373">
        <f>'Rates in summary'!I47</f>
        <v>0</v>
      </c>
      <c r="U55" s="372"/>
      <c r="V55" s="577"/>
      <c r="W55" s="373">
        <f>'Rates in Detail'!J46+'Rates in Detail'!P46</f>
        <v>7.511000000000001E-2</v>
      </c>
      <c r="X55" s="372"/>
      <c r="Y55" s="577"/>
      <c r="Z55" s="373">
        <f>'Rates in Detail'!J46+'Rates in Detail'!S46</f>
        <v>7.6070000000000013E-2</v>
      </c>
      <c r="AA55" s="372"/>
      <c r="AB55" s="577"/>
      <c r="AC55" s="122">
        <f>'Rates in Detail'!J46+'Rates in Detail'!T46</f>
        <v>7.425000000000001E-2</v>
      </c>
      <c r="AD55" s="372"/>
      <c r="AE55" s="577"/>
      <c r="AF55" s="373">
        <f>'Rates in summary'!J47</f>
        <v>8.7240000000000012E-2</v>
      </c>
      <c r="AG55" s="372"/>
      <c r="AH55" s="374"/>
      <c r="AI55" s="1258"/>
      <c r="AJ55" s="373">
        <f>L55+'Rates in summary'!K47</f>
        <v>9.3780000000000016E-2</v>
      </c>
      <c r="AK55" s="372"/>
      <c r="AL55" s="374"/>
      <c r="AM55" s="373">
        <f>'Rates in summary'!O47</f>
        <v>0</v>
      </c>
      <c r="AN55" s="372"/>
      <c r="AO55" s="577"/>
      <c r="AP55" s="122">
        <f>'Rates in Detail'!W46+'Rates in Detail'!Z46</f>
        <v>8.7150000000000005E-2</v>
      </c>
      <c r="AQ55" s="372"/>
      <c r="AR55" s="577"/>
      <c r="AS55" s="373">
        <f>'Rates in summary'!P47</f>
        <v>9.5510000000000012E-2</v>
      </c>
      <c r="AT55" s="372"/>
      <c r="AU55" s="374"/>
      <c r="AV55" s="1263"/>
      <c r="BA55" s="893" t="s">
        <v>359</v>
      </c>
      <c r="BB55" s="662">
        <f>M44</f>
        <v>6464.95</v>
      </c>
      <c r="BC55" s="372">
        <f>AG44</f>
        <v>6763.23</v>
      </c>
      <c r="BF55" s="1284">
        <f t="shared" si="66"/>
        <v>298.27999999999975</v>
      </c>
      <c r="BG55" s="1286">
        <f t="shared" si="67"/>
        <v>4.6138021175724443E-2</v>
      </c>
      <c r="BH55" s="662">
        <f>O44</f>
        <v>6763.23</v>
      </c>
      <c r="BI55" s="372">
        <f>AT44</f>
        <v>7200.59</v>
      </c>
      <c r="BL55" s="1284">
        <f t="shared" si="68"/>
        <v>437.36000000000058</v>
      </c>
      <c r="BM55" s="1286">
        <f t="shared" si="69"/>
        <v>6.4667326114888984E-2</v>
      </c>
      <c r="BN55" s="55" t="s">
        <v>26</v>
      </c>
    </row>
    <row r="56" spans="1:66" x14ac:dyDescent="0.2">
      <c r="A56" s="86">
        <f t="shared" si="14"/>
        <v>49</v>
      </c>
      <c r="B56" s="725"/>
      <c r="C56" s="875" t="s">
        <v>8</v>
      </c>
      <c r="D56" s="299">
        <f>'WA Volumes &amp; Revenues'!E49</f>
        <v>0</v>
      </c>
      <c r="E56" s="299">
        <f>'WA Volumes &amp; Revenues'!F49</f>
        <v>0</v>
      </c>
      <c r="F56" s="299">
        <v>600000</v>
      </c>
      <c r="G56" s="300"/>
      <c r="H56" s="300"/>
      <c r="I56" s="879"/>
      <c r="J56" s="372"/>
      <c r="K56" s="122">
        <f>+'Rates in summary'!D48</f>
        <v>5.0710000000000005E-2</v>
      </c>
      <c r="L56" s="122">
        <f>+'Rates in summary'!J48</f>
        <v>5.8160000000000003E-2</v>
      </c>
      <c r="M56" s="372"/>
      <c r="N56" s="372"/>
      <c r="O56" s="966"/>
      <c r="P56" s="966"/>
      <c r="Q56" s="373">
        <f>'Rates in summary'!H48-'Rates in summary'!F48</f>
        <v>5.9370000000000006E-2</v>
      </c>
      <c r="R56" s="372"/>
      <c r="S56" s="374"/>
      <c r="T56" s="373">
        <f>'Rates in summary'!I48</f>
        <v>0</v>
      </c>
      <c r="U56" s="372"/>
      <c r="V56" s="577"/>
      <c r="W56" s="373">
        <f>'Rates in Detail'!J47+'Rates in Detail'!P47</f>
        <v>5.0070000000000003E-2</v>
      </c>
      <c r="X56" s="372"/>
      <c r="Y56" s="577"/>
      <c r="Z56" s="373">
        <f>'Rates in Detail'!J47+'Rates in Detail'!S47</f>
        <v>5.0710000000000005E-2</v>
      </c>
      <c r="AA56" s="372"/>
      <c r="AB56" s="577"/>
      <c r="AC56" s="122">
        <f>'Rates in Detail'!J47+'Rates in Detail'!T47</f>
        <v>4.9500000000000002E-2</v>
      </c>
      <c r="AD56" s="372"/>
      <c r="AE56" s="577"/>
      <c r="AF56" s="373">
        <f>'Rates in summary'!J48</f>
        <v>5.8160000000000003E-2</v>
      </c>
      <c r="AG56" s="372"/>
      <c r="AH56" s="374"/>
      <c r="AI56" s="1258"/>
      <c r="AJ56" s="373">
        <f>L56+'Rates in summary'!K48</f>
        <v>6.2520000000000006E-2</v>
      </c>
      <c r="AK56" s="372"/>
      <c r="AL56" s="374"/>
      <c r="AM56" s="373">
        <f>'Rates in summary'!O48</f>
        <v>0</v>
      </c>
      <c r="AN56" s="372"/>
      <c r="AO56" s="577"/>
      <c r="AP56" s="122">
        <f>'Rates in Detail'!W47+'Rates in Detail'!Z47</f>
        <v>5.8100000000000006E-2</v>
      </c>
      <c r="AQ56" s="372"/>
      <c r="AR56" s="577"/>
      <c r="AS56" s="373">
        <f>'Rates in summary'!P48</f>
        <v>6.3670000000000004E-2</v>
      </c>
      <c r="AT56" s="372"/>
      <c r="AU56" s="374"/>
      <c r="AV56" s="1263"/>
      <c r="BA56" s="893" t="s">
        <v>360</v>
      </c>
      <c r="BB56" s="662">
        <f>M51</f>
        <v>6478.18</v>
      </c>
      <c r="BC56" s="372">
        <f>AG51</f>
        <v>6880.61</v>
      </c>
      <c r="BF56" s="1284">
        <f t="shared" si="66"/>
        <v>402.42999999999938</v>
      </c>
      <c r="BG56" s="1286">
        <f t="shared" si="67"/>
        <v>6.2120842582330124E-2</v>
      </c>
      <c r="BH56" s="662">
        <f>O51</f>
        <v>6880.61</v>
      </c>
      <c r="BI56" s="372">
        <f>AT51</f>
        <v>7178.36</v>
      </c>
      <c r="BL56" s="1284">
        <f t="shared" si="68"/>
        <v>297.75</v>
      </c>
      <c r="BM56" s="1286">
        <f t="shared" si="69"/>
        <v>4.327377950501482E-2</v>
      </c>
      <c r="BN56" s="55" t="s">
        <v>540</v>
      </c>
    </row>
    <row r="57" spans="1:66" x14ac:dyDescent="0.2">
      <c r="A57" s="86">
        <f t="shared" si="14"/>
        <v>50</v>
      </c>
      <c r="B57" s="725"/>
      <c r="C57" s="875" t="s">
        <v>9</v>
      </c>
      <c r="D57" s="299">
        <f>'WA Volumes &amp; Revenues'!E50</f>
        <v>0</v>
      </c>
      <c r="E57" s="299">
        <f>'WA Volumes &amp; Revenues'!F50</f>
        <v>0</v>
      </c>
      <c r="F57" s="371" t="s">
        <v>74</v>
      </c>
      <c r="G57" s="300"/>
      <c r="H57" s="300"/>
      <c r="I57" s="879"/>
      <c r="J57" s="372"/>
      <c r="K57" s="122">
        <f>+'Rates in summary'!D49</f>
        <v>1.9009999999999999E-2</v>
      </c>
      <c r="L57" s="122">
        <f>+'Rates in summary'!J49</f>
        <v>2.181E-2</v>
      </c>
      <c r="M57" s="372"/>
      <c r="N57" s="372"/>
      <c r="O57" s="966"/>
      <c r="P57" s="966"/>
      <c r="Q57" s="373">
        <f>'Rates in summary'!H49-'Rates in summary'!F49</f>
        <v>2.2259999999999999E-2</v>
      </c>
      <c r="R57" s="372"/>
      <c r="S57" s="374"/>
      <c r="T57" s="373">
        <f>'Rates in summary'!I49</f>
        <v>0</v>
      </c>
      <c r="U57" s="372"/>
      <c r="V57" s="577"/>
      <c r="W57" s="373">
        <f>'Rates in Detail'!J48+'Rates in Detail'!P48</f>
        <v>1.8769999999999998E-2</v>
      </c>
      <c r="X57" s="372"/>
      <c r="Y57" s="577"/>
      <c r="Z57" s="373">
        <f>'Rates in Detail'!J48+'Rates in Detail'!S48</f>
        <v>1.9009999999999999E-2</v>
      </c>
      <c r="AA57" s="372"/>
      <c r="AB57" s="577"/>
      <c r="AC57" s="122">
        <f>'Rates in Detail'!J48+'Rates in Detail'!T48</f>
        <v>1.856E-2</v>
      </c>
      <c r="AD57" s="372"/>
      <c r="AE57" s="577"/>
      <c r="AF57" s="373">
        <f>'Rates in summary'!J49</f>
        <v>2.181E-2</v>
      </c>
      <c r="AG57" s="372"/>
      <c r="AH57" s="374"/>
      <c r="AI57" s="1258"/>
      <c r="AJ57" s="373">
        <f>L57+'Rates in summary'!K49</f>
        <v>2.3449999999999999E-2</v>
      </c>
      <c r="AK57" s="372"/>
      <c r="AL57" s="374"/>
      <c r="AM57" s="373">
        <f>'Rates in summary'!O49</f>
        <v>0</v>
      </c>
      <c r="AN57" s="372"/>
      <c r="AO57" s="577"/>
      <c r="AP57" s="122">
        <f>'Rates in Detail'!W48+'Rates in Detail'!Z48</f>
        <v>2.179E-2</v>
      </c>
      <c r="AQ57" s="372"/>
      <c r="AR57" s="577"/>
      <c r="AS57" s="373">
        <f>'Rates in summary'!P49</f>
        <v>2.3879999999999998E-2</v>
      </c>
      <c r="AT57" s="372"/>
      <c r="AU57" s="374"/>
      <c r="AV57" s="1263"/>
      <c r="BA57" s="893" t="s">
        <v>361</v>
      </c>
      <c r="BB57" s="662">
        <f>M58</f>
        <v>7428.62</v>
      </c>
      <c r="BC57" s="372">
        <f>AG58</f>
        <v>8292.0400000000009</v>
      </c>
      <c r="BF57" s="1284">
        <f t="shared" si="66"/>
        <v>863.42000000000098</v>
      </c>
      <c r="BG57" s="1286">
        <f t="shared" si="67"/>
        <v>0.11622885542671466</v>
      </c>
      <c r="BH57" s="662">
        <f>O58</f>
        <v>8292.0400000000009</v>
      </c>
      <c r="BI57" s="372">
        <f>AT58</f>
        <v>8930.7000000000007</v>
      </c>
      <c r="BL57" s="1284">
        <f t="shared" si="68"/>
        <v>638.65999999999985</v>
      </c>
      <c r="BM57" s="1286">
        <f t="shared" si="69"/>
        <v>7.7020853734424799E-2</v>
      </c>
      <c r="BN57" s="293" t="s">
        <v>137</v>
      </c>
    </row>
    <row r="58" spans="1:66" x14ac:dyDescent="0.2">
      <c r="A58" s="86">
        <f t="shared" si="14"/>
        <v>51</v>
      </c>
      <c r="B58" s="723"/>
      <c r="C58" s="876" t="s">
        <v>78</v>
      </c>
      <c r="D58" s="375"/>
      <c r="E58" s="375"/>
      <c r="F58" s="376"/>
      <c r="G58" s="377"/>
      <c r="H58" s="377"/>
      <c r="I58" s="880"/>
      <c r="J58" s="379"/>
      <c r="K58" s="378"/>
      <c r="L58" s="378"/>
      <c r="M58" s="379">
        <f>$I52+ROUND(IF($G52&lt;$F52,($G52*K52),IF($G52&lt;SUM($F52:$F53),(($F52*K52)+(($G52-$F52)*K53)),IF($G52&lt;SUM($F52:$F54),(($F52*K52)+($F53*K53)+(($G52-$F52-$F53)*K54)),IF($G52&lt;SUM($F52:$F55),(($F52*K52)+($F53*K53)+($F54*K54)+(($G52-SUM($F52:$F54))*K55)),IF($G52&lt;SUM($F52:$F56),(($F52*K52)+($F53*K53)+($F54*K54)+($F55*K55)+(($G52-SUM($F52:$F55))*K56)),(($F52*K52)+($F53*K53)+($F54*K54)+($F55*K54)+($F56*K56)+(($G52-SUM($F52:$F56))*K57))))))),2)</f>
        <v>7428.62</v>
      </c>
      <c r="N58" s="379">
        <f>$I52+ROUND(IF($H52&lt;$F52,($H52*K52),IF($H52&lt;SUM($F52:$F53),(($F52*K52)+(($H52-$F52)*K53)),IF($H52&lt;SUM($F52:$F54),(($F52*K52)+($F53*K53)+(($H52-$F52-$F53)*K54)),IF($H52&lt;SUM($F52:$F55),(($F52*K52)+($F53*K53)+($F54*K54)+(($H52-SUM($F52:$F54))*K55)),IF($H52&lt;SUM($F52:$F56),(($F52*K52)+($F53*K53)+($F54*K54)+($F55*K55)+(($H52-SUM($F52:$F55))*K56)),(($F52*K52)+($F53*K53)+($F54*K54)+($F55*K54)+($F56*K56)+(($H52-SUM($F52:$F56))*K57))))))),2)</f>
        <v>7221.15</v>
      </c>
      <c r="O58" s="379">
        <f>$I52+ROUND(IF($G52&lt;$F52,($G52*L52),IF($G52&lt;SUM($F52:$F53),(($F52*L52)+(($G52-$F52)*L53)),IF($G52&lt;SUM($F52:$F54),(($F52*L52)+($F53*L53)+(($G52-$F52-$F53)*L54)),IF($G52&lt;SUM($F52:$F55),(($F52*L52)+($F53*L53)+($F54*L54)+(($G52-SUM($F52:$F54))*L55)),IF($G52&lt;SUM($F52:$F56),(($F52*L52)+($F53*L53)+($F54*L54)+($F55*L55)+(($G52-SUM($F52:$F55))*L56)),(($F52*L52)+($F53*L53)+($F54*L54)+($F55*L54)+($F56*L56)+(($G52-SUM($F52:$F56))*L57))))))),2)</f>
        <v>8292.0400000000009</v>
      </c>
      <c r="P58" s="379">
        <f>$I52+ROUND(IF($H52&lt;$F52,($H52*L52),IF($H52&lt;SUM($F52:$F53),(($F52*L52)+(($H52-$F52)*L53)),IF($H52&lt;SUM($F52:$F54),(($F52*L52)+($F53*L53)+(($H52-$F52-$F53)*L54)),IF($H52&lt;SUM($F52:$F55),(($F52*L52)+($F53*L53)+($F54*L54)+(($H52-SUM($F52:$F54))*L55)),IF($H52&lt;SUM($F52:$F56),(($F52*L52)+($F53*L53)+($F54*L54)+($F55*L55)+(($H52-SUM($F52:$F55))*L56)),(($F52*L52)+($F53*L53)+($F54*L54)+($F55*L54)+($F56*L56)+(($H52-SUM($F52:$F56))*L57))))))),2)</f>
        <v>8054.1</v>
      </c>
      <c r="Q58" s="381"/>
      <c r="R58" s="379">
        <f>$J52+ROUND(IF($G52&lt;$F52,($G52*Q52),IF($G52&lt;SUM($F52:$F53),(($F52*Q52)+(($G52-$F52)*Q53)),IF($G52&lt;SUM($F52:$F54),(($F52*Q52)+($F53*Q53)+(($G52-$F52-$F53)*Q54)),IF($G52&lt;SUM($F52:$F55),(($F52*Q52)+($F53*Q53)+($F54*Q54)+(($G52-SUM($F52:$F54))*Q55)),IF($G52&lt;SUM($F52:$F56),(($F52*Q52)+($F53*Q53)+($F54*Q54)+($F55*Q55)+(($G52-SUM($F52:$F55))*Q56)),(($F52*Q52)+($F53*Q53)+($F54*Q54)+($F55*Q54)+($F56*Q56)+(($G52-SUM($F52:$F56))*Q57))))))),2)</f>
        <v>8432.42</v>
      </c>
      <c r="S58" s="382">
        <f>ROUND((R58-M58)/M58,3)</f>
        <v>0.13500000000000001</v>
      </c>
      <c r="T58" s="380"/>
      <c r="U58" s="379">
        <f>$I52+ROUND(IF($H52&lt;$F52,($H52*T52),IF($H52&lt;SUM($F52:$F53),(($F52*T52)+(($H52-$F52)*T53)),IF($H52&lt;SUM($F52:$F54),(($F52*T52)+($F53*T53)+(($H52-$F52-$F53)*T54)),IF($H52&lt;SUM($F52:$F55),(($F52*T52)+($F53*T53)+($F54*T54)+(($H52-SUM($F52:$F54))*T55)),IF($H52&lt;SUM($F52:$F56),(($F52*T52)+($F53*T53)+($F54*T54)+($F55*T55)+(($H52-SUM($F52:$F55))*T56)),(($F52*T52)+($F53*T53)+($F54*T54)+($F55*T54)+($F56*T56)+(($H52-SUM($F52:$F56))*T57))))))),2)</f>
        <v>1550</v>
      </c>
      <c r="V58" s="578">
        <f>ROUND((U58-N58)/N58,3)</f>
        <v>-0.78500000000000003</v>
      </c>
      <c r="W58" s="380"/>
      <c r="X58" s="379">
        <f>$J52+ROUND(IF($G52&lt;$F52,($G52*W52),IF($G52&lt;SUM($F52:$F53),(($F52*W52)+(($G52-$F52)*W53)),IF($G52&lt;SUM($F52:$F54),(($F52*W52)+($F53*W53)+(($G52-$F52-$F53)*W54)),IF($G52&lt;SUM($F52:$F55),(($F52*W52)+($F53*W53)+($F54*W54)+(($G52-SUM($F52:$F54))*W55)),IF($G52&lt;SUM($F52:$F56),(($F52*W52)+($F53*W53)+($F54*W54)+($F55*W55)+(($G52-SUM($F52:$F55))*W56)),(($F52*W52)+($F53*W53)+($F54*W54)+($F55*W54)+($F56*W56)+(($G52-SUM($F52:$F56))*W57))))))),2)</f>
        <v>7354.31</v>
      </c>
      <c r="Y58" s="578">
        <f t="shared" ref="Y58" si="73">ROUND(($X58-$M58)/$M58,3)</f>
        <v>-0.01</v>
      </c>
      <c r="Z58" s="380"/>
      <c r="AA58" s="379">
        <f>$J52+ROUND(IF($G52&lt;$F52,($G52*Z52),IF($G52&lt;SUM($F52:$F53),(($F52*Z52)+(($G52-$F52)*Z53)),IF($G52&lt;SUM($F52:$F54),(($F52*Z52)+($F53*Z53)+(($G52-$F52-$F53)*Z54)),IF($G52&lt;SUM($F52:$F55),(($F52*Z52)+($F53*Z53)+($F54*Z54)+(($G52-SUM($F52:$F54))*Z55)),IF($G52&lt;SUM($F52:$F56),(($F52*Z52)+($F53*Z53)+($F54*Z54)+($F55*Z55)+(($G52-SUM($F52:$F55))*Z56)),(($F52*Z52)+($F53*Z53)+($F54*Z54)+($F55*Z54)+($F56*Z56)+(($G52-SUM($F52:$F56))*Z57))))))),2)</f>
        <v>7428.62</v>
      </c>
      <c r="AB58" s="578">
        <f>ROUND(($AA58-$M58)/$M58,3)</f>
        <v>0</v>
      </c>
      <c r="AC58" s="379"/>
      <c r="AD58" s="379">
        <f>$J52+ROUND(IF($G52&lt;$F52,($G52*AC52),IF($G52&lt;SUM($F52:$F53),(($F52*AC52)+(($G52-$F52)*AC53)),IF($G52&lt;SUM($F52:$F54),(($F52*AC52)+($F53*AC53)+(($G52-$F52-$F53)*AC54)),IF($G52&lt;SUM($F52:$F55),(($F52*AC52)+($F53*AC53)+($F54*AC54)+(($G52-SUM($F52:$F54))*AC55)),IF($G52&lt;SUM($F52:$F56),(($F52*AC52)+($F53*AC53)+($F54*AC54)+($F55*AC55)+(($G52-SUM($F52:$F55))*AC56)),(($F52*AC52)+($F53*AC53)+($F54*AC54)+($F55*AC54)+($F56*AC56)+(($G52-SUM($F52:$F56))*AC57))))))),2)</f>
        <v>7288.25</v>
      </c>
      <c r="AE58" s="578">
        <f>ROUND(($AD58-$M58)/$M58,3)</f>
        <v>-1.9E-2</v>
      </c>
      <c r="AF58" s="381"/>
      <c r="AG58" s="379">
        <f>$J52+ROUND(IF($G52&lt;$F52,($G52*AF52),IF($G52&lt;SUM($F52:$F53),(($F52*AF52)+(($G52-$F52)*AF53)),IF($G52&lt;SUM($F52:$F54),(($F52*AF52)+($F53*AF53)+(($G52-$F52-$F53)*AF54)),IF($G52&lt;SUM($F52:$F55),(($F52*AF52)+($F53*AF53)+($F54*AF54)+(($G52-SUM($F52:$F54))*AF55)),IF($G52&lt;SUM($F52:$F56),(($F52*AF52)+($F53*AF53)+($F54*AF54)+($F55*AF55)+(($G52-SUM($F52:$F55))*AF56)),(($F52*AF52)+($F53*AF53)+($F54*AF54)+($F55*AF54)+($F56*AF56)+(($G52-SUM($F52:$F56))*AF57))))))),2)</f>
        <v>8292.0400000000009</v>
      </c>
      <c r="AH58" s="382">
        <f>ROUND((AG58-M58)/M58,3)</f>
        <v>0.11600000000000001</v>
      </c>
      <c r="AI58" s="1259">
        <f t="shared" si="47"/>
        <v>863.42000000000098</v>
      </c>
      <c r="AJ58" s="381"/>
      <c r="AK58" s="379">
        <f>$J52+ROUND(IF($G52&lt;$F52,($G52*AJ52),IF($G52&lt;SUM($F52:$F53),(($F52*AJ52)+(($G52-$F52)*AJ53)),IF($G52&lt;SUM($F52:$F54),(($F52*AJ52)+($F53*AJ53)+(($G52-$F52-$F53)*AJ54)),IF($G52&lt;SUM($F52:$F55),(($F52*AJ52)+($F53*AJ53)+($F54*AJ54)+(($G52-SUM($F52:$F54))*AJ55)),IF($G52&lt;SUM($F52:$F56),(($F52*AJ52)+($F53*AJ53)+($F54*AJ54)+($F55*AJ55)+(($G52-SUM($F52:$F55))*AJ56)),(($F52*AJ52)+($F53*AJ53)+($F54*AJ54)+($F55*AJ54)+($F56*AJ56)+(($G52-SUM($F52:$F56))*AJ57))))))),2)</f>
        <v>8797.5600000000013</v>
      </c>
      <c r="AL58" s="382">
        <f>ROUND((AK58-O58)/O58,3)</f>
        <v>6.0999999999999999E-2</v>
      </c>
      <c r="AM58" s="380"/>
      <c r="AN58" s="379">
        <f>$I52+ROUND(IF($H52&lt;$F52,($H52*AM52),IF($H52&lt;SUM($F52:$F53),(($F52*AM52)+(($H52-$F52)*AM53)),IF($H52&lt;SUM($F52:$F54),(($F52*AM52)+($F53*AM53)+(($H52-$F52-$F53)*AM54)),IF($H52&lt;SUM($F52:$F55),(($F52*AM52)+($F53*AM53)+($F54*AM54)+(($H52-SUM($F52:$F54))*AM55)),IF($H52&lt;SUM($F52:$F56),(($F52*AM52)+($F53*AM53)+($F54*AM54)+($F55*AM55)+(($H52-SUM($F52:$F55))*AM56)),(($F52*AM52)+($F53*AM53)+($F54*AM54)+($F55*AM54)+($F56*AM56)+(($H52-SUM($F52:$F56))*AM57))))))),2)</f>
        <v>1550</v>
      </c>
      <c r="AO58" s="578">
        <f>ROUND((AN58-P58)/P58,3)</f>
        <v>-0.80800000000000005</v>
      </c>
      <c r="AP58" s="379"/>
      <c r="AQ58" s="379">
        <f>$J52+ROUND(IF($G52&lt;$F52,($G52*AP52),IF($G52&lt;SUM($F52:$F53),(($F52*AP52)+(($G52-$F52)*AP53)),IF($G52&lt;SUM($F52:$F54),(($F52*AP52)+($F53*AP53)+(($G52-$F52-$F53)*AP54)),IF($G52&lt;SUM($F52:$F55),(($F52*AP52)+($F53*AP53)+($F54*AP54)+(($G52-SUM($F52:$F54))*AP55)),IF($G52&lt;SUM($F52:$F56),(($F52*AP52)+($F53*AP53)+($F54*AP54)+($F55*AP55)+(($G52-SUM($F52:$F55))*AP56)),(($F52*AP52)+($F53*AP53)+($F54*AP54)+($F55*AP54)+($F56*AP56)+(($G52-SUM($F52:$F56))*AP57))))))),2)</f>
        <v>8284.8100000000013</v>
      </c>
      <c r="AR58" s="578">
        <f>ROUND(($AQ58-$O58)/$O58,3)</f>
        <v>-1E-3</v>
      </c>
      <c r="AS58" s="381"/>
      <c r="AT58" s="379">
        <f>$J52+ROUND(IF($G52&lt;$F52,($G52*AS52),IF($G52&lt;SUM($F52:$F53),(($F52*AS52)+(($G52-$F52)*AS53)),IF($G52&lt;SUM($F52:$F54),(($F52*AS52)+($F53*AS53)+(($G52-$F52-$F53)*AS54)),IF($G52&lt;SUM($F52:$F55),(($F52*AS52)+($F53*AS53)+($F54*AS54)+(($G52-SUM($F52:$F54))*AS55)),IF($G52&lt;SUM($F52:$F56),(($F52*AS52)+($F53*AS53)+($F54*AS54)+($F55*AS55)+(($G52-SUM($F52:$F55))*AS56)),(($F52*AS52)+($F53*AS53)+($F54*AS54)+($F55*AS54)+($F56*AS56)+(($G52-SUM($F52:$F56))*AS57))))))),2)</f>
        <v>8930.7000000000007</v>
      </c>
      <c r="AU58" s="382">
        <f>ROUND((AT58-O58)/O58,3)</f>
        <v>7.6999999999999999E-2</v>
      </c>
      <c r="AV58" s="1264">
        <f t="shared" si="51"/>
        <v>638.65999999999985</v>
      </c>
      <c r="AW58" s="370"/>
      <c r="AX58" s="370"/>
      <c r="AY58" s="370"/>
      <c r="AZ58" s="370"/>
      <c r="BA58" s="893" t="s">
        <v>362</v>
      </c>
      <c r="BB58" s="662">
        <f>M65</f>
        <v>8406.39</v>
      </c>
      <c r="BC58" s="372">
        <f>AG65</f>
        <v>9416.02</v>
      </c>
      <c r="BF58" s="1284">
        <f t="shared" si="66"/>
        <v>1009.630000000001</v>
      </c>
      <c r="BG58" s="1286">
        <f t="shared" si="67"/>
        <v>0.12010268379173475</v>
      </c>
      <c r="BH58" s="662">
        <f>O65</f>
        <v>9416.02</v>
      </c>
      <c r="BI58" s="372">
        <f>AT65</f>
        <v>10162.89</v>
      </c>
      <c r="BL58" s="1284">
        <f t="shared" si="68"/>
        <v>746.86999999999898</v>
      </c>
      <c r="BM58" s="1286">
        <f t="shared" si="69"/>
        <v>7.931907536305137E-2</v>
      </c>
      <c r="BN58" s="293" t="s">
        <v>137</v>
      </c>
    </row>
    <row r="59" spans="1:66" x14ac:dyDescent="0.2">
      <c r="A59" s="86">
        <f t="shared" si="14"/>
        <v>52</v>
      </c>
      <c r="B59" s="725" t="str">
        <f>'WA Volumes &amp; Revenues'!B51</f>
        <v>42I Firm Transpt</v>
      </c>
      <c r="C59" s="875" t="s">
        <v>4</v>
      </c>
      <c r="D59" s="299">
        <f>'WA Volumes &amp; Revenues'!E51</f>
        <v>924395</v>
      </c>
      <c r="E59" s="299">
        <f>'WA Volumes &amp; Revenues'!F51</f>
        <v>901597</v>
      </c>
      <c r="F59" s="299">
        <v>10000</v>
      </c>
      <c r="G59" s="300">
        <f>+'WA Volumes &amp; Revenues'!I51</f>
        <v>63374</v>
      </c>
      <c r="H59" s="300">
        <f>'WA Volumes &amp; Revenues'!L51</f>
        <v>63120</v>
      </c>
      <c r="I59" s="879">
        <f>'WA Volumes &amp; Revenues'!O51</f>
        <v>1550</v>
      </c>
      <c r="J59" s="372">
        <f>'WA Volumes &amp; Revenues'!N51</f>
        <v>1550</v>
      </c>
      <c r="K59" s="122">
        <f>+'Rates in summary'!D50</f>
        <v>0.14000000000000001</v>
      </c>
      <c r="L59" s="122">
        <f>+'Rates in summary'!J50</f>
        <v>0.16061</v>
      </c>
      <c r="M59" s="372"/>
      <c r="N59" s="372"/>
      <c r="O59" s="966"/>
      <c r="P59" s="966"/>
      <c r="Q59" s="373">
        <f>'Rates in summary'!H50-'Rates in summary'!F50</f>
        <v>0.16397</v>
      </c>
      <c r="R59" s="372"/>
      <c r="S59" s="374"/>
      <c r="T59" s="373">
        <f>'Rates in summary'!I50</f>
        <v>0</v>
      </c>
      <c r="U59" s="372"/>
      <c r="V59" s="577"/>
      <c r="W59" s="373">
        <f>'Rates in Detail'!J49+'Rates in Detail'!P49</f>
        <v>0.13823000000000002</v>
      </c>
      <c r="X59" s="372"/>
      <c r="Y59" s="577"/>
      <c r="Z59" s="373">
        <f>'Rates in Detail'!J49+'Rates in Detail'!S49</f>
        <v>0.14000000000000001</v>
      </c>
      <c r="AA59" s="372"/>
      <c r="AB59" s="577"/>
      <c r="AC59" s="122">
        <f>'Rates in Detail'!J49+'Rates in Detail'!T49</f>
        <v>0.13664000000000001</v>
      </c>
      <c r="AD59" s="372"/>
      <c r="AE59" s="577"/>
      <c r="AF59" s="373">
        <f>'Rates in summary'!J50</f>
        <v>0.16061</v>
      </c>
      <c r="AG59" s="372"/>
      <c r="AH59" s="374"/>
      <c r="AI59" s="1258"/>
      <c r="AJ59" s="373">
        <f>L59+'Rates in summary'!K50</f>
        <v>0.17268</v>
      </c>
      <c r="AK59" s="372"/>
      <c r="AL59" s="374"/>
      <c r="AM59" s="373">
        <f>'Rates in summary'!O50</f>
        <v>0</v>
      </c>
      <c r="AN59" s="372"/>
      <c r="AO59" s="577"/>
      <c r="AP59" s="122">
        <f>'Rates in Detail'!W49+'Rates in Detail'!Z49</f>
        <v>0.16044000000000003</v>
      </c>
      <c r="AQ59" s="372"/>
      <c r="AR59" s="577"/>
      <c r="AS59" s="373">
        <f>'Rates in summary'!P50</f>
        <v>0.17587</v>
      </c>
      <c r="AT59" s="372"/>
      <c r="AU59" s="374"/>
      <c r="AV59" s="1263"/>
      <c r="BA59" s="893" t="s">
        <v>363</v>
      </c>
      <c r="BB59" s="662">
        <f>M72</f>
        <v>17153.690000000002</v>
      </c>
      <c r="BC59" s="372">
        <f>AG72</f>
        <v>17671.07</v>
      </c>
      <c r="BF59" s="1284">
        <f t="shared" si="66"/>
        <v>517.37999999999738</v>
      </c>
      <c r="BG59" s="1286">
        <f t="shared" si="67"/>
        <v>3.0161440483067917E-2</v>
      </c>
      <c r="BH59" s="662">
        <f>O72</f>
        <v>17671.07</v>
      </c>
      <c r="BI59" s="372">
        <f>AT72</f>
        <v>18429.98</v>
      </c>
      <c r="BL59" s="1284">
        <f t="shared" si="68"/>
        <v>758.90999999999985</v>
      </c>
      <c r="BM59" s="1286">
        <f t="shared" si="69"/>
        <v>4.2946465607345781E-2</v>
      </c>
      <c r="BN59" s="55" t="s">
        <v>541</v>
      </c>
    </row>
    <row r="60" spans="1:66" x14ac:dyDescent="0.2">
      <c r="A60" s="86">
        <f t="shared" si="14"/>
        <v>53</v>
      </c>
      <c r="B60" s="725"/>
      <c r="C60" s="875" t="s">
        <v>5</v>
      </c>
      <c r="D60" s="299">
        <f>'WA Volumes &amp; Revenues'!E52</f>
        <v>1036796</v>
      </c>
      <c r="E60" s="299">
        <f>'WA Volumes &amp; Revenues'!F52</f>
        <v>1041722</v>
      </c>
      <c r="F60" s="299">
        <v>20000</v>
      </c>
      <c r="G60" s="300"/>
      <c r="H60" s="300"/>
      <c r="I60" s="879"/>
      <c r="J60" s="372"/>
      <c r="K60" s="122">
        <f>+'Rates in summary'!D51</f>
        <v>0.12530999999999998</v>
      </c>
      <c r="L60" s="122">
        <f>+'Rates in summary'!J51</f>
        <v>0.14375999999999997</v>
      </c>
      <c r="M60" s="372"/>
      <c r="N60" s="372"/>
      <c r="O60" s="966"/>
      <c r="P60" s="966"/>
      <c r="Q60" s="373">
        <f>'Rates in summary'!H51-'Rates in summary'!F51</f>
        <v>0.14675999999999997</v>
      </c>
      <c r="R60" s="372"/>
      <c r="S60" s="374"/>
      <c r="T60" s="373">
        <f>'Rates in summary'!I51</f>
        <v>0</v>
      </c>
      <c r="U60" s="372"/>
      <c r="V60" s="577"/>
      <c r="W60" s="373">
        <f>'Rates in Detail'!J50+'Rates in Detail'!P50</f>
        <v>0.12371999999999998</v>
      </c>
      <c r="X60" s="372"/>
      <c r="Y60" s="577"/>
      <c r="Z60" s="373">
        <f>'Rates in Detail'!J50+'Rates in Detail'!S50</f>
        <v>0.12530999999999998</v>
      </c>
      <c r="AA60" s="372"/>
      <c r="AB60" s="577"/>
      <c r="AC60" s="122">
        <f>'Rates in Detail'!J50+'Rates in Detail'!T50</f>
        <v>0.12230999999999997</v>
      </c>
      <c r="AD60" s="372"/>
      <c r="AE60" s="577"/>
      <c r="AF60" s="373">
        <f>'Rates in summary'!J51</f>
        <v>0.14375999999999997</v>
      </c>
      <c r="AG60" s="372"/>
      <c r="AH60" s="374"/>
      <c r="AI60" s="1258"/>
      <c r="AJ60" s="373">
        <f>L60+'Rates in summary'!K51</f>
        <v>0.15455999999999998</v>
      </c>
      <c r="AK60" s="372"/>
      <c r="AL60" s="374"/>
      <c r="AM60" s="373">
        <f>'Rates in summary'!O51</f>
        <v>0</v>
      </c>
      <c r="AN60" s="372"/>
      <c r="AO60" s="577"/>
      <c r="AP60" s="122">
        <f>'Rates in Detail'!W50+'Rates in Detail'!Z50</f>
        <v>0.14360999999999993</v>
      </c>
      <c r="AQ60" s="372"/>
      <c r="AR60" s="577"/>
      <c r="AS60" s="373">
        <f>'Rates in summary'!P51</f>
        <v>0.15740999999999997</v>
      </c>
      <c r="AT60" s="372"/>
      <c r="AU60" s="374"/>
      <c r="AV60" s="1263"/>
      <c r="BA60" s="893" t="s">
        <v>364</v>
      </c>
      <c r="BB60" s="662">
        <f>M79</f>
        <v>6965.46</v>
      </c>
      <c r="BC60" s="372">
        <f>AG79</f>
        <v>7359.71</v>
      </c>
      <c r="BF60" s="1284">
        <f t="shared" si="66"/>
        <v>394.25</v>
      </c>
      <c r="BG60" s="1286">
        <f t="shared" si="67"/>
        <v>5.6600712659321852E-2</v>
      </c>
      <c r="BH60" s="662">
        <f>O79</f>
        <v>7359.71</v>
      </c>
      <c r="BI60" s="372">
        <f>AT79</f>
        <v>7651.54</v>
      </c>
      <c r="BL60" s="1284">
        <f t="shared" si="68"/>
        <v>291.82999999999993</v>
      </c>
      <c r="BM60" s="1286">
        <f t="shared" si="69"/>
        <v>3.9652377607269841E-2</v>
      </c>
      <c r="BN60" s="55" t="s">
        <v>541</v>
      </c>
    </row>
    <row r="61" spans="1:66" x14ac:dyDescent="0.2">
      <c r="A61" s="86">
        <f t="shared" si="14"/>
        <v>54</v>
      </c>
      <c r="B61" s="725"/>
      <c r="C61" s="875" t="s">
        <v>6</v>
      </c>
      <c r="D61" s="299">
        <f>'WA Volumes &amp; Revenues'!E53</f>
        <v>937215</v>
      </c>
      <c r="E61" s="299">
        <f>'WA Volumes &amp; Revenues'!F53</f>
        <v>957215</v>
      </c>
      <c r="F61" s="299">
        <v>20000</v>
      </c>
      <c r="G61" s="300"/>
      <c r="H61" s="300"/>
      <c r="I61" s="879"/>
      <c r="J61" s="372"/>
      <c r="K61" s="122">
        <f>+'Rates in summary'!D52</f>
        <v>9.6100000000000005E-2</v>
      </c>
      <c r="L61" s="122">
        <f>+'Rates in summary'!J52</f>
        <v>0.11025000000000001</v>
      </c>
      <c r="M61" s="372"/>
      <c r="N61" s="372"/>
      <c r="O61" s="966"/>
      <c r="P61" s="966"/>
      <c r="Q61" s="373">
        <f>'Rates in summary'!H52-'Rates in summary'!F52</f>
        <v>0.11255000000000001</v>
      </c>
      <c r="R61" s="372"/>
      <c r="S61" s="374"/>
      <c r="T61" s="373">
        <f>'Rates in summary'!I52</f>
        <v>0</v>
      </c>
      <c r="U61" s="372"/>
      <c r="V61" s="577"/>
      <c r="W61" s="373">
        <f>'Rates in Detail'!J51+'Rates in Detail'!P51</f>
        <v>9.4880000000000006E-2</v>
      </c>
      <c r="X61" s="372"/>
      <c r="Y61" s="577"/>
      <c r="Z61" s="373">
        <f>'Rates in Detail'!J51+'Rates in Detail'!S51</f>
        <v>9.6100000000000005E-2</v>
      </c>
      <c r="AA61" s="372"/>
      <c r="AB61" s="577"/>
      <c r="AC61" s="122">
        <f>'Rates in Detail'!J51+'Rates in Detail'!T51</f>
        <v>9.3800000000000008E-2</v>
      </c>
      <c r="AD61" s="372"/>
      <c r="AE61" s="577"/>
      <c r="AF61" s="373">
        <f>'Rates in summary'!J52</f>
        <v>0.11025000000000001</v>
      </c>
      <c r="AG61" s="372"/>
      <c r="AH61" s="374"/>
      <c r="AI61" s="1258"/>
      <c r="AJ61" s="373">
        <f>L61+'Rates in summary'!K52</f>
        <v>0.11853000000000001</v>
      </c>
      <c r="AK61" s="372"/>
      <c r="AL61" s="374"/>
      <c r="AM61" s="373">
        <f>'Rates in summary'!O52</f>
        <v>0</v>
      </c>
      <c r="AN61" s="372"/>
      <c r="AO61" s="577"/>
      <c r="AP61" s="122">
        <f>'Rates in Detail'!W51+'Rates in Detail'!Z51</f>
        <v>0.11013000000000002</v>
      </c>
      <c r="AQ61" s="372"/>
      <c r="AR61" s="577"/>
      <c r="AS61" s="373">
        <f>'Rates in summary'!P52</f>
        <v>0.12071000000000001</v>
      </c>
      <c r="AT61" s="372"/>
      <c r="AU61" s="374"/>
      <c r="AV61" s="1263"/>
      <c r="BA61" s="893" t="s">
        <v>366</v>
      </c>
      <c r="BB61" s="662">
        <f>M86</f>
        <v>1550</v>
      </c>
      <c r="BC61" s="372">
        <f>AG86</f>
        <v>1550</v>
      </c>
      <c r="BF61" s="1284">
        <f t="shared" si="66"/>
        <v>0</v>
      </c>
      <c r="BG61" s="1286">
        <f t="shared" si="67"/>
        <v>0</v>
      </c>
      <c r="BH61" s="662">
        <f>O86</f>
        <v>1550</v>
      </c>
      <c r="BI61" s="372">
        <f>AT86</f>
        <v>1550</v>
      </c>
      <c r="BL61" s="1284">
        <f t="shared" si="68"/>
        <v>0</v>
      </c>
      <c r="BM61" s="1286">
        <f t="shared" si="69"/>
        <v>0</v>
      </c>
      <c r="BN61" s="293" t="s">
        <v>137</v>
      </c>
    </row>
    <row r="62" spans="1:66" x14ac:dyDescent="0.2">
      <c r="A62" s="86">
        <f t="shared" si="14"/>
        <v>55</v>
      </c>
      <c r="B62" s="725"/>
      <c r="C62" s="875" t="s">
        <v>7</v>
      </c>
      <c r="D62" s="299">
        <f>'WA Volumes &amp; Revenues'!E54</f>
        <v>2390318</v>
      </c>
      <c r="E62" s="299">
        <f>'WA Volumes &amp; Revenues'!F54</f>
        <v>2490044</v>
      </c>
      <c r="F62" s="299">
        <v>100000</v>
      </c>
      <c r="G62" s="300"/>
      <c r="H62" s="300"/>
      <c r="I62" s="879"/>
      <c r="J62" s="372"/>
      <c r="K62" s="122">
        <f>+'Rates in summary'!D53</f>
        <v>7.6880000000000018E-2</v>
      </c>
      <c r="L62" s="122">
        <f>+'Rates in summary'!J53</f>
        <v>8.8210000000000025E-2</v>
      </c>
      <c r="M62" s="372"/>
      <c r="N62" s="372"/>
      <c r="O62" s="966"/>
      <c r="P62" s="966"/>
      <c r="Q62" s="373">
        <f>'Rates in summary'!H53-'Rates in summary'!F53</f>
        <v>9.0050000000000019E-2</v>
      </c>
      <c r="R62" s="372"/>
      <c r="S62" s="374"/>
      <c r="T62" s="373">
        <f>'Rates in summary'!I53</f>
        <v>0</v>
      </c>
      <c r="U62" s="372"/>
      <c r="V62" s="577"/>
      <c r="W62" s="373">
        <f>'Rates in Detail'!J52+'Rates in Detail'!P52</f>
        <v>7.5910000000000019E-2</v>
      </c>
      <c r="X62" s="372"/>
      <c r="Y62" s="577"/>
      <c r="Z62" s="373">
        <f>'Rates in Detail'!J52+'Rates in Detail'!S52</f>
        <v>7.6880000000000018E-2</v>
      </c>
      <c r="AA62" s="372"/>
      <c r="AB62" s="577"/>
      <c r="AC62" s="122">
        <f>'Rates in Detail'!J52+'Rates in Detail'!T52</f>
        <v>7.5040000000000023E-2</v>
      </c>
      <c r="AD62" s="372"/>
      <c r="AE62" s="577"/>
      <c r="AF62" s="373">
        <f>'Rates in summary'!J53</f>
        <v>8.8210000000000025E-2</v>
      </c>
      <c r="AG62" s="372"/>
      <c r="AH62" s="374"/>
      <c r="AI62" s="1258"/>
      <c r="AJ62" s="373">
        <f>L62+'Rates in summary'!K53</f>
        <v>9.4840000000000022E-2</v>
      </c>
      <c r="AK62" s="372"/>
      <c r="AL62" s="374"/>
      <c r="AM62" s="373">
        <f>'Rates in summary'!O53</f>
        <v>0</v>
      </c>
      <c r="AN62" s="372"/>
      <c r="AO62" s="577"/>
      <c r="AP62" s="122">
        <f>'Rates in Detail'!W52+'Rates in Detail'!Z52</f>
        <v>8.8120000000000018E-2</v>
      </c>
      <c r="AQ62" s="372"/>
      <c r="AR62" s="577"/>
      <c r="AS62" s="373">
        <f>'Rates in summary'!P53</f>
        <v>9.6590000000000009E-2</v>
      </c>
      <c r="AT62" s="372"/>
      <c r="AU62" s="374"/>
      <c r="AV62" s="1263"/>
      <c r="BA62" s="893" t="s">
        <v>367</v>
      </c>
      <c r="BB62" s="662">
        <f>M93</f>
        <v>10526.67</v>
      </c>
      <c r="BC62" s="372">
        <f>AG93</f>
        <v>11683.4</v>
      </c>
      <c r="BF62" s="1284">
        <f t="shared" si="66"/>
        <v>1156.7299999999996</v>
      </c>
      <c r="BG62" s="1286">
        <f t="shared" si="67"/>
        <v>0.10988565234779846</v>
      </c>
      <c r="BH62" s="662">
        <f>O93</f>
        <v>11683.4</v>
      </c>
      <c r="BI62" s="372">
        <f>AT93</f>
        <v>12539.52</v>
      </c>
      <c r="BL62" s="1284">
        <f t="shared" si="68"/>
        <v>856.1200000000008</v>
      </c>
      <c r="BM62" s="1286">
        <f t="shared" si="69"/>
        <v>7.3276614684081753E-2</v>
      </c>
      <c r="BN62" s="293" t="s">
        <v>137</v>
      </c>
    </row>
    <row r="63" spans="1:66" x14ac:dyDescent="0.2">
      <c r="A63" s="86">
        <f t="shared" si="14"/>
        <v>56</v>
      </c>
      <c r="B63" s="725"/>
      <c r="C63" s="875" t="s">
        <v>8</v>
      </c>
      <c r="D63" s="299">
        <f>'WA Volumes &amp; Revenues'!E55</f>
        <v>1492257</v>
      </c>
      <c r="E63" s="299">
        <f>'WA Volumes &amp; Revenues'!F55</f>
        <v>1426372</v>
      </c>
      <c r="F63" s="299">
        <v>600000</v>
      </c>
      <c r="G63" s="300"/>
      <c r="H63" s="300"/>
      <c r="I63" s="879"/>
      <c r="J63" s="372"/>
      <c r="K63" s="122">
        <f>+'Rates in summary'!D54</f>
        <v>5.1250000000000004E-2</v>
      </c>
      <c r="L63" s="122">
        <f>+'Rates in summary'!J54</f>
        <v>5.8790000000000002E-2</v>
      </c>
      <c r="M63" s="372"/>
      <c r="N63" s="372"/>
      <c r="O63" s="966"/>
      <c r="P63" s="966"/>
      <c r="Q63" s="373">
        <f>'Rates in summary'!H54-'Rates in summary'!F54</f>
        <v>6.0020000000000004E-2</v>
      </c>
      <c r="R63" s="372"/>
      <c r="S63" s="374"/>
      <c r="T63" s="373">
        <f>'Rates in summary'!I54</f>
        <v>0</v>
      </c>
      <c r="U63" s="372"/>
      <c r="V63" s="577"/>
      <c r="W63" s="373">
        <f>'Rates in Detail'!J53+'Rates in Detail'!P53</f>
        <v>5.0600000000000006E-2</v>
      </c>
      <c r="X63" s="372"/>
      <c r="Y63" s="577"/>
      <c r="Z63" s="373">
        <f>'Rates in Detail'!J53+'Rates in Detail'!S53</f>
        <v>5.1250000000000004E-2</v>
      </c>
      <c r="AA63" s="372"/>
      <c r="AB63" s="577"/>
      <c r="AC63" s="122">
        <f>'Rates in Detail'!J53+'Rates in Detail'!T53</f>
        <v>5.0020000000000002E-2</v>
      </c>
      <c r="AD63" s="372"/>
      <c r="AE63" s="577"/>
      <c r="AF63" s="373">
        <f>'Rates in summary'!J54</f>
        <v>5.8790000000000002E-2</v>
      </c>
      <c r="AG63" s="372"/>
      <c r="AH63" s="374"/>
      <c r="AI63" s="1258"/>
      <c r="AJ63" s="373">
        <f>L63+'Rates in summary'!K54</f>
        <v>6.3210000000000002E-2</v>
      </c>
      <c r="AK63" s="372"/>
      <c r="AL63" s="374"/>
      <c r="AM63" s="373">
        <f>'Rates in summary'!O54</f>
        <v>0</v>
      </c>
      <c r="AN63" s="372"/>
      <c r="AO63" s="577"/>
      <c r="AP63" s="122">
        <f>'Rates in Detail'!W53+'Rates in Detail'!Z53</f>
        <v>5.8730000000000004E-2</v>
      </c>
      <c r="AQ63" s="372"/>
      <c r="AR63" s="577"/>
      <c r="AS63" s="373">
        <f>'Rates in summary'!P54</f>
        <v>6.4379999999999993E-2</v>
      </c>
      <c r="AT63" s="372"/>
      <c r="AU63" s="374"/>
      <c r="AV63" s="1263"/>
      <c r="BA63" s="893" t="s">
        <v>56</v>
      </c>
      <c r="BB63" s="662">
        <f t="shared" ref="BB63:BB65" si="74">M94</f>
        <v>38000</v>
      </c>
      <c r="BC63" s="372">
        <f>AG94</f>
        <v>38000</v>
      </c>
      <c r="BF63" s="1284">
        <f t="shared" si="66"/>
        <v>0</v>
      </c>
      <c r="BG63" s="1286">
        <f t="shared" si="67"/>
        <v>0</v>
      </c>
      <c r="BH63" s="662">
        <f>O94</f>
        <v>38000</v>
      </c>
      <c r="BI63" s="372">
        <f>AT94</f>
        <v>38000</v>
      </c>
      <c r="BL63" s="1284">
        <f t="shared" si="68"/>
        <v>0</v>
      </c>
      <c r="BM63" s="1286">
        <f t="shared" si="69"/>
        <v>0</v>
      </c>
      <c r="BN63" s="293" t="s">
        <v>137</v>
      </c>
    </row>
    <row r="64" spans="1:66" x14ac:dyDescent="0.2">
      <c r="A64" s="86">
        <f t="shared" si="14"/>
        <v>57</v>
      </c>
      <c r="B64" s="725"/>
      <c r="C64" s="875" t="s">
        <v>9</v>
      </c>
      <c r="D64" s="299">
        <f>'WA Volumes &amp; Revenues'!E56</f>
        <v>0</v>
      </c>
      <c r="E64" s="299">
        <f>'WA Volumes &amp; Revenues'!F56</f>
        <v>0</v>
      </c>
      <c r="F64" s="371" t="s">
        <v>74</v>
      </c>
      <c r="G64" s="300"/>
      <c r="H64" s="300"/>
      <c r="I64" s="879"/>
      <c r="J64" s="372"/>
      <c r="K64" s="122">
        <f>+'Rates in summary'!D55</f>
        <v>1.9220000000000001E-2</v>
      </c>
      <c r="L64" s="122">
        <f>+'Rates in summary'!J55</f>
        <v>2.2050000000000004E-2</v>
      </c>
      <c r="M64" s="372"/>
      <c r="N64" s="372"/>
      <c r="O64" s="966"/>
      <c r="P64" s="966"/>
      <c r="Q64" s="373">
        <f>'Rates in summary'!H55-'Rates in summary'!F55</f>
        <v>2.2510000000000002E-2</v>
      </c>
      <c r="R64" s="372"/>
      <c r="S64" s="374"/>
      <c r="T64" s="373">
        <f>'Rates in summary'!I55</f>
        <v>0</v>
      </c>
      <c r="U64" s="372"/>
      <c r="V64" s="577"/>
      <c r="W64" s="373">
        <f>'Rates in Detail'!J54+'Rates in Detail'!P54</f>
        <v>1.898E-2</v>
      </c>
      <c r="X64" s="372"/>
      <c r="Y64" s="577"/>
      <c r="Z64" s="373">
        <f>'Rates in Detail'!J54+'Rates in Detail'!S54</f>
        <v>1.9220000000000001E-2</v>
      </c>
      <c r="AA64" s="372"/>
      <c r="AB64" s="577"/>
      <c r="AC64" s="122">
        <f>'Rates in Detail'!J54+'Rates in Detail'!T54</f>
        <v>1.8760000000000002E-2</v>
      </c>
      <c r="AD64" s="372"/>
      <c r="AE64" s="577"/>
      <c r="AF64" s="373">
        <f>'Rates in summary'!J55</f>
        <v>2.2050000000000004E-2</v>
      </c>
      <c r="AG64" s="372"/>
      <c r="AH64" s="374"/>
      <c r="AI64" s="1258"/>
      <c r="AJ64" s="373">
        <f>L64+'Rates in summary'!K55</f>
        <v>2.3710000000000002E-2</v>
      </c>
      <c r="AK64" s="372"/>
      <c r="AL64" s="374"/>
      <c r="AM64" s="373">
        <f>'Rates in summary'!O55</f>
        <v>0</v>
      </c>
      <c r="AN64" s="372"/>
      <c r="AO64" s="577"/>
      <c r="AP64" s="122">
        <f>'Rates in Detail'!W54+'Rates in Detail'!Z54</f>
        <v>2.2030000000000004E-2</v>
      </c>
      <c r="AQ64" s="372"/>
      <c r="AR64" s="577"/>
      <c r="AS64" s="373">
        <f>'Rates in summary'!P55</f>
        <v>2.4150000000000001E-2</v>
      </c>
      <c r="AT64" s="372"/>
      <c r="AU64" s="374"/>
      <c r="AV64" s="1263"/>
      <c r="BA64" s="893" t="s">
        <v>348</v>
      </c>
      <c r="BB64" s="662">
        <f t="shared" si="74"/>
        <v>38000</v>
      </c>
      <c r="BC64" s="372">
        <f>AG95</f>
        <v>38000</v>
      </c>
      <c r="BF64" s="1284">
        <f t="shared" si="66"/>
        <v>0</v>
      </c>
      <c r="BG64" s="1286">
        <f t="shared" si="67"/>
        <v>0</v>
      </c>
      <c r="BH64" s="662">
        <f>O95</f>
        <v>38000</v>
      </c>
      <c r="BI64" s="372">
        <f>AT95</f>
        <v>38000</v>
      </c>
      <c r="BL64" s="1284">
        <f t="shared" si="68"/>
        <v>0</v>
      </c>
      <c r="BM64" s="1286">
        <f t="shared" si="69"/>
        <v>0</v>
      </c>
      <c r="BN64" s="293" t="s">
        <v>137</v>
      </c>
    </row>
    <row r="65" spans="1:65" x14ac:dyDescent="0.2">
      <c r="A65" s="86">
        <f t="shared" si="14"/>
        <v>58</v>
      </c>
      <c r="B65" s="723"/>
      <c r="C65" s="876" t="s">
        <v>78</v>
      </c>
      <c r="D65" s="375"/>
      <c r="E65" s="375"/>
      <c r="F65" s="376"/>
      <c r="G65" s="377"/>
      <c r="H65" s="377"/>
      <c r="I65" s="880"/>
      <c r="J65" s="379"/>
      <c r="K65" s="378"/>
      <c r="L65" s="378"/>
      <c r="M65" s="379">
        <f>$I59+ROUND(IF($G59&lt;$F59,($G59*K59),IF($G59&lt;SUM($F59:$F60),(($F59*K59)+(($G59-$F59)*K60)),IF($G59&lt;SUM($F59:$F61),(($F59*K59)+($F60*K60)+(($G59-$F59-$F60)*K61)),IF($G59&lt;SUM($F59:$F62),(($F59*K59)+($F60*K60)+($F61*K61)+(($G59-SUM($F59:$F61))*K62)),IF($G59&lt;SUM($F59:$F63),(($F59*K59)+($F60*K60)+($F61*K61)+($F62*K62)+(($G59-SUM($F59:$F62))*K63)),(($F59*K59)+($F60*K60)+($F61*K61)+($F62*K61)+($F63*K63)+(($G59-SUM($F59:$F63))*K64))))))),2)</f>
        <v>8406.39</v>
      </c>
      <c r="N65" s="379">
        <f>$I59+ROUND(IF($H59&lt;$F59,($H59*K59),IF($H59&lt;SUM($F59:$F60),(($F59*K59)+(($H59-$F59)*K60)),IF($H59&lt;SUM($F59:$F61),(($F59*K59)+($F60*K60)+(($H59-$F59-$F60)*K61)),IF($H59&lt;SUM($F59:$F62),(($F59*K59)+($F60*K60)+($F61*K61)+(($H59-SUM($F59:$F61))*K62)),IF($H59&lt;SUM($F59:$F63),(($F59*K59)+($F60*K60)+($F61*K61)+($F62*K62)+(($H59-SUM($F59:$F62))*K63)),(($F59*K59)+($F60*K60)+($F61*K61)+($F62*K61)+($F63*K63)+(($H59-SUM($F59:$F63))*K64))))))),2)</f>
        <v>8386.869999999999</v>
      </c>
      <c r="O65" s="379">
        <f>$I59+ROUND(IF($G59&lt;$F59,($G59*L59),IF($G59&lt;SUM($F59:$F60),(($F59*L59)+(($G59-$F59)*L60)),IF($G59&lt;SUM($F59:$F61),(($F59*L59)+($F60*L60)+(($G59-$F59-$F60)*L61)),IF($G59&lt;SUM($F59:$F62),(($F59*L59)+($F60*L60)+($F61*L61)+(($G59-SUM($F59:$F61))*L62)),IF($G59&lt;SUM($F59:$F63),(($F59*L59)+($F60*L60)+($F61*L61)+($F62*L62)+(($G59-SUM($F59:$F62))*L63)),(($F59*L59)+($F60*L60)+($F61*L61)+($F62*L61)+($F63*L63)+(($G59-SUM($F59:$F63))*L64))))))),2)</f>
        <v>9416.02</v>
      </c>
      <c r="P65" s="379">
        <f>$I59+ROUND(IF($H59&lt;$F59,($H59*L59),IF($H59&lt;SUM($F59:$F60),(($F59*L59)+(($H59-$F59)*L60)),IF($H59&lt;SUM($F59:$F61),(($F59*L59)+($F60*L60)+(($H59-$F59-$F60)*L61)),IF($H59&lt;SUM($F59:$F62),(($F59*L59)+($F60*L60)+($F61*L61)+(($H59-SUM($F59:$F61))*L62)),IF($H59&lt;SUM($F59:$F63),(($F59*L59)+($F60*L60)+($F61*L61)+($F62*L62)+(($H59-SUM($F59:$F62))*L63)),(($F59*L59)+($F60*L60)+($F61*L61)+($F62*L61)+($F63*L63)+(($H59-SUM($F59:$F63))*L64))))))),2)</f>
        <v>9393.619999999999</v>
      </c>
      <c r="Q65" s="381"/>
      <c r="R65" s="379">
        <f>$J59+ROUND(IF($G59&lt;$F59,($G59*Q59),IF($G59&lt;SUM($F59:$F60),(($F59*Q59)+(($G59-$F59)*Q60)),IF($G59&lt;SUM($F59:$F61),(($F59*Q59)+($F60*Q60)+(($G59-$F59-$F60)*Q61)),IF($G59&lt;SUM($F59:$F62),(($F59*Q59)+($F60*Q60)+($F61*Q61)+(($G59-SUM($F59:$F61))*Q62)),IF($G59&lt;SUM($F59:$F63),(($F59*Q59)+($F60*Q60)+($F61*Q61)+($F62*Q62)+(($G59-SUM($F59:$F62))*Q63)),(($F59*Q59)+($F60*Q60)+($F61*Q61)+($F62*Q61)+($F63*Q63)+(($G59-SUM($F59:$F63))*Q64))))))),2)</f>
        <v>9580.23</v>
      </c>
      <c r="S65" s="382">
        <f>ROUND((R65-M65)/M65,3)</f>
        <v>0.14000000000000001</v>
      </c>
      <c r="T65" s="380"/>
      <c r="U65" s="379">
        <f>$I59+ROUND(IF($H59&lt;$F59,($H59*T59),IF($H59&lt;SUM($F59:$F60),(($F59*T59)+(($H59-$F59)*T60)),IF($H59&lt;SUM($F59:$F61),(($F59*T59)+($F60*T60)+(($H59-$F59-$F60)*T61)),IF($H59&lt;SUM($F59:$F62),(($F59*T59)+($F60*T60)+($F61*T61)+(($H59-SUM($F59:$F61))*T62)),IF($H59&lt;SUM($F59:$F63),(($F59*T59)+($F60*T60)+($F61*T61)+($F62*T62)+(($H59-SUM($F59:$F62))*T63)),(($F59*T59)+($F60*T60)+($F61*T61)+($F62*T61)+($F63*T63)+(($H59-SUM($F59:$F63))*T64))))))),2)</f>
        <v>1550</v>
      </c>
      <c r="V65" s="578">
        <f>ROUND((U65-N65)/N65,3)</f>
        <v>-0.81499999999999995</v>
      </c>
      <c r="W65" s="380"/>
      <c r="X65" s="379">
        <f>$I59+ROUND(IF($H59&lt;$F59,($H59*W59),IF($H59&lt;SUM($F59:$F60),(($F59*W59)+(($H59-$F59)*W60)),IF($H59&lt;SUM($F59:$F61),(($F59*W59)+($F60*W60)+(($H59-$F59-$F60)*W61)),IF($H59&lt;SUM($F59:$F62),(($F59*W59)+($F60*W60)+($F61*W61)+(($H59-SUM($F59:$F61))*W62)),IF($H59&lt;SUM($F59:$F63),(($F59*W59)+($F60*W60)+($F61*W61)+($F62*W62)+(($H59-SUM($F59:$F62))*W63)),(($F59*W59)+($F60*W60)+($F61*W61)+($F62*W61)+($F63*W63)+(($H59-SUM($F59:$F63))*W64))))))),2)</f>
        <v>8300.24</v>
      </c>
      <c r="Y65" s="578">
        <f t="shared" ref="Y65" si="75">ROUND(($X65-$M65)/$M65,3)</f>
        <v>-1.2999999999999999E-2</v>
      </c>
      <c r="Z65" s="380"/>
      <c r="AA65" s="379">
        <f>$I59+ROUND(IF($H59&lt;$F59,($H59*Z59),IF($H59&lt;SUM($F59:$F60),(($F59*Z59)+(($H59-$F59)*Z60)),IF($H59&lt;SUM($F59:$F61),(($F59*Z59)+($F60*Z60)+(($H59-$F59-$F60)*Z61)),IF($H59&lt;SUM($F59:$F62),(($F59*Z59)+($F60*Z60)+($F61*Z61)+(($H59-SUM($F59:$F61))*Z62)),IF($H59&lt;SUM($F59:$F63),(($F59*Z59)+($F60*Z60)+($F61*Z61)+($F62*Z62)+(($H59-SUM($F59:$F62))*Z63)),(($F59*Z59)+($F60*Z60)+($F61*Z61)+($F62*Z61)+($F63*Z63)+(($H59-SUM($F59:$F63))*Z64))))))),2)</f>
        <v>8386.869999999999</v>
      </c>
      <c r="AB65" s="578">
        <f>ROUND(($AA65-$M65)/$M65,3)</f>
        <v>-2E-3</v>
      </c>
      <c r="AC65" s="379"/>
      <c r="AD65" s="379">
        <f>$I59+ROUND(IF($H59&lt;$F59,($H59*AC59),IF($H59&lt;SUM($F59:$F60),(($F59*AC59)+(($H59-$F59)*AC60)),IF($H59&lt;SUM($F59:$F61),(($F59*AC59)+($F60*AC60)+(($H59-$F59-$F60)*AC61)),IF($H59&lt;SUM($F59:$F62),(($F59*AC59)+($F60*AC60)+($F61*AC61)+(($H59-SUM($F59:$F61))*AC62)),IF($H59&lt;SUM($F59:$F63),(($F59*AC59)+($F60*AC60)+($F61*AC61)+($F62*AC62)+(($H59-SUM($F59:$F62))*AC63)),(($F59*AC59)+($F60*AC60)+($F61*AC61)+($F62*AC61)+($F63*AC63)+(($H59-SUM($F59:$F63))*AC64))))))),2)</f>
        <v>8223.119999999999</v>
      </c>
      <c r="AE65" s="578">
        <f>ROUND(($AD65-$M65)/$M65,3)</f>
        <v>-2.1999999999999999E-2</v>
      </c>
      <c r="AF65" s="381"/>
      <c r="AG65" s="379">
        <f>$J59+ROUND(IF($G59&lt;$F59,($G59*AF59),IF($G59&lt;SUM($F59:$F60),(($F59*AF59)+(($G59-$F59)*AF60)),IF($G59&lt;SUM($F59:$F61),(($F59*AF59)+($F60*AF60)+(($G59-$F59-$F60)*AF61)),IF($G59&lt;SUM($F59:$F62),(($F59*AF59)+($F60*AF60)+($F61*AF61)+(($G59-SUM($F59:$F61))*AF62)),IF($G59&lt;SUM($F59:$F63),(($F59*AF59)+($F60*AF60)+($F61*AF61)+($F62*AF62)+(($G59-SUM($F59:$F62))*AF63)),(($F59*AF59)+($F60*AF60)+($F61*AF61)+($F62*AF61)+($F63*AF63)+(($G59-SUM($F59:$F63))*AF64))))))),2)</f>
        <v>9416.02</v>
      </c>
      <c r="AH65" s="382">
        <f>ROUND((AG65-M65)/M65,3)</f>
        <v>0.12</v>
      </c>
      <c r="AI65" s="1259">
        <f t="shared" si="47"/>
        <v>1009.630000000001</v>
      </c>
      <c r="AJ65" s="381"/>
      <c r="AK65" s="379">
        <f>$J59+ROUND(IF($G59&lt;$F59,($G59*AJ59),IF($G59&lt;SUM($F59:$F60),(($F59*AJ59)+(($G59-$F59)*AJ60)),IF($G59&lt;SUM($F59:$F61),(($F59*AJ59)+($F60*AJ60)+(($G59-$F59-$F60)*AJ61)),IF($G59&lt;SUM($F59:$F62),(($F59*AJ59)+($F60*AJ60)+($F61*AJ61)+(($G59-SUM($F59:$F61))*AJ62)),IF($G59&lt;SUM($F59:$F63),(($F59*AJ59)+($F60*AJ60)+($F61*AJ61)+($F62*AJ62)+(($G59-SUM($F59:$F62))*AJ63)),(($F59*AJ59)+($F60*AJ60)+($F61*AJ61)+($F62*AJ61)+($F63*AJ63)+(($G59-SUM($F59:$F63))*AJ64))))))),2)</f>
        <v>10006.99</v>
      </c>
      <c r="AL65" s="382">
        <f>ROUND((AK65-O65)/O65,3)</f>
        <v>6.3E-2</v>
      </c>
      <c r="AM65" s="380"/>
      <c r="AN65" s="379">
        <f>$I59+ROUND(IF($H59&lt;$F59,($H59*AM59),IF($H59&lt;SUM($F59:$F60),(($F59*AM59)+(($H59-$F59)*AM60)),IF($H59&lt;SUM($F59:$F61),(($F59*AM59)+($F60*AM60)+(($H59-$F59-$F60)*AM61)),IF($H59&lt;SUM($F59:$F62),(($F59*AM59)+($F60*AM60)+($F61*AM61)+(($H59-SUM($F59:$F61))*AM62)),IF($H59&lt;SUM($F59:$F63),(($F59*AM59)+($F60*AM60)+($F61*AM61)+($F62*AM62)+(($H59-SUM($F59:$F62))*AM63)),(($F59*AM59)+($F60*AM60)+($F61*AM61)+($F62*AM61)+($F63*AM63)+(($H59-SUM($F59:$F63))*AM64))))))),2)</f>
        <v>1550</v>
      </c>
      <c r="AO65" s="578">
        <f>ROUND((AN65-P65)/P65,3)</f>
        <v>-0.83499999999999996</v>
      </c>
      <c r="AP65" s="379"/>
      <c r="AQ65" s="379">
        <f>$I59+ROUND(IF($H59&lt;$F59,($H59*AP59),IF($H59&lt;SUM($F59:$F60),(($F59*AP59)+(($H59-$F59)*AP60)),IF($H59&lt;SUM($F59:$F61),(($F59*AP59)+($F60*AP60)+(($H59-$F59-$F60)*AP61)),IF($H59&lt;SUM($F59:$F62),(($F59*AP59)+($F60*AP60)+($F61*AP61)+(($H59-SUM($F59:$F61))*AP62)),IF($H59&lt;SUM($F59:$F63),(($F59*AP59)+($F60*AP60)+($F61*AP61)+($F62*AP62)+(($H59-SUM($F59:$F62))*AP63)),(($F59*AP59)+($F60*AP60)+($F61*AP61)+($F62*AP61)+($F63*AP63)+(($H59-SUM($F59:$F63))*AP64))))))),2)</f>
        <v>9385.33</v>
      </c>
      <c r="AR65" s="578">
        <f>ROUND(($AQ65-$O65)/$O65,3)</f>
        <v>-3.0000000000000001E-3</v>
      </c>
      <c r="AS65" s="381"/>
      <c r="AT65" s="379">
        <f>$J59+ROUND(IF($G59&lt;$F59,($G59*AS59),IF($G59&lt;SUM($F59:$F60),(($F59*AS59)+(($G59-$F59)*AS60)),IF($G59&lt;SUM($F59:$F61),(($F59*AS59)+($F60*AS60)+(($G59-$F59-$F60)*AS61)),IF($G59&lt;SUM($F59:$F62),(($F59*AS59)+($F60*AS60)+($F61*AS61)+(($G59-SUM($F59:$F61))*AS62)),IF($G59&lt;SUM($F59:$F63),(($F59*AS59)+($F60*AS60)+($F61*AS61)+($F62*AS62)+(($G59-SUM($F59:$F62))*AS63)),(($F59*AS59)+($F60*AS60)+($F61*AS61)+($F62*AS61)+($F63*AS63)+(($G59-SUM($F59:$F63))*AS64))))))),2)</f>
        <v>10162.89</v>
      </c>
      <c r="AU65" s="382">
        <f>ROUND((AT65-O65)/O65,3)</f>
        <v>7.9000000000000001E-2</v>
      </c>
      <c r="AV65" s="1264">
        <f t="shared" si="51"/>
        <v>746.86999999999898</v>
      </c>
      <c r="AW65" s="370"/>
      <c r="AX65" s="370"/>
      <c r="AY65" s="370"/>
      <c r="AZ65" s="370"/>
      <c r="BA65" s="894" t="s">
        <v>391</v>
      </c>
      <c r="BB65" s="661">
        <f t="shared" si="74"/>
        <v>0</v>
      </c>
      <c r="BC65" s="367">
        <f>AG96</f>
        <v>0</v>
      </c>
      <c r="BD65" s="1153"/>
      <c r="BE65" s="1153"/>
      <c r="BF65" s="1287">
        <f t="shared" si="66"/>
        <v>0</v>
      </c>
      <c r="BG65" s="1288" t="e">
        <f t="shared" si="67"/>
        <v>#DIV/0!</v>
      </c>
      <c r="BH65" s="661">
        <f>O96</f>
        <v>0</v>
      </c>
      <c r="BI65" s="367">
        <f>AT96</f>
        <v>0</v>
      </c>
      <c r="BJ65" s="1153"/>
      <c r="BK65" s="1153"/>
      <c r="BL65" s="1287">
        <f t="shared" si="68"/>
        <v>0</v>
      </c>
      <c r="BM65" s="1288" t="e">
        <f t="shared" si="69"/>
        <v>#DIV/0!</v>
      </c>
    </row>
    <row r="66" spans="1:65" x14ac:dyDescent="0.2">
      <c r="A66" s="86">
        <f t="shared" si="14"/>
        <v>59</v>
      </c>
      <c r="B66" s="725" t="str">
        <f>'WA Volumes &amp; Revenues'!B57</f>
        <v>42C Interr Sales</v>
      </c>
      <c r="C66" s="875" t="s">
        <v>4</v>
      </c>
      <c r="D66" s="299">
        <f>'WA Volumes &amp; Revenues'!E57</f>
        <v>240000</v>
      </c>
      <c r="E66" s="299">
        <f>'WA Volumes &amp; Revenues'!F57</f>
        <v>239999</v>
      </c>
      <c r="F66" s="299">
        <v>10000</v>
      </c>
      <c r="G66" s="300">
        <f>+'WA Volumes &amp; Revenues'!I57</f>
        <v>39322</v>
      </c>
      <c r="H66" s="300">
        <f>'WA Volumes &amp; Revenues'!L57</f>
        <v>39641</v>
      </c>
      <c r="I66" s="879">
        <f>'WA Volumes &amp; Revenues'!O57</f>
        <v>1300</v>
      </c>
      <c r="J66" s="372">
        <f>'WA Volumes &amp; Revenues'!N57</f>
        <v>1300</v>
      </c>
      <c r="K66" s="122">
        <f>+'Rates in summary'!D56</f>
        <v>0.42349000000000003</v>
      </c>
      <c r="L66" s="122">
        <f>+'Rates in summary'!J56</f>
        <v>0.43857000000000002</v>
      </c>
      <c r="M66" s="372"/>
      <c r="N66" s="372"/>
      <c r="O66" s="966"/>
      <c r="P66" s="966"/>
      <c r="Q66" s="373">
        <f>'Rates in summary'!H56-'Rates in summary'!F56</f>
        <v>0.44835000000000003</v>
      </c>
      <c r="R66" s="372"/>
      <c r="S66" s="374"/>
      <c r="T66" s="373">
        <f>'Rates in summary'!I56</f>
        <v>0</v>
      </c>
      <c r="U66" s="372"/>
      <c r="V66" s="577"/>
      <c r="W66" s="373">
        <f>'Rates in Detail'!J55+'Rates in Detail'!P55</f>
        <v>0.42165000000000002</v>
      </c>
      <c r="X66" s="372"/>
      <c r="Y66" s="577"/>
      <c r="Z66" s="373">
        <f>'Rates in Detail'!J55+'Rates in Detail'!S55</f>
        <v>0.41719000000000006</v>
      </c>
      <c r="AA66" s="372"/>
      <c r="AB66" s="577"/>
      <c r="AC66" s="122">
        <f>'Rates in Detail'!J55+'Rates in Detail'!T55</f>
        <v>0.42001000000000005</v>
      </c>
      <c r="AD66" s="372"/>
      <c r="AE66" s="577"/>
      <c r="AF66" s="373">
        <f>'Rates in summary'!J56</f>
        <v>0.43857000000000002</v>
      </c>
      <c r="AG66" s="372"/>
      <c r="AH66" s="374"/>
      <c r="AI66" s="1258"/>
      <c r="AJ66" s="373">
        <f>L66+'Rates in summary'!K56</f>
        <v>0.45108999999999999</v>
      </c>
      <c r="AK66" s="372"/>
      <c r="AL66" s="374"/>
      <c r="AM66" s="373">
        <f>'Rates in summary'!O56</f>
        <v>0</v>
      </c>
      <c r="AN66" s="372"/>
      <c r="AO66" s="577"/>
      <c r="AP66" s="122">
        <f>'Rates in Detail'!W55+'Rates in Detail'!Z55</f>
        <v>0.43839</v>
      </c>
      <c r="AQ66" s="372"/>
      <c r="AR66" s="577"/>
      <c r="AS66" s="373">
        <f>'Rates in summary'!P56</f>
        <v>0.46068999999999999</v>
      </c>
      <c r="AT66" s="372"/>
      <c r="AU66" s="374"/>
      <c r="AV66" s="1263"/>
      <c r="BF66" s="654"/>
    </row>
    <row r="67" spans="1:65" x14ac:dyDescent="0.2">
      <c r="A67" s="86">
        <f t="shared" si="14"/>
        <v>60</v>
      </c>
      <c r="B67" s="725"/>
      <c r="C67" s="875" t="s">
        <v>5</v>
      </c>
      <c r="D67" s="299">
        <f>'WA Volumes &amp; Revenues'!E58</f>
        <v>467511</v>
      </c>
      <c r="E67" s="299">
        <f>'WA Volumes &amp; Revenues'!F58</f>
        <v>454151</v>
      </c>
      <c r="F67" s="299">
        <v>20000</v>
      </c>
      <c r="G67" s="383"/>
      <c r="H67" s="383"/>
      <c r="I67" s="881"/>
      <c r="J67" s="660"/>
      <c r="K67" s="122">
        <f>+'Rates in summary'!D57</f>
        <v>0.40679999999999994</v>
      </c>
      <c r="L67" s="122">
        <f>+'Rates in summary'!J57</f>
        <v>0.42029999999999995</v>
      </c>
      <c r="M67" s="372"/>
      <c r="N67" s="372"/>
      <c r="O67" s="966"/>
      <c r="P67" s="966"/>
      <c r="Q67" s="373">
        <f>'Rates in summary'!H57-'Rates in summary'!F57</f>
        <v>0.42905999999999994</v>
      </c>
      <c r="R67" s="372"/>
      <c r="S67" s="374"/>
      <c r="T67" s="373">
        <f>'Rates in summary'!I57</f>
        <v>0</v>
      </c>
      <c r="U67" s="372"/>
      <c r="V67" s="577"/>
      <c r="W67" s="373">
        <f>'Rates in Detail'!J56+'Rates in Detail'!P56</f>
        <v>0.40515999999999996</v>
      </c>
      <c r="X67" s="372"/>
      <c r="Y67" s="577"/>
      <c r="Z67" s="373">
        <f>'Rates in Detail'!J56+'Rates in Detail'!S56</f>
        <v>0.40115999999999996</v>
      </c>
      <c r="AA67" s="372"/>
      <c r="AB67" s="577"/>
      <c r="AC67" s="122">
        <f>'Rates in Detail'!J56+'Rates in Detail'!T56</f>
        <v>0.40367999999999993</v>
      </c>
      <c r="AD67" s="372"/>
      <c r="AE67" s="577"/>
      <c r="AF67" s="373">
        <f>'Rates in summary'!J57</f>
        <v>0.42029999999999995</v>
      </c>
      <c r="AG67" s="372"/>
      <c r="AH67" s="374"/>
      <c r="AI67" s="1258"/>
      <c r="AJ67" s="373">
        <f>L67+'Rates in summary'!K57</f>
        <v>0.43150999999999995</v>
      </c>
      <c r="AK67" s="372"/>
      <c r="AL67" s="374"/>
      <c r="AM67" s="373">
        <f>'Rates in summary'!O57</f>
        <v>0</v>
      </c>
      <c r="AN67" s="372"/>
      <c r="AO67" s="577"/>
      <c r="AP67" s="122">
        <f>'Rates in Detail'!W56+'Rates in Detail'!Z56</f>
        <v>0.42014000000000001</v>
      </c>
      <c r="AQ67" s="372"/>
      <c r="AR67" s="577"/>
      <c r="AS67" s="373">
        <f>'Rates in summary'!P57</f>
        <v>0.44010999999999995</v>
      </c>
      <c r="AT67" s="372"/>
      <c r="AU67" s="374"/>
      <c r="AV67" s="1263"/>
    </row>
    <row r="68" spans="1:65" x14ac:dyDescent="0.2">
      <c r="A68" s="86">
        <f t="shared" si="14"/>
        <v>61</v>
      </c>
      <c r="B68" s="725"/>
      <c r="C68" s="875" t="s">
        <v>6</v>
      </c>
      <c r="D68" s="299">
        <f>'WA Volumes &amp; Revenues'!E59</f>
        <v>218004</v>
      </c>
      <c r="E68" s="299">
        <f>'WA Volumes &amp; Revenues'!F59</f>
        <v>230285</v>
      </c>
      <c r="F68" s="299">
        <v>20000</v>
      </c>
      <c r="G68" s="383"/>
      <c r="H68" s="383"/>
      <c r="I68" s="881"/>
      <c r="J68" s="660"/>
      <c r="K68" s="122">
        <f>+'Rates in summary'!D58</f>
        <v>0.37361</v>
      </c>
      <c r="L68" s="122">
        <f>+'Rates in summary'!J58</f>
        <v>0.38396999999999998</v>
      </c>
      <c r="M68" s="372"/>
      <c r="N68" s="372"/>
      <c r="O68" s="966"/>
      <c r="P68" s="966"/>
      <c r="Q68" s="373">
        <f>'Rates in summary'!H58-'Rates in summary'!F58</f>
        <v>0.39067999999999997</v>
      </c>
      <c r="R68" s="372"/>
      <c r="S68" s="374"/>
      <c r="T68" s="373">
        <f>'Rates in summary'!I58</f>
        <v>0</v>
      </c>
      <c r="U68" s="372"/>
      <c r="V68" s="577"/>
      <c r="W68" s="373">
        <f>'Rates in Detail'!J57+'Rates in Detail'!P57</f>
        <v>0.37235000000000001</v>
      </c>
      <c r="X68" s="372"/>
      <c r="Y68" s="577"/>
      <c r="Z68" s="373">
        <f>'Rates in Detail'!J57+'Rates in Detail'!S57</f>
        <v>0.36929000000000001</v>
      </c>
      <c r="AA68" s="372"/>
      <c r="AB68" s="577"/>
      <c r="AC68" s="122">
        <f>'Rates in Detail'!J57+'Rates in Detail'!T57</f>
        <v>0.37121999999999999</v>
      </c>
      <c r="AD68" s="372"/>
      <c r="AE68" s="577"/>
      <c r="AF68" s="373">
        <f>'Rates in summary'!J58</f>
        <v>0.38396999999999998</v>
      </c>
      <c r="AG68" s="372"/>
      <c r="AH68" s="374"/>
      <c r="AI68" s="1258"/>
      <c r="AJ68" s="373">
        <f>L68+'Rates in summary'!K58</f>
        <v>0.39255999999999996</v>
      </c>
      <c r="AK68" s="372"/>
      <c r="AL68" s="374"/>
      <c r="AM68" s="373">
        <f>'Rates in summary'!O58</f>
        <v>0</v>
      </c>
      <c r="AN68" s="372"/>
      <c r="AO68" s="577"/>
      <c r="AP68" s="122">
        <f>'Rates in Detail'!W57+'Rates in Detail'!Z57</f>
        <v>0.38385000000000002</v>
      </c>
      <c r="AQ68" s="372"/>
      <c r="AR68" s="577"/>
      <c r="AS68" s="373">
        <f>'Rates in summary'!P58</f>
        <v>0.39914999999999995</v>
      </c>
      <c r="AT68" s="372"/>
      <c r="AU68" s="374"/>
      <c r="AV68" s="1263"/>
      <c r="BF68" s="655"/>
    </row>
    <row r="69" spans="1:65" x14ac:dyDescent="0.2">
      <c r="A69" s="86">
        <f t="shared" si="14"/>
        <v>62</v>
      </c>
      <c r="B69" s="725"/>
      <c r="C69" s="875" t="s">
        <v>7</v>
      </c>
      <c r="D69" s="299">
        <f>'WA Volumes &amp; Revenues'!E60</f>
        <v>18208</v>
      </c>
      <c r="E69" s="299">
        <f>'WA Volumes &amp; Revenues'!F60</f>
        <v>26942</v>
      </c>
      <c r="F69" s="299">
        <v>100000</v>
      </c>
      <c r="G69" s="383"/>
      <c r="H69" s="383"/>
      <c r="I69" s="881"/>
      <c r="J69" s="660"/>
      <c r="K69" s="122">
        <f>+'Rates in summary'!D59</f>
        <v>0.35180000000000006</v>
      </c>
      <c r="L69" s="122">
        <f>+'Rates in summary'!J59</f>
        <v>0.36008000000000007</v>
      </c>
      <c r="M69" s="372"/>
      <c r="N69" s="372"/>
      <c r="O69" s="966"/>
      <c r="P69" s="966"/>
      <c r="Q69" s="373">
        <f>'Rates in summary'!H59-'Rates in summary'!F59</f>
        <v>0.36545000000000005</v>
      </c>
      <c r="R69" s="372"/>
      <c r="S69" s="374"/>
      <c r="T69" s="373">
        <f>'Rates in summary'!I59</f>
        <v>0</v>
      </c>
      <c r="U69" s="372"/>
      <c r="V69" s="577"/>
      <c r="W69" s="373">
        <f>'Rates in Detail'!J58+'Rates in Detail'!P58</f>
        <v>0.35079000000000005</v>
      </c>
      <c r="X69" s="372"/>
      <c r="Y69" s="577"/>
      <c r="Z69" s="373">
        <f>'Rates in Detail'!J58+'Rates in Detail'!S58</f>
        <v>0.34834000000000004</v>
      </c>
      <c r="AA69" s="372"/>
      <c r="AB69" s="577"/>
      <c r="AC69" s="122">
        <f>'Rates in Detail'!J58+'Rates in Detail'!T58</f>
        <v>0.34989000000000003</v>
      </c>
      <c r="AD69" s="372"/>
      <c r="AE69" s="577"/>
      <c r="AF69" s="373">
        <f>'Rates in summary'!J59</f>
        <v>0.36008000000000007</v>
      </c>
      <c r="AG69" s="372"/>
      <c r="AH69" s="374"/>
      <c r="AI69" s="1258"/>
      <c r="AJ69" s="373">
        <f>L69+'Rates in summary'!K59</f>
        <v>0.36696000000000006</v>
      </c>
      <c r="AK69" s="372"/>
      <c r="AL69" s="374"/>
      <c r="AM69" s="373">
        <f>'Rates in summary'!O59</f>
        <v>0</v>
      </c>
      <c r="AN69" s="372"/>
      <c r="AO69" s="577"/>
      <c r="AP69" s="122">
        <f>'Rates in Detail'!W58+'Rates in Detail'!Z58</f>
        <v>0.35998000000000008</v>
      </c>
      <c r="AQ69" s="372"/>
      <c r="AR69" s="577"/>
      <c r="AS69" s="373">
        <f>'Rates in summary'!P59</f>
        <v>0.37223000000000006</v>
      </c>
      <c r="AT69" s="372"/>
      <c r="AU69" s="374"/>
      <c r="AV69" s="1263"/>
    </row>
    <row r="70" spans="1:65" x14ac:dyDescent="0.2">
      <c r="A70" s="86">
        <f t="shared" si="14"/>
        <v>63</v>
      </c>
      <c r="B70" s="725"/>
      <c r="C70" s="875" t="s">
        <v>8</v>
      </c>
      <c r="D70" s="299">
        <f>'WA Volumes &amp; Revenues'!E61</f>
        <v>0</v>
      </c>
      <c r="E70" s="299">
        <f>'WA Volumes &amp; Revenues'!F61</f>
        <v>0</v>
      </c>
      <c r="F70" s="299">
        <v>600000</v>
      </c>
      <c r="G70" s="383"/>
      <c r="H70" s="383"/>
      <c r="I70" s="881"/>
      <c r="J70" s="660"/>
      <c r="K70" s="122">
        <f>+'Rates in summary'!D60</f>
        <v>0.32268999999999998</v>
      </c>
      <c r="L70" s="122">
        <f>+'Rates in summary'!J60</f>
        <v>0.32821999999999996</v>
      </c>
      <c r="M70" s="372"/>
      <c r="N70" s="372"/>
      <c r="O70" s="966"/>
      <c r="P70" s="966"/>
      <c r="Q70" s="373">
        <f>'Rates in summary'!H60-'Rates in summary'!F60</f>
        <v>0.33179999999999998</v>
      </c>
      <c r="R70" s="372"/>
      <c r="S70" s="374"/>
      <c r="T70" s="373">
        <f>'Rates in summary'!I60</f>
        <v>0</v>
      </c>
      <c r="U70" s="372"/>
      <c r="V70" s="577"/>
      <c r="W70" s="373">
        <f>'Rates in Detail'!J59+'Rates in Detail'!P59</f>
        <v>0.32201999999999997</v>
      </c>
      <c r="X70" s="372"/>
      <c r="Y70" s="577"/>
      <c r="Z70" s="373">
        <f>'Rates in Detail'!J59+'Rates in Detail'!S59</f>
        <v>0.32038</v>
      </c>
      <c r="AA70" s="372"/>
      <c r="AB70" s="577"/>
      <c r="AC70" s="122">
        <f>'Rates in Detail'!J59+'Rates in Detail'!T59</f>
        <v>0.32141999999999998</v>
      </c>
      <c r="AD70" s="372"/>
      <c r="AE70" s="577"/>
      <c r="AF70" s="373">
        <f>'Rates in summary'!J60</f>
        <v>0.32821999999999996</v>
      </c>
      <c r="AG70" s="372"/>
      <c r="AH70" s="374"/>
      <c r="AI70" s="1258"/>
      <c r="AJ70" s="373">
        <f>L70+'Rates in summary'!K60</f>
        <v>0.33279999999999993</v>
      </c>
      <c r="AK70" s="372"/>
      <c r="AL70" s="374"/>
      <c r="AM70" s="373">
        <f>'Rates in summary'!O60</f>
        <v>0</v>
      </c>
      <c r="AN70" s="372"/>
      <c r="AO70" s="577"/>
      <c r="AP70" s="122">
        <f>'Rates in Detail'!W59+'Rates in Detail'!Z59</f>
        <v>0.32815999999999995</v>
      </c>
      <c r="AQ70" s="372"/>
      <c r="AR70" s="577"/>
      <c r="AS70" s="373">
        <f>'Rates in summary'!P60</f>
        <v>0.33631999999999995</v>
      </c>
      <c r="AT70" s="372"/>
      <c r="AU70" s="374"/>
      <c r="AV70" s="1263"/>
      <c r="BF70" s="655"/>
    </row>
    <row r="71" spans="1:65" x14ac:dyDescent="0.2">
      <c r="A71" s="86">
        <f t="shared" si="14"/>
        <v>64</v>
      </c>
      <c r="B71" s="725"/>
      <c r="C71" s="875" t="s">
        <v>9</v>
      </c>
      <c r="D71" s="299">
        <f>'WA Volumes &amp; Revenues'!E62</f>
        <v>0</v>
      </c>
      <c r="E71" s="299">
        <f>'WA Volumes &amp; Revenues'!F62</f>
        <v>0</v>
      </c>
      <c r="F71" s="371" t="s">
        <v>74</v>
      </c>
      <c r="G71" s="383"/>
      <c r="H71" s="383"/>
      <c r="I71" s="881"/>
      <c r="J71" s="660"/>
      <c r="K71" s="122">
        <f>+'Rates in summary'!D61</f>
        <v>0.28632000000000002</v>
      </c>
      <c r="L71" s="122">
        <f>+'Rates in summary'!J61</f>
        <v>0.28838999999999998</v>
      </c>
      <c r="M71" s="372"/>
      <c r="N71" s="372"/>
      <c r="O71" s="966"/>
      <c r="P71" s="966"/>
      <c r="Q71" s="373">
        <f>'Rates in summary'!H61-'Rates in summary'!F61</f>
        <v>0.28974</v>
      </c>
      <c r="R71" s="372"/>
      <c r="S71" s="374"/>
      <c r="T71" s="373">
        <f>'Rates in summary'!I61</f>
        <v>0</v>
      </c>
      <c r="U71" s="372"/>
      <c r="V71" s="577"/>
      <c r="W71" s="373">
        <f>'Rates in Detail'!J60+'Rates in Detail'!P60</f>
        <v>0.28607000000000005</v>
      </c>
      <c r="X71" s="372"/>
      <c r="Y71" s="577"/>
      <c r="Z71" s="373">
        <f>'Rates in Detail'!J60+'Rates in Detail'!S60</f>
        <v>0.28545000000000004</v>
      </c>
      <c r="AA71" s="372"/>
      <c r="AB71" s="577"/>
      <c r="AC71" s="122">
        <f>'Rates in Detail'!J60+'Rates in Detail'!T60</f>
        <v>0.28584000000000004</v>
      </c>
      <c r="AD71" s="372"/>
      <c r="AE71" s="577"/>
      <c r="AF71" s="373">
        <f>'Rates in summary'!J61</f>
        <v>0.28838999999999998</v>
      </c>
      <c r="AG71" s="372"/>
      <c r="AH71" s="374"/>
      <c r="AI71" s="1258"/>
      <c r="AJ71" s="373">
        <f>L71+'Rates in summary'!K61</f>
        <v>0.29010999999999998</v>
      </c>
      <c r="AK71" s="372"/>
      <c r="AL71" s="374"/>
      <c r="AM71" s="373">
        <f>'Rates in summary'!O61</f>
        <v>0</v>
      </c>
      <c r="AN71" s="372"/>
      <c r="AO71" s="577"/>
      <c r="AP71" s="122">
        <f>'Rates in Detail'!W60+'Rates in Detail'!Z60</f>
        <v>0.28836999999999996</v>
      </c>
      <c r="AQ71" s="372"/>
      <c r="AR71" s="577"/>
      <c r="AS71" s="373">
        <f>'Rates in summary'!P61</f>
        <v>0.29143999999999998</v>
      </c>
      <c r="AT71" s="372"/>
      <c r="AU71" s="374"/>
      <c r="AV71" s="1263"/>
    </row>
    <row r="72" spans="1:65" x14ac:dyDescent="0.2">
      <c r="A72" s="86">
        <f t="shared" si="14"/>
        <v>65</v>
      </c>
      <c r="B72" s="723"/>
      <c r="C72" s="876" t="s">
        <v>78</v>
      </c>
      <c r="D72" s="375"/>
      <c r="E72" s="375"/>
      <c r="F72" s="376"/>
      <c r="G72" s="377"/>
      <c r="H72" s="377"/>
      <c r="I72" s="880"/>
      <c r="J72" s="379"/>
      <c r="K72" s="378"/>
      <c r="L72" s="378"/>
      <c r="M72" s="379">
        <f>$I66+ROUND(IF($G66&lt;$F66,($G66*K66),IF($G66&lt;SUM($F66:$F67),(($F66*K66)+(($G66-$F66)*K67)),IF($G66&lt;SUM($F66:$F68),(($F66*K66)+($F67*K67)+(($G66-$F66-$F67)*K68)),IF($G66&lt;SUM($F66:$F69),(($F66*K66)+($F67*K67)+($F68*K68)+(($G66-SUM($F66:$F68))*K69)),IF($G66&lt;SUM($F66:$F70),(($F66*K66)+($F67*K67)+($F68*K68)+($F69*K69)+(($G66-SUM($F66:$F69))*K70)),(($F66*K66)+($F67*K67)+($F68*K68)+($F69*K68)+($F70*K70)+(($G66-SUM($F66:$F70))*K71))))))),2)</f>
        <v>17153.690000000002</v>
      </c>
      <c r="N72" s="379">
        <f>$I66+ROUND(IF($H66&lt;$F66,($H66*K66),IF($H66&lt;SUM($F66:$F67),(($F66*K66)+(($H66-$F66)*K67)),IF($H66&lt;SUM($F66:$F68),(($F66*K66)+($F67*K67)+(($H66-$F66-$F67)*K68)),IF($H66&lt;SUM($F66:$F69),(($F66*K66)+($F67*K67)+($F68*K68)+(($H66-SUM($F66:$F68))*K69)),IF($H66&lt;SUM($F66:$F70),(($F66*K66)+($F67*K67)+($F68*K68)+($F69*K69)+(($H66-SUM($F66:$F69))*K70)),(($F66*K66)+($F67*K67)+($F68*K68)+($F69*K68)+($F70*K70)+(($H66-SUM($F66:$F70))*K71))))))),2)</f>
        <v>17272.870000000003</v>
      </c>
      <c r="O72" s="379">
        <f>$I66+ROUND(IF($G66&lt;$F66,($G66*L66),IF($G66&lt;SUM($F66:$F67),(($F66*L66)+(($G66-$F66)*L67)),IF($G66&lt;SUM($F66:$F68),(($F66*L66)+($F67*L67)+(($G66-$F66-$F67)*L68)),IF($G66&lt;SUM($F66:$F69),(($F66*L66)+($F67*L67)+($F68*L68)+(($G66-SUM($F66:$F68))*L69)),IF($G66&lt;SUM($F66:$F70),(($F66*L66)+($F67*L67)+($F68*L68)+($F69*L69)+(($G66-SUM($F66:$F69))*L70)),(($F66*L66)+($F67*L67)+($F68*L68)+($F69*L68)+($F70*L70)+(($G66-SUM($F66:$F70))*L71))))))),2)</f>
        <v>17671.07</v>
      </c>
      <c r="P72" s="379">
        <f>$I66+ROUND(IF($H66&lt;$F66,($H66*L66),IF($H66&lt;SUM($F66:$F67),(($F66*L66)+(($H66-$F66)*L67)),IF($H66&lt;SUM($F66:$F68),(($F66*L66)+($F67*L67)+(($H66-$F66-$F67)*L68)),IF($H66&lt;SUM($F66:$F69),(($F66*L66)+($F67*L67)+($F68*L68)+(($H66-SUM($F66:$F68))*L69)),IF($H66&lt;SUM($F66:$F70),(($F66*L66)+($F67*L67)+($F68*L68)+($F69*L69)+(($H66-SUM($F66:$F69))*L70)),(($F66*L66)+($F67*L67)+($F68*L68)+($F69*L68)+($F70*L70)+(($H66-SUM($F66:$F70))*L71))))))),2)</f>
        <v>17793.55</v>
      </c>
      <c r="Q72" s="381"/>
      <c r="R72" s="379">
        <f>$J66+ROUND(IF($G66&lt;$F66,($G66*Q66),IF($G66&lt;SUM($F66:$F67),(($F66*Q66)+(($G66-$F66)*Q67)),IF($G66&lt;SUM($F66:$F68),(($F66*Q66)+($F67*Q67)+(($G66-$F66-$F67)*Q68)),IF($G66&lt;SUM($F66:$F69),(($F66*Q66)+($F67*Q67)+($F68*Q68)+(($G66-SUM($F66:$F68))*Q69)),IF($G66&lt;SUM($F66:$F70),(($F66*Q66)+($F67*Q67)+($F68*Q68)+($F69*Q69)+(($G66-SUM($F66:$F69))*Q70)),(($F66*Q66)+($F67*Q67)+($F68*Q68)+($F69*Q68)+($F70*Q70)+(($G66-SUM($F66:$F70))*Q71))))))),2)</f>
        <v>18006.62</v>
      </c>
      <c r="S72" s="382">
        <f>ROUND((R72-M72)/M72,3)</f>
        <v>0.05</v>
      </c>
      <c r="T72" s="380"/>
      <c r="U72" s="379">
        <f>$I66+ROUND(IF($H66&lt;$F66,($H66*T66),IF($H66&lt;SUM($F66:$F67),(($F66*T66)+(($H66-$F66)*T67)),IF($H66&lt;SUM($F66:$F68),(($F66*T66)+($F67*T67)+(($H66-$F66-$F67)*T68)),IF($H66&lt;SUM($F66:$F69),(($F66*T66)+($F67*T67)+($F68*T68)+(($H66-SUM($F66:$F68))*T69)),IF($H66&lt;SUM($F66:$F70),(($F66*T66)+($F67*T67)+($F68*T68)+($F69*T69)+(($H66-SUM($F66:$F69))*T70)),(($F66*T66)+($F67*T67)+($F68*T68)+($F69*T68)+($F70*T70)+(($H66-SUM($F66:$F70))*T71))))))),2)</f>
        <v>1300</v>
      </c>
      <c r="V72" s="578">
        <f>ROUND((U72-N72)/N72,3)</f>
        <v>-0.92500000000000004</v>
      </c>
      <c r="W72" s="380"/>
      <c r="X72" s="379">
        <f>$J66+ROUND(IF($G66&lt;$F66,($G66*W66),IF($G66&lt;SUM($F66:$F67),(($F66*W66)+(($G66-$F66)*W67)),IF($G66&lt;SUM($F66:$F68),(($F66*W66)+($F67*W67)+(($G66-$F66-$F67)*W68)),IF($G66&lt;SUM($F66:$F69),(($F66*W66)+($F67*W67)+($F68*W68)+(($G66-SUM($F66:$F68))*W69)),IF($G66&lt;SUM($F66:$F70),(($F66*W66)+($F67*W67)+($F68*W68)+($F69*W69)+(($G66-SUM($F66:$F69))*W70)),(($F66*W66)+($F67*W67)+($F68*W68)+($F69*W68)+($F70*W70)+(($G66-SUM($F66:$F70))*W71))))))),2)</f>
        <v>17090.75</v>
      </c>
      <c r="Y72" s="578">
        <f t="shared" ref="Y72" si="76">ROUND(($X72-$M72)/$M72,3)</f>
        <v>-4.0000000000000001E-3</v>
      </c>
      <c r="Z72" s="380"/>
      <c r="AA72" s="379">
        <f>$J66+ROUND(IF($G66&lt;$F66,($G66*Z66),IF($G66&lt;SUM($F66:$F67),(($F66*Z66)+(($G66-$F66)*Z67)),IF($G66&lt;SUM($F66:$F68),(($F66*Z66)+($F67*Z67)+(($G66-$F66-$F67)*Z68)),IF($G66&lt;SUM($F66:$F69),(($F66*Z66)+($F67*Z67)+($F68*Z68)+(($G66-SUM($F66:$F68))*Z69)),IF($G66&lt;SUM($F66:$F70),(($F66*Z66)+($F67*Z67)+($F68*Z68)+($F69*Z69)+(($G66-SUM($F66:$F69))*Z70)),(($F66*Z66)+($F67*Z67)+($F68*Z68)+($F69*Z68)+($F70*Z70)+(($G66-SUM($F66:$F70))*Z71))))))),2)</f>
        <v>16937.620000000003</v>
      </c>
      <c r="AB72" s="578">
        <f>ROUND(($AA72-$M72)/$M72,3)</f>
        <v>-1.2999999999999999E-2</v>
      </c>
      <c r="AC72" s="379"/>
      <c r="AD72" s="379">
        <f>$J66+ROUND(IF($G66&lt;$F66,($G66*AC66),IF($G66&lt;SUM($F66:$F67),(($F66*AC66)+(($G66-$F66)*AC67)),IF($G66&lt;SUM($F66:$F68),(($F66*AC66)+($F67*AC67)+(($G66-$F66-$F67)*AC68)),IF($G66&lt;SUM($F66:$F69),(($F66*AC66)+($F67*AC67)+($F68*AC68)+(($G66-SUM($F66:$F68))*AC69)),IF($G66&lt;SUM($F66:$F70),(($F66*AC66)+($F67*AC67)+($F68*AC68)+($F69*AC69)+(($G66-SUM($F66:$F69))*AC70)),(($F66*AC66)+($F67*AC67)+($F68*AC68)+($F69*AC68)+($F70*AC70)+(($G66-SUM($F66:$F70))*AC71))))))),2)</f>
        <v>17034.21</v>
      </c>
      <c r="AE72" s="578">
        <f>ROUND(($AD72-$M72)/$M72,3)</f>
        <v>-7.0000000000000001E-3</v>
      </c>
      <c r="AF72" s="381"/>
      <c r="AG72" s="379">
        <f>$J66+ROUND(IF($G66&lt;$F66,($G66*AF66),IF($G66&lt;SUM($F66:$F67),(($F66*AF66)+(($G66-$F66)*AF67)),IF($G66&lt;SUM($F66:$F68),(($F66*AF66)+($F67*AF67)+(($G66-$F66-$F67)*AF68)),IF($G66&lt;SUM($F66:$F69),(($F66*AF66)+($F67*AF67)+($F68*AF68)+(($G66-SUM($F66:$F68))*AF69)),IF($G66&lt;SUM($F66:$F70),(($F66*AF66)+($F67*AF67)+($F68*AF68)+($F69*AF69)+(($G66-SUM($F66:$F69))*AF70)),(($F66*AF66)+($F67*AF67)+($F68*AF68)+($F69*AF68)+($F70*AF70)+(($G66-SUM($F66:$F70))*AF71))))))),2)</f>
        <v>17671.07</v>
      </c>
      <c r="AH72" s="382">
        <f>ROUND((AG72-M72)/M72,3)</f>
        <v>0.03</v>
      </c>
      <c r="AI72" s="1259">
        <f t="shared" si="47"/>
        <v>517.37999999999738</v>
      </c>
      <c r="AJ72" s="381"/>
      <c r="AK72" s="379">
        <f>$J66+ROUND(IF($G66&lt;$F66,($G66*AJ66),IF($G66&lt;SUM($F66:$F67),(($F66*AJ66)+(($G66-$F66)*AJ67)),IF($G66&lt;SUM($F66:$F68),(($F66*AJ66)+($F67*AJ67)+(($G66-$F66-$F67)*AJ68)),IF($G66&lt;SUM($F66:$F69),(($F66*AJ66)+($F67*AJ67)+($F68*AJ68)+(($G66-SUM($F66:$F68))*AJ69)),IF($G66&lt;SUM($F66:$F70),(($F66*AJ66)+($F67*AJ67)+($F68*AJ68)+($F69*AJ69)+(($G66-SUM($F66:$F69))*AJ70)),(($F66*AJ66)+($F67*AJ67)+($F68*AJ68)+($F69*AJ68)+($F70*AJ70)+(($G66-SUM($F66:$F70))*AJ71))))))),2)</f>
        <v>18100.54</v>
      </c>
      <c r="AL72" s="382">
        <f>ROUND((AK72-O72)/O72,3)</f>
        <v>2.4E-2</v>
      </c>
      <c r="AM72" s="380"/>
      <c r="AN72" s="379">
        <f>$I66+ROUND(IF($H66&lt;$F66,($H66*AM66),IF($H66&lt;SUM($F66:$F67),(($F66*AM66)+(($H66-$F66)*AM67)),IF($H66&lt;SUM($F66:$F68),(($F66*AM66)+($F67*AM67)+(($H66-$F66-$F67)*AM68)),IF($H66&lt;SUM($F66:$F69),(($F66*AM66)+($F67*AM67)+($F68*AM68)+(($H66-SUM($F66:$F68))*AM69)),IF($H66&lt;SUM($F66:$F70),(($F66*AM66)+($F67*AM67)+($F68*AM68)+($F69*AM69)+(($H66-SUM($F66:$F69))*AM70)),(($F66*AM66)+($F67*AM67)+($F68*AM68)+($F69*AM68)+($F70*AM70)+(($H66-SUM($F66:$F70))*AM71))))))),2)</f>
        <v>1300</v>
      </c>
      <c r="AO72" s="578">
        <f>ROUND((AN72-P72)/P72,3)</f>
        <v>-0.92700000000000005</v>
      </c>
      <c r="AP72" s="379"/>
      <c r="AQ72" s="379">
        <f>$J66+ROUND(IF($G66&lt;$F66,($G66*AP66),IF($G66&lt;SUM($F66:$F67),(($F66*AP66)+(($G66-$F66)*AP67)),IF($G66&lt;SUM($F66:$F68),(($F66*AP66)+($F67*AP67)+(($G66-$F66-$F67)*AP68)),IF($G66&lt;SUM($F66:$F69),(($F66*AP66)+($F67*AP67)+($F68*AP68)+(($G66-SUM($F66:$F68))*AP69)),IF($G66&lt;SUM($F66:$F70),(($F66*AP66)+($F67*AP67)+($F68*AP68)+($F69*AP69)+(($G66-SUM($F66:$F69))*AP70)),(($F66*AP66)+($F67*AP67)+($F68*AP68)+($F69*AP68)+($F70*AP70)+(($G66-SUM($F66:$F70))*AP71))))))),2)</f>
        <v>17664.95</v>
      </c>
      <c r="AR72" s="578">
        <f>ROUND(($AQ72-$O72)/$O72,3)</f>
        <v>0</v>
      </c>
      <c r="AS72" s="381"/>
      <c r="AT72" s="379">
        <f>$J66+ROUND(IF($G66&lt;$F66,($G66*AS66),IF($G66&lt;SUM($F66:$F67),(($F66*AS66)+(($G66-$F66)*AS67)),IF($G66&lt;SUM($F66:$F68),(($F66*AS66)+($F67*AS67)+(($G66-$F66-$F67)*AS68)),IF($G66&lt;SUM($F66:$F69),(($F66*AS66)+($F67*AS67)+($F68*AS68)+(($G66-SUM($F66:$F68))*AS69)),IF($G66&lt;SUM($F66:$F70),(($F66*AS66)+($F67*AS67)+($F68*AS68)+($F69*AS69)+(($G66-SUM($F66:$F69))*AS70)),(($F66*AS66)+($F67*AS67)+($F68*AS68)+($F69*AS68)+($F70*AS70)+(($G66-SUM($F66:$F70))*AS71))))))),2)</f>
        <v>18429.98</v>
      </c>
      <c r="AU72" s="382">
        <f>ROUND((AT72-O72)/O72,3)</f>
        <v>4.2999999999999997E-2</v>
      </c>
      <c r="AV72" s="1264">
        <f t="shared" si="51"/>
        <v>758.90999999999985</v>
      </c>
      <c r="AW72" s="370"/>
      <c r="AX72" s="370"/>
      <c r="AY72" s="370"/>
      <c r="AZ72" s="370"/>
    </row>
    <row r="73" spans="1:65" x14ac:dyDescent="0.2">
      <c r="A73" s="86">
        <f t="shared" si="14"/>
        <v>66</v>
      </c>
      <c r="B73" s="725" t="str">
        <f>'WA Volumes &amp; Revenues'!B63</f>
        <v>42I Interr Sales</v>
      </c>
      <c r="C73" s="875" t="s">
        <v>4</v>
      </c>
      <c r="D73" s="299">
        <f>'WA Volumes &amp; Revenues'!E63</f>
        <v>156740</v>
      </c>
      <c r="E73" s="299">
        <f>'WA Volumes &amp; Revenues'!F63</f>
        <v>160966</v>
      </c>
      <c r="F73" s="299">
        <v>10000</v>
      </c>
      <c r="G73" s="300">
        <f>+'WA Volumes &amp; Revenues'!I63</f>
        <v>13758</v>
      </c>
      <c r="H73" s="300">
        <f>'WA Volumes &amp; Revenues'!L63</f>
        <v>8520</v>
      </c>
      <c r="I73" s="879">
        <f>'WA Volumes &amp; Revenues'!O63</f>
        <v>1300</v>
      </c>
      <c r="J73" s="372">
        <f>'WA Volumes &amp; Revenues'!N63</f>
        <v>1300</v>
      </c>
      <c r="K73" s="122">
        <f>+'Rates in summary'!D62</f>
        <v>0.4161399999999999</v>
      </c>
      <c r="L73" s="122">
        <f>+'Rates in summary'!J62</f>
        <v>0.44563999999999987</v>
      </c>
      <c r="M73" s="372"/>
      <c r="N73" s="372"/>
      <c r="O73" s="966"/>
      <c r="P73" s="966"/>
      <c r="Q73" s="373">
        <f>'Rates in summary'!H62-'Rates in summary'!F62</f>
        <v>0.4504399999999999</v>
      </c>
      <c r="R73" s="372"/>
      <c r="S73" s="374"/>
      <c r="T73" s="373">
        <f>'Rates in summary'!I62</f>
        <v>0</v>
      </c>
      <c r="U73" s="372"/>
      <c r="V73" s="577"/>
      <c r="W73" s="373">
        <f>'Rates in Detail'!J61+'Rates in Detail'!P61</f>
        <v>0.41359999999999991</v>
      </c>
      <c r="X73" s="372"/>
      <c r="Y73" s="577"/>
      <c r="Z73" s="373">
        <f>'Rates in Detail'!J61+'Rates in Detail'!S61</f>
        <v>0.4161399999999999</v>
      </c>
      <c r="AA73" s="372"/>
      <c r="AB73" s="577"/>
      <c r="AC73" s="122">
        <f>'Rates in Detail'!J61+'Rates in Detail'!T61</f>
        <v>0.41133999999999987</v>
      </c>
      <c r="AD73" s="372"/>
      <c r="AE73" s="577"/>
      <c r="AF73" s="373">
        <f>'Rates in summary'!J62</f>
        <v>0.44563999999999987</v>
      </c>
      <c r="AG73" s="372"/>
      <c r="AH73" s="374"/>
      <c r="AI73" s="1258"/>
      <c r="AJ73" s="373">
        <f>L73+'Rates in summary'!K62</f>
        <v>0.46291999999999989</v>
      </c>
      <c r="AK73" s="372"/>
      <c r="AL73" s="374"/>
      <c r="AM73" s="373">
        <f>'Rates in summary'!O62</f>
        <v>0</v>
      </c>
      <c r="AN73" s="372"/>
      <c r="AO73" s="577"/>
      <c r="AP73" s="122">
        <f>'Rates in Detail'!W61+'Rates in Detail'!Z61</f>
        <v>0.44539999999999991</v>
      </c>
      <c r="AQ73" s="372"/>
      <c r="AR73" s="577"/>
      <c r="AS73" s="373">
        <f>'Rates in summary'!P62</f>
        <v>0.4674799999999999</v>
      </c>
      <c r="AT73" s="372"/>
      <c r="AU73" s="374"/>
      <c r="AV73" s="1263"/>
    </row>
    <row r="74" spans="1:65" x14ac:dyDescent="0.2">
      <c r="A74" s="86">
        <f t="shared" si="14"/>
        <v>67</v>
      </c>
      <c r="B74" s="725"/>
      <c r="C74" s="875" t="s">
        <v>5</v>
      </c>
      <c r="D74" s="299">
        <f>'WA Volumes &amp; Revenues'!E64</f>
        <v>159690</v>
      </c>
      <c r="E74" s="299">
        <f>'WA Volumes &amp; Revenues'!F64</f>
        <v>145741</v>
      </c>
      <c r="F74" s="299">
        <v>20000</v>
      </c>
      <c r="G74" s="300"/>
      <c r="H74" s="300"/>
      <c r="I74" s="879"/>
      <c r="J74" s="372"/>
      <c r="K74" s="122">
        <f>+'Rates in summary'!D63</f>
        <v>0.40022999999999992</v>
      </c>
      <c r="L74" s="122">
        <f>+'Rates in summary'!J63</f>
        <v>0.42663999999999991</v>
      </c>
      <c r="M74" s="372"/>
      <c r="N74" s="372"/>
      <c r="O74" s="966"/>
      <c r="P74" s="966"/>
      <c r="Q74" s="373">
        <f>'Rates in summary'!H63-'Rates in summary'!F63</f>
        <v>0.43093999999999993</v>
      </c>
      <c r="R74" s="372"/>
      <c r="S74" s="374"/>
      <c r="T74" s="373">
        <f>'Rates in summary'!I63</f>
        <v>0</v>
      </c>
      <c r="U74" s="372"/>
      <c r="V74" s="577"/>
      <c r="W74" s="373">
        <f>'Rates in Detail'!J62+'Rates in Detail'!P62</f>
        <v>0.39795999999999992</v>
      </c>
      <c r="X74" s="372"/>
      <c r="Y74" s="577"/>
      <c r="Z74" s="373">
        <f>'Rates in Detail'!J62+'Rates in Detail'!S62</f>
        <v>0.40022999999999992</v>
      </c>
      <c r="AA74" s="372"/>
      <c r="AB74" s="577"/>
      <c r="AC74" s="122">
        <f>'Rates in Detail'!J62+'Rates in Detail'!T62</f>
        <v>0.39592999999999989</v>
      </c>
      <c r="AD74" s="372"/>
      <c r="AE74" s="577"/>
      <c r="AF74" s="373">
        <f>'Rates in summary'!J63</f>
        <v>0.42663999999999991</v>
      </c>
      <c r="AG74" s="372"/>
      <c r="AH74" s="374"/>
      <c r="AI74" s="1258"/>
      <c r="AJ74" s="373">
        <f>L74+'Rates in summary'!K63</f>
        <v>0.44209999999999988</v>
      </c>
      <c r="AK74" s="372"/>
      <c r="AL74" s="374"/>
      <c r="AM74" s="373">
        <f>'Rates in summary'!O63</f>
        <v>0</v>
      </c>
      <c r="AN74" s="372"/>
      <c r="AO74" s="577"/>
      <c r="AP74" s="122">
        <f>'Rates in Detail'!W62+'Rates in Detail'!Z62</f>
        <v>0.42641999999999997</v>
      </c>
      <c r="AQ74" s="372"/>
      <c r="AR74" s="577"/>
      <c r="AS74" s="373">
        <f>'Rates in summary'!P63</f>
        <v>0.44617999999999991</v>
      </c>
      <c r="AT74" s="372"/>
      <c r="AU74" s="374"/>
      <c r="AV74" s="1263"/>
    </row>
    <row r="75" spans="1:65" x14ac:dyDescent="0.2">
      <c r="A75" s="86">
        <f t="shared" si="14"/>
        <v>68</v>
      </c>
      <c r="B75" s="725"/>
      <c r="C75" s="875" t="s">
        <v>6</v>
      </c>
      <c r="D75" s="299">
        <f>'WA Volumes &amp; Revenues'!E65</f>
        <v>0</v>
      </c>
      <c r="E75" s="299">
        <f>'WA Volumes &amp; Revenues'!F65</f>
        <v>0</v>
      </c>
      <c r="F75" s="299">
        <v>20000</v>
      </c>
      <c r="G75" s="300"/>
      <c r="H75" s="300"/>
      <c r="I75" s="879"/>
      <c r="J75" s="372"/>
      <c r="K75" s="122">
        <f>+'Rates in summary'!D64</f>
        <v>0.36857999999999996</v>
      </c>
      <c r="L75" s="122">
        <f>+'Rates in summary'!J64</f>
        <v>0.38882999999999995</v>
      </c>
      <c r="M75" s="372"/>
      <c r="N75" s="372"/>
      <c r="O75" s="966"/>
      <c r="P75" s="966"/>
      <c r="Q75" s="373">
        <f>'Rates in summary'!H64-'Rates in summary'!F64</f>
        <v>0.39212999999999998</v>
      </c>
      <c r="R75" s="372"/>
      <c r="S75" s="374"/>
      <c r="T75" s="373">
        <f>'Rates in summary'!I64</f>
        <v>0</v>
      </c>
      <c r="U75" s="372"/>
      <c r="V75" s="577"/>
      <c r="W75" s="373">
        <f>'Rates in Detail'!J63+'Rates in Detail'!P63</f>
        <v>0.36683999999999994</v>
      </c>
      <c r="X75" s="372"/>
      <c r="Y75" s="577"/>
      <c r="Z75" s="373">
        <f>'Rates in Detail'!J63+'Rates in Detail'!S63</f>
        <v>0.36857999999999996</v>
      </c>
      <c r="AA75" s="372"/>
      <c r="AB75" s="577"/>
      <c r="AC75" s="122">
        <f>'Rates in Detail'!J63+'Rates in Detail'!T63</f>
        <v>0.36527999999999994</v>
      </c>
      <c r="AD75" s="372"/>
      <c r="AE75" s="577"/>
      <c r="AF75" s="373">
        <f>'Rates in summary'!J64</f>
        <v>0.38882999999999995</v>
      </c>
      <c r="AG75" s="372"/>
      <c r="AH75" s="374"/>
      <c r="AI75" s="1258"/>
      <c r="AJ75" s="373">
        <f>L75+'Rates in summary'!K64</f>
        <v>0.40068999999999994</v>
      </c>
      <c r="AK75" s="372"/>
      <c r="AL75" s="374"/>
      <c r="AM75" s="373">
        <f>'Rates in summary'!O64</f>
        <v>0</v>
      </c>
      <c r="AN75" s="372"/>
      <c r="AO75" s="577"/>
      <c r="AP75" s="122">
        <f>'Rates in Detail'!W63+'Rates in Detail'!Z63</f>
        <v>0.38865999999999995</v>
      </c>
      <c r="AQ75" s="372"/>
      <c r="AR75" s="577"/>
      <c r="AS75" s="373">
        <f>'Rates in summary'!P64</f>
        <v>0.40381999999999996</v>
      </c>
      <c r="AT75" s="372"/>
      <c r="AU75" s="374"/>
      <c r="AV75" s="1263"/>
    </row>
    <row r="76" spans="1:65" x14ac:dyDescent="0.2">
      <c r="A76" s="86">
        <f t="shared" si="14"/>
        <v>69</v>
      </c>
      <c r="B76" s="725"/>
      <c r="C76" s="875" t="s">
        <v>7</v>
      </c>
      <c r="D76" s="299">
        <f>'WA Volumes &amp; Revenues'!E66</f>
        <v>0</v>
      </c>
      <c r="E76" s="299">
        <f>'WA Volumes &amp; Revenues'!F66</f>
        <v>0</v>
      </c>
      <c r="F76" s="299">
        <v>100000</v>
      </c>
      <c r="G76" s="300"/>
      <c r="H76" s="300"/>
      <c r="I76" s="879"/>
      <c r="J76" s="372"/>
      <c r="K76" s="122">
        <f>+'Rates in summary'!D65</f>
        <v>0.34777000000000002</v>
      </c>
      <c r="L76" s="122">
        <f>+'Rates in summary'!J65</f>
        <v>0.36397000000000007</v>
      </c>
      <c r="M76" s="372"/>
      <c r="N76" s="372"/>
      <c r="O76" s="966"/>
      <c r="P76" s="966"/>
      <c r="Q76" s="373">
        <f>'Rates in summary'!H65-'Rates in summary'!F65</f>
        <v>0.36661000000000005</v>
      </c>
      <c r="R76" s="372"/>
      <c r="S76" s="374"/>
      <c r="T76" s="373">
        <f>'Rates in summary'!I65</f>
        <v>0</v>
      </c>
      <c r="U76" s="372"/>
      <c r="V76" s="577"/>
      <c r="W76" s="373">
        <f>'Rates in Detail'!J64+'Rates in Detail'!P64</f>
        <v>0.34638000000000002</v>
      </c>
      <c r="X76" s="372"/>
      <c r="Y76" s="577"/>
      <c r="Z76" s="373">
        <f>'Rates in Detail'!J64+'Rates in Detail'!S64</f>
        <v>0.34777000000000002</v>
      </c>
      <c r="AA76" s="372"/>
      <c r="AB76" s="577"/>
      <c r="AC76" s="122">
        <f>'Rates in Detail'!J64+'Rates in Detail'!T64</f>
        <v>0.34513000000000005</v>
      </c>
      <c r="AD76" s="372"/>
      <c r="AE76" s="577"/>
      <c r="AF76" s="373">
        <f>'Rates in summary'!J65</f>
        <v>0.36397000000000007</v>
      </c>
      <c r="AG76" s="372"/>
      <c r="AH76" s="374"/>
      <c r="AI76" s="1258"/>
      <c r="AJ76" s="373">
        <f>L76+'Rates in summary'!K65</f>
        <v>0.37346000000000007</v>
      </c>
      <c r="AK76" s="372"/>
      <c r="AL76" s="374"/>
      <c r="AM76" s="373">
        <f>'Rates in summary'!O65</f>
        <v>0</v>
      </c>
      <c r="AN76" s="372"/>
      <c r="AO76" s="577"/>
      <c r="AP76" s="122">
        <f>'Rates in Detail'!W64+'Rates in Detail'!Z64</f>
        <v>0.36384</v>
      </c>
      <c r="AQ76" s="372"/>
      <c r="AR76" s="577"/>
      <c r="AS76" s="373">
        <f>'Rates in summary'!P65</f>
        <v>0.37597000000000003</v>
      </c>
      <c r="AT76" s="372"/>
      <c r="AU76" s="374"/>
      <c r="AV76" s="1263"/>
    </row>
    <row r="77" spans="1:65" x14ac:dyDescent="0.2">
      <c r="A77" s="86">
        <f t="shared" si="14"/>
        <v>70</v>
      </c>
      <c r="B77" s="725"/>
      <c r="C77" s="875" t="s">
        <v>8</v>
      </c>
      <c r="D77" s="299">
        <f>'WA Volumes &amp; Revenues'!E67</f>
        <v>0</v>
      </c>
      <c r="E77" s="299">
        <f>'WA Volumes &amp; Revenues'!F67</f>
        <v>0</v>
      </c>
      <c r="F77" s="299">
        <v>600000</v>
      </c>
      <c r="G77" s="300"/>
      <c r="H77" s="300"/>
      <c r="I77" s="879"/>
      <c r="J77" s="372"/>
      <c r="K77" s="122">
        <f>+'Rates in summary'!D66</f>
        <v>0.32002000000000003</v>
      </c>
      <c r="L77" s="122">
        <f>+'Rates in summary'!J66</f>
        <v>0.33082000000000006</v>
      </c>
      <c r="M77" s="372"/>
      <c r="N77" s="372"/>
      <c r="O77" s="966"/>
      <c r="P77" s="966"/>
      <c r="Q77" s="373">
        <f>'Rates in summary'!H66-'Rates in summary'!F66</f>
        <v>0.33258000000000004</v>
      </c>
      <c r="R77" s="372"/>
      <c r="S77" s="374"/>
      <c r="T77" s="373">
        <f>'Rates in summary'!I66</f>
        <v>0</v>
      </c>
      <c r="U77" s="372"/>
      <c r="V77" s="577"/>
      <c r="W77" s="373">
        <f>'Rates in Detail'!J65+'Rates in Detail'!P65</f>
        <v>0.31909000000000004</v>
      </c>
      <c r="X77" s="372"/>
      <c r="Y77" s="577"/>
      <c r="Z77" s="373">
        <f>'Rates in Detail'!J65+'Rates in Detail'!S65</f>
        <v>0.32002000000000003</v>
      </c>
      <c r="AA77" s="372"/>
      <c r="AB77" s="577"/>
      <c r="AC77" s="122">
        <f>'Rates in Detail'!J65+'Rates in Detail'!T65</f>
        <v>0.31826000000000004</v>
      </c>
      <c r="AD77" s="372"/>
      <c r="AE77" s="577"/>
      <c r="AF77" s="373">
        <f>'Rates in summary'!J66</f>
        <v>0.33082000000000006</v>
      </c>
      <c r="AG77" s="372"/>
      <c r="AH77" s="374"/>
      <c r="AI77" s="1258"/>
      <c r="AJ77" s="373">
        <f>L77+'Rates in summary'!K66</f>
        <v>0.33714000000000005</v>
      </c>
      <c r="AK77" s="372"/>
      <c r="AL77" s="374"/>
      <c r="AM77" s="373">
        <f>'Rates in summary'!O66</f>
        <v>0</v>
      </c>
      <c r="AN77" s="372"/>
      <c r="AO77" s="577"/>
      <c r="AP77" s="122">
        <f>'Rates in Detail'!W65+'Rates in Detail'!Z65</f>
        <v>0.33073000000000008</v>
      </c>
      <c r="AQ77" s="372"/>
      <c r="AR77" s="577"/>
      <c r="AS77" s="373">
        <f>'Rates in summary'!P66</f>
        <v>0.33881000000000006</v>
      </c>
      <c r="AT77" s="372"/>
      <c r="AU77" s="374"/>
      <c r="AV77" s="1263"/>
    </row>
    <row r="78" spans="1:65" x14ac:dyDescent="0.2">
      <c r="A78" s="86">
        <f t="shared" si="14"/>
        <v>71</v>
      </c>
      <c r="B78" s="725"/>
      <c r="C78" s="875" t="s">
        <v>9</v>
      </c>
      <c r="D78" s="299">
        <f>'WA Volumes &amp; Revenues'!E68</f>
        <v>0</v>
      </c>
      <c r="E78" s="299">
        <f>'WA Volumes &amp; Revenues'!F68</f>
        <v>0</v>
      </c>
      <c r="F78" s="371" t="s">
        <v>74</v>
      </c>
      <c r="G78" s="300"/>
      <c r="H78" s="300"/>
      <c r="I78" s="879"/>
      <c r="J78" s="372"/>
      <c r="K78" s="122">
        <f>+'Rates in summary'!D67</f>
        <v>0.2853</v>
      </c>
      <c r="L78" s="122">
        <f>+'Rates in summary'!J67</f>
        <v>0.28935</v>
      </c>
      <c r="M78" s="372"/>
      <c r="N78" s="372"/>
      <c r="O78" s="966"/>
      <c r="P78" s="966"/>
      <c r="Q78" s="373">
        <f>'Rates in summary'!H67-'Rates in summary'!F67</f>
        <v>0.29000999999999999</v>
      </c>
      <c r="R78" s="372"/>
      <c r="S78" s="374"/>
      <c r="T78" s="373">
        <f>'Rates in summary'!I67</f>
        <v>0</v>
      </c>
      <c r="U78" s="372"/>
      <c r="V78" s="577"/>
      <c r="W78" s="373">
        <f>'Rates in Detail'!J66+'Rates in Detail'!P66</f>
        <v>0.28494999999999998</v>
      </c>
      <c r="X78" s="372"/>
      <c r="Y78" s="577"/>
      <c r="Z78" s="373">
        <f>'Rates in Detail'!J66+'Rates in Detail'!S66</f>
        <v>0.2853</v>
      </c>
      <c r="AA78" s="372"/>
      <c r="AB78" s="577"/>
      <c r="AC78" s="122">
        <f>'Rates in Detail'!J66+'Rates in Detail'!T66</f>
        <v>0.28464</v>
      </c>
      <c r="AD78" s="372"/>
      <c r="AE78" s="577"/>
      <c r="AF78" s="373">
        <f>'Rates in summary'!J67</f>
        <v>0.28935</v>
      </c>
      <c r="AG78" s="372"/>
      <c r="AH78" s="374"/>
      <c r="AI78" s="1258"/>
      <c r="AJ78" s="373">
        <f>L78+'Rates in summary'!K67</f>
        <v>0.29171999999999998</v>
      </c>
      <c r="AK78" s="372"/>
      <c r="AL78" s="374"/>
      <c r="AM78" s="373">
        <f>'Rates in summary'!O67</f>
        <v>0</v>
      </c>
      <c r="AN78" s="372"/>
      <c r="AO78" s="577"/>
      <c r="AP78" s="122">
        <f>'Rates in Detail'!W66+'Rates in Detail'!Z66</f>
        <v>0.28932000000000002</v>
      </c>
      <c r="AQ78" s="372"/>
      <c r="AR78" s="577"/>
      <c r="AS78" s="373">
        <f>'Rates in summary'!P67</f>
        <v>0.29235</v>
      </c>
      <c r="AT78" s="372"/>
      <c r="AU78" s="374"/>
      <c r="AV78" s="1263"/>
    </row>
    <row r="79" spans="1:65" x14ac:dyDescent="0.2">
      <c r="A79" s="86">
        <f t="shared" si="14"/>
        <v>72</v>
      </c>
      <c r="B79" s="723"/>
      <c r="C79" s="876" t="s">
        <v>78</v>
      </c>
      <c r="D79" s="375"/>
      <c r="E79" s="375"/>
      <c r="F79" s="376"/>
      <c r="G79" s="377"/>
      <c r="H79" s="377"/>
      <c r="I79" s="880"/>
      <c r="J79" s="379"/>
      <c r="K79" s="378"/>
      <c r="L79" s="378"/>
      <c r="M79" s="379">
        <f>$I73+ROUND(IF($G73&lt;$F73,($G73*K73),IF($G73&lt;SUM($F73:$F74),(($F73*K73)+(($G73-$F73)*K74)),IF($G73&lt;SUM($F73:$F75),(($F73*K73)+($F74*K74)+(($G73-$F73-$F74)*K75)),IF($G73&lt;SUM($F73:$F76),(($F73*K73)+($F74*K74)+($F75*K75)+(($G73-SUM($F73:$F75))*K76)),IF($G73&lt;SUM($F73:$F77),(($F73*K73)+($F74*K74)+($F75*K75)+($F76*K76)+(($G73-SUM($F73:$F76))*K77)),(($F73*K73)+($F74*K74)+($F75*K75)+($F76*K75)+($F77*K77)+(($G73-SUM($F73:$F77))*K78))))))),2)</f>
        <v>6965.46</v>
      </c>
      <c r="N79" s="379">
        <f>$I73+ROUND(IF($H73&lt;$F73,($H73*K73),IF($H73&lt;SUM($F73:$F74),(($F73*K73)+(($H73-$F73)*K74)),IF($H73&lt;SUM($F73:$F75),(($F73*K73)+($F74*K74)+(($H73-$F73-$F74)*K75)),IF($H73&lt;SUM($F73:$F76),(($F73*K73)+($F74*K74)+($F75*K75)+(($H73-SUM($F73:$F75))*K76)),IF($H73&lt;SUM($F73:$F77),(($F73*K73)+($F74*K74)+($F75*K75)+($F76*K76)+(($H73-SUM($F73:$F76))*K77)),(($F73*K73)+($F74*K74)+($F75*K75)+($F76*K75)+($F77*K77)+(($H73-SUM($F73:$F77))*K78))))))),2)</f>
        <v>4845.51</v>
      </c>
      <c r="O79" s="379">
        <f>$I73+ROUND(IF($G73&lt;$F73,($G73*L73),IF($G73&lt;SUM($F73:$F74),(($F73*L73)+(($G73-$F73)*L74)),IF($G73&lt;SUM($F73:$F75),(($F73*L73)+($F74*L74)+(($G73-$F73-$F74)*L75)),IF($G73&lt;SUM($F73:$F76),(($F73*L73)+($F74*L74)+($F75*L75)+(($G73-SUM($F73:$F75))*L76)),IF($G73&lt;SUM($F73:$F77),(($F73*L73)+($F74*L74)+($F75*L75)+($F76*L76)+(($G73-SUM($F73:$F76))*L77)),(($F73*L73)+($F74*L74)+($F75*L75)+($F76*L75)+($F77*L77)+(($G73-SUM($F73:$F77))*L78))))))),2)</f>
        <v>7359.71</v>
      </c>
      <c r="P79" s="379">
        <f>$I73+ROUND(IF($H73&lt;$F73,($H73*L73),IF($H73&lt;SUM($F73:$F74),(($F73*L73)+(($H73-$F73)*L74)),IF($H73&lt;SUM($F73:$F75),(($F73*L73)+($F74*L74)+(($H73-$F73-$F74)*L75)),IF($H73&lt;SUM($F73:$F76),(($F73*L73)+($F74*L74)+($F75*L75)+(($H73-SUM($F73:$F75))*L76)),IF($H73&lt;SUM($F73:$F77),(($F73*L73)+($F74*L74)+($F75*L75)+($F76*L76)+(($H73-SUM($F73:$F76))*L77)),(($F73*L73)+($F74*L74)+($F75*L75)+($F76*L75)+($F77*L77)+(($H73-SUM($F73:$F77))*L78))))))),2)</f>
        <v>5096.8500000000004</v>
      </c>
      <c r="Q79" s="381"/>
      <c r="R79" s="379">
        <f>$J73+ROUND(IF($G73&lt;$F73,($G73*Q73),IF($G73&lt;SUM($F73:$F74),(($F73*Q73)+(($G73-$F73)*Q74)),IF($G73&lt;SUM($F73:$F75),(($F73*Q73)+($F74*Q74)+(($G73-$F73-$F74)*Q75)),IF($G73&lt;SUM($F73:$F76),(($F73*Q73)+($F74*Q74)+($F75*Q75)+(($G73-SUM($F73:$F75))*Q76)),IF($G73&lt;SUM($F73:$F77),(($F73*Q73)+($F74*Q74)+($F75*Q75)+($F76*Q76)+(($G73-SUM($F73:$F76))*Q77)),(($F73*Q73)+($F74*Q74)+($F75*Q75)+($F76*Q75)+($F77*Q77)+(($G73-SUM($F73:$F77))*Q78))))))),2)</f>
        <v>7423.87</v>
      </c>
      <c r="S79" s="382">
        <f>ROUND((R79-M79)/M79,3)</f>
        <v>6.6000000000000003E-2</v>
      </c>
      <c r="T79" s="380"/>
      <c r="U79" s="379">
        <f>$I73+ROUND(IF($H73&lt;$F73,($H73*T73),IF($H73&lt;SUM($F73:$F74),(($F73*T73)+(($H73-$F73)*T74)),IF($H73&lt;SUM($F73:$F75),(($F73*T73)+($F74*T74)+(($H73-$F73-$F74)*T75)),IF($H73&lt;SUM($F73:$F76),(($F73*T73)+($F74*T74)+($F75*T75)+(($H73-SUM($F73:$F75))*T76)),IF($H73&lt;SUM($F73:$F77),(($F73*T73)+($F74*T74)+($F75*T75)+($F76*T76)+(($H73-SUM($F73:$F76))*T77)),(($F73*T73)+($F74*T74)+($F75*T75)+($F76*T75)+($F77*T77)+(($H73-SUM($F73:$F77))*T78))))))),2)</f>
        <v>1300</v>
      </c>
      <c r="V79" s="578">
        <f>ROUND((U79-N79)/N79,3)</f>
        <v>-0.73199999999999998</v>
      </c>
      <c r="W79" s="380"/>
      <c r="X79" s="379">
        <f>$J73+ROUND(IF($G73&lt;$F73,($G73*W73),IF($G73&lt;SUM($F73:$F74),(($F73*W73)+(($G73-$F73)*W74)),IF($G73&lt;SUM($F73:$F75),(($F73*W73)+($F74*W74)+(($G73-$F73-$F74)*W75)),IF($G73&lt;SUM($F73:$F76),(($F73*W73)+($F74*W74)+($F75*W75)+(($G73-SUM($F73:$F75))*W76)),IF($G73&lt;SUM($F73:$F77),(($F73*W73)+($F74*W74)+($F75*W75)+($F76*W76)+(($G73-SUM($F73:$F76))*W77)),(($F73*W73)+($F74*W74)+($F75*W75)+($F76*W75)+($F77*W77)+(($G73-SUM($F73:$F77))*W78))))))),2)</f>
        <v>6931.53</v>
      </c>
      <c r="Y79" s="578">
        <f t="shared" ref="Y79" si="77">ROUND(($X79-$M79)/$M79,3)</f>
        <v>-5.0000000000000001E-3</v>
      </c>
      <c r="Z79" s="380"/>
      <c r="AA79" s="379">
        <f>$J73+ROUND(IF($G73&lt;$F73,($G73*Z73),IF($G73&lt;SUM($F73:$F74),(($F73*Z73)+(($G73-$F73)*Z74)),IF($G73&lt;SUM($F73:$F75),(($F73*Z73)+($F74*Z74)+(($G73-$F73-$F74)*Z75)),IF($G73&lt;SUM($F73:$F76),(($F73*Z73)+($F74*Z74)+($F75*Z75)+(($G73-SUM($F73:$F75))*Z76)),IF($G73&lt;SUM($F73:$F77),(($F73*Z73)+($F74*Z74)+($F75*Z75)+($F76*Z76)+(($G73-SUM($F73:$F76))*Z77)),(($F73*Z73)+($F74*Z74)+($F75*Z75)+($F76*Z75)+($F77*Z77)+(($G73-SUM($F73:$F77))*Z78))))))),2)</f>
        <v>6965.46</v>
      </c>
      <c r="AB79" s="578">
        <f>ROUND(($AA79-$M79)/$M79,3)</f>
        <v>0</v>
      </c>
      <c r="AC79" s="379"/>
      <c r="AD79" s="379">
        <f>$J73+ROUND(IF($G73&lt;$F73,($G73*AC73),IF($G73&lt;SUM($F73:$F74),(($F73*AC73)+(($G73-$F73)*AC74)),IF($G73&lt;SUM($F73:$F75),(($F73*AC73)+($F74*AC74)+(($G73-$F73-$F74)*AC75)),IF($G73&lt;SUM($F73:$F76),(($F73*AC73)+($F74*AC74)+($F75*AC75)+(($G73-SUM($F73:$F75))*AC76)),IF($G73&lt;SUM($F73:$F77),(($F73*AC73)+($F74*AC74)+($F75*AC75)+($F76*AC76)+(($G73-SUM($F73:$F76))*AC77)),(($F73*AC73)+($F74*AC74)+($F75*AC75)+($F76*AC75)+($F77*AC77)+(($G73-SUM($F73:$F77))*AC78))))))),2)</f>
        <v>6901.3</v>
      </c>
      <c r="AE79" s="578">
        <f>ROUND(($AD79-$M79)/$M79,3)</f>
        <v>-8.9999999999999993E-3</v>
      </c>
      <c r="AF79" s="381"/>
      <c r="AG79" s="379">
        <f>$J73+ROUND(IF($G73&lt;$F73,($G73*AF73),IF($G73&lt;SUM($F73:$F74),(($F73*AF73)+(($G73-$F73)*AF74)),IF($G73&lt;SUM($F73:$F75),(($F73*AF73)+($F74*AF74)+(($G73-$F73-$F74)*AF75)),IF($G73&lt;SUM($F73:$F76),(($F73*AF73)+($F74*AF74)+($F75*AF75)+(($G73-SUM($F73:$F75))*AF76)),IF($G73&lt;SUM($F73:$F77),(($F73*AF73)+($F74*AF74)+($F75*AF75)+($F76*AF76)+(($G73-SUM($F73:$F76))*AF77)),(($F73*AF73)+($F74*AF74)+($F75*AF75)+($F76*AF75)+($F77*AF77)+(($G73-SUM($F73:$F77))*AF78))))))),2)</f>
        <v>7359.71</v>
      </c>
      <c r="AH79" s="382">
        <f>ROUND((AG79-M79)/M79,3)</f>
        <v>5.7000000000000002E-2</v>
      </c>
      <c r="AI79" s="1259">
        <f t="shared" ref="AI79:AI96" si="78">AG79-M79</f>
        <v>394.25</v>
      </c>
      <c r="AJ79" s="381"/>
      <c r="AK79" s="379">
        <f>$J73+ROUND(IF($G73&lt;$F73,($G73*AJ73),IF($G73&lt;SUM($F73:$F74),(($F73*AJ73)+(($G73-$F73)*AJ74)),IF($G73&lt;SUM($F73:$F75),(($F73*AJ73)+($F74*AJ74)+(($G73-$F73-$F74)*AJ75)),IF($G73&lt;SUM($F73:$F76),(($F73*AJ73)+($F74*AJ74)+($F75*AJ75)+(($G73-SUM($F73:$F75))*AJ76)),IF($G73&lt;SUM($F73:$F77),(($F73*AJ73)+($F74*AJ74)+($F75*AJ75)+($F76*AJ76)+(($G73-SUM($F73:$F76))*AJ77)),(($F73*AJ73)+($F74*AJ74)+($F75*AJ75)+($F76*AJ75)+($F77*AJ77)+(($G73-SUM($F73:$F77))*AJ78))))))),2)</f>
        <v>7590.61</v>
      </c>
      <c r="AL79" s="382">
        <f>ROUND((AK79-O79)/O79,3)</f>
        <v>3.1E-2</v>
      </c>
      <c r="AM79" s="380"/>
      <c r="AN79" s="379">
        <f>$I73+ROUND(IF($H73&lt;$F73,($H73*AM73),IF($H73&lt;SUM($F73:$F74),(($F73*AM73)+(($H73-$F73)*AM74)),IF($H73&lt;SUM($F73:$F75),(($F73*AM73)+($F74*AM74)+(($H73-$F73-$F74)*AM75)),IF($H73&lt;SUM($F73:$F76),(($F73*AM73)+($F74*AM74)+($F75*AM75)+(($H73-SUM($F73:$F75))*AM76)),IF($H73&lt;SUM($F73:$F77),(($F73*AM73)+($F74*AM74)+($F75*AM75)+($F76*AM76)+(($H73-SUM($F73:$F76))*AM77)),(($F73*AM73)+($F74*AM74)+($F75*AM75)+($F76*AM75)+($F77*AM77)+(($H73-SUM($F73:$F77))*AM78))))))),2)</f>
        <v>1300</v>
      </c>
      <c r="AO79" s="578">
        <f>ROUND((AN79-P79)/P79,3)</f>
        <v>-0.745</v>
      </c>
      <c r="AP79" s="379"/>
      <c r="AQ79" s="379">
        <f>$J73+ROUND(IF($G73&lt;$F73,($G73*AP73),IF($G73&lt;SUM($F73:$F74),(($F73*AP73)+(($G73-$F73)*AP74)),IF($G73&lt;SUM($F73:$F75),(($F73*AP73)+($F74*AP74)+(($G73-$F73-$F74)*AP75)),IF($G73&lt;SUM($F73:$F76),(($F73*AP73)+($F74*AP74)+($F75*AP75)+(($G73-SUM($F73:$F75))*AP76)),IF($G73&lt;SUM($F73:$F77),(($F73*AP73)+($F74*AP74)+($F75*AP75)+($F76*AP76)+(($G73-SUM($F73:$F76))*AP77)),(($F73*AP73)+($F74*AP74)+($F75*AP75)+($F76*AP75)+($F77*AP77)+(($G73-SUM($F73:$F77))*AP78))))))),2)</f>
        <v>7356.49</v>
      </c>
      <c r="AR79" s="578">
        <f>ROUND(($AQ79-$O79)/$O79,3)</f>
        <v>0</v>
      </c>
      <c r="AS79" s="381"/>
      <c r="AT79" s="379">
        <f>$J73+ROUND(IF($G73&lt;$F73,($G73*AS73),IF($G73&lt;SUM($F73:$F74),(($F73*AS73)+(($G73-$F73)*AS74)),IF($G73&lt;SUM($F73:$F75),(($F73*AS73)+($F74*AS74)+(($G73-$F73-$F74)*AS75)),IF($G73&lt;SUM($F73:$F76),(($F73*AS73)+($F74*AS74)+($F75*AS75)+(($G73-SUM($F73:$F75))*AS76)),IF($G73&lt;SUM($F73:$F77),(($F73*AS73)+($F74*AS74)+($F75*AS75)+($F76*AS76)+(($G73-SUM($F73:$F76))*AS77)),(($F73*AS73)+($F74*AS74)+($F75*AS75)+($F76*AS75)+($F77*AS77)+(($G73-SUM($F73:$F77))*AS78))))))),2)</f>
        <v>7651.54</v>
      </c>
      <c r="AU79" s="382">
        <f>ROUND((AT79-O79)/O79,3)</f>
        <v>0.04</v>
      </c>
      <c r="AV79" s="1264">
        <f t="shared" ref="AV79:AV96" si="79">AT79-O79</f>
        <v>291.82999999999993</v>
      </c>
      <c r="AW79" s="370"/>
      <c r="AX79" s="370"/>
      <c r="AY79" s="370"/>
      <c r="AZ79" s="370"/>
    </row>
    <row r="80" spans="1:65" x14ac:dyDescent="0.2">
      <c r="A80" s="86">
        <f t="shared" si="14"/>
        <v>73</v>
      </c>
      <c r="B80" s="725" t="str">
        <f>'WA Volumes &amp; Revenues'!B69</f>
        <v>42C Inter Transpt</v>
      </c>
      <c r="C80" s="875" t="s">
        <v>4</v>
      </c>
      <c r="D80" s="384">
        <f>'WA Volumes &amp; Revenues'!E69</f>
        <v>0</v>
      </c>
      <c r="E80" s="384">
        <f>'WA Volumes &amp; Revenues'!F69</f>
        <v>0</v>
      </c>
      <c r="F80" s="299">
        <v>10000</v>
      </c>
      <c r="G80" s="385">
        <f>'WA Volumes &amp; Revenues'!I69</f>
        <v>0</v>
      </c>
      <c r="H80" s="543">
        <f>'WA Volumes &amp; Revenues'!L69</f>
        <v>0</v>
      </c>
      <c r="I80" s="879">
        <f>'WA Volumes &amp; Revenues'!O69</f>
        <v>1550</v>
      </c>
      <c r="J80" s="372">
        <f>'WA Volumes &amp; Revenues'!N69</f>
        <v>1550</v>
      </c>
      <c r="K80" s="386">
        <f>+'Rates in summary'!D68</f>
        <v>0.13459999999999997</v>
      </c>
      <c r="L80" s="386">
        <f>+'Rates in summary'!J68</f>
        <v>0.14794999999999997</v>
      </c>
      <c r="M80" s="372"/>
      <c r="N80" s="372"/>
      <c r="O80" s="966"/>
      <c r="P80" s="966"/>
      <c r="Q80" s="387">
        <f>'Rates in summary'!H68-'Rates in summary'!F68</f>
        <v>0.15032999999999996</v>
      </c>
      <c r="R80" s="372"/>
      <c r="S80" s="374"/>
      <c r="T80" s="373">
        <f>'Rates in summary'!I68</f>
        <v>0</v>
      </c>
      <c r="U80" s="372"/>
      <c r="V80" s="577"/>
      <c r="W80" s="373">
        <f>'Rates in Detail'!J67+'Rates in Detail'!P67</f>
        <v>0.13333999999999996</v>
      </c>
      <c r="X80" s="372"/>
      <c r="Y80" s="577"/>
      <c r="Z80" s="373">
        <f>'Rates in Detail'!J67+'Rates in Detail'!S67</f>
        <v>0.13459999999999997</v>
      </c>
      <c r="AA80" s="372"/>
      <c r="AB80" s="577"/>
      <c r="AC80" s="122">
        <f>'Rates in Detail'!J67+'Rates in Detail'!T67</f>
        <v>0.13221999999999998</v>
      </c>
      <c r="AD80" s="372"/>
      <c r="AE80" s="577"/>
      <c r="AF80" s="373">
        <f>'Rates in summary'!J68</f>
        <v>0.14794999999999997</v>
      </c>
      <c r="AG80" s="372"/>
      <c r="AH80" s="374"/>
      <c r="AI80" s="1258"/>
      <c r="AJ80" s="373">
        <f>L80+'Rates in summary'!K68</f>
        <v>0.15642999999999996</v>
      </c>
      <c r="AK80" s="372"/>
      <c r="AL80" s="374"/>
      <c r="AM80" s="373">
        <f>'Rates in summary'!O68</f>
        <v>0</v>
      </c>
      <c r="AN80" s="372"/>
      <c r="AO80" s="577"/>
      <c r="AP80" s="122">
        <f>'Rates in Detail'!W67+'Rates in Detail'!Z67</f>
        <v>0.14782999999999996</v>
      </c>
      <c r="AQ80" s="372"/>
      <c r="AR80" s="577"/>
      <c r="AS80" s="373">
        <f>'Rates in summary'!P68</f>
        <v>0.15868999999999994</v>
      </c>
      <c r="AT80" s="372"/>
      <c r="AU80" s="374"/>
      <c r="AV80" s="1263"/>
    </row>
    <row r="81" spans="1:52" x14ac:dyDescent="0.2">
      <c r="A81" s="86">
        <f t="shared" si="14"/>
        <v>74</v>
      </c>
      <c r="B81" s="725"/>
      <c r="C81" s="875" t="s">
        <v>5</v>
      </c>
      <c r="D81" s="384">
        <f>'WA Volumes &amp; Revenues'!E70</f>
        <v>0</v>
      </c>
      <c r="E81" s="384">
        <f>'WA Volumes &amp; Revenues'!F70</f>
        <v>0</v>
      </c>
      <c r="F81" s="299">
        <v>20000</v>
      </c>
      <c r="G81" s="385"/>
      <c r="H81" s="385"/>
      <c r="I81" s="882"/>
      <c r="J81" s="663"/>
      <c r="K81" s="386">
        <f>+'Rates in summary'!D69</f>
        <v>0.12048999999999999</v>
      </c>
      <c r="L81" s="386">
        <f>+'Rates in summary'!J69</f>
        <v>0.13244999999999998</v>
      </c>
      <c r="M81" s="372"/>
      <c r="N81" s="372"/>
      <c r="O81" s="966"/>
      <c r="P81" s="966"/>
      <c r="Q81" s="387">
        <f>'Rates in summary'!H69-'Rates in summary'!F69</f>
        <v>0.13457999999999998</v>
      </c>
      <c r="R81" s="372"/>
      <c r="S81" s="374"/>
      <c r="T81" s="373">
        <f>'Rates in summary'!I69</f>
        <v>0</v>
      </c>
      <c r="U81" s="372"/>
      <c r="V81" s="577"/>
      <c r="W81" s="373">
        <f>'Rates in Detail'!J68+'Rates in Detail'!P68</f>
        <v>0.11936999999999999</v>
      </c>
      <c r="X81" s="372"/>
      <c r="Y81" s="577"/>
      <c r="Z81" s="373">
        <f>'Rates in Detail'!J68+'Rates in Detail'!S68</f>
        <v>0.12048999999999999</v>
      </c>
      <c r="AA81" s="372"/>
      <c r="AB81" s="577"/>
      <c r="AC81" s="122">
        <f>'Rates in Detail'!J68+'Rates in Detail'!T68</f>
        <v>0.11835999999999999</v>
      </c>
      <c r="AD81" s="372"/>
      <c r="AE81" s="577"/>
      <c r="AF81" s="373">
        <f>'Rates in summary'!J69</f>
        <v>0.13244999999999998</v>
      </c>
      <c r="AG81" s="372"/>
      <c r="AH81" s="374"/>
      <c r="AI81" s="1258"/>
      <c r="AJ81" s="373">
        <f>L81+'Rates in summary'!K69</f>
        <v>0.14004</v>
      </c>
      <c r="AK81" s="372"/>
      <c r="AL81" s="374"/>
      <c r="AM81" s="373">
        <f>'Rates in summary'!O69</f>
        <v>0</v>
      </c>
      <c r="AN81" s="372"/>
      <c r="AO81" s="577"/>
      <c r="AP81" s="122">
        <f>'Rates in Detail'!W68+'Rates in Detail'!Z68</f>
        <v>0.13233999999999999</v>
      </c>
      <c r="AQ81" s="372"/>
      <c r="AR81" s="577"/>
      <c r="AS81" s="373">
        <f>'Rates in summary'!P69</f>
        <v>0.14205999999999999</v>
      </c>
      <c r="AT81" s="372"/>
      <c r="AU81" s="374"/>
      <c r="AV81" s="1263"/>
    </row>
    <row r="82" spans="1:52" x14ac:dyDescent="0.2">
      <c r="A82" s="86">
        <f t="shared" si="14"/>
        <v>75</v>
      </c>
      <c r="B82" s="725"/>
      <c r="C82" s="875" t="s">
        <v>6</v>
      </c>
      <c r="D82" s="384">
        <f>'WA Volumes &amp; Revenues'!E71</f>
        <v>0</v>
      </c>
      <c r="E82" s="384">
        <f>'WA Volumes &amp; Revenues'!F71</f>
        <v>0</v>
      </c>
      <c r="F82" s="299">
        <v>20000</v>
      </c>
      <c r="G82" s="385"/>
      <c r="H82" s="385"/>
      <c r="I82" s="882"/>
      <c r="J82" s="663"/>
      <c r="K82" s="386">
        <f>+'Rates in summary'!D70</f>
        <v>9.2380000000000004E-2</v>
      </c>
      <c r="L82" s="386">
        <f>+'Rates in summary'!J70</f>
        <v>0.10155</v>
      </c>
      <c r="M82" s="372"/>
      <c r="N82" s="372"/>
      <c r="O82" s="966"/>
      <c r="P82" s="966"/>
      <c r="Q82" s="387">
        <f>'Rates in summary'!H70-'Rates in summary'!F70</f>
        <v>0.10318000000000001</v>
      </c>
      <c r="R82" s="372"/>
      <c r="S82" s="374"/>
      <c r="T82" s="373">
        <f>'Rates in summary'!I70</f>
        <v>0</v>
      </c>
      <c r="U82" s="372"/>
      <c r="V82" s="577"/>
      <c r="W82" s="373">
        <f>'Rates in Detail'!J69+'Rates in Detail'!P69</f>
        <v>9.1520000000000004E-2</v>
      </c>
      <c r="X82" s="372"/>
      <c r="Y82" s="577"/>
      <c r="Z82" s="373">
        <f>'Rates in Detail'!J69+'Rates in Detail'!S69</f>
        <v>9.2380000000000004E-2</v>
      </c>
      <c r="AA82" s="372"/>
      <c r="AB82" s="577"/>
      <c r="AC82" s="122">
        <f>'Rates in Detail'!J69+'Rates in Detail'!T69</f>
        <v>9.0749999999999997E-2</v>
      </c>
      <c r="AD82" s="372"/>
      <c r="AE82" s="577"/>
      <c r="AF82" s="373">
        <f>'Rates in summary'!J70</f>
        <v>0.10155</v>
      </c>
      <c r="AG82" s="372"/>
      <c r="AH82" s="374"/>
      <c r="AI82" s="1258"/>
      <c r="AJ82" s="373">
        <f>L82+'Rates in summary'!K70</f>
        <v>0.10737000000000001</v>
      </c>
      <c r="AK82" s="372"/>
      <c r="AL82" s="374"/>
      <c r="AM82" s="373">
        <f>'Rates in summary'!O70</f>
        <v>0</v>
      </c>
      <c r="AN82" s="372"/>
      <c r="AO82" s="577"/>
      <c r="AP82" s="122">
        <f>'Rates in Detail'!W69+'Rates in Detail'!Z69</f>
        <v>0.10147</v>
      </c>
      <c r="AQ82" s="372"/>
      <c r="AR82" s="577"/>
      <c r="AS82" s="373">
        <f>'Rates in summary'!P70</f>
        <v>0.10892000000000002</v>
      </c>
      <c r="AT82" s="372"/>
      <c r="AU82" s="374"/>
      <c r="AV82" s="1263"/>
    </row>
    <row r="83" spans="1:52" x14ac:dyDescent="0.2">
      <c r="A83" s="86">
        <f t="shared" si="14"/>
        <v>76</v>
      </c>
      <c r="B83" s="725"/>
      <c r="C83" s="875" t="s">
        <v>7</v>
      </c>
      <c r="D83" s="384">
        <f>'WA Volumes &amp; Revenues'!E72</f>
        <v>0</v>
      </c>
      <c r="E83" s="384">
        <f>'WA Volumes &amp; Revenues'!F72</f>
        <v>0</v>
      </c>
      <c r="F83" s="299">
        <v>100000</v>
      </c>
      <c r="G83" s="385"/>
      <c r="H83" s="385"/>
      <c r="I83" s="882"/>
      <c r="J83" s="663"/>
      <c r="K83" s="386">
        <f>+'Rates in summary'!D71</f>
        <v>7.392E-2</v>
      </c>
      <c r="L83" s="386">
        <f>+'Rates in summary'!J71</f>
        <v>8.1249999999999989E-2</v>
      </c>
      <c r="M83" s="372"/>
      <c r="N83" s="372"/>
      <c r="O83" s="966"/>
      <c r="P83" s="966"/>
      <c r="Q83" s="387">
        <f>'Rates in summary'!H71-'Rates in summary'!F71</f>
        <v>8.2559999999999995E-2</v>
      </c>
      <c r="R83" s="372"/>
      <c r="S83" s="374"/>
      <c r="T83" s="373">
        <f>'Rates in summary'!I71</f>
        <v>0</v>
      </c>
      <c r="U83" s="372"/>
      <c r="V83" s="577"/>
      <c r="W83" s="373">
        <f>'Rates in Detail'!J70+'Rates in Detail'!P70</f>
        <v>7.3230000000000003E-2</v>
      </c>
      <c r="X83" s="372"/>
      <c r="Y83" s="577"/>
      <c r="Z83" s="373">
        <f>'Rates in Detail'!J70+'Rates in Detail'!S70</f>
        <v>7.392E-2</v>
      </c>
      <c r="AA83" s="372"/>
      <c r="AB83" s="577"/>
      <c r="AC83" s="122">
        <f>'Rates in Detail'!J70+'Rates in Detail'!T70</f>
        <v>7.2609999999999994E-2</v>
      </c>
      <c r="AD83" s="372"/>
      <c r="AE83" s="577"/>
      <c r="AF83" s="373">
        <f>'Rates in summary'!J71</f>
        <v>8.1249999999999989E-2</v>
      </c>
      <c r="AG83" s="372"/>
      <c r="AH83" s="374"/>
      <c r="AI83" s="1258"/>
      <c r="AJ83" s="373">
        <f>L83+'Rates in summary'!K71</f>
        <v>8.5909999999999986E-2</v>
      </c>
      <c r="AK83" s="372"/>
      <c r="AL83" s="374"/>
      <c r="AM83" s="373">
        <f>'Rates in summary'!O71</f>
        <v>0</v>
      </c>
      <c r="AN83" s="372"/>
      <c r="AO83" s="577"/>
      <c r="AP83" s="122">
        <f>'Rates in Detail'!W70+'Rates in Detail'!Z70</f>
        <v>8.1180000000000002E-2</v>
      </c>
      <c r="AQ83" s="372"/>
      <c r="AR83" s="577"/>
      <c r="AS83" s="373">
        <f>'Rates in summary'!P71</f>
        <v>8.7149999999999991E-2</v>
      </c>
      <c r="AT83" s="372"/>
      <c r="AU83" s="374"/>
      <c r="AV83" s="1263"/>
    </row>
    <row r="84" spans="1:52" x14ac:dyDescent="0.2">
      <c r="A84" s="86">
        <f t="shared" si="14"/>
        <v>77</v>
      </c>
      <c r="B84" s="725"/>
      <c r="C84" s="875" t="s">
        <v>8</v>
      </c>
      <c r="D84" s="384">
        <f>'WA Volumes &amp; Revenues'!E73</f>
        <v>0</v>
      </c>
      <c r="E84" s="384">
        <f>'WA Volumes &amp; Revenues'!F73</f>
        <v>0</v>
      </c>
      <c r="F84" s="299">
        <v>600000</v>
      </c>
      <c r="G84" s="385"/>
      <c r="H84" s="385"/>
      <c r="I84" s="882"/>
      <c r="J84" s="663"/>
      <c r="K84" s="386">
        <f>+'Rates in summary'!D72</f>
        <v>4.929E-2</v>
      </c>
      <c r="L84" s="386">
        <f>+'Rates in summary'!J72</f>
        <v>5.4179999999999999E-2</v>
      </c>
      <c r="M84" s="372"/>
      <c r="N84" s="372"/>
      <c r="O84" s="966"/>
      <c r="P84" s="966"/>
      <c r="Q84" s="387">
        <f>'Rates in summary'!H72-'Rates in summary'!F72</f>
        <v>5.5050000000000002E-2</v>
      </c>
      <c r="R84" s="372"/>
      <c r="S84" s="374"/>
      <c r="T84" s="373">
        <f>'Rates in summary'!I72</f>
        <v>0</v>
      </c>
      <c r="U84" s="372"/>
      <c r="V84" s="577"/>
      <c r="W84" s="373">
        <f>'Rates in Detail'!J71+'Rates in Detail'!P71</f>
        <v>4.8829999999999998E-2</v>
      </c>
      <c r="X84" s="372"/>
      <c r="Y84" s="577"/>
      <c r="Z84" s="373">
        <f>'Rates in Detail'!J71+'Rates in Detail'!S71</f>
        <v>4.929E-2</v>
      </c>
      <c r="AA84" s="372"/>
      <c r="AB84" s="577"/>
      <c r="AC84" s="122">
        <f>'Rates in Detail'!J71+'Rates in Detail'!T71</f>
        <v>4.8419999999999998E-2</v>
      </c>
      <c r="AD84" s="372"/>
      <c r="AE84" s="577"/>
      <c r="AF84" s="373">
        <f>'Rates in summary'!J72</f>
        <v>5.4179999999999999E-2</v>
      </c>
      <c r="AG84" s="372"/>
      <c r="AH84" s="374"/>
      <c r="AI84" s="1258"/>
      <c r="AJ84" s="373">
        <f>L84+'Rates in summary'!K72</f>
        <v>5.7290000000000001E-2</v>
      </c>
      <c r="AK84" s="372"/>
      <c r="AL84" s="374"/>
      <c r="AM84" s="373">
        <f>'Rates in summary'!O72</f>
        <v>0</v>
      </c>
      <c r="AN84" s="372"/>
      <c r="AO84" s="577"/>
      <c r="AP84" s="122">
        <f>'Rates in Detail'!W71+'Rates in Detail'!Z71</f>
        <v>5.4140000000000001E-2</v>
      </c>
      <c r="AQ84" s="372"/>
      <c r="AR84" s="577"/>
      <c r="AS84" s="373">
        <f>'Rates in summary'!P72</f>
        <v>5.8120000000000005E-2</v>
      </c>
      <c r="AT84" s="372"/>
      <c r="AU84" s="374"/>
      <c r="AV84" s="1263"/>
    </row>
    <row r="85" spans="1:52" x14ac:dyDescent="0.2">
      <c r="A85" s="86">
        <f t="shared" si="14"/>
        <v>78</v>
      </c>
      <c r="B85" s="725"/>
      <c r="C85" s="875" t="s">
        <v>9</v>
      </c>
      <c r="D85" s="384">
        <f>'WA Volumes &amp; Revenues'!E74</f>
        <v>0</v>
      </c>
      <c r="E85" s="384">
        <f>'WA Volumes &amp; Revenues'!F74</f>
        <v>0</v>
      </c>
      <c r="F85" s="371" t="s">
        <v>74</v>
      </c>
      <c r="G85" s="385"/>
      <c r="H85" s="385"/>
      <c r="I85" s="882"/>
      <c r="J85" s="663"/>
      <c r="K85" s="386">
        <f>+'Rates in summary'!D73</f>
        <v>1.8460000000000001E-2</v>
      </c>
      <c r="L85" s="386">
        <f>+'Rates in summary'!J73</f>
        <v>2.0289999999999999E-2</v>
      </c>
      <c r="M85" s="372"/>
      <c r="N85" s="372"/>
      <c r="O85" s="966"/>
      <c r="P85" s="966"/>
      <c r="Q85" s="387">
        <f>'Rates in summary'!H73-'Rates in summary'!F73</f>
        <v>2.0619999999999999E-2</v>
      </c>
      <c r="R85" s="372"/>
      <c r="S85" s="374"/>
      <c r="T85" s="373">
        <f>'Rates in summary'!I73</f>
        <v>0</v>
      </c>
      <c r="U85" s="372"/>
      <c r="V85" s="577"/>
      <c r="W85" s="373">
        <f>'Rates in Detail'!J72+'Rates in Detail'!P72</f>
        <v>1.8290000000000001E-2</v>
      </c>
      <c r="X85" s="372"/>
      <c r="Y85" s="577"/>
      <c r="Z85" s="373">
        <f>'Rates in Detail'!J72+'Rates in Detail'!S72</f>
        <v>1.8460000000000001E-2</v>
      </c>
      <c r="AA85" s="372"/>
      <c r="AB85" s="577"/>
      <c r="AC85" s="122">
        <f>'Rates in Detail'!J72+'Rates in Detail'!T72</f>
        <v>1.813E-2</v>
      </c>
      <c r="AD85" s="372"/>
      <c r="AE85" s="577"/>
      <c r="AF85" s="373">
        <f>'Rates in summary'!J73</f>
        <v>2.0289999999999999E-2</v>
      </c>
      <c r="AG85" s="372"/>
      <c r="AH85" s="374"/>
      <c r="AI85" s="1258"/>
      <c r="AJ85" s="373">
        <f>L85+'Rates in summary'!K73</f>
        <v>2.145E-2</v>
      </c>
      <c r="AK85" s="372"/>
      <c r="AL85" s="374"/>
      <c r="AM85" s="373">
        <f>'Rates in summary'!O73</f>
        <v>0</v>
      </c>
      <c r="AN85" s="372"/>
      <c r="AO85" s="577"/>
      <c r="AP85" s="122">
        <f>'Rates in Detail'!W72+'Rates in Detail'!Z72</f>
        <v>2.027E-2</v>
      </c>
      <c r="AQ85" s="372"/>
      <c r="AR85" s="577"/>
      <c r="AS85" s="373">
        <f>'Rates in summary'!P73</f>
        <v>2.1760000000000002E-2</v>
      </c>
      <c r="AT85" s="372"/>
      <c r="AU85" s="374"/>
      <c r="AV85" s="1263"/>
    </row>
    <row r="86" spans="1:52" x14ac:dyDescent="0.2">
      <c r="A86" s="86">
        <f t="shared" si="14"/>
        <v>79</v>
      </c>
      <c r="B86" s="723"/>
      <c r="C86" s="876" t="s">
        <v>78</v>
      </c>
      <c r="D86" s="375"/>
      <c r="E86" s="375"/>
      <c r="F86" s="376"/>
      <c r="G86" s="377"/>
      <c r="H86" s="377"/>
      <c r="I86" s="880"/>
      <c r="J86" s="379"/>
      <c r="K86" s="378"/>
      <c r="L86" s="378"/>
      <c r="M86" s="379">
        <f>$I80+ROUND(IF($G80&lt;$F80,($G80*K80),IF($G80&lt;SUM($F80:$F81),(($F80*K80)+(($G80-$F80)*K81)),IF($G80&lt;SUM($F80:$F82),(($F80*K80)+($F81*K81)+(($G80-$F80-$F81)*K82)),IF($G80&lt;SUM($F80:$F83),(($F80*K80)+($F81*K81)+($F82*K82)+(($G80-SUM($F80:$F82))*K83)),IF($G80&lt;SUM($F80:$F84),(($F80*K80)+($F81*K81)+($F82*K82)+($F83*K83)+(($G80-SUM($F80:$F83))*K84)),(($F80*K80)+($F81*K81)+($F82*K82)+($F83*K82)+($F84*K84)+(($G80-SUM($F80:$F84))*K85))))))),2)</f>
        <v>1550</v>
      </c>
      <c r="N86" s="379">
        <f>$I80+ROUND(IF($H80&lt;$F80,($H80*K80),IF($H80&lt;SUM($F80:$F81),(($F80*K80)+(($H80-$F80)*K81)),IF($H80&lt;SUM($F80:$F82),(($F80*K80)+($F81*K81)+(($H80-$F80-$F81)*K82)),IF($H80&lt;SUM($F80:$F83),(($F80*K80)+($F81*K81)+($F82*K82)+(($H80-SUM($F80:$F82))*K83)),IF($H80&lt;SUM($F80:$F84),(($F80*K80)+($F81*K81)+($F82*K82)+($F83*K83)+(($H80-SUM($F80:$F83))*K84)),(($F80*K80)+($F81*K81)+($F82*K82)+($F83*K82)+($F84*K84)+(($H80-SUM($F80:$F84))*K85))))))),2)</f>
        <v>1550</v>
      </c>
      <c r="O86" s="379">
        <f>$I80+ROUND(IF($G80&lt;$F80,($G80*L80),IF($G80&lt;SUM($F80:$F81),(($F80*L80)+(($G80-$F80)*L81)),IF($G80&lt;SUM($F80:$F82),(($F80*L80)+($F81*L81)+(($G80-$F80-$F81)*L82)),IF($G80&lt;SUM($F80:$F83),(($F80*L80)+($F81*L81)+($F82*L82)+(($G80-SUM($F80:$F82))*L83)),IF($G80&lt;SUM($F80:$F84),(($F80*L80)+($F81*L81)+($F82*L82)+($F83*L83)+(($G80-SUM($F80:$F83))*L84)),(($F80*L80)+($F81*L81)+($F82*L82)+($F83*L82)+($F84*L84)+(($G80-SUM($F80:$F84))*L85))))))),2)</f>
        <v>1550</v>
      </c>
      <c r="P86" s="379">
        <f>$I80+ROUND(IF($H80&lt;$F80,($H80*L80),IF($H80&lt;SUM($F80:$F81),(($F80*L80)+(($H80-$F80)*L81)),IF($H80&lt;SUM($F80:$F82),(($F80*L80)+($F81*L81)+(($H80-$F80-$F81)*L82)),IF($H80&lt;SUM($F80:$F83),(($F80*L80)+($F81*L81)+($F82*L82)+(($H80-SUM($F80:$F82))*L83)),IF($H80&lt;SUM($F80:$F84),(($F80*L80)+($F81*L81)+($F82*L82)+($F83*L83)+(($H80-SUM($F80:$F83))*L84)),(($F80*L80)+($F81*L81)+($F82*L82)+($F83*L82)+($F84*L84)+(($H80-SUM($F80:$F84))*L85))))))),2)</f>
        <v>1550</v>
      </c>
      <c r="Q86" s="381"/>
      <c r="R86" s="379">
        <f>$J80+ROUND(IF($G80&lt;$F80,($G80*Q80),IF($G80&lt;SUM($F80:$F81),(($F80*Q80)+(($G80-$F80)*Q81)),IF($G80&lt;SUM($F80:$F82),(($F80*Q80)+($F81*Q81)+(($G80-$F80-$F81)*Q82)),IF($G80&lt;SUM($F80:$F83),(($F80*Q80)+($F81*Q81)+($F82*Q82)+(($G80-SUM($F80:$F82))*Q83)),IF($G80&lt;SUM($F80:$F84),(($F80*Q80)+($F81*Q81)+($F82*Q82)+($F83*Q83)+(($G80-SUM($F80:$F83))*Q84)),(($F80*Q80)+($F81*Q81)+($F82*Q82)+($F83*Q82)+($F84*Q84)+(($G80-SUM($F80:$F84))*Q85))))))),2)</f>
        <v>1550</v>
      </c>
      <c r="S86" s="382">
        <f>ROUND((R86-M86)/M86,3)</f>
        <v>0</v>
      </c>
      <c r="T86" s="380"/>
      <c r="U86" s="379">
        <f>$I80+ROUND(IF($H80&lt;$F80,($H80*T80),IF($H80&lt;SUM($F80:$F81),(($F80*T80)+(($H80-$F80)*T81)),IF($H80&lt;SUM($F80:$F82),(($F80*T80)+($F81*T81)+(($H80-$F80-$F81)*T82)),IF($H80&lt;SUM($F80:$F83),(($F80*T80)+($F81*T81)+($F82*T82)+(($H80-SUM($F80:$F82))*T83)),IF($H80&lt;SUM($F80:$F84),(($F80*T80)+($F81*T81)+($F82*T82)+($F83*T83)+(($H80-SUM($F80:$F83))*T84)),(($F80*T80)+($F81*T81)+($F82*T82)+($F83*T82)+($F84*T84)+(($H80-SUM($F80:$F84))*T85))))))),2)</f>
        <v>1550</v>
      </c>
      <c r="V86" s="578">
        <f>ROUND((U86-N86)/N86,3)</f>
        <v>0</v>
      </c>
      <c r="W86" s="380"/>
      <c r="X86" s="379">
        <f>$J80+ROUND(IF($G80&lt;$F80,($G80*W80),IF($G80&lt;SUM($F80:$F81),(($F80*W80)+(($G80-$F80)*W81)),IF($G80&lt;SUM($F80:$F82),(($F80*W80)+($F81*W81)+(($G80-$F80-$F81)*W82)),IF($G80&lt;SUM($F80:$F83),(($F80*W80)+($F81*W81)+($F82*W82)+(($G80-SUM($F80:$F82))*W83)),IF($G80&lt;SUM($F80:$F84),(($F80*W80)+($F81*W81)+($F82*W82)+($F83*W83)+(($G80-SUM($F80:$F83))*W84)),(($F80*W80)+($F81*W81)+($F82*W82)+($F83*W82)+($F84*W84)+(($G80-SUM($F80:$F84))*W85))))))),2)</f>
        <v>1550</v>
      </c>
      <c r="Y86" s="578">
        <f t="shared" ref="Y86" si="80">ROUND(($X86-$M86)/$M86,3)</f>
        <v>0</v>
      </c>
      <c r="Z86" s="380"/>
      <c r="AA86" s="379">
        <f>$J80+ROUND(IF($G80&lt;$F80,($G80*Z80),IF($G80&lt;SUM($F80:$F81),(($F80*Z80)+(($G80-$F80)*Z81)),IF($G80&lt;SUM($F80:$F82),(($F80*Z80)+($F81*Z81)+(($G80-$F80-$F81)*Z82)),IF($G80&lt;SUM($F80:$F83),(($F80*Z80)+($F81*Z81)+($F82*Z82)+(($G80-SUM($F80:$F82))*Z83)),IF($G80&lt;SUM($F80:$F84),(($F80*Z80)+($F81*Z81)+($F82*Z82)+($F83*Z83)+(($G80-SUM($F80:$F83))*Z84)),(($F80*Z80)+($F81*Z81)+($F82*Z82)+($F83*Z82)+($F84*Z84)+(($G80-SUM($F80:$F84))*Z85))))))),2)</f>
        <v>1550</v>
      </c>
      <c r="AB86" s="578">
        <f>ROUND(($AA86-$M86)/$M86,3)</f>
        <v>0</v>
      </c>
      <c r="AC86" s="379"/>
      <c r="AD86" s="379">
        <f>$J80+ROUND(IF($G80&lt;$F80,($G80*AC80),IF($G80&lt;SUM($F80:$F81),(($F80*AC80)+(($G80-$F80)*AC81)),IF($G80&lt;SUM($F80:$F82),(($F80*AC80)+($F81*AC81)+(($G80-$F80-$F81)*AC82)),IF($G80&lt;SUM($F80:$F83),(($F80*AC80)+($F81*AC81)+($F82*AC82)+(($G80-SUM($F80:$F82))*AC83)),IF($G80&lt;SUM($F80:$F84),(($F80*AC80)+($F81*AC81)+($F82*AC82)+($F83*AC83)+(($G80-SUM($F80:$F83))*AC84)),(($F80*AC80)+($F81*AC81)+($F82*AC82)+($F83*AC82)+($F84*AC84)+(($G80-SUM($F80:$F84))*AC85))))))),2)</f>
        <v>1550</v>
      </c>
      <c r="AE86" s="578">
        <f>ROUND(($AD86-$M86)/$M86,3)</f>
        <v>0</v>
      </c>
      <c r="AF86" s="381"/>
      <c r="AG86" s="379">
        <f>$J80+ROUND(IF($G80&lt;$F80,($G80*AF80),IF($G80&lt;SUM($F80:$F81),(($F80*AF80)+(($G80-$F80)*AF81)),IF($G80&lt;SUM($F80:$F82),(($F80*AF80)+($F81*AF81)+(($G80-$F80-$F81)*AF82)),IF($G80&lt;SUM($F80:$F83),(($F80*AF80)+($F81*AF81)+($F82*AF82)+(($G80-SUM($F80:$F82))*AF83)),IF($G80&lt;SUM($F80:$F84),(($F80*AF80)+($F81*AF81)+($F82*AF82)+($F83*AF83)+(($G80-SUM($F80:$F83))*AF84)),(($F80*AF80)+($F81*AF81)+($F82*AF82)+($F83*AF82)+($F84*AF84)+(($G80-SUM($F80:$F84))*AF85))))))),2)</f>
        <v>1550</v>
      </c>
      <c r="AH86" s="382">
        <f>ROUND((AG86-M86)/M86,3)</f>
        <v>0</v>
      </c>
      <c r="AI86" s="1259">
        <f t="shared" si="78"/>
        <v>0</v>
      </c>
      <c r="AJ86" s="381"/>
      <c r="AK86" s="379">
        <f>$J80+ROUND(IF($G80&lt;$F80,($G80*AJ80),IF($G80&lt;SUM($F80:$F81),(($F80*AJ80)+(($G80-$F80)*AJ81)),IF($G80&lt;SUM($F80:$F82),(($F80*AJ80)+($F81*AJ81)+(($G80-$F80-$F81)*AJ82)),IF($G80&lt;SUM($F80:$F83),(($F80*AJ80)+($F81*AJ81)+($F82*AJ82)+(($G80-SUM($F80:$F82))*AJ83)),IF($G80&lt;SUM($F80:$F84),(($F80*AJ80)+($F81*AJ81)+($F82*AJ82)+($F83*AJ83)+(($G80-SUM($F80:$F83))*AJ84)),(($F80*AJ80)+($F81*AJ81)+($F82*AJ82)+($F83*AJ82)+($F84*AJ84)+(($G80-SUM($F80:$F84))*AJ85))))))),2)</f>
        <v>1550</v>
      </c>
      <c r="AL86" s="382">
        <f>ROUND((AK86-O86)/O86,3)</f>
        <v>0</v>
      </c>
      <c r="AM86" s="380"/>
      <c r="AN86" s="379">
        <f>$I80+ROUND(IF($H80&lt;$F80,($H80*AM80),IF($H80&lt;SUM($F80:$F81),(($F80*AM80)+(($H80-$F80)*AM81)),IF($H80&lt;SUM($F80:$F82),(($F80*AM80)+($F81*AM81)+(($H80-$F80-$F81)*AM82)),IF($H80&lt;SUM($F80:$F83),(($F80*AM80)+($F81*AM81)+($F82*AM82)+(($H80-SUM($F80:$F82))*AM83)),IF($H80&lt;SUM($F80:$F84),(($F80*AM80)+($F81*AM81)+($F82*AM82)+($F83*AM83)+(($H80-SUM($F80:$F83))*AM84)),(($F80*AM80)+($F81*AM81)+($F82*AM82)+($F83*AM82)+($F84*AM84)+(($H80-SUM($F80:$F84))*AM85))))))),2)</f>
        <v>1550</v>
      </c>
      <c r="AO86" s="578">
        <f>ROUND((AN86-P86)/P86,3)</f>
        <v>0</v>
      </c>
      <c r="AP86" s="379"/>
      <c r="AQ86" s="379">
        <f>$J80+ROUND(IF($G80&lt;$F80,($G80*AP80),IF($G80&lt;SUM($F80:$F81),(($F80*AP80)+(($G80-$F80)*AP81)),IF($G80&lt;SUM($F80:$F82),(($F80*AP80)+($F81*AP81)+(($G80-$F80-$F81)*AP82)),IF($G80&lt;SUM($F80:$F83),(($F80*AP80)+($F81*AP81)+($F82*AP82)+(($G80-SUM($F80:$F82))*AP83)),IF($G80&lt;SUM($F80:$F84),(($F80*AP80)+($F81*AP81)+($F82*AP82)+($F83*AP83)+(($G80-SUM($F80:$F83))*AP84)),(($F80*AP80)+($F81*AP81)+($F82*AP82)+($F83*AP82)+($F84*AP84)+(($G80-SUM($F80:$F84))*AP85))))))),2)</f>
        <v>1550</v>
      </c>
      <c r="AR86" s="578">
        <f>ROUND(($AQ86-$O86)/$O86,3)</f>
        <v>0</v>
      </c>
      <c r="AS86" s="381"/>
      <c r="AT86" s="379">
        <f>$J80+ROUND(IF($G80&lt;$F80,($G80*AS80),IF($G80&lt;SUM($F80:$F81),(($F80*AS80)+(($G80-$F80)*AS81)),IF($G80&lt;SUM($F80:$F82),(($F80*AS80)+($F81*AS81)+(($G80-$F80-$F81)*AS82)),IF($G80&lt;SUM($F80:$F83),(($F80*AS80)+($F81*AS81)+($F82*AS82)+(($G80-SUM($F80:$F82))*AS83)),IF($G80&lt;SUM($F80:$F84),(($F80*AS80)+($F81*AS81)+($F82*AS82)+($F83*AS83)+(($G80-SUM($F80:$F83))*AS84)),(($F80*AS80)+($F81*AS81)+($F82*AS82)+($F83*AS82)+($F84*AS84)+(($G80-SUM($F80:$F84))*AS85))))))),2)</f>
        <v>1550</v>
      </c>
      <c r="AU86" s="382">
        <f>ROUND((AT86-O86)/O86,3)</f>
        <v>0</v>
      </c>
      <c r="AV86" s="1264">
        <f t="shared" si="79"/>
        <v>0</v>
      </c>
      <c r="AW86" s="370"/>
      <c r="AX86" s="370"/>
      <c r="AY86" s="370"/>
      <c r="AZ86" s="370"/>
    </row>
    <row r="87" spans="1:52" x14ac:dyDescent="0.2">
      <c r="A87" s="86">
        <f t="shared" si="14"/>
        <v>80</v>
      </c>
      <c r="B87" s="725" t="str">
        <f>'WA Volumes &amp; Revenues'!B75</f>
        <v>42I Inter Transpt</v>
      </c>
      <c r="C87" s="875" t="s">
        <v>4</v>
      </c>
      <c r="D87" s="384">
        <f>'WA Volumes &amp; Revenues'!E75</f>
        <v>844078</v>
      </c>
      <c r="E87" s="384">
        <f>'WA Volumes &amp; Revenues'!F75</f>
        <v>861932</v>
      </c>
      <c r="F87" s="299">
        <v>10000</v>
      </c>
      <c r="G87" s="385">
        <f>'WA Volumes &amp; Revenues'!I75</f>
        <v>95634</v>
      </c>
      <c r="H87" s="543">
        <f>'WA Volumes &amp; Revenues'!L75</f>
        <v>63670</v>
      </c>
      <c r="I87" s="879">
        <f>'WA Volumes &amp; Revenues'!O75</f>
        <v>1550</v>
      </c>
      <c r="J87" s="372">
        <f>'WA Volumes &amp; Revenues'!N75</f>
        <v>1550</v>
      </c>
      <c r="K87" s="386">
        <f>+'Rates in summary'!D74</f>
        <v>0.13459999999999997</v>
      </c>
      <c r="L87" s="386">
        <f>+'Rates in summary'!J74</f>
        <v>0.15194999999999997</v>
      </c>
      <c r="M87" s="372"/>
      <c r="N87" s="372"/>
      <c r="O87" s="966"/>
      <c r="P87" s="966"/>
      <c r="Q87" s="387">
        <f>'Rates in summary'!H74-'Rates in summary'!F74</f>
        <v>0.15476999999999996</v>
      </c>
      <c r="R87" s="372"/>
      <c r="S87" s="374"/>
      <c r="T87" s="373">
        <f>'Rates in summary'!I74</f>
        <v>0</v>
      </c>
      <c r="U87" s="372"/>
      <c r="V87" s="577"/>
      <c r="W87" s="373">
        <f>'Rates in Detail'!J73+'Rates in Detail'!P73</f>
        <v>0.13310999999999998</v>
      </c>
      <c r="X87" s="372"/>
      <c r="Y87" s="577"/>
      <c r="Z87" s="373">
        <f>'Rates in Detail'!J73+'Rates in Detail'!S73</f>
        <v>0.13459999999999997</v>
      </c>
      <c r="AA87" s="372"/>
      <c r="AB87" s="577"/>
      <c r="AC87" s="122">
        <f>'Rates in Detail'!J73+'Rates in Detail'!T73</f>
        <v>0.13177999999999998</v>
      </c>
      <c r="AD87" s="372"/>
      <c r="AE87" s="577"/>
      <c r="AF87" s="373">
        <f>'Rates in summary'!J74</f>
        <v>0.15194999999999997</v>
      </c>
      <c r="AG87" s="372"/>
      <c r="AH87" s="374"/>
      <c r="AI87" s="1258"/>
      <c r="AJ87" s="373">
        <f>L87+'Rates in summary'!K74</f>
        <v>0.16210999999999998</v>
      </c>
      <c r="AK87" s="372"/>
      <c r="AL87" s="374"/>
      <c r="AM87" s="373">
        <f>'Rates in summary'!O74</f>
        <v>0</v>
      </c>
      <c r="AN87" s="372"/>
      <c r="AO87" s="577"/>
      <c r="AP87" s="122">
        <f>'Rates in Detail'!W73+'Rates in Detail'!Z73</f>
        <v>0.15181</v>
      </c>
      <c r="AQ87" s="372"/>
      <c r="AR87" s="577"/>
      <c r="AS87" s="373">
        <f>'Rates in summary'!P74</f>
        <v>0.16478999999999996</v>
      </c>
      <c r="AT87" s="372"/>
      <c r="AU87" s="374"/>
      <c r="AV87" s="1263">
        <f t="shared" si="79"/>
        <v>0</v>
      </c>
    </row>
    <row r="88" spans="1:52" x14ac:dyDescent="0.2">
      <c r="A88" s="86">
        <f t="shared" si="14"/>
        <v>81</v>
      </c>
      <c r="B88" s="725"/>
      <c r="C88" s="875" t="s">
        <v>5</v>
      </c>
      <c r="D88" s="384">
        <f>'WA Volumes &amp; Revenues'!E76</f>
        <v>1445175</v>
      </c>
      <c r="E88" s="384">
        <f>'WA Volumes &amp; Revenues'!F76</f>
        <v>1453508</v>
      </c>
      <c r="F88" s="299">
        <v>20000</v>
      </c>
      <c r="G88" s="385"/>
      <c r="H88" s="385"/>
      <c r="I88" s="882"/>
      <c r="J88" s="663"/>
      <c r="K88" s="386">
        <f>+'Rates in summary'!D75</f>
        <v>0.12048999999999999</v>
      </c>
      <c r="L88" s="386">
        <f>+'Rates in summary'!J75</f>
        <v>0.13601999999999997</v>
      </c>
      <c r="M88" s="372"/>
      <c r="N88" s="372"/>
      <c r="O88" s="966"/>
      <c r="P88" s="966"/>
      <c r="Q88" s="387">
        <f>'Rates in summary'!H75-'Rates in summary'!F75</f>
        <v>0.13854999999999998</v>
      </c>
      <c r="R88" s="372"/>
      <c r="S88" s="374"/>
      <c r="T88" s="373">
        <f>'Rates in summary'!I75</f>
        <v>0</v>
      </c>
      <c r="U88" s="372"/>
      <c r="V88" s="577"/>
      <c r="W88" s="373">
        <f>'Rates in Detail'!J74+'Rates in Detail'!P74</f>
        <v>0.11915999999999999</v>
      </c>
      <c r="X88" s="372"/>
      <c r="Y88" s="577"/>
      <c r="Z88" s="373">
        <f>'Rates in Detail'!J74+'Rates in Detail'!S74</f>
        <v>0.12048999999999999</v>
      </c>
      <c r="AA88" s="372"/>
      <c r="AB88" s="577"/>
      <c r="AC88" s="122">
        <f>'Rates in Detail'!J74+'Rates in Detail'!T74</f>
        <v>0.11795999999999998</v>
      </c>
      <c r="AD88" s="372"/>
      <c r="AE88" s="577"/>
      <c r="AF88" s="373">
        <f>'Rates in summary'!J75</f>
        <v>0.13601999999999997</v>
      </c>
      <c r="AG88" s="372"/>
      <c r="AH88" s="374"/>
      <c r="AI88" s="1258"/>
      <c r="AJ88" s="373">
        <f>L88+'Rates in summary'!K75</f>
        <v>0.14510999999999996</v>
      </c>
      <c r="AK88" s="372"/>
      <c r="AL88" s="374"/>
      <c r="AM88" s="373">
        <f>'Rates in summary'!O75</f>
        <v>0</v>
      </c>
      <c r="AN88" s="372"/>
      <c r="AO88" s="577"/>
      <c r="AP88" s="122">
        <f>'Rates in Detail'!W74+'Rates in Detail'!Z74</f>
        <v>0.13589000000000001</v>
      </c>
      <c r="AQ88" s="372"/>
      <c r="AR88" s="577"/>
      <c r="AS88" s="373">
        <f>'Rates in summary'!P75</f>
        <v>0.14750999999999997</v>
      </c>
      <c r="AT88" s="372"/>
      <c r="AU88" s="374"/>
      <c r="AV88" s="1263"/>
    </row>
    <row r="89" spans="1:52" x14ac:dyDescent="0.2">
      <c r="A89" s="86">
        <f t="shared" si="14"/>
        <v>82</v>
      </c>
      <c r="B89" s="725"/>
      <c r="C89" s="875" t="s">
        <v>6</v>
      </c>
      <c r="D89" s="384">
        <f>'WA Volumes &amp; Revenues'!E77</f>
        <v>1034978</v>
      </c>
      <c r="E89" s="384">
        <f>'WA Volumes &amp; Revenues'!F77</f>
        <v>976710</v>
      </c>
      <c r="F89" s="299">
        <v>20000</v>
      </c>
      <c r="G89" s="385"/>
      <c r="H89" s="385"/>
      <c r="I89" s="882"/>
      <c r="J89" s="663"/>
      <c r="K89" s="386">
        <f>+'Rates in summary'!D76</f>
        <v>9.2380000000000004E-2</v>
      </c>
      <c r="L89" s="386">
        <f>+'Rates in summary'!J76</f>
        <v>0.10429000000000001</v>
      </c>
      <c r="M89" s="372"/>
      <c r="N89" s="372"/>
      <c r="O89" s="966"/>
      <c r="P89" s="966"/>
      <c r="Q89" s="387">
        <f>'Rates in summary'!H76-'Rates in summary'!F76</f>
        <v>0.10623</v>
      </c>
      <c r="R89" s="372"/>
      <c r="S89" s="374"/>
      <c r="T89" s="373">
        <f>'Rates in summary'!I76</f>
        <v>0</v>
      </c>
      <c r="U89" s="372"/>
      <c r="V89" s="577"/>
      <c r="W89" s="373">
        <f>'Rates in Detail'!J75+'Rates in Detail'!P75</f>
        <v>9.1359999999999997E-2</v>
      </c>
      <c r="X89" s="372"/>
      <c r="Y89" s="577"/>
      <c r="Z89" s="373">
        <f>'Rates in Detail'!J75+'Rates in Detail'!S75</f>
        <v>9.2380000000000004E-2</v>
      </c>
      <c r="AA89" s="372"/>
      <c r="AB89" s="577"/>
      <c r="AC89" s="122">
        <f>'Rates in Detail'!J75+'Rates in Detail'!T75</f>
        <v>9.0440000000000006E-2</v>
      </c>
      <c r="AD89" s="372"/>
      <c r="AE89" s="577"/>
      <c r="AF89" s="373">
        <f>'Rates in summary'!J76</f>
        <v>0.10429000000000001</v>
      </c>
      <c r="AG89" s="372"/>
      <c r="AH89" s="374"/>
      <c r="AI89" s="1258"/>
      <c r="AJ89" s="373">
        <f>L89+'Rates in summary'!K76</f>
        <v>0.11126000000000001</v>
      </c>
      <c r="AK89" s="372"/>
      <c r="AL89" s="374"/>
      <c r="AM89" s="373">
        <f>'Rates in summary'!O76</f>
        <v>0</v>
      </c>
      <c r="AN89" s="372"/>
      <c r="AO89" s="577"/>
      <c r="AP89" s="122">
        <f>'Rates in Detail'!W75+'Rates in Detail'!Z75</f>
        <v>0.10419</v>
      </c>
      <c r="AQ89" s="372"/>
      <c r="AR89" s="577"/>
      <c r="AS89" s="373">
        <f>'Rates in summary'!P76</f>
        <v>0.11310000000000001</v>
      </c>
      <c r="AT89" s="372"/>
      <c r="AU89" s="374"/>
      <c r="AV89" s="1263"/>
    </row>
    <row r="90" spans="1:52" x14ac:dyDescent="0.2">
      <c r="A90" s="86">
        <f t="shared" si="14"/>
        <v>83</v>
      </c>
      <c r="B90" s="725"/>
      <c r="C90" s="875" t="s">
        <v>7</v>
      </c>
      <c r="D90" s="384">
        <f>'WA Volumes &amp; Revenues'!E78</f>
        <v>3359916</v>
      </c>
      <c r="E90" s="384">
        <f>'WA Volumes &amp; Revenues'!F78</f>
        <v>3078834</v>
      </c>
      <c r="F90" s="299">
        <v>100000</v>
      </c>
      <c r="G90" s="385"/>
      <c r="H90" s="385"/>
      <c r="I90" s="882"/>
      <c r="J90" s="663"/>
      <c r="K90" s="386">
        <f>+'Rates in summary'!D77</f>
        <v>7.392E-2</v>
      </c>
      <c r="L90" s="386">
        <f>+'Rates in summary'!J77</f>
        <v>8.344E-2</v>
      </c>
      <c r="M90" s="372"/>
      <c r="N90" s="372"/>
      <c r="O90" s="966"/>
      <c r="P90" s="966"/>
      <c r="Q90" s="387">
        <f>'Rates in summary'!H77-'Rates in summary'!F77</f>
        <v>8.4989999999999996E-2</v>
      </c>
      <c r="R90" s="372"/>
      <c r="S90" s="374"/>
      <c r="T90" s="373">
        <f>'Rates in summary'!I77</f>
        <v>0</v>
      </c>
      <c r="U90" s="372"/>
      <c r="V90" s="577"/>
      <c r="W90" s="373">
        <f>'Rates in Detail'!J76+'Rates in Detail'!P76</f>
        <v>7.3099999999999998E-2</v>
      </c>
      <c r="X90" s="372"/>
      <c r="Y90" s="577"/>
      <c r="Z90" s="373">
        <f>'Rates in Detail'!J76+'Rates in Detail'!S76</f>
        <v>7.392E-2</v>
      </c>
      <c r="AA90" s="372"/>
      <c r="AB90" s="577"/>
      <c r="AC90" s="122">
        <f>'Rates in Detail'!J76+'Rates in Detail'!T76</f>
        <v>7.2370000000000004E-2</v>
      </c>
      <c r="AD90" s="372"/>
      <c r="AE90" s="577"/>
      <c r="AF90" s="373">
        <f>'Rates in summary'!J77</f>
        <v>8.344E-2</v>
      </c>
      <c r="AG90" s="372"/>
      <c r="AH90" s="374"/>
      <c r="AI90" s="1258"/>
      <c r="AJ90" s="373">
        <f>L90+'Rates in summary'!K77</f>
        <v>8.9020000000000002E-2</v>
      </c>
      <c r="AK90" s="372"/>
      <c r="AL90" s="374"/>
      <c r="AM90" s="373">
        <f>'Rates in summary'!O77</f>
        <v>0</v>
      </c>
      <c r="AN90" s="372"/>
      <c r="AO90" s="577"/>
      <c r="AP90" s="122">
        <f>'Rates in Detail'!W76+'Rates in Detail'!Z76</f>
        <v>8.3360000000000004E-2</v>
      </c>
      <c r="AQ90" s="372"/>
      <c r="AR90" s="577"/>
      <c r="AS90" s="373">
        <f>'Rates in summary'!P77</f>
        <v>9.0490000000000001E-2</v>
      </c>
      <c r="AT90" s="372"/>
      <c r="AU90" s="374"/>
      <c r="AV90" s="1263"/>
    </row>
    <row r="91" spans="1:52" x14ac:dyDescent="0.2">
      <c r="A91" s="86">
        <f t="shared" si="14"/>
        <v>84</v>
      </c>
      <c r="B91" s="725"/>
      <c r="C91" s="875" t="s">
        <v>8</v>
      </c>
      <c r="D91" s="384">
        <f>'WA Volumes &amp; Revenues'!E79</f>
        <v>1349120</v>
      </c>
      <c r="E91" s="384">
        <f>'WA Volumes &amp; Revenues'!F79</f>
        <v>1269411</v>
      </c>
      <c r="F91" s="299">
        <v>600000</v>
      </c>
      <c r="G91" s="385"/>
      <c r="H91" s="385"/>
      <c r="I91" s="882"/>
      <c r="J91" s="663"/>
      <c r="K91" s="386">
        <f>+'Rates in summary'!D78</f>
        <v>4.929E-2</v>
      </c>
      <c r="L91" s="386">
        <f>+'Rates in summary'!J78</f>
        <v>5.5639999999999995E-2</v>
      </c>
      <c r="M91" s="372"/>
      <c r="N91" s="372"/>
      <c r="O91" s="966"/>
      <c r="P91" s="966"/>
      <c r="Q91" s="387">
        <f>'Rates in summary'!H78-'Rates in summary'!F78</f>
        <v>5.6669999999999998E-2</v>
      </c>
      <c r="R91" s="372"/>
      <c r="S91" s="374"/>
      <c r="T91" s="373">
        <f>'Rates in summary'!I78</f>
        <v>0</v>
      </c>
      <c r="U91" s="372"/>
      <c r="V91" s="577"/>
      <c r="W91" s="373">
        <f>'Rates in Detail'!J77+'Rates in Detail'!P77</f>
        <v>4.8739999999999999E-2</v>
      </c>
      <c r="X91" s="372"/>
      <c r="Y91" s="577"/>
      <c r="Z91" s="373">
        <f>'Rates in Detail'!J77+'Rates in Detail'!S77</f>
        <v>4.929E-2</v>
      </c>
      <c r="AA91" s="372"/>
      <c r="AB91" s="577"/>
      <c r="AC91" s="122">
        <f>'Rates in Detail'!J77+'Rates in Detail'!T77</f>
        <v>4.8259999999999997E-2</v>
      </c>
      <c r="AD91" s="372"/>
      <c r="AE91" s="577"/>
      <c r="AF91" s="373">
        <f>'Rates in summary'!J78</f>
        <v>5.5639999999999995E-2</v>
      </c>
      <c r="AG91" s="372"/>
      <c r="AH91" s="374"/>
      <c r="AI91" s="1258"/>
      <c r="AJ91" s="373">
        <f>L91+'Rates in summary'!K78</f>
        <v>5.9359999999999996E-2</v>
      </c>
      <c r="AK91" s="372"/>
      <c r="AL91" s="374"/>
      <c r="AM91" s="373">
        <f>'Rates in summary'!O78</f>
        <v>0</v>
      </c>
      <c r="AN91" s="372"/>
      <c r="AO91" s="577"/>
      <c r="AP91" s="122">
        <f>'Rates in Detail'!W77+'Rates in Detail'!Z77</f>
        <v>5.5589999999999994E-2</v>
      </c>
      <c r="AQ91" s="372"/>
      <c r="AR91" s="577"/>
      <c r="AS91" s="373">
        <f>'Rates in summary'!P78</f>
        <v>6.0339999999999998E-2</v>
      </c>
      <c r="AT91" s="372"/>
      <c r="AU91" s="374"/>
      <c r="AV91" s="1263"/>
    </row>
    <row r="92" spans="1:52" x14ac:dyDescent="0.2">
      <c r="A92" s="86">
        <f t="shared" ref="A92:A106" si="81">+A91+1</f>
        <v>85</v>
      </c>
      <c r="B92" s="725"/>
      <c r="C92" s="875" t="s">
        <v>9</v>
      </c>
      <c r="D92" s="384">
        <f>'WA Volumes &amp; Revenues'!E80</f>
        <v>0</v>
      </c>
      <c r="E92" s="384">
        <f>'WA Volumes &amp; Revenues'!F80</f>
        <v>0</v>
      </c>
      <c r="F92" s="371" t="s">
        <v>74</v>
      </c>
      <c r="G92" s="385"/>
      <c r="H92" s="385"/>
      <c r="I92" s="882"/>
      <c r="J92" s="663"/>
      <c r="K92" s="386">
        <f>+'Rates in summary'!D79</f>
        <v>1.8460000000000001E-2</v>
      </c>
      <c r="L92" s="386">
        <f>+'Rates in summary'!J79</f>
        <v>2.0839999999999997E-2</v>
      </c>
      <c r="M92" s="372"/>
      <c r="N92" s="372"/>
      <c r="O92" s="966"/>
      <c r="P92" s="966"/>
      <c r="Q92" s="387">
        <f>'Rates in summary'!H79-'Rates in summary'!F79</f>
        <v>2.1229999999999999E-2</v>
      </c>
      <c r="R92" s="372"/>
      <c r="S92" s="374"/>
      <c r="T92" s="373">
        <f>'Rates in summary'!I79</f>
        <v>0</v>
      </c>
      <c r="U92" s="372"/>
      <c r="V92" s="577"/>
      <c r="W92" s="373">
        <f>'Rates in Detail'!J78+'Rates in Detail'!P78</f>
        <v>1.8260000000000002E-2</v>
      </c>
      <c r="X92" s="372"/>
      <c r="Y92" s="577"/>
      <c r="Z92" s="373">
        <f>'Rates in Detail'!J78+'Rates in Detail'!S78</f>
        <v>1.8460000000000001E-2</v>
      </c>
      <c r="AA92" s="372"/>
      <c r="AB92" s="577"/>
      <c r="AC92" s="122">
        <f>'Rates in Detail'!J78+'Rates in Detail'!T78</f>
        <v>1.8069999999999999E-2</v>
      </c>
      <c r="AD92" s="372"/>
      <c r="AE92" s="577"/>
      <c r="AF92" s="373">
        <f>'Rates in summary'!J79</f>
        <v>2.0839999999999997E-2</v>
      </c>
      <c r="AG92" s="372"/>
      <c r="AH92" s="374"/>
      <c r="AI92" s="1258"/>
      <c r="AJ92" s="373">
        <f>L92+'Rates in summary'!K79</f>
        <v>2.2229999999999996E-2</v>
      </c>
      <c r="AK92" s="372"/>
      <c r="AL92" s="374"/>
      <c r="AM92" s="373">
        <f>'Rates in summary'!O79</f>
        <v>0</v>
      </c>
      <c r="AN92" s="372"/>
      <c r="AO92" s="577"/>
      <c r="AP92" s="122">
        <f>'Rates in Detail'!W78+'Rates in Detail'!Z78</f>
        <v>2.0820000000000002E-2</v>
      </c>
      <c r="AQ92" s="372"/>
      <c r="AR92" s="577"/>
      <c r="AS92" s="373">
        <f>'Rates in summary'!P79</f>
        <v>2.2599999999999999E-2</v>
      </c>
      <c r="AT92" s="372"/>
      <c r="AU92" s="374"/>
      <c r="AV92" s="1263"/>
    </row>
    <row r="93" spans="1:52" x14ac:dyDescent="0.2">
      <c r="A93" s="86">
        <f t="shared" si="81"/>
        <v>86</v>
      </c>
      <c r="B93" s="723"/>
      <c r="C93" s="876" t="s">
        <v>78</v>
      </c>
      <c r="D93" s="375"/>
      <c r="E93" s="375"/>
      <c r="F93" s="376"/>
      <c r="G93" s="377"/>
      <c r="H93" s="377"/>
      <c r="I93" s="880"/>
      <c r="J93" s="379"/>
      <c r="K93" s="378"/>
      <c r="L93" s="378"/>
      <c r="M93" s="379">
        <f>$I87+ROUND(IF($G87&lt;$F87,($G87*K87),IF($G87&lt;SUM($F87:$F88),(($F87*K87)+(($G87-$F87)*K88)),IF($G87&lt;SUM($F87:$F89),(($F87*K87)+($F88*K88)+(($G87-$F87-$F88)*K89)),IF($G87&lt;SUM($F87:$F90),(($F87*K87)+($F88*K88)+($F89*K89)+(($G87-SUM($F87:$F89))*K90)),IF($G87&lt;SUM($F87:$F91),(($F87*K87)+($F88*K88)+($F89*K89)+($F90*K90)+(($G87-SUM($F87:$F90))*K91)),(($F87*K87)+($F88*K88)+($F89*K89)+($F90*K89)+($F91*K91)+(($G87-SUM($F87:$F91))*K92))))))),2)</f>
        <v>10526.67</v>
      </c>
      <c r="N93" s="379">
        <f>$I87+ROUND(IF($H87&lt;$F87,($H87*K87),IF($H87&lt;SUM($F87:$F88),(($F87*K87)+(($H87-$F87)*K88)),IF($H87&lt;SUM($F87:$F89),(($F87*K87)+($F88*K88)+(($H87-$F87-$F88)*K89)),IF($H87&lt;SUM($F87:$F90),(($F87*K87)+($F88*K88)+($F89*K89)+(($H87-SUM($F87:$F89))*K90)),IF($H87&lt;SUM($F87:$F91),(($F87*K87)+($F88*K88)+($F89*K89)+($F90*K90)+(($H87-SUM($F87:$F90))*K91)),(($F87*K87)+($F88*K88)+($F89*K89)+($F90*K89)+($F91*K91)+(($H87-SUM($F87:$F91))*K92))))))),2)</f>
        <v>8163.89</v>
      </c>
      <c r="O93" s="379">
        <f>$I87+ROUND(IF($G87&lt;$F87,($G87*L87),IF($G87&lt;SUM($F87:$F88),(($F87*L87)+(($G87-$F87)*L88)),IF($G87&lt;SUM($F87:$F89),(($F87*L87)+($F88*L88)+(($G87-$F87-$F88)*L89)),IF($G87&lt;SUM($F87:$F90),(($F87*L87)+($F88*L88)+($F89*L89)+(($G87-SUM($F87:$F89))*L90)),IF($G87&lt;SUM($F87:$F91),(($F87*L87)+($F88*L88)+($F89*L89)+($F90*L90)+(($G87-SUM($F87:$F90))*L91)),(($F87*L87)+($F88*L88)+($F89*L89)+($F90*L89)+($F91*L91)+(($G87-SUM($F87:$F91))*L92))))))),2)</f>
        <v>11683.4</v>
      </c>
      <c r="P93" s="379">
        <f>$I87+ROUND(IF($H87&lt;$F87,($H87*L87),IF($H87&lt;SUM($F87:$F88),(($F87*L87)+(($H87-$F87)*L88)),IF($H87&lt;SUM($F87:$F89),(($F87*L87)+($F88*L88)+(($H87-$F87-$F88)*L89)),IF($H87&lt;SUM($F87:$F90),(($F87*L87)+($F88*L88)+($F89*L89)+(($H87-SUM($F87:$F89))*L90)),IF($H87&lt;SUM($F87:$F91),(($F87*L87)+($F88*L88)+($F89*L89)+($F90*L90)+(($H87-SUM($F87:$F90))*L91)),(($F87*L87)+($F88*L88)+($F89*L89)+($F90*L89)+($F91*L91)+(($H87-SUM($F87:$F91))*L92))))))),2)</f>
        <v>9016.32</v>
      </c>
      <c r="Q93" s="381"/>
      <c r="R93" s="379">
        <f>$J87+ROUND(IF($G87&lt;$F87,($G87*Q87),IF($G87&lt;SUM($F87:$F88),(($F87*Q87)+(($G87-$F87)*Q88)),IF($G87&lt;SUM($F87:$F89),(($F87*Q87)+($F88*Q88)+(($G87-$F87-$F88)*Q89)),IF($G87&lt;SUM($F87:$F90),(($F87*Q87)+($F88*Q88)+($F89*Q89)+(($G87-SUM($F87:$F89))*Q90)),IF($G87&lt;SUM($F87:$F91),(($F87*Q87)+($F88*Q88)+($F89*Q89)+($F90*Q90)+(($G87-SUM($F87:$F90))*Q91)),(($F87*Q87)+($F88*Q88)+($F89*Q89)+($F90*Q89)+($F91*Q91)+(($G87-SUM($F87:$F91))*Q92))))))),2)</f>
        <v>11871.73</v>
      </c>
      <c r="S93" s="382">
        <f>ROUND((R93-M93)/M93,3)</f>
        <v>0.128</v>
      </c>
      <c r="T93" s="380"/>
      <c r="U93" s="379">
        <f>$I87+ROUND(IF($H87&lt;$F87,($H87*T87),IF($H87&lt;SUM($F87:$F88),(($F87*T87)+(($H87-$F87)*T88)),IF($H87&lt;SUM($F87:$F89),(($F87*T87)+($F88*T88)+(($H87-$F87-$F88)*T89)),IF($H87&lt;SUM($F87:$F90),(($F87*T87)+($F88*T88)+($F89*T89)+(($H87-SUM($F87:$F89))*T90)),IF($H87&lt;SUM($F87:$F91),(($F87*T87)+($F88*T88)+($F89*T89)+($F90*T90)+(($H87-SUM($F87:$F90))*T91)),(($F87*T87)+($F88*T88)+($F89*T89)+($F90*T89)+($F91*T91)+(($H87-SUM($F87:$F91))*T92))))))),2)</f>
        <v>1550</v>
      </c>
      <c r="V93" s="578">
        <f>ROUND((U93-N93)/N93,3)</f>
        <v>-0.81</v>
      </c>
      <c r="W93" s="380"/>
      <c r="X93" s="379">
        <f>$J87+ROUND(IF($G87&lt;$F87,($G87*W87),IF($G87&lt;SUM($F87:$F88),(($F87*W87)+(($G87-$F87)*W88)),IF($G87&lt;SUM($F87:$F89),(($F87*W87)+($F88*W88)+(($G87-$F87-$F88)*W89)),IF($G87&lt;SUM($F87:$F90),(($F87*W87)+($F88*W88)+($F89*W89)+(($G87-SUM($F87:$F89))*W90)),IF($G87&lt;SUM($F87:$F91),(($F87*W87)+($F88*W88)+($F89*W89)+($F90*W90)+(($G87-SUM($F87:$F90))*W91)),(($F87*W87)+($F88*W88)+($F89*W89)+($F90*W89)+($F91*W91)+(($G87-SUM($F87:$F91))*W92))))))),2)</f>
        <v>10427.35</v>
      </c>
      <c r="Y93" s="578">
        <f t="shared" ref="Y93:Y95" si="82">ROUND(($X93-$M93)/$M93,3)</f>
        <v>-8.9999999999999993E-3</v>
      </c>
      <c r="Z93" s="380"/>
      <c r="AA93" s="379">
        <f>$J87+ROUND(IF($G87&lt;$F87,($G87*Z87),IF($G87&lt;SUM($F87:$F88),(($F87*Z87)+(($G87-$F87)*Z88)),IF($G87&lt;SUM($F87:$F89),(($F87*Z87)+($F88*Z88)+(($G87-$F87-$F88)*Z89)),IF($G87&lt;SUM($F87:$F90),(($F87*Z87)+($F88*Z88)+($F89*Z89)+(($G87-SUM($F87:$F89))*Z90)),IF($G87&lt;SUM($F87:$F91),(($F87*Z87)+($F88*Z88)+($F89*Z89)+($F90*Z90)+(($G87-SUM($F87:$F90))*Z91)),(($F87*Z87)+($F88*Z88)+($F89*Z89)+($F90*Z89)+($F91*Z91)+(($G87-SUM($F87:$F91))*Z92))))))),2)</f>
        <v>10526.67</v>
      </c>
      <c r="AB93" s="578">
        <f>ROUND(($AA93-$M93)/$M93,3)</f>
        <v>0</v>
      </c>
      <c r="AC93" s="379"/>
      <c r="AD93" s="379">
        <f>$J87+ROUND(IF($G87&lt;$F87,($G87*AC87),IF($G87&lt;SUM($F87:$F88),(($F87*AC87)+(($G87-$F87)*AC88)),IF($G87&lt;SUM($F87:$F89),(($F87*AC87)+($F88*AC88)+(($G87-$F87-$F88)*AC89)),IF($G87&lt;SUM($F87:$F90),(($F87*AC87)+($F88*AC88)+($F89*AC89)+(($G87-SUM($F87:$F89))*AC90)),IF($G87&lt;SUM($F87:$F91),(($F87*AC87)+($F88*AC88)+($F89*AC89)+($F90*AC90)+(($G87-SUM($F87:$F90))*AC91)),(($F87*AC87)+($F88*AC88)+($F89*AC89)+($F90*AC89)+($F91*AC91)+(($G87-SUM($F87:$F91))*AC92))))))),2)</f>
        <v>10338.33</v>
      </c>
      <c r="AE93" s="578">
        <f>ROUND(($AD93-$M93)/$M93,3)</f>
        <v>-1.7999999999999999E-2</v>
      </c>
      <c r="AF93" s="388"/>
      <c r="AG93" s="379">
        <f>$J87+ROUND(IF($G87&lt;$F87,($G87*AF87),IF($G87&lt;SUM($F87:$F88),(($F87*AF87)+(($G87-$F87)*AF88)),IF($G87&lt;SUM($F87:$F89),(($F87*AF87)+($F88*AF88)+(($G87-$F87-$F88)*AF89)),IF($G87&lt;SUM($F87:$F90),(($F87*AF87)+($F88*AF88)+($F89*AF89)+(($G87-SUM($F87:$F89))*AF90)),IF($G87&lt;SUM($F87:$F91),(($F87*AF87)+($F88*AF88)+($F89*AF89)+($F90*AF90)+(($G87-SUM($F87:$F90))*AF91)),(($F87*AF87)+($F88*AF88)+($F89*AF89)+($F90*AF89)+($F91*AF91)+(($G87-SUM($F87:$F91))*AF92))))))),2)</f>
        <v>11683.4</v>
      </c>
      <c r="AH93" s="382">
        <f>ROUND((AG93-M93)/M93,3)</f>
        <v>0.11</v>
      </c>
      <c r="AI93" s="1259">
        <f t="shared" si="78"/>
        <v>1156.7299999999996</v>
      </c>
      <c r="AJ93" s="381"/>
      <c r="AK93" s="379">
        <f>$J87+ROUND(IF($G87&lt;$F87,($G87*AJ87),IF($G87&lt;SUM($F87:$F88),(($F87*AJ87)+(($G87-$F87)*AJ88)),IF($G87&lt;SUM($F87:$F89),(($F87*AJ87)+($F88*AJ88)+(($G87-$F87-$F88)*AJ89)),IF($G87&lt;SUM($F87:$F90),(($F87*AJ87)+($F88*AJ88)+($F89*AJ89)+(($G87-SUM($F87:$F89))*AJ90)),IF($G87&lt;SUM($F87:$F91),(($F87*AJ87)+($F88*AJ88)+($F89*AJ89)+($F90*AJ90)+(($G87-SUM($F87:$F90))*AJ91)),(($F87*AJ87)+($F88*AJ88)+($F89*AJ89)+($F90*AJ89)+($F91*AJ91)+(($G87-SUM($F87:$F91))*AJ92))))))),2)</f>
        <v>12360.84</v>
      </c>
      <c r="AL93" s="382">
        <f>ROUND((AK93-O93)/O93,3)</f>
        <v>5.8000000000000003E-2</v>
      </c>
      <c r="AM93" s="380"/>
      <c r="AN93" s="379">
        <f>$I87+ROUND(IF($H87&lt;$F87,($H87*AM87),IF($H87&lt;SUM($F87:$F88),(($F87*AM87)+(($H87-$F87)*AM88)),IF($H87&lt;SUM($F87:$F89),(($F87*AM87)+($F88*AM88)+(($H87-$F87-$F88)*AM89)),IF($H87&lt;SUM($F87:$F90),(($F87*AM87)+($F88*AM88)+($F89*AM89)+(($H87-SUM($F87:$F89))*AM90)),IF($H87&lt;SUM($F87:$F91),(($F87*AM87)+($F88*AM88)+($F89*AM89)+($F90*AM90)+(($H87-SUM($F87:$F90))*AM91)),(($F87*AM87)+($F88*AM88)+($F89*AM89)+($F90*AM89)+($F91*AM91)+(($H87-SUM($F87:$F91))*AM92))))))),2)</f>
        <v>1550</v>
      </c>
      <c r="AO93" s="578">
        <f>ROUND((AN93-P93)/P93,3)</f>
        <v>-0.82799999999999996</v>
      </c>
      <c r="AP93" s="379"/>
      <c r="AQ93" s="379">
        <f>$J87+ROUND(IF($G87&lt;$F87,($G87*AP87),IF($G87&lt;SUM($F87:$F88),(($F87*AP87)+(($G87-$F87)*AP88)),IF($G87&lt;SUM($F87:$F89),(($F87*AP87)+($F88*AP88)+(($G87-$F87-$F88)*AP89)),IF($G87&lt;SUM($F87:$F90),(($F87*AP87)+($F88*AP88)+($F89*AP89)+(($G87-SUM($F87:$F89))*AP90)),IF($G87&lt;SUM($F87:$F91),(($F87*AP87)+($F88*AP88)+($F89*AP89)+($F90*AP90)+(($G87-SUM($F87:$F90))*AP91)),(($F87*AP87)+($F88*AP88)+($F89*AP89)+($F90*AP89)+($F91*AP91)+(($G87-SUM($F87:$F91))*AP92))))))),2)</f>
        <v>11673.75</v>
      </c>
      <c r="AR93" s="578">
        <f>ROUND(($AQ93-$O93)/$O93,3)</f>
        <v>-1E-3</v>
      </c>
      <c r="AS93" s="388"/>
      <c r="AT93" s="379">
        <f>$J87+ROUND(IF($G87&lt;$F87,($G87*AS87),IF($G87&lt;SUM($F87:$F88),(($F87*AS87)+(($G87-$F87)*AS88)),IF($G87&lt;SUM($F87:$F89),(($F87*AS87)+($F88*AS88)+(($G87-$F87-$F88)*AS89)),IF($G87&lt;SUM($F87:$F90),(($F87*AS87)+($F88*AS88)+($F89*AS89)+(($G87-SUM($F87:$F89))*AS90)),IF($G87&lt;SUM($F87:$F91),(($F87*AS87)+($F88*AS88)+($F89*AS89)+($F90*AS90)+(($G87-SUM($F87:$F90))*AS91)),(($F87*AS87)+($F88*AS88)+($F89*AS89)+($F90*AS89)+($F91*AS91)+(($G87-SUM($F87:$F91))*AS92))))))),2)</f>
        <v>12539.52</v>
      </c>
      <c r="AU93" s="382">
        <f>ROUND((AT93-O93)/O93,3)</f>
        <v>7.2999999999999995E-2</v>
      </c>
      <c r="AV93" s="1264">
        <f t="shared" si="79"/>
        <v>856.1200000000008</v>
      </c>
      <c r="AW93" s="370"/>
      <c r="AX93" s="370"/>
      <c r="AY93" s="370"/>
      <c r="AZ93" s="370"/>
    </row>
    <row r="94" spans="1:52" x14ac:dyDescent="0.2">
      <c r="A94" s="86">
        <f t="shared" si="81"/>
        <v>87</v>
      </c>
      <c r="B94" s="723" t="str">
        <f>'WA Volumes &amp; Revenues'!B81</f>
        <v>43 Firm Transpt</v>
      </c>
      <c r="C94" s="877" t="s">
        <v>283</v>
      </c>
      <c r="D94" s="389">
        <f>'WA Volumes &amp; Revenues'!E81</f>
        <v>0</v>
      </c>
      <c r="E94" s="389">
        <f>'WA Volumes &amp; Revenues'!F81</f>
        <v>0</v>
      </c>
      <c r="F94" s="390" t="s">
        <v>283</v>
      </c>
      <c r="G94" s="391">
        <f>+'WA Volumes &amp; Revenues'!I81</f>
        <v>0</v>
      </c>
      <c r="H94" s="391">
        <f>'WA Volumes &amp; Revenues'!L81</f>
        <v>0</v>
      </c>
      <c r="I94" s="883">
        <f>'WA Volumes &amp; Revenues'!O81</f>
        <v>38000</v>
      </c>
      <c r="J94" s="664">
        <f>'WA Volumes &amp; Revenues'!N81</f>
        <v>38000</v>
      </c>
      <c r="K94" s="392">
        <f>+'Rates in summary'!D80</f>
        <v>4.919999999999999E-3</v>
      </c>
      <c r="L94" s="392">
        <f>+'Rates in summary'!J80</f>
        <v>4.919999999999999E-3</v>
      </c>
      <c r="M94" s="367">
        <f>ROUND(+$I94+(K94*$G94),2)</f>
        <v>38000</v>
      </c>
      <c r="N94" s="367">
        <f>ROUND(I94+(K94*H94),2)</f>
        <v>38000</v>
      </c>
      <c r="O94" s="367">
        <f t="shared" ref="O94:O96" si="83">ROUND(+$I94+(L94*$G94),2)</f>
        <v>38000</v>
      </c>
      <c r="P94" s="465">
        <f t="shared" ref="P94:P96" si="84">ROUND(I94+(L94*H94),2)</f>
        <v>38000</v>
      </c>
      <c r="Q94" s="393">
        <f>'Rates in summary'!H80-'Rates in summary'!F80</f>
        <v>4.919999999999999E-3</v>
      </c>
      <c r="R94" s="367">
        <f>ROUND(I94+(Q94*G94),2)</f>
        <v>38000</v>
      </c>
      <c r="S94" s="394">
        <f t="shared" ref="S94" si="85">ROUND((R94-M94)/M94,3)</f>
        <v>0</v>
      </c>
      <c r="T94" s="368">
        <f>'Rates in summary'!I80</f>
        <v>0</v>
      </c>
      <c r="U94" s="367">
        <f>ROUND(I94+(T94*H94),2)</f>
        <v>38000</v>
      </c>
      <c r="V94" s="576">
        <f>ROUND((U94-N94)/N94,3)</f>
        <v>0</v>
      </c>
      <c r="W94" s="368">
        <f>'Rates in Detail'!J79+'Rates in Detail'!P79</f>
        <v>4.919999999999999E-3</v>
      </c>
      <c r="X94" s="367">
        <f t="shared" ref="X94:X96" si="86">ROUND($J94+($W94*$G94),2)</f>
        <v>38000</v>
      </c>
      <c r="Y94" s="576">
        <f t="shared" si="82"/>
        <v>0</v>
      </c>
      <c r="Z94" s="368">
        <f>'Rates in Detail'!J79+'Rates in Detail'!S79</f>
        <v>4.919999999999999E-3</v>
      </c>
      <c r="AA94" s="367">
        <f>ROUND($J94+($Z94*$G94),2)</f>
        <v>38000</v>
      </c>
      <c r="AB94" s="576">
        <f>ROUND(($AA94-$M94)/$M94,3)</f>
        <v>0</v>
      </c>
      <c r="AC94" s="123">
        <f>'Rates in Detail'!J79+'Rates in Detail'!T79</f>
        <v>4.919999999999999E-3</v>
      </c>
      <c r="AD94" s="367">
        <f>ROUND($J94+($AC94*$G94),2)</f>
        <v>38000</v>
      </c>
      <c r="AE94" s="576">
        <f>ROUND(($AD94-$M94)/$M94,3)</f>
        <v>0</v>
      </c>
      <c r="AF94" s="395">
        <f>'Rates in summary'!J79</f>
        <v>2.0839999999999997E-2</v>
      </c>
      <c r="AG94" s="367">
        <f t="shared" ref="AG94:AG95" si="87">ROUND(J94+(G94*AF94),2)</f>
        <v>38000</v>
      </c>
      <c r="AH94" s="394">
        <f>ROUND((AG94-M94)/M94,3)</f>
        <v>0</v>
      </c>
      <c r="AI94" s="367">
        <f t="shared" si="78"/>
        <v>0</v>
      </c>
      <c r="AJ94" s="373">
        <f>L94+'Rates in summary'!K80</f>
        <v>4.919999999999999E-3</v>
      </c>
      <c r="AK94" s="367">
        <f>ROUND(J94+(AJ94*G94),2)</f>
        <v>38000</v>
      </c>
      <c r="AL94" s="394">
        <f>ROUND((AK94-O94)/O94,3)</f>
        <v>0</v>
      </c>
      <c r="AM94" s="368">
        <f>'Rates in summary'!O80</f>
        <v>0</v>
      </c>
      <c r="AN94" s="367">
        <f>ROUND(M94+(AM94*K94),2)</f>
        <v>38000</v>
      </c>
      <c r="AO94" s="576">
        <f>ROUND((AN94-P94)/P94,3)</f>
        <v>0</v>
      </c>
      <c r="AP94" s="123">
        <f>'Rates in Detail'!W79+'Rates in Detail'!Z79</f>
        <v>4.919999999999999E-3</v>
      </c>
      <c r="AQ94" s="367">
        <f>ROUND($J94+($AP94*$G94),2)</f>
        <v>38000</v>
      </c>
      <c r="AR94" s="576">
        <f>ROUND(($AQ94-$O94)/$O94,3)</f>
        <v>0</v>
      </c>
      <c r="AS94" s="395">
        <f>'Rates in summary'!P80</f>
        <v>4.919999999999999E-3</v>
      </c>
      <c r="AT94" s="367">
        <f>ROUND(J94+(G94*AS94),2)</f>
        <v>38000</v>
      </c>
      <c r="AU94" s="394">
        <f>ROUND((AT94-O94)/O94,3)</f>
        <v>0</v>
      </c>
      <c r="AV94" s="1265">
        <f t="shared" si="79"/>
        <v>0</v>
      </c>
    </row>
    <row r="95" spans="1:52" x14ac:dyDescent="0.2">
      <c r="A95" s="86">
        <f t="shared" si="81"/>
        <v>88</v>
      </c>
      <c r="B95" s="723" t="str">
        <f>'WA Volumes &amp; Revenues'!B82</f>
        <v>43 Interr Transpt</v>
      </c>
      <c r="C95" s="846" t="s">
        <v>283</v>
      </c>
      <c r="D95" s="389">
        <f>'WA Volumes &amp; Revenues'!E82</f>
        <v>0</v>
      </c>
      <c r="E95" s="389">
        <f>'WA Volumes &amp; Revenues'!F82</f>
        <v>0</v>
      </c>
      <c r="F95" s="390" t="s">
        <v>283</v>
      </c>
      <c r="G95" s="391">
        <f>+'WA Volumes &amp; Revenues'!I82</f>
        <v>0</v>
      </c>
      <c r="H95" s="391">
        <f>'WA Volumes &amp; Revenues'!L82</f>
        <v>0</v>
      </c>
      <c r="I95" s="883">
        <f>'WA Volumes &amp; Revenues'!O82</f>
        <v>38000</v>
      </c>
      <c r="J95" s="664">
        <f>'WA Volumes &amp; Revenues'!N82</f>
        <v>38000</v>
      </c>
      <c r="K95" s="392">
        <f>+'Rates in summary'!D81</f>
        <v>4.919999999999999E-3</v>
      </c>
      <c r="L95" s="392">
        <f>+'Rates in summary'!J81</f>
        <v>4.919999999999999E-3</v>
      </c>
      <c r="M95" s="367">
        <f t="shared" ref="M95:M96" si="88">ROUND(+$I95+(K95*$G95),2)</f>
        <v>38000</v>
      </c>
      <c r="N95" s="367">
        <f t="shared" ref="N95:N96" si="89">ROUND(I95+(K95*H95),2)</f>
        <v>38000</v>
      </c>
      <c r="O95" s="367">
        <f t="shared" si="83"/>
        <v>38000</v>
      </c>
      <c r="P95" s="465">
        <f t="shared" si="84"/>
        <v>38000</v>
      </c>
      <c r="Q95" s="393">
        <f>'Rates in summary'!H81-'Rates in summary'!F81</f>
        <v>4.919999999999999E-3</v>
      </c>
      <c r="R95" s="367">
        <f t="shared" ref="R95" si="90">ROUND(I95+(Q95*G95),2)</f>
        <v>38000</v>
      </c>
      <c r="S95" s="394">
        <f>ROUND((R95-M95)/M95,3)</f>
        <v>0</v>
      </c>
      <c r="T95" s="368">
        <f>'Rates in summary'!I81</f>
        <v>0</v>
      </c>
      <c r="U95" s="367">
        <f>ROUND(I95+(T95*H95),2)</f>
        <v>38000</v>
      </c>
      <c r="V95" s="576">
        <f>ROUND((U95-N95)/N95,3)</f>
        <v>0</v>
      </c>
      <c r="W95" s="368">
        <f>'Rates in Detail'!J80+'Rates in Detail'!P80</f>
        <v>4.919999999999999E-3</v>
      </c>
      <c r="X95" s="367">
        <f t="shared" si="86"/>
        <v>38000</v>
      </c>
      <c r="Y95" s="576">
        <f t="shared" si="82"/>
        <v>0</v>
      </c>
      <c r="Z95" s="368">
        <f>'Rates in Detail'!J80+'Rates in Detail'!S80</f>
        <v>4.919999999999999E-3</v>
      </c>
      <c r="AA95" s="367">
        <f>ROUND($J95+($Z95*$G95),2)</f>
        <v>38000</v>
      </c>
      <c r="AB95" s="576">
        <f>ROUND(($AA95-$M95)/$M95,3)</f>
        <v>0</v>
      </c>
      <c r="AC95" s="123">
        <f>'Rates in Detail'!J80+'Rates in Detail'!T80</f>
        <v>4.919999999999999E-3</v>
      </c>
      <c r="AD95" s="367">
        <f>ROUND($J95+($AC95*$G95),2)</f>
        <v>38000</v>
      </c>
      <c r="AE95" s="576">
        <f>ROUND(($AD95-$M95)/$M95,3)</f>
        <v>0</v>
      </c>
      <c r="AF95" s="395">
        <f>'Rates in summary'!J80</f>
        <v>4.919999999999999E-3</v>
      </c>
      <c r="AG95" s="367">
        <f t="shared" si="87"/>
        <v>38000</v>
      </c>
      <c r="AH95" s="394">
        <f>ROUND((AG95-M95)/M95,3)</f>
        <v>0</v>
      </c>
      <c r="AI95" s="367">
        <f t="shared" si="78"/>
        <v>0</v>
      </c>
      <c r="AJ95" s="373">
        <f>L95+'Rates in summary'!K81</f>
        <v>4.919999999999999E-3</v>
      </c>
      <c r="AK95" s="367">
        <f>ROUND(J95+(AJ95*G95),2)</f>
        <v>38000</v>
      </c>
      <c r="AL95" s="394">
        <f>ROUND((AK95-O95)/O95,3)</f>
        <v>0</v>
      </c>
      <c r="AM95" s="368">
        <f>'Rates in summary'!O81</f>
        <v>0</v>
      </c>
      <c r="AN95" s="367">
        <f>ROUND(M95+(AM95*K95),2)</f>
        <v>38000</v>
      </c>
      <c r="AO95" s="576">
        <f>ROUND((AN95-P95)/P95,3)</f>
        <v>0</v>
      </c>
      <c r="AP95" s="123">
        <f>'Rates in Detail'!W80+'Rates in Detail'!Z80</f>
        <v>4.919999999999999E-3</v>
      </c>
      <c r="AQ95" s="367">
        <f>ROUND($J95+($AP95*$G95),2)</f>
        <v>38000</v>
      </c>
      <c r="AR95" s="576">
        <f>ROUND(($AQ95-$O95)/$O95,3)</f>
        <v>0</v>
      </c>
      <c r="AS95" s="395">
        <f>'Rates in summary'!P81</f>
        <v>4.919999999999999E-3</v>
      </c>
      <c r="AT95" s="367">
        <f>ROUND(J95+(G95*AS95),2)</f>
        <v>38000</v>
      </c>
      <c r="AU95" s="394">
        <f>ROUND((AT95-O95)/O95,3)</f>
        <v>0</v>
      </c>
      <c r="AV95" s="1265">
        <f t="shared" si="79"/>
        <v>0</v>
      </c>
    </row>
    <row r="96" spans="1:52" x14ac:dyDescent="0.2">
      <c r="A96" s="86">
        <f t="shared" si="81"/>
        <v>89</v>
      </c>
      <c r="B96" s="725" t="str">
        <f>'WA Volumes &amp; Revenues'!B83</f>
        <v>Special Contract</v>
      </c>
      <c r="C96" s="1002" t="s">
        <v>283</v>
      </c>
      <c r="D96" s="1003">
        <f>'WA Volumes &amp; Revenues'!E83</f>
        <v>2895114</v>
      </c>
      <c r="E96" s="1003">
        <f>'WA Volumes &amp; Revenues'!F83</f>
        <v>0</v>
      </c>
      <c r="F96" s="1004" t="s">
        <v>283</v>
      </c>
      <c r="G96" s="697">
        <f>+'WA Volumes &amp; Revenues'!I83</f>
        <v>241259.5</v>
      </c>
      <c r="H96" s="697">
        <f>'WA Volumes &amp; Revenues'!L83</f>
        <v>0</v>
      </c>
      <c r="I96" s="882">
        <f>'WA Volumes &amp; Revenues'!O83</f>
        <v>0</v>
      </c>
      <c r="J96" s="663">
        <f>'WA Volumes &amp; Revenues'!N83</f>
        <v>0</v>
      </c>
      <c r="K96" s="1005">
        <f>+'Rates in summary'!D82</f>
        <v>0</v>
      </c>
      <c r="L96" s="1005">
        <f>+'Rates in summary'!J82</f>
        <v>0</v>
      </c>
      <c r="M96" s="372">
        <f t="shared" si="88"/>
        <v>0</v>
      </c>
      <c r="N96" s="372">
        <f t="shared" si="89"/>
        <v>0</v>
      </c>
      <c r="O96" s="372">
        <f t="shared" si="83"/>
        <v>0</v>
      </c>
      <c r="P96" s="372">
        <f t="shared" si="84"/>
        <v>0</v>
      </c>
      <c r="Q96" s="393">
        <f>'Rates in summary'!H82-'Rates in summary'!F82</f>
        <v>0</v>
      </c>
      <c r="R96" s="367">
        <f>ROUND(I96+(Q96*G96),2)</f>
        <v>0</v>
      </c>
      <c r="S96" s="394">
        <f>IF(M96=0,0,ROUND((R96-M96)/M96,3))</f>
        <v>0</v>
      </c>
      <c r="T96" s="368">
        <f>'Rates in summary'!I82</f>
        <v>0</v>
      </c>
      <c r="U96" s="367">
        <f>ROUND(I96+(T96*H96),2)</f>
        <v>0</v>
      </c>
      <c r="V96" s="576">
        <f>IF(N96=0,0,ROUND((U96-N96)/N96,3))</f>
        <v>0</v>
      </c>
      <c r="W96" s="368">
        <f>'Rates in Detail'!J81+'Rates in Detail'!P81</f>
        <v>0</v>
      </c>
      <c r="X96" s="367">
        <f t="shared" si="86"/>
        <v>0</v>
      </c>
      <c r="Y96" s="576">
        <f>IF(M96=0,0,ROUND(($X96-$M96)/$M96,3))</f>
        <v>0</v>
      </c>
      <c r="Z96" s="368">
        <f>'Rates in Detail'!J81+'Rates in Detail'!S81</f>
        <v>0</v>
      </c>
      <c r="AA96" s="367">
        <f>ROUND($J96+($Z96*$G96),2)</f>
        <v>0</v>
      </c>
      <c r="AB96" s="576">
        <f>IF(P96=0,0,ROUND(($AA96-$M96)/$M96,3))</f>
        <v>0</v>
      </c>
      <c r="AC96" s="123">
        <f>'Rates in Detail'!J81+'Rates in Detail'!T81</f>
        <v>0</v>
      </c>
      <c r="AD96" s="367">
        <f>ROUND($J96+($AC96*$G96),2)</f>
        <v>0</v>
      </c>
      <c r="AE96" s="576">
        <f>IF(S96=0,0,ROUND(($AD96-$M96)/$M96,3))</f>
        <v>0</v>
      </c>
      <c r="AF96" s="395">
        <f>'Rates in summary'!J81</f>
        <v>4.919999999999999E-3</v>
      </c>
      <c r="AG96" s="367">
        <v>0</v>
      </c>
      <c r="AH96" s="394">
        <f>IF(M96=0,0,ROUND((AG96-M96)/M96,3))</f>
        <v>0</v>
      </c>
      <c r="AI96" s="367">
        <f t="shared" si="78"/>
        <v>0</v>
      </c>
      <c r="AJ96" s="373">
        <f>L96+'Rates in summary'!K82</f>
        <v>0</v>
      </c>
      <c r="AK96" s="367">
        <f>IF(J96=0,0,ROUND(J96+(AJ96*G96),2))</f>
        <v>0</v>
      </c>
      <c r="AL96" s="394">
        <f>IF(O96=0,0,ROUND((AK96-O96)/O96,3))</f>
        <v>0</v>
      </c>
      <c r="AM96" s="368">
        <f>'Rates in summary'!O82</f>
        <v>0</v>
      </c>
      <c r="AN96" s="367">
        <f>ROUND(M96+(AM96*K96),2)</f>
        <v>0</v>
      </c>
      <c r="AO96" s="576">
        <f>IF(N96=0,0,ROUND((AN96-P96)/P96,3))</f>
        <v>0</v>
      </c>
      <c r="AP96" s="123">
        <f>'Rates in Detail'!W81+'Rates in Detail'!Z81</f>
        <v>0</v>
      </c>
      <c r="AQ96" s="367">
        <f>ROUND($J96+($AP96*$G96),2)</f>
        <v>0</v>
      </c>
      <c r="AR96" s="576">
        <f>IF(AE96=0,0,ROUND(($AQ96-$O96)/$O96,3))</f>
        <v>0</v>
      </c>
      <c r="AS96" s="395">
        <f>'Rates in summary'!P82</f>
        <v>0</v>
      </c>
      <c r="AT96" s="367">
        <f>ROUND(J96+(G96*AS96),2)</f>
        <v>0</v>
      </c>
      <c r="AU96" s="394">
        <f>IF(O96=0,0,ROUND((AT96-O96)/O96,3))</f>
        <v>0</v>
      </c>
      <c r="AV96" s="1265">
        <f t="shared" si="79"/>
        <v>0</v>
      </c>
    </row>
    <row r="97" spans="1:48" ht="13.5" thickBot="1" x14ac:dyDescent="0.25">
      <c r="A97" s="86">
        <f t="shared" si="81"/>
        <v>90</v>
      </c>
      <c r="B97" s="609" t="s">
        <v>78</v>
      </c>
      <c r="C97" s="916"/>
      <c r="D97" s="1006">
        <f>SUM(D14:D96)</f>
        <v>103032055.6009268</v>
      </c>
      <c r="E97" s="1006">
        <f>SUM(E14:E96)</f>
        <v>101085884.30000001</v>
      </c>
      <c r="F97" s="745"/>
      <c r="G97" s="1006">
        <f>SUM(G14:G96)</f>
        <v>543910.62040000001</v>
      </c>
      <c r="H97" s="1006">
        <f>SUM(H14:H96)</f>
        <v>270612</v>
      </c>
      <c r="I97" s="1007"/>
      <c r="J97" s="1007"/>
      <c r="K97" s="1008"/>
      <c r="L97" s="1008"/>
      <c r="M97" s="1009"/>
      <c r="N97" s="1009"/>
      <c r="O97" s="1009"/>
      <c r="P97" s="1010"/>
      <c r="Q97" s="166"/>
      <c r="R97" s="399"/>
      <c r="S97" s="401"/>
      <c r="T97" s="398"/>
      <c r="U97" s="399"/>
      <c r="V97" s="579"/>
      <c r="W97" s="398"/>
      <c r="X97" s="399"/>
      <c r="Y97" s="579"/>
      <c r="Z97" s="398"/>
      <c r="AA97" s="399"/>
      <c r="AB97" s="579"/>
      <c r="AC97" s="399"/>
      <c r="AD97" s="399"/>
      <c r="AE97" s="579"/>
      <c r="AF97" s="398"/>
      <c r="AG97" s="399"/>
      <c r="AH97" s="401"/>
      <c r="AI97" s="398"/>
      <c r="AJ97" s="400"/>
      <c r="AK97" s="399"/>
      <c r="AL97" s="401"/>
      <c r="AM97" s="398"/>
      <c r="AN97" s="399"/>
      <c r="AO97" s="579"/>
      <c r="AP97" s="399"/>
      <c r="AQ97" s="399"/>
      <c r="AR97" s="579"/>
      <c r="AS97" s="398"/>
      <c r="AT97" s="399"/>
      <c r="AU97" s="401"/>
      <c r="AV97" s="579"/>
    </row>
    <row r="98" spans="1:48" ht="12.6" customHeight="1" x14ac:dyDescent="0.2">
      <c r="A98" s="86">
        <f t="shared" si="81"/>
        <v>91</v>
      </c>
      <c r="B98" s="1612" t="s">
        <v>373</v>
      </c>
      <c r="C98" s="1612"/>
      <c r="D98" s="1612"/>
      <c r="E98" s="1612"/>
      <c r="F98" s="1612"/>
      <c r="G98" s="1612"/>
      <c r="H98" s="1612"/>
      <c r="I98" s="1612"/>
      <c r="J98" s="1612"/>
      <c r="K98" s="412"/>
      <c r="L98" s="412"/>
      <c r="M98" s="412"/>
      <c r="N98" s="412"/>
      <c r="O98" s="412"/>
      <c r="P98" s="412"/>
      <c r="T98" s="412"/>
      <c r="U98" s="412"/>
      <c r="V98" s="412"/>
      <c r="W98" s="412"/>
      <c r="X98" s="412"/>
      <c r="Y98" s="412"/>
      <c r="Z98" s="412"/>
      <c r="AA98" s="412"/>
      <c r="AB98" s="412"/>
      <c r="AC98" s="412"/>
      <c r="AD98" s="412"/>
      <c r="AE98" s="412"/>
      <c r="AF98" s="55"/>
      <c r="AG98" s="55"/>
      <c r="AH98" s="55"/>
      <c r="AI98" s="55"/>
      <c r="AM98" s="412"/>
      <c r="AN98" s="412"/>
      <c r="AO98" s="412"/>
      <c r="AP98" s="412"/>
      <c r="AQ98" s="412"/>
      <c r="AR98" s="412"/>
      <c r="AS98" s="55"/>
      <c r="AT98" s="55"/>
      <c r="AU98" s="55"/>
    </row>
    <row r="99" spans="1:48" ht="12.6" customHeight="1" x14ac:dyDescent="0.2">
      <c r="A99" s="86">
        <f t="shared" si="81"/>
        <v>92</v>
      </c>
      <c r="B99" s="1612"/>
      <c r="C99" s="1612"/>
      <c r="D99" s="1612"/>
      <c r="E99" s="1612"/>
      <c r="F99" s="1612"/>
      <c r="G99" s="1612"/>
      <c r="H99" s="1612"/>
      <c r="I99" s="1612"/>
      <c r="J99" s="1612"/>
      <c r="K99" s="413"/>
      <c r="L99" s="413"/>
      <c r="M99" s="413"/>
      <c r="N99" s="413"/>
      <c r="O99" s="413"/>
      <c r="P99" s="413"/>
      <c r="T99" s="413"/>
      <c r="U99" s="413"/>
      <c r="V99" s="413"/>
      <c r="W99" s="413"/>
      <c r="X99" s="413"/>
      <c r="Y99" s="413"/>
      <c r="Z99" s="413"/>
      <c r="AA99" s="413"/>
      <c r="AB99" s="413"/>
      <c r="AC99" s="413"/>
      <c r="AD99" s="413"/>
      <c r="AE99" s="413"/>
      <c r="AF99" s="55"/>
      <c r="AG99" s="55"/>
      <c r="AH99" s="55"/>
      <c r="AI99" s="55"/>
      <c r="AM99" s="413"/>
      <c r="AN99" s="413"/>
      <c r="AO99" s="413"/>
      <c r="AP99" s="413"/>
      <c r="AQ99" s="413"/>
      <c r="AR99" s="413"/>
      <c r="AS99" s="55"/>
      <c r="AT99" s="55"/>
      <c r="AU99" s="55"/>
    </row>
    <row r="100" spans="1:48" x14ac:dyDescent="0.2">
      <c r="A100" s="86">
        <f t="shared" si="81"/>
        <v>93</v>
      </c>
      <c r="B100" s="744"/>
      <c r="C100" s="744"/>
      <c r="D100" s="744"/>
      <c r="E100" s="744"/>
      <c r="F100" s="744"/>
      <c r="G100" s="744"/>
      <c r="H100" s="744"/>
      <c r="I100" s="744"/>
      <c r="J100" s="414"/>
      <c r="K100" s="414"/>
      <c r="L100" s="414"/>
      <c r="M100" s="414"/>
      <c r="N100" s="414"/>
      <c r="O100" s="414"/>
      <c r="P100" s="414"/>
      <c r="Q100" s="351"/>
      <c r="R100" s="351"/>
      <c r="S100" s="351"/>
      <c r="T100" s="414"/>
      <c r="U100" s="414"/>
      <c r="V100" s="414"/>
      <c r="W100" s="414"/>
      <c r="X100" s="414"/>
      <c r="Y100" s="414"/>
      <c r="Z100" s="414"/>
      <c r="AA100" s="414"/>
      <c r="AB100" s="414"/>
      <c r="AC100" s="414"/>
      <c r="AD100" s="414"/>
      <c r="AE100" s="414"/>
      <c r="AF100" s="402"/>
      <c r="AG100" s="402"/>
      <c r="AH100" s="402"/>
      <c r="AI100" s="402"/>
      <c r="AJ100" s="351"/>
      <c r="AK100" s="351"/>
      <c r="AL100" s="351"/>
      <c r="AM100" s="414"/>
      <c r="AN100" s="414"/>
      <c r="AO100" s="414"/>
      <c r="AP100" s="414"/>
      <c r="AQ100" s="414"/>
      <c r="AR100" s="414"/>
      <c r="AS100" s="402"/>
      <c r="AT100" s="402"/>
      <c r="AU100" s="402"/>
    </row>
    <row r="101" spans="1:48" x14ac:dyDescent="0.2">
      <c r="A101" s="86">
        <f t="shared" si="81"/>
        <v>94</v>
      </c>
      <c r="B101" s="744"/>
      <c r="C101" s="744"/>
      <c r="D101" s="744"/>
      <c r="E101" s="744"/>
      <c r="F101" s="744"/>
      <c r="G101" s="744"/>
      <c r="H101" s="744"/>
      <c r="I101" s="744"/>
      <c r="J101" s="414"/>
      <c r="K101" s="414"/>
      <c r="L101" s="414"/>
      <c r="M101" s="414"/>
      <c r="N101" s="414"/>
      <c r="O101" s="414"/>
      <c r="P101" s="414"/>
      <c r="T101" s="414"/>
      <c r="U101" s="414"/>
      <c r="V101" s="414"/>
      <c r="W101" s="414"/>
      <c r="X101" s="414"/>
      <c r="Y101" s="414"/>
      <c r="Z101" s="414"/>
      <c r="AA101" s="414"/>
      <c r="AB101" s="414"/>
      <c r="AC101" s="414"/>
      <c r="AD101" s="414"/>
      <c r="AE101" s="414"/>
      <c r="AM101" s="414"/>
      <c r="AN101" s="414"/>
      <c r="AO101" s="414"/>
      <c r="AP101" s="414"/>
      <c r="AQ101" s="414"/>
      <c r="AR101" s="414"/>
    </row>
    <row r="102" spans="1:48" x14ac:dyDescent="0.2">
      <c r="A102" s="86">
        <f t="shared" si="81"/>
        <v>95</v>
      </c>
      <c r="B102" s="414"/>
      <c r="C102" s="414"/>
      <c r="D102" s="414"/>
      <c r="E102" s="414"/>
      <c r="F102" s="414"/>
      <c r="G102" s="414"/>
      <c r="H102" s="414"/>
      <c r="I102" s="414"/>
      <c r="J102" s="414"/>
      <c r="K102" s="414"/>
      <c r="L102" s="414"/>
      <c r="M102" s="414"/>
      <c r="N102" s="414"/>
      <c r="O102" s="414"/>
      <c r="P102" s="414"/>
      <c r="T102" s="414"/>
      <c r="U102" s="414"/>
      <c r="V102" s="414"/>
      <c r="W102" s="414"/>
      <c r="X102" s="414"/>
      <c r="Y102" s="414"/>
      <c r="Z102" s="414"/>
      <c r="AA102" s="414"/>
      <c r="AB102" s="414"/>
      <c r="AC102" s="414"/>
      <c r="AD102" s="414"/>
      <c r="AE102" s="414"/>
      <c r="AM102" s="414"/>
      <c r="AN102" s="414"/>
      <c r="AO102" s="414"/>
      <c r="AP102" s="414"/>
      <c r="AQ102" s="414"/>
      <c r="AR102" s="414"/>
    </row>
    <row r="103" spans="1:48" x14ac:dyDescent="0.2">
      <c r="A103" s="86">
        <f t="shared" si="81"/>
        <v>96</v>
      </c>
      <c r="B103" s="403" t="s">
        <v>58</v>
      </c>
      <c r="C103" s="147"/>
      <c r="D103" s="147"/>
      <c r="E103" s="147"/>
      <c r="F103" s="147"/>
      <c r="G103" s="147"/>
      <c r="H103" s="147"/>
      <c r="I103" s="147"/>
      <c r="J103" s="147"/>
    </row>
    <row r="104" spans="1:48" x14ac:dyDescent="0.2">
      <c r="A104" s="86">
        <f t="shared" si="81"/>
        <v>97</v>
      </c>
      <c r="B104" s="884" t="s">
        <v>59</v>
      </c>
      <c r="C104" s="885"/>
      <c r="D104" s="886"/>
      <c r="E104" s="886"/>
      <c r="F104" s="887" t="s">
        <v>77</v>
      </c>
      <c r="G104" s="886"/>
      <c r="H104" s="886"/>
      <c r="I104" s="887"/>
      <c r="J104" s="887" t="s">
        <v>77</v>
      </c>
      <c r="K104" s="886"/>
      <c r="L104" s="955"/>
      <c r="M104" s="886"/>
      <c r="N104" s="886"/>
      <c r="O104" s="955"/>
      <c r="P104" s="955"/>
      <c r="Q104" s="886"/>
      <c r="R104" s="886"/>
      <c r="S104" s="886"/>
      <c r="T104" s="886"/>
      <c r="U104" s="886"/>
      <c r="V104" s="886"/>
      <c r="W104" s="886"/>
      <c r="X104" s="886"/>
      <c r="Y104" s="886"/>
      <c r="Z104" s="886"/>
      <c r="AA104" s="886"/>
      <c r="AB104" s="886"/>
      <c r="AC104" s="886"/>
      <c r="AD104" s="886"/>
      <c r="AE104" s="886"/>
      <c r="AF104" s="886"/>
      <c r="AG104" s="886"/>
      <c r="AH104" s="888"/>
      <c r="AI104" s="886"/>
      <c r="AJ104" s="955"/>
      <c r="AK104" s="955"/>
      <c r="AL104" s="955"/>
      <c r="AM104" s="886"/>
      <c r="AN104" s="886"/>
      <c r="AO104" s="886"/>
      <c r="AP104" s="886"/>
      <c r="AQ104" s="886"/>
      <c r="AR104" s="886"/>
      <c r="AS104" s="886"/>
      <c r="AT104" s="886"/>
      <c r="AU104" s="888"/>
    </row>
    <row r="105" spans="1:48" x14ac:dyDescent="0.2">
      <c r="A105" s="86">
        <f t="shared" si="81"/>
        <v>98</v>
      </c>
    </row>
    <row r="106" spans="1:48" x14ac:dyDescent="0.2">
      <c r="A106" s="86">
        <f t="shared" si="81"/>
        <v>99</v>
      </c>
      <c r="B106" s="884" t="s">
        <v>63</v>
      </c>
      <c r="C106" s="885"/>
      <c r="D106" s="885"/>
      <c r="E106" s="885"/>
      <c r="F106" s="887"/>
      <c r="G106" s="887"/>
      <c r="H106" s="887"/>
      <c r="I106" s="885"/>
      <c r="J106" s="885"/>
      <c r="K106" s="887" t="s">
        <v>34</v>
      </c>
      <c r="L106" s="1001" t="s">
        <v>34</v>
      </c>
      <c r="M106" s="885"/>
      <c r="N106" s="885"/>
      <c r="O106" s="956"/>
      <c r="P106" s="956"/>
      <c r="Q106" s="885"/>
      <c r="R106" s="885"/>
      <c r="S106" s="885"/>
      <c r="T106" s="885"/>
      <c r="U106" s="885"/>
      <c r="V106" s="885"/>
      <c r="W106" s="885"/>
      <c r="X106" s="885"/>
      <c r="Y106" s="885"/>
      <c r="Z106" s="885"/>
      <c r="AA106" s="885"/>
      <c r="AB106" s="885"/>
      <c r="AC106" s="885"/>
      <c r="AD106" s="885"/>
      <c r="AE106" s="885"/>
      <c r="AF106" s="885"/>
      <c r="AG106" s="885"/>
      <c r="AH106" s="889"/>
      <c r="AI106" s="885"/>
      <c r="AJ106" s="956"/>
      <c r="AK106" s="956"/>
      <c r="AL106" s="956"/>
      <c r="AM106" s="885"/>
      <c r="AN106" s="885"/>
      <c r="AO106" s="885"/>
      <c r="AP106" s="885"/>
      <c r="AQ106" s="885"/>
      <c r="AR106" s="885"/>
      <c r="AS106" s="885"/>
      <c r="AT106" s="885"/>
      <c r="AU106" s="889"/>
    </row>
    <row r="107" spans="1:48" x14ac:dyDescent="0.2">
      <c r="A107" s="86"/>
    </row>
    <row r="108" spans="1:48" x14ac:dyDescent="0.2">
      <c r="A108" s="86"/>
    </row>
  </sheetData>
  <customSheetViews>
    <customSheetView guid="{80646397-1CEF-4A79-B348-594AB32B8020}" hiddenColumns="1">
      <pane xSplit="3" ySplit="13" topLeftCell="D14" activePane="bottomRight" state="frozen"/>
      <selection pane="bottomRight" activeCell="AJ23" sqref="AJ23"/>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hiddenColumns="1">
      <pane xSplit="3" ySplit="13" topLeftCell="D14" activePane="bottomRight" state="frozen"/>
      <selection pane="bottomRight" activeCell="AJ23" sqref="AJ23"/>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mergeCells count="39">
    <mergeCell ref="W6:Y6"/>
    <mergeCell ref="Z6:AB6"/>
    <mergeCell ref="AC6:AE6"/>
    <mergeCell ref="AP6:AR6"/>
    <mergeCell ref="BM12:BM13"/>
    <mergeCell ref="BH12:BH13"/>
    <mergeCell ref="BI12:BI13"/>
    <mergeCell ref="BJ12:BJ13"/>
    <mergeCell ref="BK12:BK13"/>
    <mergeCell ref="BL12:BL13"/>
    <mergeCell ref="BF12:BF13"/>
    <mergeCell ref="BG12:BG13"/>
    <mergeCell ref="BB12:BB13"/>
    <mergeCell ref="BC12:BC13"/>
    <mergeCell ref="BD12:BD13"/>
    <mergeCell ref="BE12:BE13"/>
    <mergeCell ref="Q5:AH5"/>
    <mergeCell ref="AJ5:AU5"/>
    <mergeCell ref="BB10:BG10"/>
    <mergeCell ref="BH10:BM10"/>
    <mergeCell ref="BH11:BI11"/>
    <mergeCell ref="BJ11:BK11"/>
    <mergeCell ref="BL11:BM11"/>
    <mergeCell ref="BF11:BG11"/>
    <mergeCell ref="BD11:BE11"/>
    <mergeCell ref="Q6:S6"/>
    <mergeCell ref="AJ6:AL6"/>
    <mergeCell ref="AS6:AU6"/>
    <mergeCell ref="T6:V6"/>
    <mergeCell ref="BB11:BC11"/>
    <mergeCell ref="AM6:AO6"/>
    <mergeCell ref="AF6:AH6"/>
    <mergeCell ref="BL41:BL42"/>
    <mergeCell ref="BM41:BM42"/>
    <mergeCell ref="BB40:BG40"/>
    <mergeCell ref="BH40:BM40"/>
    <mergeCell ref="B98:J99"/>
    <mergeCell ref="BF41:BF42"/>
    <mergeCell ref="BG41:BG42"/>
  </mergeCells>
  <phoneticPr fontId="10" type="noConversion"/>
  <pageMargins left="0.5" right="0.5" top="0.5" bottom="0.5" header="0.25" footer="0.25"/>
  <pageSetup scale="51" orientation="portrait" r:id="rId3"/>
  <headerFooter alignWithMargins="0">
    <oddHeader>&amp;RExh. RJW-3 Wyman WP1</oddHeader>
    <oddFooter xml:space="preserve">&amp;C&amp;F &amp;D &amp;T
&amp;A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062B5-1AE2-48D8-BE95-E9F0461C8CFD}">
  <sheetPr>
    <tabColor theme="7" tint="0.79998168889431442"/>
    <pageSetUpPr fitToPage="1"/>
  </sheetPr>
  <dimension ref="B1:U54"/>
  <sheetViews>
    <sheetView zoomScale="90" zoomScaleNormal="90" workbookViewId="0">
      <pane xSplit="3" ySplit="15" topLeftCell="D16" activePane="bottomRight" state="frozen"/>
      <selection pane="topRight" activeCell="D1" sqref="D1"/>
      <selection pane="bottomLeft" activeCell="A14" sqref="A14"/>
      <selection pane="bottomRight" activeCell="Q50" sqref="Q50"/>
    </sheetView>
  </sheetViews>
  <sheetFormatPr defaultColWidth="9.33203125" defaultRowHeight="12.75" x14ac:dyDescent="0.2"/>
  <cols>
    <col min="1" max="1" width="3.1640625" style="56" customWidth="1"/>
    <col min="2" max="2" width="7.6640625" style="56" customWidth="1"/>
    <col min="3" max="3" width="11.33203125" style="56" bestFit="1" customWidth="1"/>
    <col min="4" max="5" width="18.1640625" style="56" customWidth="1"/>
    <col min="6" max="6" width="21.6640625" style="56" customWidth="1"/>
    <col min="7" max="7" width="21.1640625" style="56" customWidth="1"/>
    <col min="8" max="9" width="18.1640625" style="56" customWidth="1"/>
    <col min="10" max="12" width="11.1640625" style="56" customWidth="1"/>
    <col min="13" max="13" width="3.33203125" style="56" customWidth="1"/>
    <col min="14" max="14" width="18" style="56" customWidth="1"/>
    <col min="15" max="15" width="15.83203125" style="56" customWidth="1"/>
    <col min="16" max="16" width="22.33203125" style="56" bestFit="1" customWidth="1"/>
    <col min="17" max="17" width="17.6640625" style="56" customWidth="1"/>
    <col min="18" max="18" width="17" style="56" customWidth="1"/>
    <col min="19" max="21" width="11.5" style="56" customWidth="1"/>
    <col min="22" max="16384" width="9.33203125" style="56"/>
  </cols>
  <sheetData>
    <row r="1" spans="2:21" x14ac:dyDescent="0.2">
      <c r="B1" s="895" t="s">
        <v>0</v>
      </c>
      <c r="C1" s="896"/>
      <c r="D1" s="896"/>
      <c r="E1" s="896"/>
      <c r="F1" s="896"/>
      <c r="G1" s="896"/>
      <c r="H1" s="896"/>
      <c r="I1" s="896"/>
      <c r="N1" s="895" t="s">
        <v>0</v>
      </c>
    </row>
    <row r="2" spans="2:21" x14ac:dyDescent="0.2">
      <c r="B2" s="895" t="s">
        <v>276</v>
      </c>
      <c r="C2" s="896"/>
      <c r="D2" s="896"/>
      <c r="E2" s="896"/>
      <c r="F2" s="896"/>
      <c r="G2" s="896"/>
      <c r="H2" s="896"/>
      <c r="I2" s="896"/>
      <c r="N2" s="895" t="s">
        <v>276</v>
      </c>
    </row>
    <row r="3" spans="2:21" x14ac:dyDescent="0.2">
      <c r="B3" s="895" t="s">
        <v>277</v>
      </c>
      <c r="C3" s="896"/>
      <c r="D3" s="896"/>
      <c r="E3" s="896"/>
      <c r="F3" s="896"/>
      <c r="G3" s="896"/>
      <c r="H3" s="896"/>
      <c r="I3" s="896"/>
      <c r="N3" s="895" t="s">
        <v>277</v>
      </c>
    </row>
    <row r="4" spans="2:21" x14ac:dyDescent="0.2">
      <c r="B4" s="895" t="s">
        <v>562</v>
      </c>
      <c r="C4" s="896"/>
      <c r="D4" s="896"/>
      <c r="E4" s="896"/>
      <c r="F4" s="896"/>
      <c r="G4" s="896"/>
      <c r="H4" s="896"/>
      <c r="I4" s="896"/>
      <c r="N4" s="895" t="s">
        <v>562</v>
      </c>
    </row>
    <row r="5" spans="2:21" x14ac:dyDescent="0.2">
      <c r="B5" s="895" t="s">
        <v>621</v>
      </c>
      <c r="C5" s="896"/>
      <c r="D5" s="896"/>
      <c r="E5" s="896"/>
      <c r="F5" s="896"/>
      <c r="G5" s="896"/>
      <c r="H5" s="896"/>
      <c r="I5" s="896"/>
      <c r="N5" s="895" t="s">
        <v>621</v>
      </c>
    </row>
    <row r="6" spans="2:21" x14ac:dyDescent="0.2">
      <c r="C6" s="896"/>
      <c r="D6" s="896"/>
      <c r="E6" s="896"/>
      <c r="F6" s="896"/>
      <c r="G6" s="896"/>
      <c r="H6" s="896"/>
      <c r="I6" s="896"/>
    </row>
    <row r="7" spans="2:21" x14ac:dyDescent="0.2">
      <c r="B7" s="168" t="s">
        <v>563</v>
      </c>
      <c r="C7" s="896"/>
      <c r="D7" s="896"/>
      <c r="E7" s="896"/>
      <c r="F7" s="896"/>
      <c r="G7" s="896"/>
      <c r="H7" s="896"/>
      <c r="I7" s="896"/>
      <c r="N7" s="168" t="s">
        <v>564</v>
      </c>
    </row>
    <row r="8" spans="2:21" ht="12.95" customHeight="1" x14ac:dyDescent="0.2">
      <c r="B8" s="601" t="s">
        <v>617</v>
      </c>
      <c r="C8" s="1534"/>
      <c r="D8" s="1534"/>
      <c r="E8" s="1534"/>
      <c r="F8" s="1534"/>
      <c r="G8" s="1534"/>
      <c r="H8" s="1534"/>
      <c r="I8" s="1534"/>
      <c r="J8" s="1534"/>
      <c r="K8" s="1534"/>
      <c r="L8" s="1534"/>
      <c r="N8" s="601" t="s">
        <v>618</v>
      </c>
      <c r="O8" s="1534"/>
      <c r="P8" s="1534"/>
      <c r="Q8" s="1534"/>
      <c r="R8" s="1534"/>
      <c r="S8" s="1534"/>
      <c r="T8" s="1534"/>
      <c r="U8" s="1534"/>
    </row>
    <row r="9" spans="2:21" x14ac:dyDescent="0.2">
      <c r="B9" s="601" t="s">
        <v>561</v>
      </c>
      <c r="C9" s="1534"/>
      <c r="D9" s="1534"/>
      <c r="E9" s="1534"/>
      <c r="F9" s="1534"/>
      <c r="G9" s="1534"/>
      <c r="H9" s="1534"/>
      <c r="I9" s="1534"/>
      <c r="J9" s="1534"/>
      <c r="K9" s="1534"/>
      <c r="L9" s="1534"/>
      <c r="N9" s="1534"/>
      <c r="O9" s="1534"/>
      <c r="P9" s="1534"/>
      <c r="Q9" s="1534"/>
      <c r="R9" s="1534"/>
      <c r="S9" s="1534"/>
      <c r="T9" s="1534"/>
      <c r="U9" s="1534"/>
    </row>
    <row r="10" spans="2:21" ht="13.5" thickBot="1" x14ac:dyDescent="0.25">
      <c r="C10" s="896"/>
      <c r="D10" s="896"/>
      <c r="E10" s="896"/>
      <c r="F10" s="896"/>
      <c r="G10" s="896"/>
      <c r="H10" s="896"/>
      <c r="I10" s="896"/>
    </row>
    <row r="11" spans="2:21" ht="13.5" thickBot="1" x14ac:dyDescent="0.25">
      <c r="B11" s="897"/>
      <c r="C11" s="896"/>
      <c r="D11" s="1633" t="s">
        <v>565</v>
      </c>
      <c r="E11" s="1634"/>
      <c r="F11" s="1634"/>
      <c r="G11" s="1634"/>
      <c r="H11" s="1634"/>
      <c r="I11" s="1634"/>
      <c r="J11" s="1634"/>
      <c r="K11" s="1634"/>
      <c r="L11" s="1635"/>
      <c r="M11" s="1036"/>
      <c r="N11" s="1630" t="s">
        <v>566</v>
      </c>
      <c r="O11" s="1631"/>
      <c r="P11" s="1631"/>
      <c r="Q11" s="1631"/>
      <c r="R11" s="1631"/>
      <c r="S11" s="1631"/>
      <c r="T11" s="1631"/>
      <c r="U11" s="1632"/>
    </row>
    <row r="12" spans="2:21" ht="13.5" customHeight="1" thickBot="1" x14ac:dyDescent="0.25">
      <c r="B12" s="1011"/>
      <c r="C12" s="1012"/>
      <c r="D12" s="1012"/>
      <c r="E12" s="1012"/>
      <c r="F12" s="964" t="s">
        <v>178</v>
      </c>
      <c r="G12" s="964" t="s">
        <v>487</v>
      </c>
      <c r="H12" s="1012"/>
      <c r="I12" s="1012"/>
      <c r="J12" s="1580" t="s">
        <v>213</v>
      </c>
      <c r="K12" s="1581"/>
      <c r="L12" s="1582"/>
      <c r="M12" s="1036"/>
      <c r="N12" s="1011"/>
      <c r="O12" s="1012"/>
      <c r="P12" s="964" t="s">
        <v>178</v>
      </c>
      <c r="Q12" s="1012"/>
      <c r="R12" s="1012"/>
      <c r="S12" s="1580" t="s">
        <v>213</v>
      </c>
      <c r="T12" s="1581"/>
      <c r="U12" s="1582"/>
    </row>
    <row r="13" spans="2:21" ht="51" x14ac:dyDescent="0.2">
      <c r="B13" s="1035" t="s">
        <v>173</v>
      </c>
      <c r="C13" s="69" t="s">
        <v>158</v>
      </c>
      <c r="D13" s="69" t="s">
        <v>207</v>
      </c>
      <c r="E13" s="69" t="s">
        <v>208</v>
      </c>
      <c r="F13" s="67" t="s">
        <v>201</v>
      </c>
      <c r="G13" s="1187" t="s">
        <v>505</v>
      </c>
      <c r="H13" s="69" t="s">
        <v>202</v>
      </c>
      <c r="I13" s="69" t="s">
        <v>203</v>
      </c>
      <c r="J13" s="68" t="s">
        <v>204</v>
      </c>
      <c r="K13" s="69" t="s">
        <v>205</v>
      </c>
      <c r="L13" s="70" t="s">
        <v>206</v>
      </c>
      <c r="M13" s="1036"/>
      <c r="N13" s="1025" t="s">
        <v>207</v>
      </c>
      <c r="O13" s="69" t="s">
        <v>208</v>
      </c>
      <c r="P13" s="67" t="s">
        <v>201</v>
      </c>
      <c r="Q13" s="69" t="s">
        <v>202</v>
      </c>
      <c r="R13" s="69" t="s">
        <v>203</v>
      </c>
      <c r="S13" s="68" t="s">
        <v>204</v>
      </c>
      <c r="T13" s="69" t="s">
        <v>205</v>
      </c>
      <c r="U13" s="70" t="s">
        <v>206</v>
      </c>
    </row>
    <row r="14" spans="2:21" x14ac:dyDescent="0.2">
      <c r="B14" s="71"/>
      <c r="C14" s="72"/>
      <c r="D14" s="72"/>
      <c r="E14" s="72"/>
      <c r="F14" s="1466" t="s">
        <v>197</v>
      </c>
      <c r="G14" s="1466" t="s">
        <v>198</v>
      </c>
      <c r="H14" s="72"/>
      <c r="I14" s="72"/>
      <c r="J14" s="73"/>
      <c r="K14" s="72"/>
      <c r="L14" s="74"/>
      <c r="M14" s="1036"/>
      <c r="N14" s="1023"/>
      <c r="O14" s="72"/>
      <c r="P14" s="1466" t="s">
        <v>488</v>
      </c>
      <c r="Q14" s="72"/>
      <c r="R14" s="72"/>
      <c r="S14" s="73"/>
      <c r="T14" s="72"/>
      <c r="U14" s="74"/>
    </row>
    <row r="15" spans="2:21" ht="13.5" thickBot="1" x14ac:dyDescent="0.25">
      <c r="B15" s="75"/>
      <c r="C15" s="76"/>
      <c r="D15" s="109" t="s">
        <v>35</v>
      </c>
      <c r="E15" s="109" t="s">
        <v>36</v>
      </c>
      <c r="F15" s="129" t="s">
        <v>13</v>
      </c>
      <c r="G15" s="129" t="s">
        <v>37</v>
      </c>
      <c r="H15" s="109" t="s">
        <v>513</v>
      </c>
      <c r="I15" s="109" t="s">
        <v>489</v>
      </c>
      <c r="J15" s="125" t="s">
        <v>40</v>
      </c>
      <c r="K15" s="109" t="s">
        <v>41</v>
      </c>
      <c r="L15" s="126" t="s">
        <v>42</v>
      </c>
      <c r="M15" s="1036"/>
      <c r="N15" s="1024" t="s">
        <v>35</v>
      </c>
      <c r="O15" s="109" t="s">
        <v>36</v>
      </c>
      <c r="P15" s="129" t="s">
        <v>13</v>
      </c>
      <c r="Q15" s="109" t="s">
        <v>215</v>
      </c>
      <c r="R15" s="109" t="s">
        <v>216</v>
      </c>
      <c r="S15" s="125" t="s">
        <v>39</v>
      </c>
      <c r="T15" s="109" t="s">
        <v>40</v>
      </c>
      <c r="U15" s="126" t="s">
        <v>41</v>
      </c>
    </row>
    <row r="16" spans="2:21" ht="12" customHeight="1" thickTop="1" x14ac:dyDescent="0.2">
      <c r="B16" s="77"/>
      <c r="C16" s="69"/>
      <c r="D16" s="69"/>
      <c r="E16" s="69"/>
      <c r="F16" s="67"/>
      <c r="G16" s="67"/>
      <c r="H16" s="69"/>
      <c r="I16" s="69"/>
      <c r="J16" s="68"/>
      <c r="K16" s="69"/>
      <c r="L16" s="70"/>
      <c r="M16" s="1036"/>
      <c r="N16" s="1025"/>
      <c r="O16" s="69"/>
      <c r="P16" s="67"/>
      <c r="Q16" s="69"/>
      <c r="R16" s="69"/>
      <c r="S16" s="68"/>
      <c r="T16" s="69"/>
      <c r="U16" s="70"/>
    </row>
    <row r="17" spans="2:21" x14ac:dyDescent="0.2">
      <c r="B17" s="77">
        <v>1</v>
      </c>
      <c r="C17" s="79" t="s">
        <v>281</v>
      </c>
      <c r="D17" s="80">
        <f>'Rate Spread Proposal'!E$15</f>
        <v>208635.1321174161</v>
      </c>
      <c r="E17" s="81">
        <f>'Rate Spread Proposal'!E$14</f>
        <v>283691.13211741613</v>
      </c>
      <c r="F17" s="82">
        <f>SUM('Rev Req Proof Yr1'!AF14:AH14)</f>
        <v>28394.63053745855</v>
      </c>
      <c r="G17" s="82">
        <f>SUM('Rev Req Proof Yr1'!AM14:AO14)</f>
        <v>-1953.8082260179419</v>
      </c>
      <c r="H17" s="81">
        <f>D17+F17+G17</f>
        <v>235075.9544288567</v>
      </c>
      <c r="I17" s="81">
        <f>E17+F17+G17</f>
        <v>310131.95442885678</v>
      </c>
      <c r="J17" s="83">
        <f>IFERROR((F17+G17)/D17,0)</f>
        <v>0.12673235827109017</v>
      </c>
      <c r="K17" s="84">
        <f>IFERROR((F17+G17)/E17,0)</f>
        <v>9.3202850981246352E-2</v>
      </c>
      <c r="L17" s="1302">
        <f>'Avg Bill by RS'!S14</f>
        <v>8.5999999999999993E-2</v>
      </c>
      <c r="M17" s="1036"/>
      <c r="N17" s="1190">
        <f>H17</f>
        <v>235075.9544288567</v>
      </c>
      <c r="O17" s="81">
        <f>I17</f>
        <v>310131.95442885678</v>
      </c>
      <c r="P17" s="82">
        <f>SUM('Rev Req Proof Yr2'!AF14:AH14)</f>
        <v>13313.807483007986</v>
      </c>
      <c r="Q17" s="81">
        <f>N17+P17</f>
        <v>248389.76191186468</v>
      </c>
      <c r="R17" s="81">
        <f>O17+P17</f>
        <v>323445.76191186474</v>
      </c>
      <c r="S17" s="83">
        <f>IFERROR((P17)/N17,0)</f>
        <v>5.6636194524256507E-2</v>
      </c>
      <c r="T17" s="84">
        <f>IFERROR((P17)/O17,0)</f>
        <v>4.2929492730044136E-2</v>
      </c>
      <c r="U17" s="589">
        <f>'Avg Bill by RS'!AL14</f>
        <v>4.1000000000000002E-2</v>
      </c>
    </row>
    <row r="18" spans="2:21" x14ac:dyDescent="0.2">
      <c r="B18" s="77">
        <v>2</v>
      </c>
      <c r="C18" s="86" t="s">
        <v>282</v>
      </c>
      <c r="D18" s="80">
        <f>'Rate Spread Proposal'!F$15</f>
        <v>37604.380821902283</v>
      </c>
      <c r="E18" s="81">
        <f>'Rate Spread Proposal'!F$14</f>
        <v>53871.380821902283</v>
      </c>
      <c r="F18" s="82">
        <f>SUM('Rev Req Proof Yr1'!AF15:AH15)</f>
        <v>5117.9001141686094</v>
      </c>
      <c r="G18" s="82">
        <f>SUM('Rev Req Proof Yr1'!AM15:AO15)</f>
        <v>-351.83527201159131</v>
      </c>
      <c r="H18" s="81">
        <f t="shared" ref="H18:H39" si="0">D18+F18+G18</f>
        <v>42370.445664059298</v>
      </c>
      <c r="I18" s="81">
        <f t="shared" ref="I18:I39" si="1">E18+F18+G18</f>
        <v>58637.445664059298</v>
      </c>
      <c r="J18" s="83">
        <f t="shared" ref="J18:J39" si="2">IFERROR((F18+G18)/D18,0)</f>
        <v>0.12674227677699385</v>
      </c>
      <c r="K18" s="84">
        <f t="shared" ref="K18:K39" si="3">IFERROR((F18+G18)/E18,0)</f>
        <v>8.8471183946695828E-2</v>
      </c>
      <c r="L18" s="1302">
        <f>'Avg Bill by RS'!S15</f>
        <v>8.2000000000000003E-2</v>
      </c>
      <c r="M18" s="1036"/>
      <c r="N18" s="1190">
        <f t="shared" ref="N18:N39" si="4">H18</f>
        <v>42370.445664059298</v>
      </c>
      <c r="O18" s="81">
        <f t="shared" ref="O18:O39" si="5">I18</f>
        <v>58637.445664059298</v>
      </c>
      <c r="P18" s="82">
        <f>SUM('Rev Req Proof Yr2'!AF15:AH15)</f>
        <v>2400.0191769362136</v>
      </c>
      <c r="Q18" s="81">
        <f t="shared" ref="Q18:Q39" si="6">N18+P18</f>
        <v>44770.464840995512</v>
      </c>
      <c r="R18" s="81">
        <f t="shared" ref="R18:R39" si="7">O18+P18</f>
        <v>61037.464840995512</v>
      </c>
      <c r="S18" s="83">
        <f t="shared" ref="S18:S38" si="8">IFERROR((P18)/N18,0)</f>
        <v>5.6643708587942189E-2</v>
      </c>
      <c r="T18" s="84">
        <f>IFERROR((P18)/O18,0)</f>
        <v>4.0929804321392184E-2</v>
      </c>
      <c r="U18" s="589">
        <f>'Avg Bill by RS'!AL15</f>
        <v>3.9E-2</v>
      </c>
    </row>
    <row r="19" spans="2:21" x14ac:dyDescent="0.2">
      <c r="B19" s="77">
        <v>3</v>
      </c>
      <c r="C19" s="86" t="s">
        <v>12</v>
      </c>
      <c r="D19" s="80">
        <f>'Rate Spread Proposal'!G$15</f>
        <v>33798099.589697547</v>
      </c>
      <c r="E19" s="81">
        <f>'Rate Spread Proposal'!G$14</f>
        <v>53008197.589697547</v>
      </c>
      <c r="F19" s="82">
        <f>SUM('Rev Req Proof Yr1'!AF16:AH16)</f>
        <v>4599609.2712115422</v>
      </c>
      <c r="G19" s="82">
        <f>SUM('Rev Req Proof Yr1'!AM16:AO16)</f>
        <v>-316532.25092208461</v>
      </c>
      <c r="H19" s="81">
        <f t="shared" si="0"/>
        <v>38081176.609987006</v>
      </c>
      <c r="I19" s="81">
        <f t="shared" si="1"/>
        <v>57291274.609987006</v>
      </c>
      <c r="J19" s="83">
        <f t="shared" si="2"/>
        <v>0.1267253801925313</v>
      </c>
      <c r="K19" s="84">
        <f t="shared" si="3"/>
        <v>8.0800276467462809E-2</v>
      </c>
      <c r="L19" s="1302">
        <f>'Avg Bill by RS'!S16</f>
        <v>7.5999999999999998E-2</v>
      </c>
      <c r="M19" s="1036"/>
      <c r="N19" s="1190">
        <f t="shared" si="4"/>
        <v>38081176.609987006</v>
      </c>
      <c r="O19" s="81">
        <f t="shared" si="5"/>
        <v>57291274.609987006</v>
      </c>
      <c r="P19" s="82">
        <f>SUM('Rev Req Proof Yr2'!AF16:AH16)</f>
        <v>2156925.4945645519</v>
      </c>
      <c r="Q19" s="81">
        <f t="shared" si="6"/>
        <v>40238102.104551554</v>
      </c>
      <c r="R19" s="81">
        <f t="shared" si="7"/>
        <v>59448200.104551554</v>
      </c>
      <c r="S19" s="83">
        <f t="shared" si="8"/>
        <v>5.6640200922754208E-2</v>
      </c>
      <c r="T19" s="84">
        <f t="shared" ref="T19:T38" si="9">IFERROR((P19)/O19,0)</f>
        <v>3.7648411721469308E-2</v>
      </c>
      <c r="U19" s="589">
        <f>'Avg Bill by RS'!AL16</f>
        <v>3.5999999999999997E-2</v>
      </c>
    </row>
    <row r="20" spans="2:21" x14ac:dyDescent="0.2">
      <c r="B20" s="77">
        <v>4</v>
      </c>
      <c r="C20" s="86" t="s">
        <v>10</v>
      </c>
      <c r="D20" s="80">
        <f>'Rate Spread Proposal'!H$15</f>
        <v>9866168.0688334089</v>
      </c>
      <c r="E20" s="81">
        <f>'Rate Spread Proposal'!H$14</f>
        <v>16112007.068833409</v>
      </c>
      <c r="F20" s="82">
        <f>SUM('Rev Req Proof Yr1'!AF17:AH17)</f>
        <v>1342720.8770816317</v>
      </c>
      <c r="G20" s="82">
        <f>SUM('Rev Req Proof Yr1'!AM17:AO17)</f>
        <v>-92373.478835822199</v>
      </c>
      <c r="H20" s="81">
        <f t="shared" si="0"/>
        <v>11116515.467079217</v>
      </c>
      <c r="I20" s="81">
        <f t="shared" si="1"/>
        <v>17362354.467079218</v>
      </c>
      <c r="J20" s="83">
        <f t="shared" si="2"/>
        <v>0.12673080263000755</v>
      </c>
      <c r="K20" s="84">
        <f t="shared" si="3"/>
        <v>7.7603453927502591E-2</v>
      </c>
      <c r="L20" s="1302">
        <f>'Avg Bill by RS'!S17</f>
        <v>7.2999999999999995E-2</v>
      </c>
      <c r="M20" s="1036"/>
      <c r="N20" s="1190">
        <f t="shared" si="4"/>
        <v>11116515.467079217</v>
      </c>
      <c r="O20" s="81">
        <f t="shared" si="5"/>
        <v>17362354.467079218</v>
      </c>
      <c r="P20" s="82">
        <f>SUM('Rev Req Proof Yr2'!AF17:AH17)</f>
        <v>629640.50177454017</v>
      </c>
      <c r="Q20" s="81">
        <f t="shared" si="6"/>
        <v>11746155.968853757</v>
      </c>
      <c r="R20" s="81">
        <f t="shared" si="7"/>
        <v>17991994.968853757</v>
      </c>
      <c r="S20" s="83">
        <f t="shared" si="8"/>
        <v>5.6640095868096124E-2</v>
      </c>
      <c r="T20" s="84">
        <f t="shared" si="9"/>
        <v>3.6264695722484086E-2</v>
      </c>
      <c r="U20" s="589">
        <f>'Avg Bill by RS'!AL17</f>
        <v>3.5000000000000003E-2</v>
      </c>
    </row>
    <row r="21" spans="2:21" x14ac:dyDescent="0.2">
      <c r="B21" s="77">
        <v>5</v>
      </c>
      <c r="C21" s="86" t="s">
        <v>11</v>
      </c>
      <c r="D21" s="80">
        <f>'Rate Spread Proposal'!I$15</f>
        <v>141888.72505190157</v>
      </c>
      <c r="E21" s="81">
        <f>'Rate Spread Proposal'!I$14</f>
        <v>241043.72505190157</v>
      </c>
      <c r="F21" s="82">
        <f>SUM('Rev Req Proof Yr1'!AF18:AH18)</f>
        <v>19311.028159999987</v>
      </c>
      <c r="G21" s="82">
        <f>SUM('Rev Req Proof Yr1'!AM18:AO18)</f>
        <v>-1330.3278799999996</v>
      </c>
      <c r="H21" s="81">
        <f t="shared" si="0"/>
        <v>159869.42533190156</v>
      </c>
      <c r="I21" s="81">
        <f t="shared" si="1"/>
        <v>259024.42533190156</v>
      </c>
      <c r="J21" s="83">
        <f t="shared" si="2"/>
        <v>0.12672395409446954</v>
      </c>
      <c r="K21" s="84">
        <f t="shared" si="3"/>
        <v>7.4595180920508847E-2</v>
      </c>
      <c r="L21" s="1302">
        <f>'Avg Bill by RS'!S18</f>
        <v>7.4999999999999997E-2</v>
      </c>
      <c r="M21" s="1036"/>
      <c r="N21" s="1190">
        <f t="shared" si="4"/>
        <v>159869.42533190156</v>
      </c>
      <c r="O21" s="81">
        <f t="shared" si="5"/>
        <v>259024.42533190156</v>
      </c>
      <c r="P21" s="82">
        <f>SUM('Rev Req Proof Yr2'!AF18:AH18)</f>
        <v>9054.1718399999954</v>
      </c>
      <c r="Q21" s="81">
        <f t="shared" si="6"/>
        <v>168923.59717190155</v>
      </c>
      <c r="R21" s="81">
        <f t="shared" si="7"/>
        <v>268078.59717190155</v>
      </c>
      <c r="S21" s="83">
        <f t="shared" si="8"/>
        <v>5.6634793183267029E-2</v>
      </c>
      <c r="T21" s="84">
        <f t="shared" si="9"/>
        <v>3.4954895965499819E-2</v>
      </c>
      <c r="U21" s="589">
        <f>'Avg Bill by RS'!AL18</f>
        <v>3.5000000000000003E-2</v>
      </c>
    </row>
    <row r="22" spans="2:21" x14ac:dyDescent="0.2">
      <c r="B22" s="77">
        <v>6</v>
      </c>
      <c r="C22" s="86" t="s">
        <v>470</v>
      </c>
      <c r="D22" s="80">
        <f>'Rate Spread Proposal'!J$15</f>
        <v>201938.20437801833</v>
      </c>
      <c r="E22" s="81">
        <f>'Rate Spread Proposal'!J$14</f>
        <v>363218.20437801839</v>
      </c>
      <c r="F22" s="82">
        <f>SUM('Rev Req Proof Yr1'!AF19:AH19)</f>
        <v>27483.916299070072</v>
      </c>
      <c r="G22" s="82">
        <f>SUM('Rev Req Proof Yr1'!AM19:AO19)</f>
        <v>-1891.6242542586419</v>
      </c>
      <c r="H22" s="81">
        <f t="shared" si="0"/>
        <v>227530.49642282975</v>
      </c>
      <c r="I22" s="81">
        <f t="shared" si="1"/>
        <v>388810.4964228298</v>
      </c>
      <c r="J22" s="83">
        <f t="shared" si="2"/>
        <v>0.12673328518314408</v>
      </c>
      <c r="K22" s="84">
        <f t="shared" si="3"/>
        <v>7.0459827553622068E-2</v>
      </c>
      <c r="L22" s="1302">
        <f>'Avg Bill by RS'!S19</f>
        <v>6.7000000000000004E-2</v>
      </c>
      <c r="M22" s="1036"/>
      <c r="N22" s="1190">
        <f t="shared" si="4"/>
        <v>227530.49642282975</v>
      </c>
      <c r="O22" s="81">
        <f t="shared" si="5"/>
        <v>388810.4964228298</v>
      </c>
      <c r="P22" s="82">
        <f>SUM('Rev Req Proof Yr2'!AF19:AH19)</f>
        <v>12886.113517425343</v>
      </c>
      <c r="Q22" s="81">
        <f t="shared" si="6"/>
        <v>240416.60994025509</v>
      </c>
      <c r="R22" s="81">
        <f t="shared" si="7"/>
        <v>401696.60994025518</v>
      </c>
      <c r="S22" s="83">
        <f t="shared" si="8"/>
        <v>5.6634665330657571E-2</v>
      </c>
      <c r="T22" s="84">
        <f t="shared" si="9"/>
        <v>3.3142401339422041E-2</v>
      </c>
      <c r="U22" s="589">
        <f>'Avg Bill by RS'!AL19</f>
        <v>3.2000000000000001E-2</v>
      </c>
    </row>
    <row r="23" spans="2:21" x14ac:dyDescent="0.2">
      <c r="B23" s="77">
        <v>7</v>
      </c>
      <c r="C23" s="86" t="s">
        <v>352</v>
      </c>
      <c r="D23" s="80">
        <f>'Rate Spread Proposal'!K$15</f>
        <v>1542348.175315036</v>
      </c>
      <c r="E23" s="81">
        <f>'Rate Spread Proposal'!K$14</f>
        <v>2853836.1753150364</v>
      </c>
      <c r="F23" s="82">
        <f>SUM('Rev Req Proof Yr1'!AF22:AH22)</f>
        <v>209902.4317501164</v>
      </c>
      <c r="G23" s="82">
        <f>SUM('Rev Req Proof Yr1'!AM22:AO22)</f>
        <v>-14451.994176944718</v>
      </c>
      <c r="H23" s="81">
        <f t="shared" si="0"/>
        <v>1737798.6128882077</v>
      </c>
      <c r="I23" s="81">
        <f t="shared" si="1"/>
        <v>3049286.6128882081</v>
      </c>
      <c r="J23" s="83">
        <f t="shared" si="2"/>
        <v>0.12672264324055721</v>
      </c>
      <c r="K23" s="84">
        <f t="shared" si="3"/>
        <v>6.8486915704471296E-2</v>
      </c>
      <c r="L23" s="1302">
        <f>'Avg Bill by RS'!S22</f>
        <v>7.4999999999999997E-2</v>
      </c>
      <c r="M23" s="1036"/>
      <c r="N23" s="1190">
        <f t="shared" si="4"/>
        <v>1737798.6128882077</v>
      </c>
      <c r="O23" s="81">
        <f t="shared" si="5"/>
        <v>3049286.6128882081</v>
      </c>
      <c r="P23" s="82">
        <f>SUM('Rev Req Proof Yr2'!AF22:AH22)</f>
        <v>98435.082024062751</v>
      </c>
      <c r="Q23" s="81">
        <f t="shared" si="6"/>
        <v>1836233.6949122704</v>
      </c>
      <c r="R23" s="81">
        <f t="shared" si="7"/>
        <v>3147721.6949122706</v>
      </c>
      <c r="S23" s="83">
        <f t="shared" si="8"/>
        <v>5.6643549657612174E-2</v>
      </c>
      <c r="T23" s="84">
        <f t="shared" si="9"/>
        <v>3.2281347908725277E-2</v>
      </c>
      <c r="U23" s="589">
        <f>'Avg Bill by RS'!AL22</f>
        <v>3.5999999999999997E-2</v>
      </c>
    </row>
    <row r="24" spans="2:21" x14ac:dyDescent="0.2">
      <c r="B24" s="77">
        <v>8</v>
      </c>
      <c r="C24" s="86" t="s">
        <v>353</v>
      </c>
      <c r="D24" s="80">
        <f>'Rate Spread Proposal'!L$15</f>
        <v>392614.2804678994</v>
      </c>
      <c r="E24" s="81">
        <f>'Rate Spread Proposal'!L$14</f>
        <v>747266.28046789952</v>
      </c>
      <c r="F24" s="82">
        <f>SUM('Rev Req Proof Yr1'!AF25:AH25)</f>
        <v>53433.67476200001</v>
      </c>
      <c r="G24" s="82">
        <f>SUM('Rev Req Proof Yr1'!AM25:AO25)</f>
        <v>-3674.6766820000012</v>
      </c>
      <c r="H24" s="81">
        <f t="shared" si="0"/>
        <v>442373.27854789939</v>
      </c>
      <c r="I24" s="81">
        <f t="shared" si="1"/>
        <v>797025.27854789945</v>
      </c>
      <c r="J24" s="83">
        <f t="shared" si="2"/>
        <v>0.12673761642266182</v>
      </c>
      <c r="K24" s="84">
        <f t="shared" si="3"/>
        <v>6.6588041479462304E-2</v>
      </c>
      <c r="L24" s="1302">
        <f>'Avg Bill by RS'!S25</f>
        <v>7.8E-2</v>
      </c>
      <c r="M24" s="1036"/>
      <c r="N24" s="1190">
        <f t="shared" si="4"/>
        <v>442373.27854789939</v>
      </c>
      <c r="O24" s="81">
        <f t="shared" si="5"/>
        <v>797025.27854789945</v>
      </c>
      <c r="P24" s="82">
        <f>SUM('Rev Req Proof Yr2'!AF25:AH25)</f>
        <v>25056.720428000001</v>
      </c>
      <c r="Q24" s="81">
        <f t="shared" si="6"/>
        <v>467429.99897589942</v>
      </c>
      <c r="R24" s="81">
        <f t="shared" si="7"/>
        <v>822081.99897589942</v>
      </c>
      <c r="S24" s="83">
        <f t="shared" si="8"/>
        <v>5.6641577697118757E-2</v>
      </c>
      <c r="T24" s="84">
        <f t="shared" si="9"/>
        <v>3.1437798903506356E-2</v>
      </c>
      <c r="U24" s="589">
        <f>'Avg Bill by RS'!AL25</f>
        <v>3.6999999999999998E-2</v>
      </c>
    </row>
    <row r="25" spans="2:21" x14ac:dyDescent="0.2">
      <c r="B25" s="77">
        <v>9</v>
      </c>
      <c r="C25" s="86" t="s">
        <v>355</v>
      </c>
      <c r="D25" s="80">
        <f>'Rate Spread Proposal'!M$15</f>
        <v>0</v>
      </c>
      <c r="E25" s="81">
        <f>'Rate Spread Proposal'!M$14</f>
        <v>0</v>
      </c>
      <c r="F25" s="82">
        <f>SUM('Rev Req Proof Yr1'!AF28:AH28)</f>
        <v>0</v>
      </c>
      <c r="G25" s="82">
        <f>SUM('Rev Req Proof Yr1'!AM28:AO28)</f>
        <v>0</v>
      </c>
      <c r="H25" s="81">
        <f t="shared" si="0"/>
        <v>0</v>
      </c>
      <c r="I25" s="81">
        <f t="shared" si="1"/>
        <v>0</v>
      </c>
      <c r="J25" s="83">
        <f t="shared" si="2"/>
        <v>0</v>
      </c>
      <c r="K25" s="84">
        <f t="shared" si="3"/>
        <v>0</v>
      </c>
      <c r="L25" s="1302">
        <f>'Avg Bill by RS'!S28</f>
        <v>0</v>
      </c>
      <c r="M25" s="1036"/>
      <c r="N25" s="1190">
        <f t="shared" si="4"/>
        <v>0</v>
      </c>
      <c r="O25" s="81">
        <f t="shared" si="5"/>
        <v>0</v>
      </c>
      <c r="P25" s="82">
        <f>SUM('Rev Req Proof Yr2'!AF28:AH28)</f>
        <v>0</v>
      </c>
      <c r="Q25" s="81">
        <f t="shared" si="6"/>
        <v>0</v>
      </c>
      <c r="R25" s="81">
        <f t="shared" si="7"/>
        <v>0</v>
      </c>
      <c r="S25" s="83">
        <f t="shared" si="8"/>
        <v>0</v>
      </c>
      <c r="T25" s="84">
        <f t="shared" si="9"/>
        <v>0</v>
      </c>
      <c r="U25" s="589">
        <f>'Avg Bill by RS'!AL28</f>
        <v>0</v>
      </c>
    </row>
    <row r="26" spans="2:21" x14ac:dyDescent="0.2">
      <c r="B26" s="77">
        <v>10</v>
      </c>
      <c r="C26" s="86" t="s">
        <v>356</v>
      </c>
      <c r="D26" s="80">
        <f>'Rate Spread Proposal'!N$15</f>
        <v>0</v>
      </c>
      <c r="E26" s="81">
        <f>'Rate Spread Proposal'!N$14</f>
        <v>0</v>
      </c>
      <c r="F26" s="82">
        <f>SUM('Rev Req Proof Yr1'!AF31:AH31)</f>
        <v>0</v>
      </c>
      <c r="G26" s="82">
        <f>SUM('Rev Req Proof Yr1'!AM31:AO31)</f>
        <v>0</v>
      </c>
      <c r="H26" s="81">
        <f t="shared" si="0"/>
        <v>0</v>
      </c>
      <c r="I26" s="81">
        <f t="shared" si="1"/>
        <v>0</v>
      </c>
      <c r="J26" s="83">
        <f t="shared" si="2"/>
        <v>0</v>
      </c>
      <c r="K26" s="84">
        <f t="shared" si="3"/>
        <v>0</v>
      </c>
      <c r="L26" s="1302">
        <f>'Avg Bill by RS'!S31</f>
        <v>0</v>
      </c>
      <c r="M26" s="1036"/>
      <c r="N26" s="1190">
        <f t="shared" si="4"/>
        <v>0</v>
      </c>
      <c r="O26" s="81">
        <f t="shared" si="5"/>
        <v>0</v>
      </c>
      <c r="P26" s="82">
        <f>SUM('Rev Req Proof Yr2'!AF31:AH31)</f>
        <v>0</v>
      </c>
      <c r="Q26" s="81">
        <f t="shared" si="6"/>
        <v>0</v>
      </c>
      <c r="R26" s="81">
        <f t="shared" si="7"/>
        <v>0</v>
      </c>
      <c r="S26" s="83">
        <f t="shared" si="8"/>
        <v>0</v>
      </c>
      <c r="T26" s="84">
        <f t="shared" si="9"/>
        <v>0</v>
      </c>
      <c r="U26" s="589">
        <f>'Avg Bill by RS'!AL31</f>
        <v>0</v>
      </c>
    </row>
    <row r="27" spans="2:21" x14ac:dyDescent="0.2">
      <c r="B27" s="77">
        <v>11</v>
      </c>
      <c r="C27" s="86" t="s">
        <v>357</v>
      </c>
      <c r="D27" s="80">
        <f>'Rate Spread Proposal'!O$15</f>
        <v>189841.33809000003</v>
      </c>
      <c r="E27" s="81">
        <f>'Rate Spread Proposal'!O$14</f>
        <v>189841.33809000003</v>
      </c>
      <c r="F27" s="82">
        <f>SUM('Rev Req Proof Yr1'!AF34:AH34)</f>
        <v>25836.995390000004</v>
      </c>
      <c r="G27" s="82">
        <f>SUM('Rev Req Proof Yr1'!AM34:AO34)</f>
        <v>-1779.01313</v>
      </c>
      <c r="H27" s="81">
        <f t="shared" si="0"/>
        <v>213899.32035000002</v>
      </c>
      <c r="I27" s="81">
        <f t="shared" si="1"/>
        <v>213899.32035000002</v>
      </c>
      <c r="J27" s="83">
        <f t="shared" si="2"/>
        <v>0.1267267840716261</v>
      </c>
      <c r="K27" s="84">
        <f t="shared" si="3"/>
        <v>0.1267267840716261</v>
      </c>
      <c r="L27" s="1302">
        <f>'Avg Bill by RS'!S34</f>
        <v>0.127</v>
      </c>
      <c r="M27" s="1036"/>
      <c r="N27" s="1190">
        <f t="shared" si="4"/>
        <v>213899.32035000002</v>
      </c>
      <c r="O27" s="81">
        <f t="shared" si="5"/>
        <v>213899.32035000002</v>
      </c>
      <c r="P27" s="82">
        <f>SUM('Rev Req Proof Yr2'!AF34:AH34)</f>
        <v>12114.902749999994</v>
      </c>
      <c r="Q27" s="81">
        <f t="shared" si="6"/>
        <v>226014.2231</v>
      </c>
      <c r="R27" s="81">
        <f t="shared" si="7"/>
        <v>226014.2231</v>
      </c>
      <c r="S27" s="83">
        <f>IFERROR((P27)/N27,0)</f>
        <v>5.6638341487839104E-2</v>
      </c>
      <c r="T27" s="84">
        <f t="shared" si="9"/>
        <v>5.6638341487839104E-2</v>
      </c>
      <c r="U27" s="589">
        <f>'Avg Bill by RS'!AL34</f>
        <v>5.7000000000000002E-2</v>
      </c>
    </row>
    <row r="28" spans="2:21" x14ac:dyDescent="0.2">
      <c r="B28" s="77">
        <v>12</v>
      </c>
      <c r="C28" s="86" t="s">
        <v>358</v>
      </c>
      <c r="D28" s="80">
        <f>'Rate Spread Proposal'!P$15</f>
        <v>0</v>
      </c>
      <c r="E28" s="81">
        <f>'Rate Spread Proposal'!P$14</f>
        <v>0</v>
      </c>
      <c r="F28" s="82">
        <f>SUM('Rev Req Proof Yr1'!AF37:AH37)</f>
        <v>0</v>
      </c>
      <c r="G28" s="82">
        <f>SUM('Rev Req Proof Yr1'!AM37:AO37)</f>
        <v>0</v>
      </c>
      <c r="H28" s="81">
        <f t="shared" si="0"/>
        <v>0</v>
      </c>
      <c r="I28" s="81">
        <f t="shared" si="1"/>
        <v>0</v>
      </c>
      <c r="J28" s="83">
        <f t="shared" si="2"/>
        <v>0</v>
      </c>
      <c r="K28" s="84">
        <f t="shared" si="3"/>
        <v>0</v>
      </c>
      <c r="L28" s="1302">
        <f>'Avg Bill by RS'!S37</f>
        <v>0</v>
      </c>
      <c r="M28" s="1036"/>
      <c r="N28" s="1190">
        <f t="shared" si="4"/>
        <v>0</v>
      </c>
      <c r="O28" s="81">
        <f t="shared" si="5"/>
        <v>0</v>
      </c>
      <c r="P28" s="82">
        <f>SUM('Rev Req Proof Yr2'!AF37:AH37)</f>
        <v>0</v>
      </c>
      <c r="Q28" s="81">
        <f t="shared" si="6"/>
        <v>0</v>
      </c>
      <c r="R28" s="81">
        <f t="shared" si="7"/>
        <v>0</v>
      </c>
      <c r="S28" s="83">
        <f t="shared" si="8"/>
        <v>0</v>
      </c>
      <c r="T28" s="84">
        <f t="shared" si="9"/>
        <v>0</v>
      </c>
      <c r="U28" s="589">
        <f>'Avg Bill by RS'!AL37</f>
        <v>0</v>
      </c>
    </row>
    <row r="29" spans="2:21" x14ac:dyDescent="0.2">
      <c r="B29" s="77">
        <v>13</v>
      </c>
      <c r="C29" s="86" t="s">
        <v>359</v>
      </c>
      <c r="D29" s="80">
        <f>'Rate Spread Proposal'!Q$15</f>
        <v>219574.60083981926</v>
      </c>
      <c r="E29" s="81">
        <f>'Rate Spread Proposal'!Q$14</f>
        <v>470188.60083981924</v>
      </c>
      <c r="F29" s="82">
        <f>SUM('Rev Req Proof Yr1'!AF44:AH44)</f>
        <v>29883.943719079431</v>
      </c>
      <c r="G29" s="82">
        <f>SUM('Rev Req Proof Yr1'!AM44:AO44)</f>
        <v>-2055.595853643305</v>
      </c>
      <c r="H29" s="81">
        <f t="shared" si="0"/>
        <v>247402.94870525537</v>
      </c>
      <c r="I29" s="81">
        <f t="shared" si="1"/>
        <v>498016.94870525534</v>
      </c>
      <c r="J29" s="83">
        <f t="shared" si="2"/>
        <v>0.12673755415699031</v>
      </c>
      <c r="K29" s="84">
        <f t="shared" si="3"/>
        <v>5.91855009154433E-2</v>
      </c>
      <c r="L29" s="1302">
        <f>'Avg Bill by RS'!S44</f>
        <v>7.5999999999999998E-2</v>
      </c>
      <c r="M29" s="1036"/>
      <c r="N29" s="1190">
        <f t="shared" si="4"/>
        <v>247402.94870525537</v>
      </c>
      <c r="O29" s="81">
        <f t="shared" si="5"/>
        <v>498016.94870525534</v>
      </c>
      <c r="P29" s="82">
        <f>SUM('Rev Req Proof Yr2'!AF44:AH44)</f>
        <v>14012.424282822392</v>
      </c>
      <c r="Q29" s="81">
        <f t="shared" si="6"/>
        <v>261415.37298807775</v>
      </c>
      <c r="R29" s="81">
        <f t="shared" si="7"/>
        <v>512029.37298807775</v>
      </c>
      <c r="S29" s="83">
        <f t="shared" si="8"/>
        <v>5.663806497115019E-2</v>
      </c>
      <c r="T29" s="84">
        <f t="shared" si="9"/>
        <v>2.813644057547017E-2</v>
      </c>
      <c r="U29" s="589">
        <f>'Avg Bill by RS'!AL44</f>
        <v>3.6999999999999998E-2</v>
      </c>
    </row>
    <row r="30" spans="2:21" x14ac:dyDescent="0.2">
      <c r="B30" s="77">
        <v>14</v>
      </c>
      <c r="C30" s="86" t="s">
        <v>360</v>
      </c>
      <c r="D30" s="80">
        <f>'Rate Spread Proposal'!R$15</f>
        <v>511672.37933789124</v>
      </c>
      <c r="E30" s="81">
        <f>'Rate Spread Proposal'!R$14</f>
        <v>1154958.3793378912</v>
      </c>
      <c r="F30" s="82">
        <f>SUM('Rev Req Proof Yr1'!AF51:AH51)</f>
        <v>69637.109626000005</v>
      </c>
      <c r="G30" s="82">
        <f>SUM('Rev Req Proof Yr1'!AM51:AO51)</f>
        <v>-4788.9728660000001</v>
      </c>
      <c r="H30" s="81">
        <f t="shared" si="0"/>
        <v>576520.51609789126</v>
      </c>
      <c r="I30" s="81">
        <f t="shared" si="1"/>
        <v>1219806.5160978914</v>
      </c>
      <c r="J30" s="83">
        <f t="shared" si="2"/>
        <v>0.12673761449448198</v>
      </c>
      <c r="K30" s="84">
        <f t="shared" si="3"/>
        <v>5.6147596242538039E-2</v>
      </c>
      <c r="L30" s="1302">
        <f>'Avg Bill by RS'!S51</f>
        <v>7.1999999999999995E-2</v>
      </c>
      <c r="M30" s="1036"/>
      <c r="N30" s="1190">
        <f t="shared" si="4"/>
        <v>576520.51609789126</v>
      </c>
      <c r="O30" s="81">
        <f t="shared" si="5"/>
        <v>1219806.5160978914</v>
      </c>
      <c r="P30" s="82">
        <f>SUM('Rev Req Proof Yr2'!AF51:AH51)</f>
        <v>32655.57115500002</v>
      </c>
      <c r="Q30" s="81">
        <f t="shared" si="6"/>
        <v>609176.08725289127</v>
      </c>
      <c r="R30" s="81">
        <f t="shared" si="7"/>
        <v>1252462.0872528914</v>
      </c>
      <c r="S30" s="83">
        <f t="shared" si="8"/>
        <v>5.6642513567470708E-2</v>
      </c>
      <c r="T30" s="84">
        <f t="shared" si="9"/>
        <v>2.6771107322384035E-2</v>
      </c>
      <c r="U30" s="589">
        <f>'Avg Bill by RS'!AL51</f>
        <v>3.4000000000000002E-2</v>
      </c>
    </row>
    <row r="31" spans="2:21" x14ac:dyDescent="0.2">
      <c r="B31" s="77">
        <v>15</v>
      </c>
      <c r="C31" s="86" t="s">
        <v>361</v>
      </c>
      <c r="D31" s="80">
        <f>'Rate Spread Proposal'!S$15</f>
        <v>360784.67333999998</v>
      </c>
      <c r="E31" s="81">
        <f>'Rate Spread Proposal'!S$14</f>
        <v>360784.67333999998</v>
      </c>
      <c r="F31" s="82">
        <f>SUM('Rev Req Proof Yr1'!AF58:AH58)</f>
        <v>49098.639150000003</v>
      </c>
      <c r="G31" s="82">
        <f>SUM('Rev Req Proof Yr1'!AM58:AO58)</f>
        <v>-3383.8287</v>
      </c>
      <c r="H31" s="81">
        <f t="shared" si="0"/>
        <v>406499.48378999997</v>
      </c>
      <c r="I31" s="81">
        <f t="shared" si="1"/>
        <v>406499.48378999997</v>
      </c>
      <c r="J31" s="83">
        <f t="shared" si="2"/>
        <v>0.12670940266611272</v>
      </c>
      <c r="K31" s="84">
        <f t="shared" si="3"/>
        <v>0.12670940266611272</v>
      </c>
      <c r="L31" s="1302">
        <f>'Avg Bill by RS'!S58</f>
        <v>0.13500000000000001</v>
      </c>
      <c r="M31" s="1036"/>
      <c r="N31" s="1190">
        <f t="shared" si="4"/>
        <v>406499.48378999997</v>
      </c>
      <c r="O31" s="81">
        <f t="shared" si="5"/>
        <v>406499.48378999997</v>
      </c>
      <c r="P31" s="82">
        <f>SUM('Rev Req Proof Yr2'!AF58:AH58)</f>
        <v>23020.772400000023</v>
      </c>
      <c r="Q31" s="81">
        <f t="shared" si="6"/>
        <v>429520.25618999999</v>
      </c>
      <c r="R31" s="81">
        <f t="shared" si="7"/>
        <v>429520.25618999999</v>
      </c>
      <c r="S31" s="83">
        <f t="shared" si="8"/>
        <v>5.6631738336702757E-2</v>
      </c>
      <c r="T31" s="84">
        <f t="shared" si="9"/>
        <v>5.6631738336702757E-2</v>
      </c>
      <c r="U31" s="589">
        <f>'Avg Bill by RS'!AL58</f>
        <v>6.0999999999999999E-2</v>
      </c>
    </row>
    <row r="32" spans="2:21" x14ac:dyDescent="0.2">
      <c r="B32" s="77">
        <v>16</v>
      </c>
      <c r="C32" s="86" t="s">
        <v>362</v>
      </c>
      <c r="D32" s="80">
        <f>'Rate Spread Proposal'!T$15</f>
        <v>823615.79209999996</v>
      </c>
      <c r="E32" s="81">
        <f>'Rate Spread Proposal'!T$14</f>
        <v>823615.79209999996</v>
      </c>
      <c r="F32" s="82">
        <f>SUM('Rev Req Proof Yr1'!AF65:AH65)</f>
        <v>112098.45365</v>
      </c>
      <c r="G32" s="82">
        <f>SUM('Rev Req Proof Yr1'!AM65:AO65)</f>
        <v>-7716.6626000000006</v>
      </c>
      <c r="H32" s="81">
        <f t="shared" si="0"/>
        <v>927997.58314999996</v>
      </c>
      <c r="I32" s="81">
        <f t="shared" si="1"/>
        <v>927997.58314999996</v>
      </c>
      <c r="J32" s="83">
        <f t="shared" si="2"/>
        <v>0.12673602431038186</v>
      </c>
      <c r="K32" s="84">
        <f t="shared" si="3"/>
        <v>0.12673602431038186</v>
      </c>
      <c r="L32" s="1302">
        <f>'Avg Bill by RS'!S65</f>
        <v>0.14000000000000001</v>
      </c>
      <c r="M32" s="1036"/>
      <c r="N32" s="1190">
        <f t="shared" si="4"/>
        <v>927997.58314999996</v>
      </c>
      <c r="O32" s="81">
        <f t="shared" si="5"/>
        <v>927997.58314999996</v>
      </c>
      <c r="P32" s="82">
        <f>SUM('Rev Req Proof Yr2'!AF65:AH65)</f>
        <v>52558.568929999994</v>
      </c>
      <c r="Q32" s="81">
        <f t="shared" si="6"/>
        <v>980556.15207999991</v>
      </c>
      <c r="R32" s="81">
        <f t="shared" si="7"/>
        <v>980556.15207999991</v>
      </c>
      <c r="S32" s="83">
        <f t="shared" si="8"/>
        <v>5.6636536435358924E-2</v>
      </c>
      <c r="T32" s="84">
        <f t="shared" si="9"/>
        <v>5.6636536435358924E-2</v>
      </c>
      <c r="U32" s="589">
        <f>'Avg Bill by RS'!AL65</f>
        <v>6.3E-2</v>
      </c>
    </row>
    <row r="33" spans="2:21" x14ac:dyDescent="0.2">
      <c r="B33" s="77">
        <v>17</v>
      </c>
      <c r="C33" s="86" t="s">
        <v>363</v>
      </c>
      <c r="D33" s="80">
        <f>'Rate Spread Proposal'!U$15</f>
        <v>160512.61187958997</v>
      </c>
      <c r="E33" s="81">
        <f>'Rate Spread Proposal'!U$14</f>
        <v>430728.61187958985</v>
      </c>
      <c r="F33" s="82">
        <f>SUM('Rev Req Proof Yr1'!AF72:AH72)</f>
        <v>21844.4555</v>
      </c>
      <c r="G33" s="82">
        <f>SUM('Rev Req Proof Yr1'!AM72:AO72)</f>
        <v>-1501.3931600000001</v>
      </c>
      <c r="H33" s="81">
        <f t="shared" si="0"/>
        <v>180855.67421958997</v>
      </c>
      <c r="I33" s="81">
        <f t="shared" si="1"/>
        <v>451071.67421958986</v>
      </c>
      <c r="J33" s="83">
        <f t="shared" si="2"/>
        <v>0.12673809304941433</v>
      </c>
      <c r="K33" s="84">
        <f t="shared" si="3"/>
        <v>4.7229419590279972E-2</v>
      </c>
      <c r="L33" s="1302">
        <f>'Avg Bill by RS'!S72</f>
        <v>0.05</v>
      </c>
      <c r="M33" s="1036"/>
      <c r="N33" s="1190">
        <f t="shared" si="4"/>
        <v>180855.67421958997</v>
      </c>
      <c r="O33" s="81">
        <f t="shared" si="5"/>
        <v>451071.67421958986</v>
      </c>
      <c r="P33" s="82">
        <f>SUM('Rev Req Proof Yr2'!AF72:AH72)</f>
        <v>10243.523710000001</v>
      </c>
      <c r="Q33" s="81">
        <f t="shared" si="6"/>
        <v>191099.19792958998</v>
      </c>
      <c r="R33" s="81">
        <f t="shared" si="7"/>
        <v>461315.19792958983</v>
      </c>
      <c r="S33" s="83">
        <f t="shared" si="8"/>
        <v>5.6639216625089667E-2</v>
      </c>
      <c r="T33" s="84">
        <f t="shared" si="9"/>
        <v>2.2709303854476282E-2</v>
      </c>
      <c r="U33" s="589">
        <f>'Avg Bill by RS'!AL72</f>
        <v>2.4E-2</v>
      </c>
    </row>
    <row r="34" spans="2:21" x14ac:dyDescent="0.2">
      <c r="B34" s="77">
        <v>18</v>
      </c>
      <c r="C34" s="86" t="s">
        <v>364</v>
      </c>
      <c r="D34" s="80">
        <f>'Rate Spread Proposal'!V$15</f>
        <v>81130.03459599179</v>
      </c>
      <c r="E34" s="81">
        <f>'Rate Spread Proposal'!V$14</f>
        <v>171731.03459599178</v>
      </c>
      <c r="F34" s="82">
        <f>SUM('Rev Req Proof Yr1'!AF79:AH79)</f>
        <v>11040.877800000002</v>
      </c>
      <c r="G34" s="82">
        <f>SUM('Rev Req Proof Yr1'!AM79:AO79)</f>
        <v>-760.61590000000001</v>
      </c>
      <c r="H34" s="81">
        <f t="shared" si="0"/>
        <v>91410.296495991788</v>
      </c>
      <c r="I34" s="81">
        <f t="shared" si="1"/>
        <v>182011.29649599179</v>
      </c>
      <c r="J34" s="83">
        <f t="shared" si="2"/>
        <v>0.1267133922867561</v>
      </c>
      <c r="K34" s="84">
        <f t="shared" si="3"/>
        <v>5.9862574776801257E-2</v>
      </c>
      <c r="L34" s="1302">
        <f>'Avg Bill by RS'!S79</f>
        <v>6.6000000000000003E-2</v>
      </c>
      <c r="M34" s="1036"/>
      <c r="N34" s="1190">
        <f t="shared" si="4"/>
        <v>91410.296495991788</v>
      </c>
      <c r="O34" s="81">
        <f t="shared" si="5"/>
        <v>182011.29649599179</v>
      </c>
      <c r="P34" s="82">
        <f>SUM('Rev Req Proof Yr2'!AF79:AH79)</f>
        <v>5177.2746000000006</v>
      </c>
      <c r="Q34" s="81">
        <f t="shared" si="6"/>
        <v>96587.571095991792</v>
      </c>
      <c r="R34" s="81">
        <f t="shared" si="7"/>
        <v>187188.57109599179</v>
      </c>
      <c r="S34" s="83">
        <f t="shared" si="8"/>
        <v>5.6637761810859201E-2</v>
      </c>
      <c r="T34" s="84">
        <f t="shared" si="9"/>
        <v>2.8444798205775175E-2</v>
      </c>
      <c r="U34" s="589">
        <f>'Avg Bill by RS'!AL79</f>
        <v>3.1E-2</v>
      </c>
    </row>
    <row r="35" spans="2:21" x14ac:dyDescent="0.2">
      <c r="B35" s="77">
        <v>19</v>
      </c>
      <c r="C35" s="86" t="s">
        <v>366</v>
      </c>
      <c r="D35" s="80">
        <f>'Rate Spread Proposal'!W$15</f>
        <v>0</v>
      </c>
      <c r="E35" s="81">
        <f>'Rate Spread Proposal'!W$14</f>
        <v>0</v>
      </c>
      <c r="F35" s="82">
        <f>SUM('Rev Req Proof Yr1'!AF86:AH86)</f>
        <v>0</v>
      </c>
      <c r="G35" s="82">
        <f>SUM('Rev Req Proof Yr1'!AM86:AO86)</f>
        <v>0</v>
      </c>
      <c r="H35" s="81">
        <f t="shared" si="0"/>
        <v>0</v>
      </c>
      <c r="I35" s="81">
        <f t="shared" si="1"/>
        <v>0</v>
      </c>
      <c r="J35" s="83">
        <f t="shared" si="2"/>
        <v>0</v>
      </c>
      <c r="K35" s="84">
        <f t="shared" si="3"/>
        <v>0</v>
      </c>
      <c r="L35" s="1302">
        <f>'Avg Bill by RS'!S86</f>
        <v>0</v>
      </c>
      <c r="M35" s="1036"/>
      <c r="N35" s="1190">
        <f t="shared" si="4"/>
        <v>0</v>
      </c>
      <c r="O35" s="81">
        <f t="shared" si="5"/>
        <v>0</v>
      </c>
      <c r="P35" s="82">
        <f>SUM('Rev Req Proof Yr2'!AF86:AH86)</f>
        <v>0</v>
      </c>
      <c r="Q35" s="81">
        <f t="shared" si="6"/>
        <v>0</v>
      </c>
      <c r="R35" s="81">
        <f t="shared" si="7"/>
        <v>0</v>
      </c>
      <c r="S35" s="83">
        <f t="shared" si="8"/>
        <v>0</v>
      </c>
      <c r="T35" s="84">
        <f t="shared" si="9"/>
        <v>0</v>
      </c>
      <c r="U35" s="589">
        <f>'Avg Bill by RS'!AL86</f>
        <v>0</v>
      </c>
    </row>
    <row r="36" spans="2:21" x14ac:dyDescent="0.2">
      <c r="B36" s="77">
        <v>20</v>
      </c>
      <c r="C36" s="86" t="s">
        <v>367</v>
      </c>
      <c r="D36" s="80">
        <f>'Rate Spread Proposal'!X$15</f>
        <v>825480.07319999998</v>
      </c>
      <c r="E36" s="81">
        <f>'Rate Spread Proposal'!X$14</f>
        <v>825480.07319999998</v>
      </c>
      <c r="F36" s="82">
        <f>SUM('Rev Req Proof Yr1'!AF93:AH93)</f>
        <v>112342.71842999995</v>
      </c>
      <c r="G36" s="82">
        <f>SUM('Rev Req Proof Yr1'!AM93:AO93)</f>
        <v>-7732.5836500000005</v>
      </c>
      <c r="H36" s="81">
        <f t="shared" si="0"/>
        <v>930090.20797999983</v>
      </c>
      <c r="I36" s="81">
        <f t="shared" si="1"/>
        <v>930090.20797999983</v>
      </c>
      <c r="J36" s="83">
        <f t="shared" si="2"/>
        <v>0.12672642039010754</v>
      </c>
      <c r="K36" s="84">
        <f t="shared" si="3"/>
        <v>0.12672642039010754</v>
      </c>
      <c r="L36" s="1302">
        <f>'Avg Bill by RS'!S93</f>
        <v>0.128</v>
      </c>
      <c r="M36" s="1036"/>
      <c r="N36" s="1190">
        <f t="shared" si="4"/>
        <v>930090.20797999983</v>
      </c>
      <c r="O36" s="81">
        <f t="shared" si="5"/>
        <v>930090.20797999983</v>
      </c>
      <c r="P36" s="82">
        <f>SUM('Rev Req Proof Yr2'!AF93:AH93)</f>
        <v>52693.327570000052</v>
      </c>
      <c r="Q36" s="81">
        <f t="shared" si="6"/>
        <v>982783.53554999991</v>
      </c>
      <c r="R36" s="81">
        <f t="shared" si="7"/>
        <v>982783.53554999991</v>
      </c>
      <c r="S36" s="83">
        <f t="shared" si="8"/>
        <v>5.6653996696128146E-2</v>
      </c>
      <c r="T36" s="84">
        <f t="shared" si="9"/>
        <v>5.6653996696128146E-2</v>
      </c>
      <c r="U36" s="589">
        <f>'Avg Bill by RS'!AL93</f>
        <v>5.8000000000000003E-2</v>
      </c>
    </row>
    <row r="37" spans="2:21" x14ac:dyDescent="0.2">
      <c r="B37" s="77">
        <v>21</v>
      </c>
      <c r="C37" s="86" t="s">
        <v>56</v>
      </c>
      <c r="D37" s="80">
        <f>'Rate Spread Proposal'!Y$15</f>
        <v>0</v>
      </c>
      <c r="E37" s="81">
        <f>'Rate Spread Proposal'!Y$14</f>
        <v>0</v>
      </c>
      <c r="F37" s="82">
        <f>SUM('Rev Req Proof Yr1'!AF94:AH94)</f>
        <v>0</v>
      </c>
      <c r="G37" s="82">
        <f>SUM('Rev Req Proof Yr1'!AM94:AO94)</f>
        <v>0</v>
      </c>
      <c r="H37" s="81">
        <f t="shared" si="0"/>
        <v>0</v>
      </c>
      <c r="I37" s="81">
        <f t="shared" si="1"/>
        <v>0</v>
      </c>
      <c r="J37" s="83">
        <f t="shared" si="2"/>
        <v>0</v>
      </c>
      <c r="K37" s="84">
        <f t="shared" si="3"/>
        <v>0</v>
      </c>
      <c r="L37" s="1302">
        <f>'Avg Bill by RS'!S94</f>
        <v>0</v>
      </c>
      <c r="M37" s="1036"/>
      <c r="N37" s="1190">
        <f t="shared" si="4"/>
        <v>0</v>
      </c>
      <c r="O37" s="81">
        <f t="shared" si="5"/>
        <v>0</v>
      </c>
      <c r="P37" s="82">
        <f>SUM('Rev Req Proof Yr2'!AF94:AH94)</f>
        <v>0</v>
      </c>
      <c r="Q37" s="81">
        <f t="shared" si="6"/>
        <v>0</v>
      </c>
      <c r="R37" s="81">
        <f t="shared" si="7"/>
        <v>0</v>
      </c>
      <c r="S37" s="83">
        <f t="shared" si="8"/>
        <v>0</v>
      </c>
      <c r="T37" s="84">
        <f t="shared" si="9"/>
        <v>0</v>
      </c>
      <c r="U37" s="589">
        <f>'Avg Bill by RS'!AL94</f>
        <v>0</v>
      </c>
    </row>
    <row r="38" spans="2:21" x14ac:dyDescent="0.2">
      <c r="B38" s="77">
        <v>22</v>
      </c>
      <c r="C38" s="86" t="s">
        <v>348</v>
      </c>
      <c r="D38" s="80">
        <f>'Rate Spread Proposal'!Z$15</f>
        <v>0</v>
      </c>
      <c r="E38" s="81">
        <f>'Rate Spread Proposal'!Z$14</f>
        <v>0</v>
      </c>
      <c r="F38" s="82">
        <f>SUM('Rev Req Proof Yr1'!AF95:AH95)</f>
        <v>0</v>
      </c>
      <c r="G38" s="82">
        <f>SUM('Rev Req Proof Yr1'!AM95:AO95)</f>
        <v>0</v>
      </c>
      <c r="H38" s="81">
        <f t="shared" si="0"/>
        <v>0</v>
      </c>
      <c r="I38" s="81">
        <f t="shared" si="1"/>
        <v>0</v>
      </c>
      <c r="J38" s="83">
        <f t="shared" si="2"/>
        <v>0</v>
      </c>
      <c r="K38" s="84">
        <f t="shared" si="3"/>
        <v>0</v>
      </c>
      <c r="L38" s="1302">
        <f>'Avg Bill by RS'!S95</f>
        <v>0</v>
      </c>
      <c r="M38" s="1036"/>
      <c r="N38" s="1190">
        <f t="shared" si="4"/>
        <v>0</v>
      </c>
      <c r="O38" s="81">
        <f t="shared" si="5"/>
        <v>0</v>
      </c>
      <c r="P38" s="82">
        <f>SUM('Rev Req Proof Yr2'!AF95:AH95)</f>
        <v>0</v>
      </c>
      <c r="Q38" s="81">
        <f t="shared" si="6"/>
        <v>0</v>
      </c>
      <c r="R38" s="81">
        <f t="shared" si="7"/>
        <v>0</v>
      </c>
      <c r="S38" s="83">
        <f t="shared" si="8"/>
        <v>0</v>
      </c>
      <c r="T38" s="84">
        <f t="shared" si="9"/>
        <v>0</v>
      </c>
      <c r="U38" s="589">
        <f>'Avg Bill by RS'!AL95</f>
        <v>0</v>
      </c>
    </row>
    <row r="39" spans="2:21" x14ac:dyDescent="0.2">
      <c r="B39" s="77">
        <v>23</v>
      </c>
      <c r="C39" s="86" t="s">
        <v>391</v>
      </c>
      <c r="D39" s="80">
        <f>'Rate Spread Proposal'!AA$15</f>
        <v>242994.60207180592</v>
      </c>
      <c r="E39" s="81">
        <f>'Rate Spread Proposal'!AA$14</f>
        <v>242994.60207180592</v>
      </c>
      <c r="F39" s="82">
        <f>SUM('Rev Req Proof Yr1'!AF96:AH96)</f>
        <v>0</v>
      </c>
      <c r="G39" s="82">
        <f>SUM('Rev Req Proof Yr1'!AM96:AO96)</f>
        <v>0</v>
      </c>
      <c r="H39" s="81">
        <f t="shared" si="0"/>
        <v>242994.60207180592</v>
      </c>
      <c r="I39" s="81">
        <f t="shared" si="1"/>
        <v>242994.60207180592</v>
      </c>
      <c r="J39" s="83">
        <f t="shared" si="2"/>
        <v>0</v>
      </c>
      <c r="K39" s="84">
        <f t="shared" si="3"/>
        <v>0</v>
      </c>
      <c r="L39" s="1302">
        <f>'Avg Bill by RS'!S96</f>
        <v>0</v>
      </c>
      <c r="M39" s="1036"/>
      <c r="N39" s="1190">
        <f t="shared" si="4"/>
        <v>242994.60207180592</v>
      </c>
      <c r="O39" s="81">
        <f t="shared" si="5"/>
        <v>242994.60207180592</v>
      </c>
      <c r="P39" s="82">
        <f>SUM('Rev Req Proof Yr2'!AF96:AH96)</f>
        <v>0</v>
      </c>
      <c r="Q39" s="81">
        <f t="shared" si="6"/>
        <v>242994.60207180592</v>
      </c>
      <c r="R39" s="81">
        <f t="shared" si="7"/>
        <v>242994.60207180592</v>
      </c>
      <c r="S39" s="83">
        <f>IFERROR((P39)/N39,0)</f>
        <v>0</v>
      </c>
      <c r="T39" s="84">
        <f>IFERROR((P39)/O39,0)</f>
        <v>0</v>
      </c>
      <c r="U39" s="589">
        <f>'Avg Bill by RS'!AL96</f>
        <v>0</v>
      </c>
    </row>
    <row r="40" spans="2:21" ht="13.5" thickBot="1" x14ac:dyDescent="0.25">
      <c r="B40" s="410"/>
      <c r="C40" s="55"/>
      <c r="D40" s="55"/>
      <c r="E40" s="55"/>
      <c r="F40" s="859"/>
      <c r="G40" s="1188"/>
      <c r="H40" s="55"/>
      <c r="I40" s="55"/>
      <c r="J40" s="423"/>
      <c r="K40" s="86"/>
      <c r="L40" s="783"/>
      <c r="M40" s="1036"/>
      <c r="N40" s="410"/>
      <c r="O40" s="55"/>
      <c r="P40" s="859"/>
      <c r="Q40" s="55"/>
      <c r="R40" s="55"/>
      <c r="S40" s="423"/>
      <c r="T40" s="86"/>
      <c r="U40" s="783"/>
    </row>
    <row r="41" spans="2:21" s="60" customFormat="1" x14ac:dyDescent="0.2">
      <c r="B41" s="1033"/>
      <c r="C41" s="361" t="s">
        <v>32</v>
      </c>
      <c r="D41" s="1026">
        <f t="shared" ref="D41:I41" si="10">SUM(D17:D39)</f>
        <v>49604902.662138224</v>
      </c>
      <c r="E41" s="1027">
        <f t="shared" si="10"/>
        <v>78333454.662138224</v>
      </c>
      <c r="F41" s="1028">
        <f>SUM(F17:F39)</f>
        <v>6717756.9231810682</v>
      </c>
      <c r="G41" s="1028">
        <f t="shared" si="10"/>
        <v>-462278.66210878297</v>
      </c>
      <c r="H41" s="1026">
        <f t="shared" si="10"/>
        <v>55860380.923210502</v>
      </c>
      <c r="I41" s="1027">
        <f t="shared" si="10"/>
        <v>84588932.923210517</v>
      </c>
      <c r="J41" s="1029">
        <f>(F41+G41)/(D41-D39)</f>
        <v>0.12672683263094811</v>
      </c>
      <c r="K41" s="1030">
        <f>(F41+G41)/(E41-E39)</f>
        <v>8.0105537299442628E-2</v>
      </c>
      <c r="L41" s="1031"/>
      <c r="M41" s="1037"/>
      <c r="N41" s="1032">
        <f>SUM(N17:N39)</f>
        <v>55860380.923210502</v>
      </c>
      <c r="O41" s="1027">
        <f>SUM(O17:O39)</f>
        <v>84588932.923210517</v>
      </c>
      <c r="P41" s="1028">
        <f>SUM(P17:P39)</f>
        <v>3150188.2762063476</v>
      </c>
      <c r="Q41" s="1026">
        <f>SUM(Q17:Q39)</f>
        <v>59010569.199416853</v>
      </c>
      <c r="R41" s="1027">
        <f>SUM(R17:R39)</f>
        <v>87739121.199416861</v>
      </c>
      <c r="S41" s="1029">
        <f>IFERROR((P41)/(N41-N39),0)</f>
        <v>5.6640350879074743E-2</v>
      </c>
      <c r="T41" s="1030">
        <f>IFERROR((P41)/(O41-O39),0)</f>
        <v>3.7348428850388991E-2</v>
      </c>
      <c r="U41" s="1031"/>
    </row>
    <row r="42" spans="2:21" ht="13.5" thickBot="1" x14ac:dyDescent="0.25">
      <c r="B42" s="1034"/>
      <c r="C42" s="556"/>
      <c r="D42" s="556"/>
      <c r="E42" s="556"/>
      <c r="F42" s="1250" t="s">
        <v>488</v>
      </c>
      <c r="G42" s="1251" t="s">
        <v>488</v>
      </c>
      <c r="H42" s="556"/>
      <c r="I42" s="556"/>
      <c r="J42" s="555"/>
      <c r="K42" s="556"/>
      <c r="L42" s="1465" t="s">
        <v>500</v>
      </c>
      <c r="M42" s="1036"/>
      <c r="N42" s="555"/>
      <c r="O42" s="556"/>
      <c r="P42" s="1189" t="s">
        <v>198</v>
      </c>
      <c r="Q42" s="556"/>
      <c r="R42" s="556"/>
      <c r="S42" s="555"/>
      <c r="T42" s="556"/>
      <c r="U42" s="1465" t="s">
        <v>488</v>
      </c>
    </row>
    <row r="43" spans="2:21" ht="6" customHeight="1" x14ac:dyDescent="0.2">
      <c r="D43" s="474"/>
      <c r="E43" s="474"/>
      <c r="F43" s="474"/>
      <c r="G43" s="474"/>
      <c r="H43" s="474"/>
    </row>
    <row r="44" spans="2:21" ht="12" customHeight="1" x14ac:dyDescent="0.2">
      <c r="B44" s="902" t="s">
        <v>579</v>
      </c>
      <c r="C44" s="898"/>
      <c r="D44" s="1307"/>
      <c r="E44" s="895"/>
      <c r="N44" s="902" t="s">
        <v>579</v>
      </c>
      <c r="O44" s="898"/>
    </row>
    <row r="45" spans="2:21" ht="12" customHeight="1" x14ac:dyDescent="0.2">
      <c r="B45" s="902" t="s">
        <v>578</v>
      </c>
      <c r="C45" s="903"/>
      <c r="D45" s="1307"/>
      <c r="E45" s="895"/>
      <c r="F45" s="434"/>
      <c r="G45" s="434"/>
      <c r="N45" s="902" t="s">
        <v>571</v>
      </c>
      <c r="O45" s="898"/>
    </row>
    <row r="46" spans="2:21" ht="12" customHeight="1" x14ac:dyDescent="0.2">
      <c r="B46" s="902" t="s">
        <v>567</v>
      </c>
      <c r="C46" s="898"/>
      <c r="D46" s="1307"/>
      <c r="E46" s="895"/>
      <c r="N46" s="902" t="s">
        <v>569</v>
      </c>
      <c r="O46" s="903"/>
    </row>
    <row r="47" spans="2:21" ht="12" customHeight="1" x14ac:dyDescent="0.2">
      <c r="B47" s="902" t="s">
        <v>569</v>
      </c>
      <c r="C47" s="903"/>
      <c r="D47" s="1307"/>
      <c r="E47" s="895"/>
      <c r="N47" s="902" t="s">
        <v>572</v>
      </c>
      <c r="O47" s="903"/>
    </row>
    <row r="48" spans="2:21" x14ac:dyDescent="0.2">
      <c r="B48" s="902" t="s">
        <v>568</v>
      </c>
      <c r="C48" s="903"/>
      <c r="D48" s="1306"/>
      <c r="N48" s="902" t="s">
        <v>573</v>
      </c>
    </row>
    <row r="49" spans="2:7" ht="12.95" customHeight="1" x14ac:dyDescent="0.2">
      <c r="B49" s="902" t="s">
        <v>570</v>
      </c>
      <c r="D49" s="898"/>
    </row>
    <row r="50" spans="2:7" ht="12" customHeight="1" x14ac:dyDescent="0.2">
      <c r="D50" s="898"/>
      <c r="F50" s="899"/>
      <c r="G50" s="899"/>
    </row>
    <row r="51" spans="2:7" ht="12" customHeight="1" x14ac:dyDescent="0.2">
      <c r="B51" s="902"/>
      <c r="C51" s="903"/>
      <c r="F51" s="899"/>
      <c r="G51" s="899"/>
    </row>
    <row r="52" spans="2:7" x14ac:dyDescent="0.2">
      <c r="F52" s="899"/>
      <c r="G52" s="899"/>
    </row>
    <row r="53" spans="2:7" x14ac:dyDescent="0.2">
      <c r="F53" s="900"/>
      <c r="G53" s="900"/>
    </row>
    <row r="54" spans="2:7" x14ac:dyDescent="0.2">
      <c r="F54" s="901"/>
      <c r="G54" s="901"/>
    </row>
  </sheetData>
  <customSheetViews>
    <customSheetView guid="{80646397-1CEF-4A79-B348-594AB32B8020}" fitToPage="1">
      <selection activeCell="S26" sqref="S26"/>
      <pageMargins left="0.5" right="0.5" top="0.5" bottom="0.5" header="0.25" footer="0.25"/>
      <printOptions verticalCentered="1"/>
      <pageSetup scale="89" orientation="landscape" r:id="rId1"/>
      <headerFooter alignWithMargins="0">
        <oddHeader>&amp;RUG 388 - NW Natural/2500
Wyman/WP02</oddHeader>
        <oddFooter xml:space="preserve">&amp;C&amp;F &amp;D &amp;T
&amp;A </oddFooter>
      </headerFooter>
    </customSheetView>
    <customSheetView guid="{37B35166-7378-4B00-BB4E-9E442A0D870E}" fitToPage="1">
      <selection activeCell="S26" sqref="S26"/>
      <pageMargins left="0.5" right="0.5" top="0.5" bottom="0.5" header="0.25" footer="0.25"/>
      <printOptions verticalCentered="1"/>
      <pageSetup scale="89" orientation="landscape" r:id="rId2"/>
      <headerFooter alignWithMargins="0">
        <oddHeader>&amp;RUG 388 - NW Natural/2500
Wyman/WP02</oddHeader>
        <oddFooter xml:space="preserve">&amp;C&amp;F &amp;D &amp;T
&amp;A </oddFooter>
      </headerFooter>
    </customSheetView>
  </customSheetViews>
  <mergeCells count="4">
    <mergeCell ref="J12:L12"/>
    <mergeCell ref="S12:U12"/>
    <mergeCell ref="N11:U11"/>
    <mergeCell ref="D11:L11"/>
  </mergeCells>
  <printOptions verticalCentered="1"/>
  <pageMargins left="0.5" right="0.5" top="0.5" bottom="0.5" header="0.25" footer="0.25"/>
  <pageSetup scale="81" orientation="landscape" r:id="rId3"/>
  <headerFooter alignWithMargins="0">
    <oddHeader>&amp;RExh. RJW-3 Wyman WP1</oddHeader>
    <oddFooter xml:space="preserve">&amp;C&amp;F &amp;D &amp;T
&amp;A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8E9EE-2481-40C8-9D94-DA6C00729754}">
  <sheetPr>
    <tabColor theme="7" tint="0.79998168889431442"/>
    <pageSetUpPr fitToPage="1"/>
  </sheetPr>
  <dimension ref="B1:AP71"/>
  <sheetViews>
    <sheetView zoomScale="90" zoomScaleNormal="90" workbookViewId="0">
      <pane xSplit="3" ySplit="14" topLeftCell="T27" activePane="bottomRight" state="frozen"/>
      <selection pane="topRight" activeCell="D1" sqref="D1"/>
      <selection pane="bottomLeft" activeCell="A14" sqref="A14"/>
      <selection pane="bottomRight" activeCell="U21" sqref="U21"/>
    </sheetView>
  </sheetViews>
  <sheetFormatPr defaultColWidth="9.33203125" defaultRowHeight="12.75" outlineLevelCol="1" x14ac:dyDescent="0.2"/>
  <cols>
    <col min="1" max="1" width="3.1640625" style="52" customWidth="1"/>
    <col min="2" max="2" width="7.6640625" style="52" customWidth="1"/>
    <col min="3" max="3" width="11.33203125" style="52" bestFit="1" customWidth="1"/>
    <col min="4" max="4" width="17.5" style="52" customWidth="1"/>
    <col min="5" max="6" width="16.33203125" style="52" customWidth="1"/>
    <col min="7" max="7" width="12.1640625" style="52" customWidth="1"/>
    <col min="8" max="8" width="16.33203125" style="52" customWidth="1"/>
    <col min="9" max="9" width="12.1640625" style="52" customWidth="1"/>
    <col min="10" max="10" width="14.83203125" style="52" customWidth="1"/>
    <col min="11" max="11" width="12.1640625" style="52" customWidth="1"/>
    <col min="12" max="12" width="15.33203125" style="52" customWidth="1"/>
    <col min="13" max="13" width="12.1640625" style="52" customWidth="1"/>
    <col min="14" max="14" width="17.33203125" style="52" customWidth="1"/>
    <col min="15" max="15" width="12.1640625" style="52" customWidth="1"/>
    <col min="16" max="16" width="15.83203125" style="52" customWidth="1"/>
    <col min="17" max="17" width="12.1640625" style="52" customWidth="1"/>
    <col min="18" max="19" width="16.33203125" style="52" hidden="1" customWidth="1" outlineLevel="1"/>
    <col min="20" max="20" width="17.5" style="52" customWidth="1" collapsed="1"/>
    <col min="21" max="21" width="20.5" style="52" customWidth="1"/>
    <col min="22" max="22" width="17.5" style="52" bestFit="1" customWidth="1"/>
    <col min="23" max="23" width="12.6640625" style="52" customWidth="1"/>
    <col min="24" max="24" width="11.1640625" style="52" customWidth="1"/>
    <col min="25" max="25" width="2.83203125" style="52" customWidth="1"/>
    <col min="26" max="26" width="17.1640625" style="52" customWidth="1"/>
    <col min="27" max="27" width="16.33203125" style="52" customWidth="1"/>
    <col min="28" max="28" width="17.33203125" style="52" customWidth="1"/>
    <col min="29" max="29" width="18.5" style="52" customWidth="1"/>
    <col min="30" max="30" width="14.1640625" style="52" customWidth="1"/>
    <col min="31" max="31" width="16.33203125" style="52" bestFit="1" customWidth="1"/>
    <col min="32" max="32" width="18.33203125" style="52" hidden="1" customWidth="1" outlineLevel="1"/>
    <col min="33" max="33" width="13.33203125" style="52" hidden="1" customWidth="1" outlineLevel="1"/>
    <col min="34" max="34" width="13.1640625" style="52" customWidth="1" collapsed="1"/>
    <col min="35" max="35" width="13.1640625" style="52" customWidth="1"/>
    <col min="36" max="37" width="13.1640625" style="52" hidden="1" customWidth="1" outlineLevel="1"/>
    <col min="38" max="38" width="17.1640625" style="52" customWidth="1" collapsed="1"/>
    <col min="39" max="39" width="17.1640625" style="52" customWidth="1"/>
    <col min="40" max="40" width="12.6640625" style="52" customWidth="1"/>
    <col min="41" max="42" width="11" style="52" customWidth="1"/>
    <col min="43" max="16384" width="9.33203125" style="52"/>
  </cols>
  <sheetData>
    <row r="1" spans="2:42" x14ac:dyDescent="0.2">
      <c r="B1" s="895" t="s">
        <v>0</v>
      </c>
      <c r="Z1" s="895" t="s">
        <v>0</v>
      </c>
    </row>
    <row r="2" spans="2:42" x14ac:dyDescent="0.2">
      <c r="B2" s="895" t="s">
        <v>276</v>
      </c>
      <c r="C2" s="63"/>
      <c r="D2" s="63"/>
      <c r="E2" s="63"/>
      <c r="F2" s="63"/>
      <c r="G2" s="63"/>
      <c r="H2" s="63"/>
      <c r="I2" s="63"/>
      <c r="J2" s="63"/>
      <c r="K2" s="63"/>
      <c r="L2" s="63"/>
      <c r="M2" s="63"/>
      <c r="N2" s="63"/>
      <c r="O2" s="63"/>
      <c r="P2" s="63"/>
      <c r="Q2" s="63"/>
      <c r="R2" s="63"/>
      <c r="S2" s="63"/>
      <c r="T2" s="63"/>
      <c r="U2" s="1664" t="s">
        <v>432</v>
      </c>
      <c r="V2" s="1664"/>
      <c r="W2" s="1664"/>
      <c r="Z2" s="895" t="s">
        <v>276</v>
      </c>
      <c r="AL2" s="63"/>
      <c r="AM2" s="1664" t="s">
        <v>522</v>
      </c>
      <c r="AN2" s="1664"/>
      <c r="AO2" s="1664"/>
    </row>
    <row r="3" spans="2:42" x14ac:dyDescent="0.2">
      <c r="B3" s="895" t="s">
        <v>277</v>
      </c>
      <c r="C3" s="63"/>
      <c r="D3" s="63"/>
      <c r="E3" s="63"/>
      <c r="F3" s="63"/>
      <c r="G3" s="63"/>
      <c r="H3" s="63"/>
      <c r="I3" s="63"/>
      <c r="J3" s="63"/>
      <c r="K3" s="63"/>
      <c r="L3" s="63"/>
      <c r="M3" s="63"/>
      <c r="N3" s="63"/>
      <c r="O3" s="63"/>
      <c r="P3" s="63"/>
      <c r="Q3" s="63"/>
      <c r="R3" s="63"/>
      <c r="S3" s="63"/>
      <c r="T3" s="433"/>
      <c r="U3" s="1665" t="s">
        <v>266</v>
      </c>
      <c r="V3" s="1665" t="s">
        <v>519</v>
      </c>
      <c r="W3" s="1665" t="s">
        <v>520</v>
      </c>
      <c r="X3" s="56"/>
      <c r="Z3" s="895" t="s">
        <v>277</v>
      </c>
      <c r="AL3" s="433"/>
      <c r="AM3" s="1665" t="s">
        <v>266</v>
      </c>
      <c r="AN3" s="1665" t="s">
        <v>519</v>
      </c>
      <c r="AO3" s="1665" t="s">
        <v>520</v>
      </c>
    </row>
    <row r="4" spans="2:42" ht="15" customHeight="1" x14ac:dyDescent="0.2">
      <c r="B4" s="895" t="s">
        <v>562</v>
      </c>
      <c r="C4" s="63"/>
      <c r="D4" s="63"/>
      <c r="E4" s="63"/>
      <c r="F4" s="63"/>
      <c r="G4" s="63"/>
      <c r="H4" s="63"/>
      <c r="I4" s="63"/>
      <c r="J4" s="63"/>
      <c r="K4" s="63"/>
      <c r="L4" s="63"/>
      <c r="M4" s="63"/>
      <c r="N4" s="63"/>
      <c r="O4" s="63"/>
      <c r="P4" s="63"/>
      <c r="Q4" s="63"/>
      <c r="R4" s="63"/>
      <c r="S4" s="63"/>
      <c r="T4" s="56"/>
      <c r="U4" s="1666"/>
      <c r="V4" s="1666"/>
      <c r="W4" s="1666"/>
      <c r="X4" s="56"/>
      <c r="Z4" s="895" t="s">
        <v>562</v>
      </c>
      <c r="AL4" s="56"/>
      <c r="AM4" s="1666"/>
      <c r="AN4" s="1666"/>
      <c r="AO4" s="1666"/>
    </row>
    <row r="5" spans="2:42" x14ac:dyDescent="0.2">
      <c r="B5" s="895" t="s">
        <v>574</v>
      </c>
      <c r="C5" s="63"/>
      <c r="D5" s="63"/>
      <c r="E5" s="63"/>
      <c r="F5" s="63"/>
      <c r="G5" s="63"/>
      <c r="H5" s="63"/>
      <c r="I5" s="63"/>
      <c r="J5" s="63"/>
      <c r="K5" s="63"/>
      <c r="L5" s="63"/>
      <c r="M5" s="63"/>
      <c r="N5" s="63"/>
      <c r="O5" s="63"/>
      <c r="P5" s="63"/>
      <c r="Q5" s="63"/>
      <c r="R5" s="63"/>
      <c r="S5" s="63"/>
      <c r="T5" s="56" t="s">
        <v>264</v>
      </c>
      <c r="U5" s="1246">
        <f>SUM(U16,U18)/1000-SUM(E16,E18)/1000</f>
        <v>2614.7944593500433</v>
      </c>
      <c r="V5" s="1239">
        <f>U5/(E16+E18)*1000</f>
        <v>4.9065524267667415E-2</v>
      </c>
      <c r="W5" s="1246">
        <f>U5*1000/'WA Volumes &amp; Revenues'!Y15/12</f>
        <v>2.6563396108639554</v>
      </c>
      <c r="X5" s="56"/>
      <c r="Z5" s="895" t="s">
        <v>574</v>
      </c>
      <c r="AL5" s="56" t="s">
        <v>264</v>
      </c>
      <c r="AM5" s="1240">
        <f>SUM(AM16,AM18)/1000-SUM(AA16,AA18)/1000</f>
        <v>2139.8259286691828</v>
      </c>
      <c r="AN5" s="1239">
        <f>AM5/(AA16+AA18)*1000</f>
        <v>3.7148848548970895E-2</v>
      </c>
      <c r="AO5" s="1240">
        <f>AM5*1000/'WA Volumes &amp; Revenues'!Y15/12</f>
        <v>2.1738245445458801</v>
      </c>
    </row>
    <row r="6" spans="2:42" x14ac:dyDescent="0.2">
      <c r="C6" s="63"/>
      <c r="D6" s="63"/>
      <c r="E6" s="63"/>
      <c r="F6" s="63"/>
      <c r="G6" s="63"/>
      <c r="H6" s="63"/>
      <c r="I6" s="63"/>
      <c r="J6" s="63"/>
      <c r="K6" s="63"/>
      <c r="L6" s="63"/>
      <c r="M6" s="63"/>
      <c r="N6" s="63"/>
      <c r="O6" s="63"/>
      <c r="P6" s="63"/>
      <c r="Q6" s="63"/>
      <c r="R6" s="63"/>
      <c r="S6" s="63"/>
      <c r="T6" s="56" t="s">
        <v>26</v>
      </c>
      <c r="U6" s="1246">
        <f>SUM(U17,U19,U21,U22,U24,U26,U28,U30,U32,U34)/1000-SUM(E17,E19,E21,E22,E24,E26,E28,E30,E32,E34)/1000</f>
        <v>984.68544014711006</v>
      </c>
      <c r="V6" s="1239">
        <f>(U6)/SUM(E17,E19,E21,E22,E24,E26,E28,E30,E32,E34)*1000</f>
        <v>4.7262308762585706E-2</v>
      </c>
      <c r="W6" s="1246">
        <f>U6*1000/'WA Volumes &amp; Revenues'!Y16/12</f>
        <v>11.33711864771297</v>
      </c>
      <c r="X6" s="56"/>
      <c r="AL6" s="56" t="s">
        <v>26</v>
      </c>
      <c r="AM6" s="1240">
        <f>SUM(AM17,AM19,AM21,AM22,AM24,AM26,AM28,AM30,AM32,AM34)/1000-SUM(AA17,AA19,AA21,AA22,AA24,AA26,AA28,AA30,AA32,AA34)/1000</f>
        <v>791.3597977895588</v>
      </c>
      <c r="AN6" s="1239">
        <f>(AM6)/SUM(AA17,AA19,AA21,AA22,AA24,AA26,AA28,AA30,AA32,AA34)*1000</f>
        <v>3.5283549965144483E-2</v>
      </c>
      <c r="AO6" s="1240">
        <f>AM6*1000/'WA Volumes &amp; Revenues'!Y16/12</f>
        <v>9.111275088245451</v>
      </c>
    </row>
    <row r="7" spans="2:42" x14ac:dyDescent="0.2">
      <c r="B7" s="168" t="s">
        <v>563</v>
      </c>
      <c r="C7" s="63"/>
      <c r="D7" s="63"/>
      <c r="F7" s="63"/>
      <c r="G7" s="63"/>
      <c r="H7" s="63"/>
      <c r="I7" s="63"/>
      <c r="J7" s="63"/>
      <c r="K7" s="63"/>
      <c r="L7" s="63"/>
      <c r="M7" s="63"/>
      <c r="N7" s="63"/>
      <c r="O7" s="63"/>
      <c r="P7" s="63"/>
      <c r="Q7" s="63"/>
      <c r="R7" s="63"/>
      <c r="S7" s="63"/>
      <c r="T7" s="56" t="s">
        <v>145</v>
      </c>
      <c r="U7" s="1246">
        <f>SUM(U20,U23,U25,U27,U29,U31,U33,U35,U36,U37,U38)/1000-SUM(E20,E23,E25,E27,E29,E31,E33,E35,E36,E37,E38)/1000</f>
        <v>302.61789948200021</v>
      </c>
      <c r="V7" s="1239">
        <f>(U7)/SUM(E20,E23,E25,E27,E29,E31,E33,E35,E36,E37,E38)*1000</f>
        <v>7.1930457304857864E-2</v>
      </c>
      <c r="W7" s="1246">
        <f>U7*1000/'WA Volumes &amp; Revenues'!Y17/12</f>
        <v>346.24473624942817</v>
      </c>
      <c r="X7" s="56"/>
      <c r="Z7" s="168" t="s">
        <v>564</v>
      </c>
      <c r="AL7" s="56" t="s">
        <v>145</v>
      </c>
      <c r="AM7" s="1240">
        <f>SUM(AM20,AM23,AM25,AM27,AM29,AM31,AM33,AM35,AM36,AM37,AM38)/1000-SUM(AA20,AA23,AA25,AA27,AA29,AA31,AA33,AA35,AA36,AA37,AA38)/1000</f>
        <v>174.69645927200054</v>
      </c>
      <c r="AN7" s="1239">
        <f>(AM7)/SUM(AA20,AA23,AA25,AA27,AA29,AA31,AA33,AA35,AA36,AA37,AA38)*1000</f>
        <v>3.8319451350242097E-2</v>
      </c>
      <c r="AO7" s="1240">
        <f>AM7*1000/'WA Volumes &amp; Revenues'!Y17/12</f>
        <v>199.88153234782669</v>
      </c>
    </row>
    <row r="8" spans="2:42" ht="12.75" customHeight="1" x14ac:dyDescent="0.2">
      <c r="B8" s="601" t="s">
        <v>619</v>
      </c>
      <c r="C8" s="63"/>
      <c r="D8" s="1467"/>
      <c r="F8" s="1467"/>
      <c r="G8" s="1467"/>
      <c r="H8" s="1467"/>
      <c r="I8" s="1467"/>
      <c r="J8" s="1467"/>
      <c r="K8" s="1467"/>
      <c r="L8" s="1467"/>
      <c r="M8" s="1467"/>
      <c r="N8" s="1467"/>
      <c r="O8" s="1467"/>
      <c r="P8" s="1467"/>
      <c r="Q8" s="63"/>
      <c r="R8" s="63"/>
      <c r="S8" s="63"/>
      <c r="T8" s="1214" t="s">
        <v>265</v>
      </c>
      <c r="U8" s="1247">
        <f>SUM(U5:U7)</f>
        <v>3902.0977989791536</v>
      </c>
      <c r="V8" s="1242">
        <f>(U40-E40)/E40</f>
        <v>4.9813937299323811E-2</v>
      </c>
      <c r="W8" s="1247">
        <f>U8*1000/'WA Volumes &amp; Revenues'!Y18/12</f>
        <v>3.639714425741849</v>
      </c>
      <c r="X8" s="56"/>
      <c r="Z8" s="601" t="s">
        <v>620</v>
      </c>
      <c r="AA8" s="1467"/>
      <c r="AB8" s="1467"/>
      <c r="AC8" s="1467"/>
      <c r="AD8" s="1467"/>
      <c r="AE8" s="1467"/>
      <c r="AF8" s="1467"/>
      <c r="AG8" s="1467"/>
      <c r="AH8" s="1467"/>
      <c r="AI8" s="1467"/>
      <c r="AJ8" s="1467"/>
      <c r="AL8" s="1214" t="s">
        <v>265</v>
      </c>
      <c r="AM8" s="1241">
        <f>SUM(AM5:AM7)</f>
        <v>3105.8821857307421</v>
      </c>
      <c r="AN8" s="1242">
        <f>(AM40-AA40)/AA40</f>
        <v>3.6717358623618621E-2</v>
      </c>
      <c r="AO8" s="1243">
        <f>AM8*1000/'WA Volumes &amp; Revenues'!Y18/12</f>
        <v>2.8970376393477988</v>
      </c>
    </row>
    <row r="9" spans="2:42" ht="13.5" thickBot="1" x14ac:dyDescent="0.25">
      <c r="B9" s="601" t="s">
        <v>561</v>
      </c>
      <c r="C9" s="63"/>
      <c r="D9" s="1468"/>
      <c r="F9" s="1468"/>
      <c r="G9" s="1468"/>
      <c r="H9" s="1468"/>
      <c r="I9" s="1468"/>
      <c r="J9" s="1468"/>
      <c r="K9" s="1468"/>
      <c r="L9" s="1468"/>
      <c r="M9" s="1468"/>
      <c r="N9" s="1468"/>
      <c r="O9" s="1468"/>
      <c r="P9" s="1468"/>
      <c r="Q9" s="63"/>
      <c r="R9" s="63"/>
      <c r="S9" s="63"/>
      <c r="T9" s="63"/>
      <c r="U9" s="63"/>
      <c r="V9" s="65"/>
      <c r="Z9" s="1468"/>
      <c r="AA9" s="1468"/>
      <c r="AB9" s="1468"/>
      <c r="AC9" s="1468"/>
      <c r="AD9" s="1468"/>
      <c r="AE9" s="1468"/>
      <c r="AF9" s="1468"/>
      <c r="AG9" s="1468"/>
      <c r="AH9" s="1468"/>
      <c r="AI9" s="1468"/>
      <c r="AJ9" s="1468"/>
    </row>
    <row r="10" spans="2:42" ht="13.5" thickBot="1" x14ac:dyDescent="0.25">
      <c r="B10" s="64"/>
      <c r="C10" s="63"/>
      <c r="D10" s="1644" t="s">
        <v>565</v>
      </c>
      <c r="E10" s="1645"/>
      <c r="F10" s="1645"/>
      <c r="G10" s="1645"/>
      <c r="H10" s="1645"/>
      <c r="I10" s="1645"/>
      <c r="J10" s="1645"/>
      <c r="K10" s="1645"/>
      <c r="L10" s="1645"/>
      <c r="M10" s="1645"/>
      <c r="N10" s="1646"/>
      <c r="O10" s="1646"/>
      <c r="P10" s="1646"/>
      <c r="Q10" s="1646"/>
      <c r="R10" s="1645"/>
      <c r="S10" s="1645"/>
      <c r="T10" s="1645"/>
      <c r="U10" s="1645"/>
      <c r="V10" s="1645"/>
      <c r="W10" s="1645"/>
      <c r="X10" s="1647"/>
      <c r="Y10" s="1064"/>
      <c r="Z10" s="1648" t="s">
        <v>566</v>
      </c>
      <c r="AA10" s="1649"/>
      <c r="AB10" s="1649"/>
      <c r="AC10" s="1649"/>
      <c r="AD10" s="1649"/>
      <c r="AE10" s="1649"/>
      <c r="AF10" s="1649"/>
      <c r="AG10" s="1649"/>
      <c r="AH10" s="1649"/>
      <c r="AI10" s="1649"/>
      <c r="AJ10" s="1649"/>
      <c r="AK10" s="1649"/>
      <c r="AL10" s="1649"/>
      <c r="AM10" s="1649"/>
      <c r="AN10" s="1649"/>
      <c r="AO10" s="1649"/>
      <c r="AP10" s="1650"/>
    </row>
    <row r="11" spans="2:42" ht="13.5" thickBot="1" x14ac:dyDescent="0.25">
      <c r="D11" s="1079"/>
      <c r="E11" s="1080"/>
      <c r="F11" s="1655" t="s">
        <v>217</v>
      </c>
      <c r="G11" s="1656"/>
      <c r="H11" s="1651" t="s">
        <v>405</v>
      </c>
      <c r="I11" s="1657"/>
      <c r="J11" s="1651" t="s">
        <v>401</v>
      </c>
      <c r="K11" s="1657"/>
      <c r="L11" s="1651" t="s">
        <v>412</v>
      </c>
      <c r="M11" s="1657"/>
      <c r="N11" s="1637" t="s">
        <v>430</v>
      </c>
      <c r="O11" s="1658"/>
      <c r="P11" s="1658"/>
      <c r="Q11" s="1638"/>
      <c r="R11" s="1662" t="s">
        <v>229</v>
      </c>
      <c r="S11" s="1663"/>
      <c r="T11" s="1081"/>
      <c r="U11" s="1081"/>
      <c r="V11" s="1659" t="s">
        <v>199</v>
      </c>
      <c r="W11" s="1655"/>
      <c r="X11" s="1656"/>
      <c r="Y11" s="1064"/>
      <c r="Z11" s="53"/>
      <c r="AA11" s="54"/>
      <c r="AB11" s="1660" t="s">
        <v>217</v>
      </c>
      <c r="AC11" s="1661"/>
      <c r="AD11" s="1651" t="s">
        <v>482</v>
      </c>
      <c r="AE11" s="1652"/>
      <c r="AF11" s="1653" t="s">
        <v>509</v>
      </c>
      <c r="AG11" s="1654"/>
      <c r="AH11" s="1637" t="s">
        <v>430</v>
      </c>
      <c r="AI11" s="1638"/>
      <c r="AJ11" s="1639" t="s">
        <v>229</v>
      </c>
      <c r="AK11" s="1640"/>
      <c r="AL11" s="54"/>
      <c r="AM11" s="54"/>
      <c r="AN11" s="1641" t="s">
        <v>199</v>
      </c>
      <c r="AO11" s="1642"/>
      <c r="AP11" s="1643"/>
    </row>
    <row r="12" spans="2:42" ht="51" x14ac:dyDescent="0.2">
      <c r="B12" s="1072" t="s">
        <v>173</v>
      </c>
      <c r="C12" s="1073" t="s">
        <v>158</v>
      </c>
      <c r="D12" s="69" t="s">
        <v>207</v>
      </c>
      <c r="E12" s="69" t="s">
        <v>208</v>
      </c>
      <c r="F12" s="68" t="s">
        <v>201</v>
      </c>
      <c r="G12" s="70" t="s">
        <v>200</v>
      </c>
      <c r="H12" s="68" t="s">
        <v>428</v>
      </c>
      <c r="I12" s="69" t="s">
        <v>429</v>
      </c>
      <c r="J12" s="68" t="s">
        <v>506</v>
      </c>
      <c r="K12" s="70" t="s">
        <v>507</v>
      </c>
      <c r="L12" s="68" t="s">
        <v>506</v>
      </c>
      <c r="M12" s="69" t="s">
        <v>507</v>
      </c>
      <c r="N12" s="1197" t="s">
        <v>431</v>
      </c>
      <c r="O12" s="968" t="s">
        <v>431</v>
      </c>
      <c r="P12" s="968" t="s">
        <v>514</v>
      </c>
      <c r="Q12" s="1198" t="s">
        <v>514</v>
      </c>
      <c r="R12" s="581" t="s">
        <v>230</v>
      </c>
      <c r="S12" s="582" t="s">
        <v>231</v>
      </c>
      <c r="T12" s="69" t="s">
        <v>202</v>
      </c>
      <c r="U12" s="69" t="s">
        <v>203</v>
      </c>
      <c r="V12" s="68" t="s">
        <v>204</v>
      </c>
      <c r="W12" s="69" t="s">
        <v>205</v>
      </c>
      <c r="X12" s="70" t="s">
        <v>206</v>
      </c>
      <c r="Y12" s="1064"/>
      <c r="Z12" s="1092" t="s">
        <v>207</v>
      </c>
      <c r="AA12" s="66" t="s">
        <v>208</v>
      </c>
      <c r="AB12" s="68" t="s">
        <v>201</v>
      </c>
      <c r="AC12" s="70" t="s">
        <v>200</v>
      </c>
      <c r="AD12" s="68" t="s">
        <v>508</v>
      </c>
      <c r="AE12" s="70" t="s">
        <v>507</v>
      </c>
      <c r="AF12" s="69" t="s">
        <v>426</v>
      </c>
      <c r="AG12" s="70" t="s">
        <v>427</v>
      </c>
      <c r="AH12" s="1197" t="s">
        <v>514</v>
      </c>
      <c r="AI12" s="1198" t="s">
        <v>538</v>
      </c>
      <c r="AJ12" s="581" t="s">
        <v>230</v>
      </c>
      <c r="AK12" s="582" t="s">
        <v>231</v>
      </c>
      <c r="AL12" s="66" t="s">
        <v>202</v>
      </c>
      <c r="AM12" s="66" t="s">
        <v>203</v>
      </c>
      <c r="AN12" s="68" t="s">
        <v>204</v>
      </c>
      <c r="AO12" s="69" t="s">
        <v>205</v>
      </c>
      <c r="AP12" s="70" t="s">
        <v>206</v>
      </c>
    </row>
    <row r="13" spans="2:42" x14ac:dyDescent="0.2">
      <c r="B13" s="1074"/>
      <c r="C13" s="1066"/>
      <c r="D13" s="72"/>
      <c r="E13" s="72"/>
      <c r="F13" s="1476" t="s">
        <v>197</v>
      </c>
      <c r="G13" s="74"/>
      <c r="H13" s="1476" t="s">
        <v>198</v>
      </c>
      <c r="I13" s="72"/>
      <c r="J13" s="1476" t="s">
        <v>488</v>
      </c>
      <c r="K13" s="93"/>
      <c r="L13" s="1476" t="s">
        <v>500</v>
      </c>
      <c r="M13" s="1203"/>
      <c r="N13" s="1232" t="s">
        <v>515</v>
      </c>
      <c r="O13" s="1230"/>
      <c r="P13" s="1230" t="s">
        <v>516</v>
      </c>
      <c r="Q13" s="1233"/>
      <c r="R13" s="583"/>
      <c r="S13" s="584"/>
      <c r="T13" s="594" t="s">
        <v>517</v>
      </c>
      <c r="U13" s="594" t="s">
        <v>518</v>
      </c>
      <c r="V13" s="595"/>
      <c r="W13" s="594"/>
      <c r="X13" s="74"/>
      <c r="Y13" s="1064"/>
      <c r="Z13" s="73"/>
      <c r="AA13" s="72"/>
      <c r="AB13" s="1476" t="s">
        <v>197</v>
      </c>
      <c r="AC13" s="74"/>
      <c r="AD13" s="1476" t="s">
        <v>198</v>
      </c>
      <c r="AE13" s="74"/>
      <c r="AF13" s="1203"/>
      <c r="AG13" s="93"/>
      <c r="AH13" s="1274" t="s">
        <v>501</v>
      </c>
      <c r="AI13" s="1275"/>
      <c r="AJ13" s="583"/>
      <c r="AK13" s="584"/>
      <c r="AL13" s="594" t="s">
        <v>502</v>
      </c>
      <c r="AM13" s="594" t="s">
        <v>503</v>
      </c>
      <c r="AN13" s="595"/>
      <c r="AO13" s="594"/>
      <c r="AP13" s="74"/>
    </row>
    <row r="14" spans="2:42" ht="13.5" thickBot="1" x14ac:dyDescent="0.25">
      <c r="B14" s="1075"/>
      <c r="C14" s="1067"/>
      <c r="D14" s="109" t="s">
        <v>35</v>
      </c>
      <c r="E14" s="109" t="s">
        <v>36</v>
      </c>
      <c r="F14" s="125" t="s">
        <v>13</v>
      </c>
      <c r="G14" s="126" t="s">
        <v>37</v>
      </c>
      <c r="H14" s="125" t="s">
        <v>38</v>
      </c>
      <c r="I14" s="109" t="s">
        <v>39</v>
      </c>
      <c r="J14" s="127" t="s">
        <v>40</v>
      </c>
      <c r="K14" s="128" t="s">
        <v>41</v>
      </c>
      <c r="L14" s="127" t="s">
        <v>42</v>
      </c>
      <c r="M14" s="1204" t="s">
        <v>129</v>
      </c>
      <c r="N14" s="127" t="s">
        <v>130</v>
      </c>
      <c r="O14" s="1204" t="s">
        <v>43</v>
      </c>
      <c r="P14" s="1204" t="s">
        <v>131</v>
      </c>
      <c r="Q14" s="1238" t="s">
        <v>132</v>
      </c>
      <c r="R14" s="585" t="s">
        <v>133</v>
      </c>
      <c r="S14" s="586" t="s">
        <v>134</v>
      </c>
      <c r="T14" s="109" t="s">
        <v>135</v>
      </c>
      <c r="U14" s="109" t="s">
        <v>89</v>
      </c>
      <c r="V14" s="125" t="s">
        <v>92</v>
      </c>
      <c r="W14" s="109" t="s">
        <v>93</v>
      </c>
      <c r="X14" s="126" t="s">
        <v>94</v>
      </c>
      <c r="Y14" s="1064"/>
      <c r="Z14" s="125" t="s">
        <v>35</v>
      </c>
      <c r="AA14" s="109" t="s">
        <v>36</v>
      </c>
      <c r="AB14" s="125" t="s">
        <v>13</v>
      </c>
      <c r="AC14" s="126" t="s">
        <v>37</v>
      </c>
      <c r="AD14" s="125" t="s">
        <v>38</v>
      </c>
      <c r="AE14" s="126" t="s">
        <v>39</v>
      </c>
      <c r="AF14" s="1204" t="s">
        <v>40</v>
      </c>
      <c r="AG14" s="128" t="s">
        <v>41</v>
      </c>
      <c r="AH14" s="1276" t="s">
        <v>42</v>
      </c>
      <c r="AI14" s="1277" t="s">
        <v>129</v>
      </c>
      <c r="AJ14" s="585" t="s">
        <v>130</v>
      </c>
      <c r="AK14" s="586" t="s">
        <v>43</v>
      </c>
      <c r="AL14" s="109" t="s">
        <v>131</v>
      </c>
      <c r="AM14" s="109" t="s">
        <v>132</v>
      </c>
      <c r="AN14" s="125" t="s">
        <v>133</v>
      </c>
      <c r="AO14" s="109" t="s">
        <v>134</v>
      </c>
      <c r="AP14" s="126" t="s">
        <v>135</v>
      </c>
    </row>
    <row r="15" spans="2:42" ht="18" customHeight="1" thickTop="1" x14ac:dyDescent="0.2">
      <c r="B15" s="1076"/>
      <c r="C15" s="1068"/>
      <c r="D15" s="78"/>
      <c r="E15" s="78"/>
      <c r="F15" s="94"/>
      <c r="G15" s="70"/>
      <c r="H15" s="53"/>
      <c r="I15" s="69"/>
      <c r="J15" s="53"/>
      <c r="K15" s="87"/>
      <c r="L15" s="53"/>
      <c r="M15" s="54"/>
      <c r="N15" s="1199"/>
      <c r="O15" s="969"/>
      <c r="P15" s="969"/>
      <c r="Q15" s="1200"/>
      <c r="R15" s="587"/>
      <c r="S15" s="649"/>
      <c r="T15" s="78"/>
      <c r="U15" s="78"/>
      <c r="V15" s="68"/>
      <c r="W15" s="69"/>
      <c r="X15" s="70"/>
      <c r="Y15" s="1064"/>
      <c r="Z15" s="94"/>
      <c r="AA15" s="78"/>
      <c r="AB15" s="94"/>
      <c r="AC15" s="70"/>
      <c r="AD15" s="53"/>
      <c r="AE15" s="70"/>
      <c r="AF15" s="54"/>
      <c r="AG15" s="87"/>
      <c r="AH15" s="1199"/>
      <c r="AI15" s="1200"/>
      <c r="AJ15" s="587"/>
      <c r="AK15" s="649"/>
      <c r="AL15" s="78"/>
      <c r="AM15" s="78"/>
      <c r="AN15" s="68"/>
      <c r="AO15" s="69"/>
      <c r="AP15" s="70"/>
    </row>
    <row r="16" spans="2:42" x14ac:dyDescent="0.2">
      <c r="B16" s="1076">
        <v>1</v>
      </c>
      <c r="C16" s="1069" t="s">
        <v>281</v>
      </c>
      <c r="D16" s="80">
        <f>'Rate Impacts - Rev Req ONLY'!D17</f>
        <v>208635.1321174161</v>
      </c>
      <c r="E16" s="81">
        <f>'Rate Impacts - Rev Req ONLY'!E17</f>
        <v>283691.13211741613</v>
      </c>
      <c r="F16" s="95">
        <f>SUM('Rev Req Proof Yr1'!AF14:AH14)</f>
        <v>28394.63053745855</v>
      </c>
      <c r="G16" s="85">
        <f>IFERROR((F16/D16),0)</f>
        <v>0.13609707171215327</v>
      </c>
      <c r="H16" s="95">
        <f>SUM('Rev Req Proof Yr1'!AM14:AO14)</f>
        <v>-1953.8082260179419</v>
      </c>
      <c r="I16" s="84">
        <f>IFERROR((H16/D16),0)</f>
        <v>-9.3647134410630994E-3</v>
      </c>
      <c r="J16" s="96">
        <f>SUM('Temps Proof'!T14:V14)</f>
        <v>-6696.6240186263303</v>
      </c>
      <c r="K16" s="85">
        <f>IFERROR((J16/D16),0)</f>
        <v>-3.209729804689649E-2</v>
      </c>
      <c r="L16" s="96">
        <f>SUM('Temps Proof'!X14:Z14)</f>
        <v>-3701.5004194010235</v>
      </c>
      <c r="M16" s="84">
        <f>IFERROR((L16/D16),0)</f>
        <v>-1.7741501068563495E-2</v>
      </c>
      <c r="N16" s="1201">
        <f>SUM(F16,H16)</f>
        <v>26440.822311440606</v>
      </c>
      <c r="O16" s="970">
        <f>IFERROR((N16/D16),0)</f>
        <v>0.12673235827109017</v>
      </c>
      <c r="P16" s="1231">
        <f>SUM(F16,H16,J16,L16)</f>
        <v>16042.697873413252</v>
      </c>
      <c r="Q16" s="1202">
        <f>IFERROR((P16/E16),0)</f>
        <v>5.6549874342823603E-2</v>
      </c>
      <c r="R16" s="650"/>
      <c r="S16" s="593"/>
      <c r="T16" s="81">
        <f>D16+N16+R16</f>
        <v>235075.9544288567</v>
      </c>
      <c r="U16" s="81">
        <f>E16+P16+R16</f>
        <v>299733.8299908294</v>
      </c>
      <c r="V16" s="83">
        <f>IFERROR((T16-D16)/D16,0)</f>
        <v>0.12673235827109011</v>
      </c>
      <c r="W16" s="84">
        <f>IFERROR((U16-E16)/E16,0)</f>
        <v>5.6549874342823672E-2</v>
      </c>
      <c r="X16" s="85">
        <f>'Avg Bill by RS'!AH14</f>
        <v>5.1999999999999998E-2</v>
      </c>
      <c r="Y16" s="1064"/>
      <c r="Z16" s="1093">
        <f>'Rate Impacts - Rev Req ONLY'!N17</f>
        <v>235075.9544288567</v>
      </c>
      <c r="AA16" s="81">
        <f>'Rate Impacts - Rev Req ONLY'!O17</f>
        <v>310131.95442885678</v>
      </c>
      <c r="AB16" s="95">
        <f>SUM('Rev Req Proof Yr2'!AF14:AH14)</f>
        <v>13313.807483007986</v>
      </c>
      <c r="AC16" s="85">
        <f>IFERROR((AB16/Z16),0)</f>
        <v>5.6636194524256507E-2</v>
      </c>
      <c r="AD16" s="95">
        <f>SUM('Temps Proof'!AB14:AD14)</f>
        <v>-188.93969658195482</v>
      </c>
      <c r="AE16" s="85">
        <f>IFERROR((AD16/Z16),0)</f>
        <v>-8.0373893212942564E-4</v>
      </c>
      <c r="AF16" s="1205">
        <f>SUM('Temps Proof'!AR14:AT14)</f>
        <v>0</v>
      </c>
      <c r="AG16" s="85">
        <f t="shared" ref="AG16:AG38" si="0">IFERROR((AF16/Z16),0)</f>
        <v>0</v>
      </c>
      <c r="AH16" s="1201">
        <f>SUM(AB16,AD16,AF16)</f>
        <v>13124.867786426032</v>
      </c>
      <c r="AI16" s="1202">
        <f t="shared" ref="AI16:AI38" si="1">IFERROR((AH16/Z16),0)</f>
        <v>5.5832455592127087E-2</v>
      </c>
      <c r="AJ16" s="650"/>
      <c r="AK16" s="593"/>
      <c r="AL16" s="81">
        <f>Z16+AH16+AJ16</f>
        <v>248200.82221528274</v>
      </c>
      <c r="AM16" s="81">
        <f>AA16+AH16+AJ16</f>
        <v>323256.82221528282</v>
      </c>
      <c r="AN16" s="83">
        <f t="shared" ref="AN16:AN38" si="2">IFERROR((AL16-Z16)/Z16,0)</f>
        <v>5.5832455592127114E-2</v>
      </c>
      <c r="AO16" s="84">
        <f t="shared" ref="AO16:AO38" si="3">IFERROR((AM16-AA16)/AA16,0)</f>
        <v>4.2320269159612955E-2</v>
      </c>
      <c r="AP16" s="85">
        <f>'Avg Bill by RS'!BM14</f>
        <v>7.2999999999999995E-2</v>
      </c>
    </row>
    <row r="17" spans="2:42" x14ac:dyDescent="0.2">
      <c r="B17" s="1076">
        <v>2</v>
      </c>
      <c r="C17" s="1070" t="s">
        <v>282</v>
      </c>
      <c r="D17" s="80">
        <f>'Rate Impacts - Rev Req ONLY'!D18</f>
        <v>37604.380821902283</v>
      </c>
      <c r="E17" s="81">
        <f>'Rate Impacts - Rev Req ONLY'!E18</f>
        <v>53871.380821902283</v>
      </c>
      <c r="F17" s="95">
        <f>SUM('Rev Req Proof Yr1'!AF15:AH15)</f>
        <v>5117.9001141686094</v>
      </c>
      <c r="G17" s="85">
        <f>IFERROR((F17/D17),0)</f>
        <v>0.13609850773524082</v>
      </c>
      <c r="H17" s="95">
        <f>SUM('Rev Req Proof Yr1'!AM15:AO15)</f>
        <v>-351.83527201159131</v>
      </c>
      <c r="I17" s="84">
        <f t="shared" ref="I17:I38" si="4">IFERROR((H17/D17),0)</f>
        <v>-9.3562309582469836E-3</v>
      </c>
      <c r="J17" s="96">
        <f>SUM('Temps Proof'!T15:V15)</f>
        <v>-1207.2231423254866</v>
      </c>
      <c r="K17" s="85">
        <f t="shared" ref="K17:K38" si="5">IFERROR((J17/D17),0)</f>
        <v>-3.2103258076313063E-2</v>
      </c>
      <c r="L17" s="96">
        <f>SUM('Temps Proof'!X15:Z15)</f>
        <v>-666.90468887911425</v>
      </c>
      <c r="M17" s="84">
        <f t="shared" ref="M17:M38" si="6">IFERROR((L17/D17),0)</f>
        <v>-1.773476053329091E-2</v>
      </c>
      <c r="N17" s="1201">
        <f t="shared" ref="N17:N37" si="7">SUM(F17,H17)</f>
        <v>4766.0648421570186</v>
      </c>
      <c r="O17" s="970">
        <f t="shared" ref="O17:O38" si="8">IFERROR((N17/D17),0)</f>
        <v>0.12674227677699385</v>
      </c>
      <c r="P17" s="1231">
        <f t="shared" ref="P17:P38" si="9">SUM(F17,H17,J17,L17)</f>
        <v>2891.9370109524179</v>
      </c>
      <c r="Q17" s="1202">
        <f t="shared" ref="Q17:Q38" si="10">IFERROR((P17/E17),0)</f>
        <v>5.3682251444660468E-2</v>
      </c>
      <c r="R17" s="650"/>
      <c r="S17" s="593"/>
      <c r="T17" s="81">
        <f t="shared" ref="T17:T38" si="11">D17+N17+R17</f>
        <v>42370.445664059298</v>
      </c>
      <c r="U17" s="81">
        <f t="shared" ref="U17:U38" si="12">E17+P17+R17</f>
        <v>56763.3178328547</v>
      </c>
      <c r="V17" s="83">
        <f t="shared" ref="V17:V31" si="13">IFERROR((T17-D17)/D17,0)</f>
        <v>0.12674227677699376</v>
      </c>
      <c r="W17" s="84">
        <f t="shared" ref="W17:W31" si="14">IFERROR((U17-E17)/E17,0)</f>
        <v>5.3682251444660448E-2</v>
      </c>
      <c r="X17" s="85">
        <f>'Avg Bill by RS'!AH15</f>
        <v>0.05</v>
      </c>
      <c r="Y17" s="1064"/>
      <c r="Z17" s="1093">
        <f>'Rate Impacts - Rev Req ONLY'!N18</f>
        <v>42370.445664059298</v>
      </c>
      <c r="AA17" s="81">
        <f>'Rate Impacts - Rev Req ONLY'!O18</f>
        <v>58637.445664059298</v>
      </c>
      <c r="AB17" s="95">
        <f>SUM('Rev Req Proof Yr2'!AF15:AH15)</f>
        <v>2400.0191769362136</v>
      </c>
      <c r="AC17" s="85">
        <f>IFERROR((AB17/Z17),0)</f>
        <v>5.6643708587942189E-2</v>
      </c>
      <c r="AD17" s="95">
        <f>SUM('Temps Proof'!AB15:AD15)</f>
        <v>-33.973511715404975</v>
      </c>
      <c r="AE17" s="85">
        <f t="shared" ref="AE17:AE38" si="15">IFERROR((AD17/Z17),0)</f>
        <v>-8.0182096701954166E-4</v>
      </c>
      <c r="AF17" s="1205">
        <f>SUM('Temps Proof'!AR15:AT15)</f>
        <v>0</v>
      </c>
      <c r="AG17" s="85">
        <f t="shared" si="0"/>
        <v>0</v>
      </c>
      <c r="AH17" s="1201">
        <f t="shared" ref="AH17:AH38" si="16">SUM(AB17,AD17,AF17)</f>
        <v>2366.0456652208086</v>
      </c>
      <c r="AI17" s="1202">
        <f t="shared" si="1"/>
        <v>5.5841887620922646E-2</v>
      </c>
      <c r="AJ17" s="650"/>
      <c r="AK17" s="593"/>
      <c r="AL17" s="81">
        <f t="shared" ref="AL17:AL38" si="17">Z17+AH17+AJ17</f>
        <v>44736.491329280107</v>
      </c>
      <c r="AM17" s="81">
        <f t="shared" ref="AM17:AM38" si="18">AA17+AH17+AJ17</f>
        <v>61003.491329280107</v>
      </c>
      <c r="AN17" s="83">
        <f t="shared" si="2"/>
        <v>5.5841887620922646E-2</v>
      </c>
      <c r="AO17" s="84">
        <f t="shared" si="3"/>
        <v>4.0350421789792097E-2</v>
      </c>
      <c r="AP17" s="85">
        <f>'Avg Bill by RS'!BM15</f>
        <v>6.9000000000000006E-2</v>
      </c>
    </row>
    <row r="18" spans="2:42" x14ac:dyDescent="0.2">
      <c r="B18" s="1076">
        <v>3</v>
      </c>
      <c r="C18" s="1070" t="s">
        <v>12</v>
      </c>
      <c r="D18" s="80">
        <f>'Rate Impacts - Rev Req ONLY'!D19</f>
        <v>33798099.589697547</v>
      </c>
      <c r="E18" s="81">
        <f>'Rate Impacts - Rev Req ONLY'!E19</f>
        <v>53008197.589697547</v>
      </c>
      <c r="F18" s="95">
        <f>SUM('Rev Req Proof Yr1'!AF16:AH16)</f>
        <v>4599609.2712115422</v>
      </c>
      <c r="G18" s="85">
        <f t="shared" ref="G18:G21" si="19">IFERROR((F18/D18),0)</f>
        <v>0.13609076625756825</v>
      </c>
      <c r="H18" s="95">
        <f>SUM('Rev Req Proof Yr1'!AM16:AO16)</f>
        <v>-316532.25092208461</v>
      </c>
      <c r="I18" s="84">
        <f t="shared" si="4"/>
        <v>-9.3653860650369548E-3</v>
      </c>
      <c r="J18" s="96">
        <f>SUM('Temps Proof'!T16:V16)</f>
        <v>-1084782.4015975606</v>
      </c>
      <c r="K18" s="85">
        <f t="shared" si="5"/>
        <v>-3.2095958493720392E-2</v>
      </c>
      <c r="L18" s="96">
        <f>SUM('Temps Proof'!X16:Z16)</f>
        <v>-599542.85721526784</v>
      </c>
      <c r="M18" s="84">
        <f t="shared" si="6"/>
        <v>-1.7738951730825202E-2</v>
      </c>
      <c r="N18" s="1201">
        <f t="shared" si="7"/>
        <v>4283077.0202894574</v>
      </c>
      <c r="O18" s="970">
        <f t="shared" si="8"/>
        <v>0.1267253801925313</v>
      </c>
      <c r="P18" s="1231">
        <f t="shared" si="9"/>
        <v>2598751.7614766294</v>
      </c>
      <c r="Q18" s="1202">
        <f t="shared" si="10"/>
        <v>4.9025469260281208E-2</v>
      </c>
      <c r="R18" s="650"/>
      <c r="S18" s="593"/>
      <c r="T18" s="81">
        <f t="shared" si="11"/>
        <v>38081176.609987006</v>
      </c>
      <c r="U18" s="81">
        <f t="shared" si="12"/>
        <v>55606949.351174176</v>
      </c>
      <c r="V18" s="83">
        <f t="shared" si="13"/>
        <v>0.12672538019253132</v>
      </c>
      <c r="W18" s="84">
        <f t="shared" si="14"/>
        <v>4.9025469260281188E-2</v>
      </c>
      <c r="X18" s="85">
        <f>'Avg Bill by RS'!AH16</f>
        <v>4.5999999999999999E-2</v>
      </c>
      <c r="Y18" s="1064"/>
      <c r="Z18" s="1093">
        <f>'Rate Impacts - Rev Req ONLY'!N19</f>
        <v>38081176.609987006</v>
      </c>
      <c r="AA18" s="81">
        <f>'Rate Impacts - Rev Req ONLY'!O19</f>
        <v>57291274.609987006</v>
      </c>
      <c r="AB18" s="95">
        <f>SUM('Rev Req Proof Yr2'!AF16:AH16)</f>
        <v>2156925.4945645519</v>
      </c>
      <c r="AC18" s="85">
        <f t="shared" ref="AC18:AC23" si="20">IFERROR((AB18/Z18),0)</f>
        <v>5.6640200922754208E-2</v>
      </c>
      <c r="AD18" s="95">
        <f>SUM('Temps Proof'!AB16:AD16)</f>
        <v>-30224.433681796272</v>
      </c>
      <c r="AE18" s="85">
        <f t="shared" si="15"/>
        <v>-7.9368434414050484E-4</v>
      </c>
      <c r="AF18" s="1205">
        <f>SUM('Temps Proof'!AR16:AT16)</f>
        <v>0</v>
      </c>
      <c r="AG18" s="85">
        <f t="shared" si="0"/>
        <v>0</v>
      </c>
      <c r="AH18" s="1201">
        <f t="shared" si="16"/>
        <v>2126701.0608827556</v>
      </c>
      <c r="AI18" s="1202">
        <f t="shared" si="1"/>
        <v>5.5846516578613697E-2</v>
      </c>
      <c r="AJ18" s="650"/>
      <c r="AK18" s="593"/>
      <c r="AL18" s="81">
        <f t="shared" si="17"/>
        <v>40207877.67086976</v>
      </c>
      <c r="AM18" s="81">
        <f t="shared" si="18"/>
        <v>59417975.67086976</v>
      </c>
      <c r="AN18" s="83">
        <f t="shared" si="2"/>
        <v>5.5846516578613677E-2</v>
      </c>
      <c r="AO18" s="84">
        <f t="shared" si="3"/>
        <v>3.7120854359767176E-2</v>
      </c>
      <c r="AP18" s="85">
        <f>'Avg Bill by RS'!BM16</f>
        <v>6.4000000000000001E-2</v>
      </c>
    </row>
    <row r="19" spans="2:42" x14ac:dyDescent="0.2">
      <c r="B19" s="1076">
        <v>4</v>
      </c>
      <c r="C19" s="1070" t="s">
        <v>10</v>
      </c>
      <c r="D19" s="80">
        <f>'Rate Impacts - Rev Req ONLY'!D20</f>
        <v>9866168.0688334089</v>
      </c>
      <c r="E19" s="81">
        <f>'Rate Impacts - Rev Req ONLY'!E20</f>
        <v>16112007.068833409</v>
      </c>
      <c r="F19" s="95">
        <f>SUM('Rev Req Proof Yr1'!AF17:AH17)</f>
        <v>1342720.8770816317</v>
      </c>
      <c r="G19" s="85">
        <f t="shared" si="19"/>
        <v>0.13609345266712014</v>
      </c>
      <c r="H19" s="95">
        <f>SUM('Rev Req Proof Yr1'!AM17:AO17)</f>
        <v>-92373.478835822199</v>
      </c>
      <c r="I19" s="84">
        <f t="shared" si="4"/>
        <v>-9.3626500371125927E-3</v>
      </c>
      <c r="J19" s="96">
        <f>SUM('Temps Proof'!T17:V17)</f>
        <v>-316785.64405398985</v>
      </c>
      <c r="K19" s="85">
        <f t="shared" si="5"/>
        <v>-3.2108275659188834E-2</v>
      </c>
      <c r="L19" s="96">
        <f>SUM('Temps Proof'!X17:Z17)</f>
        <v>-175098.6639441117</v>
      </c>
      <c r="M19" s="84">
        <f t="shared" si="6"/>
        <v>-1.7747383049072227E-2</v>
      </c>
      <c r="N19" s="1201">
        <f t="shared" si="7"/>
        <v>1250347.3982458096</v>
      </c>
      <c r="O19" s="970">
        <f t="shared" si="8"/>
        <v>0.12673080263000755</v>
      </c>
      <c r="P19" s="1231">
        <f t="shared" si="9"/>
        <v>758463.09024770814</v>
      </c>
      <c r="Q19" s="1202">
        <f t="shared" si="10"/>
        <v>4.7074401532187553E-2</v>
      </c>
      <c r="R19" s="650"/>
      <c r="S19" s="593"/>
      <c r="T19" s="81">
        <f t="shared" si="11"/>
        <v>11116515.467079218</v>
      </c>
      <c r="U19" s="81">
        <f t="shared" si="12"/>
        <v>16870470.159081116</v>
      </c>
      <c r="V19" s="83">
        <f t="shared" si="13"/>
        <v>0.12673080263000755</v>
      </c>
      <c r="W19" s="84">
        <f t="shared" si="14"/>
        <v>4.7074401532187511E-2</v>
      </c>
      <c r="X19" s="85">
        <f>'Avg Bill by RS'!AH17</f>
        <v>4.3999999999999997E-2</v>
      </c>
      <c r="Y19" s="1064"/>
      <c r="Z19" s="1093">
        <f>'Rate Impacts - Rev Req ONLY'!N20</f>
        <v>11116515.467079217</v>
      </c>
      <c r="AA19" s="81">
        <f>'Rate Impacts - Rev Req ONLY'!O20</f>
        <v>17362354.467079218</v>
      </c>
      <c r="AB19" s="95">
        <f>SUM('Rev Req Proof Yr2'!AF17:AH17)</f>
        <v>629640.50177454017</v>
      </c>
      <c r="AC19" s="85">
        <f t="shared" si="20"/>
        <v>5.6640095868096124E-2</v>
      </c>
      <c r="AD19" s="95">
        <f>SUM('Temps Proof'!AB17:AD17)</f>
        <v>-8933.6053032710042</v>
      </c>
      <c r="AE19" s="85">
        <f t="shared" si="15"/>
        <v>-8.0363359631237426E-4</v>
      </c>
      <c r="AF19" s="1205">
        <f>SUM('Temps Proof'!AR17:AT17)</f>
        <v>0</v>
      </c>
      <c r="AG19" s="85">
        <f t="shared" si="0"/>
        <v>0</v>
      </c>
      <c r="AH19" s="1201">
        <f t="shared" si="16"/>
        <v>620706.8964712692</v>
      </c>
      <c r="AI19" s="1202">
        <f t="shared" si="1"/>
        <v>5.5836462271783752E-2</v>
      </c>
      <c r="AJ19" s="650"/>
      <c r="AK19" s="593"/>
      <c r="AL19" s="81">
        <f t="shared" si="17"/>
        <v>11737222.363550486</v>
      </c>
      <c r="AM19" s="81">
        <f t="shared" si="18"/>
        <v>17983061.363550488</v>
      </c>
      <c r="AN19" s="83">
        <f t="shared" si="2"/>
        <v>5.5836462271783772E-2</v>
      </c>
      <c r="AO19" s="84">
        <f t="shared" si="3"/>
        <v>3.5750156906898346E-2</v>
      </c>
      <c r="AP19" s="85">
        <f>'Avg Bill by RS'!BM17</f>
        <v>6.2E-2</v>
      </c>
    </row>
    <row r="20" spans="2:42" x14ac:dyDescent="0.2">
      <c r="B20" s="1076">
        <v>5</v>
      </c>
      <c r="C20" s="1070" t="s">
        <v>11</v>
      </c>
      <c r="D20" s="80">
        <f>'Rate Impacts - Rev Req ONLY'!D21</f>
        <v>141888.72505190157</v>
      </c>
      <c r="E20" s="81">
        <f>'Rate Impacts - Rev Req ONLY'!E21</f>
        <v>241043.72505190157</v>
      </c>
      <c r="F20" s="95">
        <f>SUM('Rev Req Proof Yr1'!AF18:AH18)</f>
        <v>19311.028159999987</v>
      </c>
      <c r="G20" s="85">
        <f t="shared" si="19"/>
        <v>0.13609980745782438</v>
      </c>
      <c r="H20" s="95">
        <f>SUM('Rev Req Proof Yr1'!AM18:AO18)</f>
        <v>-1330.3278799999996</v>
      </c>
      <c r="I20" s="84">
        <f t="shared" si="4"/>
        <v>-9.3758533633548271E-3</v>
      </c>
      <c r="J20" s="96">
        <f>SUM('Temps Proof'!T18:V18)</f>
        <v>0</v>
      </c>
      <c r="K20" s="85">
        <f t="shared" si="5"/>
        <v>0</v>
      </c>
      <c r="L20" s="96">
        <f>SUM('Temps Proof'!X18:Z18)</f>
        <v>-2515.9932399999993</v>
      </c>
      <c r="M20" s="84">
        <f t="shared" si="6"/>
        <v>-1.7732157640289407E-2</v>
      </c>
      <c r="N20" s="1201">
        <f t="shared" si="7"/>
        <v>17980.700279999986</v>
      </c>
      <c r="O20" s="970">
        <f t="shared" si="8"/>
        <v>0.12672395409446954</v>
      </c>
      <c r="P20" s="1231">
        <f t="shared" si="9"/>
        <v>15464.707039999987</v>
      </c>
      <c r="Q20" s="1202">
        <f t="shared" si="10"/>
        <v>6.4157268714089624E-2</v>
      </c>
      <c r="R20" s="650"/>
      <c r="S20" s="593"/>
      <c r="T20" s="81">
        <f t="shared" si="11"/>
        <v>159869.42533190156</v>
      </c>
      <c r="U20" s="81">
        <f t="shared" si="12"/>
        <v>256508.43209190154</v>
      </c>
      <c r="V20" s="83">
        <f t="shared" si="13"/>
        <v>0.12672395409446957</v>
      </c>
      <c r="W20" s="84">
        <f t="shared" si="14"/>
        <v>6.4157268714089596E-2</v>
      </c>
      <c r="X20" s="85">
        <f>'Avg Bill by RS'!AH18</f>
        <v>6.4000000000000001E-2</v>
      </c>
      <c r="Y20" s="1064"/>
      <c r="Z20" s="1093">
        <f>'Rate Impacts - Rev Req ONLY'!N21</f>
        <v>159869.42533190156</v>
      </c>
      <c r="AA20" s="81">
        <f>'Rate Impacts - Rev Req ONLY'!O21</f>
        <v>259024.42533190156</v>
      </c>
      <c r="AB20" s="95">
        <f>SUM('Rev Req Proof Yr2'!AF18:AH18)</f>
        <v>9054.1718399999954</v>
      </c>
      <c r="AC20" s="85">
        <f t="shared" si="20"/>
        <v>5.6634793183267029E-2</v>
      </c>
      <c r="AD20" s="95">
        <f>SUM('Temps Proof'!AB18:AD18)</f>
        <v>-127.64339999999997</v>
      </c>
      <c r="AE20" s="85">
        <f t="shared" si="15"/>
        <v>-7.9842283623026854E-4</v>
      </c>
      <c r="AF20" s="1205">
        <f>SUM('Temps Proof'!AR18:AT18)</f>
        <v>0</v>
      </c>
      <c r="AG20" s="85">
        <f t="shared" si="0"/>
        <v>0</v>
      </c>
      <c r="AH20" s="1201">
        <f t="shared" si="16"/>
        <v>8926.5284399999946</v>
      </c>
      <c r="AI20" s="1202">
        <f t="shared" si="1"/>
        <v>5.5836370347036757E-2</v>
      </c>
      <c r="AJ20" s="650"/>
      <c r="AK20" s="593"/>
      <c r="AL20" s="81">
        <f t="shared" si="17"/>
        <v>168795.95377190155</v>
      </c>
      <c r="AM20" s="81">
        <f t="shared" si="18"/>
        <v>267950.95377190155</v>
      </c>
      <c r="AN20" s="83">
        <f t="shared" si="2"/>
        <v>5.5836370347036757E-2</v>
      </c>
      <c r="AO20" s="84">
        <f t="shared" si="3"/>
        <v>3.4462110778016267E-2</v>
      </c>
      <c r="AP20" s="85">
        <f>'Avg Bill by RS'!BM18</f>
        <v>4.4999999999999998E-2</v>
      </c>
    </row>
    <row r="21" spans="2:42" x14ac:dyDescent="0.2">
      <c r="B21" s="1077">
        <v>6</v>
      </c>
      <c r="C21" s="1070">
        <v>27</v>
      </c>
      <c r="D21" s="80">
        <f>'Rate Impacts - Rev Req ONLY'!D22</f>
        <v>201938.20437801833</v>
      </c>
      <c r="E21" s="81">
        <f>'Rate Impacts - Rev Req ONLY'!E22</f>
        <v>363218.20437801839</v>
      </c>
      <c r="F21" s="95">
        <f>SUM('Rev Req Proof Yr1'!AF19:AH19)</f>
        <v>27483.916299070072</v>
      </c>
      <c r="G21" s="85">
        <f t="shared" si="19"/>
        <v>0.13610062733657638</v>
      </c>
      <c r="H21" s="95">
        <f>SUM('Rev Req Proof Yr1'!AM19:AO19)</f>
        <v>-1891.6242542586419</v>
      </c>
      <c r="I21" s="84">
        <f t="shared" si="4"/>
        <v>-9.3673421534323197E-3</v>
      </c>
      <c r="J21" s="96">
        <f>SUM('Temps Proof'!T19:V19)</f>
        <v>-6482.2733591058341</v>
      </c>
      <c r="K21" s="85">
        <f t="shared" si="5"/>
        <v>-3.210028225749368E-2</v>
      </c>
      <c r="L21" s="96">
        <f>SUM('Temps Proof'!X19:Z19)</f>
        <v>-3584.858647704792</v>
      </c>
      <c r="M21" s="84">
        <f t="shared" si="6"/>
        <v>-1.7752255739553441E-2</v>
      </c>
      <c r="N21" s="1201">
        <f t="shared" si="7"/>
        <v>25592.292044811431</v>
      </c>
      <c r="O21" s="970">
        <f t="shared" si="8"/>
        <v>0.12673328518314408</v>
      </c>
      <c r="P21" s="1231">
        <f t="shared" si="9"/>
        <v>15525.160038000804</v>
      </c>
      <c r="Q21" s="1202">
        <f t="shared" si="10"/>
        <v>4.2743342296365283E-2</v>
      </c>
      <c r="R21" s="650"/>
      <c r="S21" s="593"/>
      <c r="T21" s="81">
        <f t="shared" si="11"/>
        <v>227530.49642282975</v>
      </c>
      <c r="U21" s="81">
        <f t="shared" si="12"/>
        <v>378743.36441601918</v>
      </c>
      <c r="V21" s="83">
        <f t="shared" si="13"/>
        <v>0.126733285183144</v>
      </c>
      <c r="W21" s="84">
        <f t="shared" si="14"/>
        <v>4.2743342296365242E-2</v>
      </c>
      <c r="X21" s="85">
        <f>'Avg Bill by RS'!AH19</f>
        <v>4.1000000000000002E-2</v>
      </c>
      <c r="Y21" s="1064"/>
      <c r="Z21" s="1093">
        <f>'Rate Impacts - Rev Req ONLY'!N22</f>
        <v>227530.49642282975</v>
      </c>
      <c r="AA21" s="81">
        <f>'Rate Impacts - Rev Req ONLY'!O22</f>
        <v>388810.4964228298</v>
      </c>
      <c r="AB21" s="95">
        <f>SUM('Rev Req Proof Yr2'!AF19:AH19)</f>
        <v>12886.113517425343</v>
      </c>
      <c r="AC21" s="85">
        <f t="shared" si="20"/>
        <v>5.6634665330657571E-2</v>
      </c>
      <c r="AD21" s="95">
        <f>SUM('Temps Proof'!AB19:AD19)</f>
        <v>-179.93499003923665</v>
      </c>
      <c r="AE21" s="85">
        <f t="shared" si="15"/>
        <v>-7.9081702395117923E-4</v>
      </c>
      <c r="AF21" s="1205">
        <f>SUM('Temps Proof'!AR19:AT19)</f>
        <v>0</v>
      </c>
      <c r="AG21" s="85">
        <f t="shared" si="0"/>
        <v>0</v>
      </c>
      <c r="AH21" s="1201">
        <f t="shared" si="16"/>
        <v>12706.178527386106</v>
      </c>
      <c r="AI21" s="1202">
        <f t="shared" si="1"/>
        <v>5.5843848306706391E-2</v>
      </c>
      <c r="AJ21" s="650"/>
      <c r="AK21" s="593"/>
      <c r="AL21" s="81">
        <f t="shared" si="17"/>
        <v>240236.67495021585</v>
      </c>
      <c r="AM21" s="81">
        <f t="shared" si="18"/>
        <v>401516.67495021591</v>
      </c>
      <c r="AN21" s="83">
        <f t="shared" si="2"/>
        <v>5.5843848306706377E-2</v>
      </c>
      <c r="AO21" s="84">
        <f t="shared" si="3"/>
        <v>3.2679618076895192E-2</v>
      </c>
      <c r="AP21" s="85">
        <f>'Avg Bill by RS'!BM19</f>
        <v>5.8000000000000003E-2</v>
      </c>
    </row>
    <row r="22" spans="2:42" x14ac:dyDescent="0.2">
      <c r="B22" s="1076">
        <v>7</v>
      </c>
      <c r="C22" s="1070" t="s">
        <v>352</v>
      </c>
      <c r="D22" s="80">
        <f>'Rate Impacts - Rev Req ONLY'!D23</f>
        <v>1542348.175315036</v>
      </c>
      <c r="E22" s="81">
        <f>'Rate Impacts - Rev Req ONLY'!E23</f>
        <v>2853836.1753150364</v>
      </c>
      <c r="F22" s="95">
        <f>SUM('Rev Req Proof Yr1'!AF22:AH22)</f>
        <v>209902.4317501164</v>
      </c>
      <c r="G22" s="85">
        <f t="shared" ref="G22:G33" si="21">IFERROR((F22/D22),0)</f>
        <v>0.13609276757969535</v>
      </c>
      <c r="H22" s="95">
        <f>SUM('Rev Req Proof Yr1'!AM22:AO22)</f>
        <v>-14451.994176944718</v>
      </c>
      <c r="I22" s="84">
        <f t="shared" si="4"/>
        <v>-9.37012433913814E-3</v>
      </c>
      <c r="J22" s="96">
        <f>SUM('Temps Proof'!T22:V22)</f>
        <v>-49506.817502475213</v>
      </c>
      <c r="K22" s="85">
        <f t="shared" si="5"/>
        <v>-3.2098340890093176E-2</v>
      </c>
      <c r="L22" s="96">
        <f>SUM('Temps Proof'!X22:Z22)</f>
        <v>-27371.710230430603</v>
      </c>
      <c r="M22" s="84">
        <f t="shared" si="6"/>
        <v>-1.7746777717579709E-2</v>
      </c>
      <c r="N22" s="1201">
        <f t="shared" si="7"/>
        <v>195450.43757317169</v>
      </c>
      <c r="O22" s="970">
        <f t="shared" si="8"/>
        <v>0.12672264324055721</v>
      </c>
      <c r="P22" s="1231">
        <f t="shared" si="9"/>
        <v>118571.90984026586</v>
      </c>
      <c r="Q22" s="1202">
        <f t="shared" si="10"/>
        <v>4.1548253843679953E-2</v>
      </c>
      <c r="R22" s="650"/>
      <c r="S22" s="593"/>
      <c r="T22" s="81">
        <f t="shared" si="11"/>
        <v>1737798.6128882077</v>
      </c>
      <c r="U22" s="81">
        <f t="shared" si="12"/>
        <v>2972408.0851553022</v>
      </c>
      <c r="V22" s="83">
        <f t="shared" si="13"/>
        <v>0.12672264324055721</v>
      </c>
      <c r="W22" s="84">
        <f t="shared" si="14"/>
        <v>4.1548253843679918E-2</v>
      </c>
      <c r="X22" s="85">
        <f>'Avg Bill by RS'!AH22</f>
        <v>4.4999999999999998E-2</v>
      </c>
      <c r="Y22" s="1064"/>
      <c r="Z22" s="1093">
        <f>'Rate Impacts - Rev Req ONLY'!N23</f>
        <v>1737798.6128882077</v>
      </c>
      <c r="AA22" s="81">
        <f>'Rate Impacts - Rev Req ONLY'!O23</f>
        <v>3049286.6128882081</v>
      </c>
      <c r="AB22" s="95">
        <f>SUM('Rev Req Proof Yr2'!AF22:AH22)</f>
        <v>98435.082024062751</v>
      </c>
      <c r="AC22" s="85">
        <f t="shared" si="20"/>
        <v>5.6643549657612174E-2</v>
      </c>
      <c r="AD22" s="95">
        <f>SUM('Temps Proof'!AB22:AD22)</f>
        <v>-1401.9558234434951</v>
      </c>
      <c r="AE22" s="85">
        <f t="shared" si="15"/>
        <v>-8.0674239986499674E-4</v>
      </c>
      <c r="AF22" s="1205">
        <f>SUM('Temps Proof'!AR22:AT22)</f>
        <v>0</v>
      </c>
      <c r="AG22" s="85">
        <f t="shared" si="0"/>
        <v>0</v>
      </c>
      <c r="AH22" s="1201">
        <f t="shared" si="16"/>
        <v>97033.126200619256</v>
      </c>
      <c r="AI22" s="1202">
        <f t="shared" si="1"/>
        <v>5.583680725774718E-2</v>
      </c>
      <c r="AJ22" s="650"/>
      <c r="AK22" s="593"/>
      <c r="AL22" s="81">
        <f t="shared" si="17"/>
        <v>1834831.7390888268</v>
      </c>
      <c r="AM22" s="81">
        <f t="shared" si="18"/>
        <v>3146319.7390888273</v>
      </c>
      <c r="AN22" s="83">
        <f t="shared" si="2"/>
        <v>5.5836807257747124E-2</v>
      </c>
      <c r="AO22" s="84">
        <f t="shared" si="3"/>
        <v>3.1821582723806932E-2</v>
      </c>
      <c r="AP22" s="85">
        <f>'Avg Bill by RS'!BM20</f>
        <v>6.4000000000000001E-2</v>
      </c>
    </row>
    <row r="23" spans="2:42" x14ac:dyDescent="0.2">
      <c r="B23" s="1076">
        <v>8</v>
      </c>
      <c r="C23" s="1070" t="s">
        <v>353</v>
      </c>
      <c r="D23" s="80">
        <f>'Rate Impacts - Rev Req ONLY'!D24</f>
        <v>392614.2804678994</v>
      </c>
      <c r="E23" s="81">
        <f>'Rate Impacts - Rev Req ONLY'!E24</f>
        <v>747266.28046789952</v>
      </c>
      <c r="F23" s="95">
        <f>SUM('Rev Req Proof Yr1'!AF25:AH25)</f>
        <v>53433.67476200001</v>
      </c>
      <c r="G23" s="85">
        <f t="shared" si="21"/>
        <v>0.13609712488888648</v>
      </c>
      <c r="H23" s="95">
        <f>SUM('Rev Req Proof Yr1'!AM25:AO25)</f>
        <v>-3674.6766820000012</v>
      </c>
      <c r="I23" s="84">
        <f t="shared" si="4"/>
        <v>-9.359508466224643E-3</v>
      </c>
      <c r="J23" s="96">
        <f>SUM('Temps Proof'!T25:V25)</f>
        <v>0</v>
      </c>
      <c r="K23" s="85">
        <f t="shared" si="5"/>
        <v>0</v>
      </c>
      <c r="L23" s="96">
        <f>SUM('Temps Proof'!X25:Z25)</f>
        <v>-6960.5454800000016</v>
      </c>
      <c r="M23" s="84">
        <f t="shared" si="6"/>
        <v>-1.7728711935044106E-2</v>
      </c>
      <c r="N23" s="1201">
        <f t="shared" si="7"/>
        <v>49758.998080000005</v>
      </c>
      <c r="O23" s="970">
        <f t="shared" si="8"/>
        <v>0.12673761642266182</v>
      </c>
      <c r="P23" s="1231">
        <f t="shared" si="9"/>
        <v>42798.452600000004</v>
      </c>
      <c r="Q23" s="1202">
        <f t="shared" si="10"/>
        <v>5.72733625464832E-2</v>
      </c>
      <c r="R23" s="650"/>
      <c r="S23" s="593"/>
      <c r="T23" s="81">
        <f t="shared" si="11"/>
        <v>442373.27854789939</v>
      </c>
      <c r="U23" s="81">
        <f t="shared" si="12"/>
        <v>790064.73306789948</v>
      </c>
      <c r="V23" s="83">
        <f t="shared" si="13"/>
        <v>0.12673761642266179</v>
      </c>
      <c r="W23" s="84">
        <f t="shared" si="14"/>
        <v>5.7273362546483138E-2</v>
      </c>
      <c r="X23" s="85">
        <f>'Avg Bill by RS'!AH25</f>
        <v>6.7000000000000004E-2</v>
      </c>
      <c r="Y23" s="1064"/>
      <c r="Z23" s="1093">
        <f>'Rate Impacts - Rev Req ONLY'!N24</f>
        <v>442373.27854789939</v>
      </c>
      <c r="AA23" s="81">
        <f>'Rate Impacts - Rev Req ONLY'!O24</f>
        <v>797025.27854789945</v>
      </c>
      <c r="AB23" s="95">
        <f>SUM('Rev Req Proof Yr2'!AF25:AH25)</f>
        <v>25056.720428000001</v>
      </c>
      <c r="AC23" s="85">
        <f t="shared" si="20"/>
        <v>5.6641577697118757E-2</v>
      </c>
      <c r="AD23" s="95">
        <f>SUM('Temps Proof'!AB25:AD25)</f>
        <v>-354.44277600000009</v>
      </c>
      <c r="AE23" s="85">
        <f t="shared" si="15"/>
        <v>-8.0123007692387471E-4</v>
      </c>
      <c r="AF23" s="1205">
        <f>SUM('Temps Proof'!AR25:AT25)</f>
        <v>0</v>
      </c>
      <c r="AG23" s="85">
        <f t="shared" si="0"/>
        <v>0</v>
      </c>
      <c r="AH23" s="1201">
        <f t="shared" si="16"/>
        <v>24702.277652000001</v>
      </c>
      <c r="AI23" s="1202">
        <f t="shared" si="1"/>
        <v>5.584034762019488E-2</v>
      </c>
      <c r="AJ23" s="650"/>
      <c r="AK23" s="593"/>
      <c r="AL23" s="81">
        <f t="shared" si="17"/>
        <v>467075.55619989941</v>
      </c>
      <c r="AM23" s="81">
        <f t="shared" si="18"/>
        <v>821727.55619989941</v>
      </c>
      <c r="AN23" s="83">
        <f t="shared" si="2"/>
        <v>5.5840347620194922E-2</v>
      </c>
      <c r="AO23" s="84">
        <f t="shared" si="3"/>
        <v>3.0993091833931598E-2</v>
      </c>
      <c r="AP23" s="85">
        <f>'Avg Bill by RS'!BM21</f>
        <v>4.5999999999999999E-2</v>
      </c>
    </row>
    <row r="24" spans="2:42" x14ac:dyDescent="0.2">
      <c r="B24" s="1076">
        <v>9</v>
      </c>
      <c r="C24" s="1070" t="s">
        <v>355</v>
      </c>
      <c r="D24" s="80">
        <f>'Rate Impacts - Rev Req ONLY'!D25</f>
        <v>0</v>
      </c>
      <c r="E24" s="81">
        <f>'Rate Impacts - Rev Req ONLY'!E25</f>
        <v>0</v>
      </c>
      <c r="F24" s="95">
        <f>SUM('Rev Req Proof Yr1'!AF28:AH28)</f>
        <v>0</v>
      </c>
      <c r="G24" s="85">
        <f>IFERROR((F24/D24),0)</f>
        <v>0</v>
      </c>
      <c r="H24" s="95">
        <f>SUM('Rev Req Proof Yr1'!AM28:AO28)</f>
        <v>0</v>
      </c>
      <c r="I24" s="84">
        <f t="shared" si="4"/>
        <v>0</v>
      </c>
      <c r="J24" s="96">
        <f>SUM('Temps Proof'!T28:V28)</f>
        <v>0</v>
      </c>
      <c r="K24" s="85">
        <f t="shared" si="5"/>
        <v>0</v>
      </c>
      <c r="L24" s="96">
        <f>SUM('Temps Proof'!X28:Z28)</f>
        <v>0</v>
      </c>
      <c r="M24" s="84">
        <f t="shared" si="6"/>
        <v>0</v>
      </c>
      <c r="N24" s="1201">
        <f t="shared" si="7"/>
        <v>0</v>
      </c>
      <c r="O24" s="970">
        <f t="shared" si="8"/>
        <v>0</v>
      </c>
      <c r="P24" s="1231">
        <f t="shared" si="9"/>
        <v>0</v>
      </c>
      <c r="Q24" s="1202">
        <f t="shared" si="10"/>
        <v>0</v>
      </c>
      <c r="R24" s="650"/>
      <c r="S24" s="593"/>
      <c r="T24" s="81">
        <f t="shared" si="11"/>
        <v>0</v>
      </c>
      <c r="U24" s="81">
        <f t="shared" si="12"/>
        <v>0</v>
      </c>
      <c r="V24" s="83">
        <f t="shared" si="13"/>
        <v>0</v>
      </c>
      <c r="W24" s="84">
        <f t="shared" si="14"/>
        <v>0</v>
      </c>
      <c r="X24" s="85">
        <f>'Avg Bill by RS'!AH28</f>
        <v>0</v>
      </c>
      <c r="Y24" s="1064"/>
      <c r="Z24" s="1093">
        <f>'Rate Impacts - Rev Req ONLY'!N25</f>
        <v>0</v>
      </c>
      <c r="AA24" s="81">
        <f>'Rate Impacts - Rev Req ONLY'!O25</f>
        <v>0</v>
      </c>
      <c r="AB24" s="95">
        <f>SUM('Rev Req Proof Yr2'!AF28:AH28)</f>
        <v>0</v>
      </c>
      <c r="AC24" s="85">
        <f>IFERROR((AB24/Z24),0)</f>
        <v>0</v>
      </c>
      <c r="AD24" s="95">
        <f>SUM('Temps Proof'!AB28:AD28)</f>
        <v>0</v>
      </c>
      <c r="AE24" s="85">
        <f t="shared" si="15"/>
        <v>0</v>
      </c>
      <c r="AF24" s="1205">
        <f>SUM('Temps Proof'!AR28:AT28)</f>
        <v>0</v>
      </c>
      <c r="AG24" s="85">
        <f t="shared" si="0"/>
        <v>0</v>
      </c>
      <c r="AH24" s="1201">
        <f t="shared" si="16"/>
        <v>0</v>
      </c>
      <c r="AI24" s="1202">
        <f t="shared" si="1"/>
        <v>0</v>
      </c>
      <c r="AJ24" s="650"/>
      <c r="AK24" s="593"/>
      <c r="AL24" s="81">
        <f t="shared" si="17"/>
        <v>0</v>
      </c>
      <c r="AM24" s="81">
        <f t="shared" si="18"/>
        <v>0</v>
      </c>
      <c r="AN24" s="83">
        <f t="shared" si="2"/>
        <v>0</v>
      </c>
      <c r="AO24" s="84">
        <f t="shared" si="3"/>
        <v>0</v>
      </c>
      <c r="AP24" s="85">
        <f>'Avg Bill by RS'!BM22</f>
        <v>0</v>
      </c>
    </row>
    <row r="25" spans="2:42" x14ac:dyDescent="0.2">
      <c r="B25" s="1076">
        <v>10</v>
      </c>
      <c r="C25" s="1070" t="s">
        <v>356</v>
      </c>
      <c r="D25" s="80">
        <f>'Rate Impacts - Rev Req ONLY'!D26</f>
        <v>0</v>
      </c>
      <c r="E25" s="81">
        <f>'Rate Impacts - Rev Req ONLY'!E26</f>
        <v>0</v>
      </c>
      <c r="F25" s="95">
        <f>SUM('Rev Req Proof Yr1'!AF31:AH31)</f>
        <v>0</v>
      </c>
      <c r="G25" s="85">
        <f t="shared" si="21"/>
        <v>0</v>
      </c>
      <c r="H25" s="95">
        <f>SUM('Rev Req Proof Yr1'!AM31:AO31)</f>
        <v>0</v>
      </c>
      <c r="I25" s="84">
        <f t="shared" si="4"/>
        <v>0</v>
      </c>
      <c r="J25" s="96">
        <f>SUM('Temps Proof'!T31:V31)</f>
        <v>0</v>
      </c>
      <c r="K25" s="85">
        <f t="shared" si="5"/>
        <v>0</v>
      </c>
      <c r="L25" s="96">
        <f>SUM('Temps Proof'!X31:Z31)</f>
        <v>0</v>
      </c>
      <c r="M25" s="84">
        <f t="shared" si="6"/>
        <v>0</v>
      </c>
      <c r="N25" s="1201">
        <f t="shared" si="7"/>
        <v>0</v>
      </c>
      <c r="O25" s="970">
        <f t="shared" si="8"/>
        <v>0</v>
      </c>
      <c r="P25" s="1231">
        <f t="shared" si="9"/>
        <v>0</v>
      </c>
      <c r="Q25" s="1202">
        <f t="shared" si="10"/>
        <v>0</v>
      </c>
      <c r="R25" s="650"/>
      <c r="S25" s="593"/>
      <c r="T25" s="81">
        <f t="shared" si="11"/>
        <v>0</v>
      </c>
      <c r="U25" s="81">
        <f t="shared" si="12"/>
        <v>0</v>
      </c>
      <c r="V25" s="83">
        <f t="shared" si="13"/>
        <v>0</v>
      </c>
      <c r="W25" s="84">
        <f t="shared" si="14"/>
        <v>0</v>
      </c>
      <c r="X25" s="85">
        <f>'Avg Bill by RS'!AH31</f>
        <v>0</v>
      </c>
      <c r="Y25" s="1064"/>
      <c r="Z25" s="1093">
        <f>'Rate Impacts - Rev Req ONLY'!N26</f>
        <v>0</v>
      </c>
      <c r="AA25" s="81">
        <f>'Rate Impacts - Rev Req ONLY'!O26</f>
        <v>0</v>
      </c>
      <c r="AB25" s="95">
        <f>SUM('Rev Req Proof Yr2'!AF31:AH31)</f>
        <v>0</v>
      </c>
      <c r="AC25" s="85">
        <f t="shared" ref="AC25" si="22">IFERROR((AB25/Z25),0)</f>
        <v>0</v>
      </c>
      <c r="AD25" s="95">
        <f>SUM('Temps Proof'!AB31:AD31)</f>
        <v>0</v>
      </c>
      <c r="AE25" s="85">
        <f t="shared" si="15"/>
        <v>0</v>
      </c>
      <c r="AF25" s="1205">
        <f>SUM('Temps Proof'!AR31:AT31)</f>
        <v>0</v>
      </c>
      <c r="AG25" s="85">
        <f t="shared" si="0"/>
        <v>0</v>
      </c>
      <c r="AH25" s="1201">
        <f t="shared" si="16"/>
        <v>0</v>
      </c>
      <c r="AI25" s="1202">
        <f t="shared" si="1"/>
        <v>0</v>
      </c>
      <c r="AJ25" s="650"/>
      <c r="AK25" s="593"/>
      <c r="AL25" s="81">
        <f t="shared" si="17"/>
        <v>0</v>
      </c>
      <c r="AM25" s="81">
        <f t="shared" si="18"/>
        <v>0</v>
      </c>
      <c r="AN25" s="83">
        <f t="shared" si="2"/>
        <v>0</v>
      </c>
      <c r="AO25" s="84">
        <f t="shared" si="3"/>
        <v>0</v>
      </c>
      <c r="AP25" s="85">
        <f>'Avg Bill by RS'!BM23</f>
        <v>0</v>
      </c>
    </row>
    <row r="26" spans="2:42" x14ac:dyDescent="0.2">
      <c r="B26" s="1076">
        <v>11</v>
      </c>
      <c r="C26" s="1070" t="s">
        <v>357</v>
      </c>
      <c r="D26" s="80">
        <f>'Rate Impacts - Rev Req ONLY'!D27</f>
        <v>189841.33809000003</v>
      </c>
      <c r="E26" s="81">
        <f>'Rate Impacts - Rev Req ONLY'!E27</f>
        <v>189841.33809000003</v>
      </c>
      <c r="F26" s="95">
        <f>SUM('Rev Req Proof Yr1'!AF34:AH34)</f>
        <v>25836.995390000004</v>
      </c>
      <c r="G26" s="85">
        <f>IFERROR((F26/D26),0)</f>
        <v>0.13609783648781065</v>
      </c>
      <c r="H26" s="95">
        <f>SUM('Rev Req Proof Yr1'!AM34:AO34)</f>
        <v>-1779.01313</v>
      </c>
      <c r="I26" s="84">
        <f t="shared" si="4"/>
        <v>-9.371052416184536E-3</v>
      </c>
      <c r="J26" s="96">
        <f>SUM('Temps Proof'!T34:V34)</f>
        <v>0</v>
      </c>
      <c r="K26" s="85">
        <f t="shared" si="5"/>
        <v>0</v>
      </c>
      <c r="L26" s="96">
        <f>SUM('Temps Proof'!X34:Z34)</f>
        <v>-3366.8523299999997</v>
      </c>
      <c r="M26" s="84">
        <f t="shared" si="6"/>
        <v>-1.7735085329012173E-2</v>
      </c>
      <c r="N26" s="1201">
        <f t="shared" si="7"/>
        <v>24057.982260000004</v>
      </c>
      <c r="O26" s="970">
        <f t="shared" si="8"/>
        <v>0.1267267840716261</v>
      </c>
      <c r="P26" s="1231">
        <f t="shared" si="9"/>
        <v>20691.129930000003</v>
      </c>
      <c r="Q26" s="1202">
        <f t="shared" si="10"/>
        <v>0.10899169874261393</v>
      </c>
      <c r="R26" s="650"/>
      <c r="S26" s="593"/>
      <c r="T26" s="81">
        <f t="shared" si="11"/>
        <v>213899.32035000005</v>
      </c>
      <c r="U26" s="81">
        <f t="shared" si="12"/>
        <v>210532.46802000003</v>
      </c>
      <c r="V26" s="83">
        <f t="shared" si="13"/>
        <v>0.12672678407162619</v>
      </c>
      <c r="W26" s="84">
        <f t="shared" si="14"/>
        <v>0.1089916987426139</v>
      </c>
      <c r="X26" s="85">
        <f>'Avg Bill by RS'!AH34</f>
        <v>0.109</v>
      </c>
      <c r="Y26" s="1064"/>
      <c r="Z26" s="1093">
        <f>'Rate Impacts - Rev Req ONLY'!N27</f>
        <v>213899.32035000002</v>
      </c>
      <c r="AA26" s="81">
        <f>'Rate Impacts - Rev Req ONLY'!O27</f>
        <v>213899.32035000002</v>
      </c>
      <c r="AB26" s="95">
        <f>SUM('Rev Req Proof Yr2'!AF34:AH34)</f>
        <v>12114.902749999994</v>
      </c>
      <c r="AC26" s="85">
        <f>IFERROR((AB26/Z26),0)</f>
        <v>5.6638341487839104E-2</v>
      </c>
      <c r="AD26" s="95">
        <f>SUM('Temps Proof'!AB34:AD34)</f>
        <v>-171.82324</v>
      </c>
      <c r="AE26" s="85">
        <f t="shared" si="15"/>
        <v>-8.0329025692483917E-4</v>
      </c>
      <c r="AF26" s="1205">
        <f>SUM('Temps Proof'!AR34:AT34)</f>
        <v>0</v>
      </c>
      <c r="AG26" s="85">
        <f t="shared" si="0"/>
        <v>0</v>
      </c>
      <c r="AH26" s="1201">
        <f t="shared" si="16"/>
        <v>11943.079509999994</v>
      </c>
      <c r="AI26" s="1202">
        <f t="shared" si="1"/>
        <v>5.583505123091427E-2</v>
      </c>
      <c r="AJ26" s="650"/>
      <c r="AK26" s="593"/>
      <c r="AL26" s="81">
        <f t="shared" si="17"/>
        <v>225842.39986</v>
      </c>
      <c r="AM26" s="81">
        <f t="shared" si="18"/>
        <v>225842.39986</v>
      </c>
      <c r="AN26" s="83">
        <f t="shared" si="2"/>
        <v>5.5835051230914208E-2</v>
      </c>
      <c r="AO26" s="84">
        <f t="shared" si="3"/>
        <v>5.5835051230914208E-2</v>
      </c>
      <c r="AP26" s="85">
        <f>'Avg Bill by RS'!BM24</f>
        <v>7.2999999999999995E-2</v>
      </c>
    </row>
    <row r="27" spans="2:42" x14ac:dyDescent="0.2">
      <c r="B27" s="1076">
        <v>12</v>
      </c>
      <c r="C27" s="1070" t="s">
        <v>358</v>
      </c>
      <c r="D27" s="80">
        <f>'Rate Impacts - Rev Req ONLY'!D28</f>
        <v>0</v>
      </c>
      <c r="E27" s="81">
        <f>'Rate Impacts - Rev Req ONLY'!E28</f>
        <v>0</v>
      </c>
      <c r="F27" s="95">
        <f>SUM('Rev Req Proof Yr1'!AF37:AH37)</f>
        <v>0</v>
      </c>
      <c r="G27" s="85">
        <f>IFERROR((F27/D27),0)</f>
        <v>0</v>
      </c>
      <c r="H27" s="95">
        <f>SUM('Rev Req Proof Yr1'!AM37:AO37)</f>
        <v>0</v>
      </c>
      <c r="I27" s="84">
        <f t="shared" si="4"/>
        <v>0</v>
      </c>
      <c r="J27" s="96">
        <f>SUM('Temps Proof'!T37:V37)</f>
        <v>0</v>
      </c>
      <c r="K27" s="85">
        <f t="shared" si="5"/>
        <v>0</v>
      </c>
      <c r="L27" s="96">
        <f>SUM('Temps Proof'!X37:Z37)</f>
        <v>0</v>
      </c>
      <c r="M27" s="84">
        <f t="shared" si="6"/>
        <v>0</v>
      </c>
      <c r="N27" s="1201">
        <f t="shared" si="7"/>
        <v>0</v>
      </c>
      <c r="O27" s="970">
        <f t="shared" si="8"/>
        <v>0</v>
      </c>
      <c r="P27" s="1231">
        <f t="shared" si="9"/>
        <v>0</v>
      </c>
      <c r="Q27" s="1202">
        <f t="shared" si="10"/>
        <v>0</v>
      </c>
      <c r="R27" s="650"/>
      <c r="S27" s="593"/>
      <c r="T27" s="81">
        <f t="shared" si="11"/>
        <v>0</v>
      </c>
      <c r="U27" s="81">
        <f t="shared" si="12"/>
        <v>0</v>
      </c>
      <c r="V27" s="83">
        <f t="shared" si="13"/>
        <v>0</v>
      </c>
      <c r="W27" s="84">
        <f t="shared" si="14"/>
        <v>0</v>
      </c>
      <c r="X27" s="85">
        <f>'Avg Bill by RS'!AH37</f>
        <v>0</v>
      </c>
      <c r="Y27" s="1064"/>
      <c r="Z27" s="1093">
        <f>'Rate Impacts - Rev Req ONLY'!N28</f>
        <v>0</v>
      </c>
      <c r="AA27" s="81">
        <f>'Rate Impacts - Rev Req ONLY'!O28</f>
        <v>0</v>
      </c>
      <c r="AB27" s="95">
        <f>SUM('Rev Req Proof Yr2'!AF37:AH37)</f>
        <v>0</v>
      </c>
      <c r="AC27" s="85">
        <f>IFERROR((AB27/Z27),0)</f>
        <v>0</v>
      </c>
      <c r="AD27" s="95">
        <f>SUM('Temps Proof'!AB37:AD37)</f>
        <v>0</v>
      </c>
      <c r="AE27" s="85">
        <f t="shared" si="15"/>
        <v>0</v>
      </c>
      <c r="AF27" s="1205">
        <f>SUM('Temps Proof'!AR37:AT37)</f>
        <v>0</v>
      </c>
      <c r="AG27" s="85">
        <f t="shared" si="0"/>
        <v>0</v>
      </c>
      <c r="AH27" s="1201">
        <f t="shared" si="16"/>
        <v>0</v>
      </c>
      <c r="AI27" s="1202">
        <f t="shared" si="1"/>
        <v>0</v>
      </c>
      <c r="AJ27" s="650"/>
      <c r="AK27" s="593"/>
      <c r="AL27" s="81">
        <f t="shared" si="17"/>
        <v>0</v>
      </c>
      <c r="AM27" s="81">
        <f t="shared" si="18"/>
        <v>0</v>
      </c>
      <c r="AN27" s="83">
        <f t="shared" si="2"/>
        <v>0</v>
      </c>
      <c r="AO27" s="84">
        <f t="shared" si="3"/>
        <v>0</v>
      </c>
      <c r="AP27" s="85">
        <f>'Avg Bill by RS'!BM25</f>
        <v>0</v>
      </c>
    </row>
    <row r="28" spans="2:42" x14ac:dyDescent="0.2">
      <c r="B28" s="1076">
        <v>13</v>
      </c>
      <c r="C28" s="1070" t="s">
        <v>359</v>
      </c>
      <c r="D28" s="80">
        <f>'Rate Impacts - Rev Req ONLY'!D29</f>
        <v>219574.60083981926</v>
      </c>
      <c r="E28" s="81">
        <f>'Rate Impacts - Rev Req ONLY'!E29</f>
        <v>470188.60083981924</v>
      </c>
      <c r="F28" s="95">
        <f>SUM('Rev Req Proof Yr1'!AF44:AH44)</f>
        <v>29883.943719079431</v>
      </c>
      <c r="G28" s="85">
        <f t="shared" si="21"/>
        <v>0.13609927379934036</v>
      </c>
      <c r="H28" s="95">
        <f>SUM('Rev Req Proof Yr1'!AM44:AO44)</f>
        <v>-2055.595853643305</v>
      </c>
      <c r="I28" s="84">
        <f t="shared" si="4"/>
        <v>-9.361719642350037E-3</v>
      </c>
      <c r="J28" s="96">
        <f>SUM('Temps Proof'!T44:V44)</f>
        <v>-7048.2450450192709</v>
      </c>
      <c r="K28" s="85">
        <f t="shared" si="5"/>
        <v>-3.209954620462227E-2</v>
      </c>
      <c r="L28" s="96">
        <f>SUM('Temps Proof'!X44:Z44)</f>
        <v>-3897.3218202287053</v>
      </c>
      <c r="M28" s="84">
        <f t="shared" si="6"/>
        <v>-1.7749420039122926E-2</v>
      </c>
      <c r="N28" s="1201">
        <f t="shared" si="7"/>
        <v>27828.347865436124</v>
      </c>
      <c r="O28" s="970">
        <f t="shared" si="8"/>
        <v>0.12673755415699031</v>
      </c>
      <c r="P28" s="1231">
        <f t="shared" si="9"/>
        <v>16882.781000188148</v>
      </c>
      <c r="Q28" s="1202">
        <f t="shared" si="10"/>
        <v>3.5906402175708348E-2</v>
      </c>
      <c r="R28" s="650"/>
      <c r="S28" s="593"/>
      <c r="T28" s="81">
        <f t="shared" si="11"/>
        <v>247402.9487052554</v>
      </c>
      <c r="U28" s="81">
        <f t="shared" si="12"/>
        <v>487071.38184000738</v>
      </c>
      <c r="V28" s="83">
        <f t="shared" si="13"/>
        <v>0.12673755415699037</v>
      </c>
      <c r="W28" s="84">
        <f t="shared" si="14"/>
        <v>3.5906402175708341E-2</v>
      </c>
      <c r="X28" s="85">
        <f>'Avg Bill by RS'!AH44</f>
        <v>4.5999999999999999E-2</v>
      </c>
      <c r="Y28" s="1064"/>
      <c r="Z28" s="1093">
        <f>'Rate Impacts - Rev Req ONLY'!N29</f>
        <v>247402.94870525537</v>
      </c>
      <c r="AA28" s="81">
        <f>'Rate Impacts - Rev Req ONLY'!O29</f>
        <v>498016.94870525534</v>
      </c>
      <c r="AB28" s="95">
        <f>SUM('Rev Req Proof Yr2'!AF44:AH44)</f>
        <v>14012.424282822392</v>
      </c>
      <c r="AC28" s="85">
        <f t="shared" ref="AC28:AC33" si="23">IFERROR((AB28/Z28),0)</f>
        <v>5.663806497115019E-2</v>
      </c>
      <c r="AD28" s="95">
        <f>SUM('Temps Proof'!AB44:AD44)</f>
        <v>-199.53158775131345</v>
      </c>
      <c r="AE28" s="85">
        <f t="shared" si="15"/>
        <v>-8.0650448507396861E-4</v>
      </c>
      <c r="AF28" s="1205">
        <f>SUM('Temps Proof'!AR44:AT44)</f>
        <v>0</v>
      </c>
      <c r="AG28" s="85">
        <f t="shared" si="0"/>
        <v>0</v>
      </c>
      <c r="AH28" s="1201">
        <f t="shared" si="16"/>
        <v>13812.892695071079</v>
      </c>
      <c r="AI28" s="1202">
        <f t="shared" si="1"/>
        <v>5.5831560486076223E-2</v>
      </c>
      <c r="AJ28" s="650"/>
      <c r="AK28" s="593"/>
      <c r="AL28" s="81">
        <f t="shared" si="17"/>
        <v>261215.84140032646</v>
      </c>
      <c r="AM28" s="81">
        <f t="shared" si="18"/>
        <v>511829.8414003264</v>
      </c>
      <c r="AN28" s="83">
        <f t="shared" si="2"/>
        <v>5.5831560486076265E-2</v>
      </c>
      <c r="AO28" s="84">
        <f t="shared" si="3"/>
        <v>2.7735788372226733E-2</v>
      </c>
      <c r="AP28" s="85">
        <f>'Avg Bill by RS'!BM26</f>
        <v>6.5000000000000002E-2</v>
      </c>
    </row>
    <row r="29" spans="2:42" x14ac:dyDescent="0.2">
      <c r="B29" s="1076">
        <v>14</v>
      </c>
      <c r="C29" s="1070" t="s">
        <v>360</v>
      </c>
      <c r="D29" s="80">
        <f>'Rate Impacts - Rev Req ONLY'!D30</f>
        <v>511672.37933789124</v>
      </c>
      <c r="E29" s="81">
        <f>'Rate Impacts - Rev Req ONLY'!E30</f>
        <v>1154958.3793378912</v>
      </c>
      <c r="F29" s="95">
        <f>SUM('Rev Req Proof Yr1'!AF51:AH51)</f>
        <v>69637.109626000005</v>
      </c>
      <c r="G29" s="85">
        <f t="shared" si="21"/>
        <v>0.13609706608770061</v>
      </c>
      <c r="H29" s="95">
        <f>SUM('Rev Req Proof Yr1'!AM51:AO51)</f>
        <v>-4788.9728660000001</v>
      </c>
      <c r="I29" s="84">
        <f t="shared" si="4"/>
        <v>-9.3594515932186439E-3</v>
      </c>
      <c r="J29" s="96">
        <f>SUM('Temps Proof'!T51:V51)</f>
        <v>0</v>
      </c>
      <c r="K29" s="85">
        <f t="shared" si="5"/>
        <v>0</v>
      </c>
      <c r="L29" s="96">
        <f>SUM('Temps Proof'!X51:Z51)</f>
        <v>-9079.0412880000022</v>
      </c>
      <c r="M29" s="84">
        <f t="shared" si="6"/>
        <v>-1.774385652739037E-2</v>
      </c>
      <c r="N29" s="1201">
        <f t="shared" si="7"/>
        <v>64848.136760000009</v>
      </c>
      <c r="O29" s="970">
        <f t="shared" si="8"/>
        <v>0.12673761449448198</v>
      </c>
      <c r="P29" s="1231">
        <f t="shared" si="9"/>
        <v>55769.095472000008</v>
      </c>
      <c r="Q29" s="1202">
        <f t="shared" si="10"/>
        <v>4.8286671164696891E-2</v>
      </c>
      <c r="R29" s="650"/>
      <c r="S29" s="593"/>
      <c r="T29" s="81">
        <f t="shared" si="11"/>
        <v>576520.51609789126</v>
      </c>
      <c r="U29" s="81">
        <f t="shared" si="12"/>
        <v>1210727.4748098913</v>
      </c>
      <c r="V29" s="83">
        <f t="shared" si="13"/>
        <v>0.12673761449448201</v>
      </c>
      <c r="W29" s="84">
        <f t="shared" si="14"/>
        <v>4.8286671164696947E-2</v>
      </c>
      <c r="X29" s="85">
        <f>'Avg Bill by RS'!AH51</f>
        <v>6.2E-2</v>
      </c>
      <c r="Y29" s="1064"/>
      <c r="Z29" s="1093">
        <f>'Rate Impacts - Rev Req ONLY'!N30</f>
        <v>576520.51609789126</v>
      </c>
      <c r="AA29" s="81">
        <f>'Rate Impacts - Rev Req ONLY'!O30</f>
        <v>1219806.5160978914</v>
      </c>
      <c r="AB29" s="95">
        <f>SUM('Rev Req Proof Yr2'!AF51:AH51)</f>
        <v>32655.57115500002</v>
      </c>
      <c r="AC29" s="85">
        <f t="shared" si="23"/>
        <v>5.6642513567470708E-2</v>
      </c>
      <c r="AD29" s="95">
        <f>SUM('Temps Proof'!AB51:AD51)</f>
        <v>-468.75253500000008</v>
      </c>
      <c r="AE29" s="85">
        <f t="shared" si="15"/>
        <v>-8.130717327679757E-4</v>
      </c>
      <c r="AF29" s="1205">
        <f>SUM('Temps Proof'!AR51:AT51)</f>
        <v>0</v>
      </c>
      <c r="AG29" s="85">
        <f t="shared" si="0"/>
        <v>0</v>
      </c>
      <c r="AH29" s="1201">
        <f t="shared" si="16"/>
        <v>32186.81862000002</v>
      </c>
      <c r="AI29" s="1202">
        <f t="shared" si="1"/>
        <v>5.5829441834702731E-2</v>
      </c>
      <c r="AJ29" s="650"/>
      <c r="AK29" s="593"/>
      <c r="AL29" s="81">
        <f t="shared" si="17"/>
        <v>608707.3347178913</v>
      </c>
      <c r="AM29" s="81">
        <f t="shared" si="18"/>
        <v>1251993.3347178914</v>
      </c>
      <c r="AN29" s="83">
        <f t="shared" si="2"/>
        <v>5.5829441834702759E-2</v>
      </c>
      <c r="AO29" s="84">
        <f t="shared" si="3"/>
        <v>2.63868229880951E-2</v>
      </c>
      <c r="AP29" s="85">
        <f>'Avg Bill by RS'!BM27</f>
        <v>4.2999999999999997E-2</v>
      </c>
    </row>
    <row r="30" spans="2:42" x14ac:dyDescent="0.2">
      <c r="B30" s="1076">
        <v>15</v>
      </c>
      <c r="C30" s="1070" t="s">
        <v>361</v>
      </c>
      <c r="D30" s="80">
        <f>'Rate Impacts - Rev Req ONLY'!D31</f>
        <v>360784.67333999998</v>
      </c>
      <c r="E30" s="81">
        <f>'Rate Impacts - Rev Req ONLY'!E31</f>
        <v>360784.67333999998</v>
      </c>
      <c r="F30" s="95">
        <f>SUM('Rev Req Proof Yr1'!AF58:AH58)</f>
        <v>49098.639150000003</v>
      </c>
      <c r="G30" s="85">
        <f t="shared" si="21"/>
        <v>0.13608848373592056</v>
      </c>
      <c r="H30" s="95">
        <f>SUM('Rev Req Proof Yr1'!AM58:AO58)</f>
        <v>-3383.8287</v>
      </c>
      <c r="I30" s="84">
        <f t="shared" si="4"/>
        <v>-9.3790810698078427E-3</v>
      </c>
      <c r="J30" s="96">
        <f>SUM('Temps Proof'!T58:V58)</f>
        <v>0</v>
      </c>
      <c r="K30" s="85">
        <f t="shared" si="5"/>
        <v>0</v>
      </c>
      <c r="L30" s="558">
        <f>SUM('Temps Proof'!X58:Z58)</f>
        <v>-6395.26055</v>
      </c>
      <c r="M30" s="84">
        <f t="shared" si="6"/>
        <v>-1.7725976247259176E-2</v>
      </c>
      <c r="N30" s="1201">
        <f t="shared" si="7"/>
        <v>45714.810450000004</v>
      </c>
      <c r="O30" s="970">
        <f t="shared" si="8"/>
        <v>0.12670940266611272</v>
      </c>
      <c r="P30" s="1231">
        <f t="shared" si="9"/>
        <v>39319.549900000005</v>
      </c>
      <c r="Q30" s="1202">
        <f t="shared" si="10"/>
        <v>0.10898342641885356</v>
      </c>
      <c r="R30" s="650"/>
      <c r="S30" s="593"/>
      <c r="T30" s="81">
        <f t="shared" si="11"/>
        <v>406499.48378999997</v>
      </c>
      <c r="U30" s="81">
        <f t="shared" si="12"/>
        <v>400104.22323999996</v>
      </c>
      <c r="V30" s="83">
        <f t="shared" si="13"/>
        <v>0.12670940266611269</v>
      </c>
      <c r="W30" s="84">
        <f t="shared" si="14"/>
        <v>0.1089834264188535</v>
      </c>
      <c r="X30" s="85">
        <f>'Avg Bill by RS'!AH58</f>
        <v>0.11600000000000001</v>
      </c>
      <c r="Y30" s="1064"/>
      <c r="Z30" s="1093">
        <f>'Rate Impacts - Rev Req ONLY'!N31</f>
        <v>406499.48378999997</v>
      </c>
      <c r="AA30" s="81">
        <f>'Rate Impacts - Rev Req ONLY'!O31</f>
        <v>406499.48378999997</v>
      </c>
      <c r="AB30" s="95">
        <f>SUM('Rev Req Proof Yr2'!AF58:AH58)</f>
        <v>23020.772400000023</v>
      </c>
      <c r="AC30" s="85">
        <f t="shared" si="23"/>
        <v>5.6631738336702757E-2</v>
      </c>
      <c r="AD30" s="95">
        <f>SUM('Temps Proof'!AB58:AD58)</f>
        <v>-326.73435000000001</v>
      </c>
      <c r="AE30" s="85">
        <f t="shared" si="15"/>
        <v>-8.0377555945136919E-4</v>
      </c>
      <c r="AF30" s="1206">
        <f>SUM('Temps Proof'!AR58:AT58)</f>
        <v>0</v>
      </c>
      <c r="AG30" s="85">
        <f t="shared" si="0"/>
        <v>0</v>
      </c>
      <c r="AH30" s="1201">
        <f t="shared" si="16"/>
        <v>22694.038050000025</v>
      </c>
      <c r="AI30" s="1202">
        <f t="shared" si="1"/>
        <v>5.5827962777251397E-2</v>
      </c>
      <c r="AJ30" s="650"/>
      <c r="AK30" s="593"/>
      <c r="AL30" s="81">
        <f t="shared" si="17"/>
        <v>429193.52184</v>
      </c>
      <c r="AM30" s="81">
        <f t="shared" si="18"/>
        <v>429193.52184</v>
      </c>
      <c r="AN30" s="83">
        <f t="shared" si="2"/>
        <v>5.5827962777251411E-2</v>
      </c>
      <c r="AO30" s="84">
        <f t="shared" si="3"/>
        <v>5.5827962777251411E-2</v>
      </c>
      <c r="AP30" s="85">
        <f>'Avg Bill by RS'!BM28</f>
        <v>7.6999999999999999E-2</v>
      </c>
    </row>
    <row r="31" spans="2:42" x14ac:dyDescent="0.2">
      <c r="B31" s="1076">
        <v>16</v>
      </c>
      <c r="C31" s="1070" t="s">
        <v>362</v>
      </c>
      <c r="D31" s="80">
        <f>'Rate Impacts - Rev Req ONLY'!D32</f>
        <v>823615.79209999996</v>
      </c>
      <c r="E31" s="81">
        <f>'Rate Impacts - Rev Req ONLY'!E32</f>
        <v>823615.79209999996</v>
      </c>
      <c r="F31" s="95">
        <f>SUM('Rev Req Proof Yr1'!AF65:AH65)</f>
        <v>112098.45365</v>
      </c>
      <c r="G31" s="85">
        <f t="shared" si="21"/>
        <v>0.1361052747230343</v>
      </c>
      <c r="H31" s="95">
        <f>SUM('Rev Req Proof Yr1'!AM65:AO65)</f>
        <v>-7716.6626000000006</v>
      </c>
      <c r="I31" s="84">
        <f t="shared" si="4"/>
        <v>-9.3692504126524512E-3</v>
      </c>
      <c r="J31" s="96">
        <f>SUM('Temps Proof'!T65:V65)</f>
        <v>0</v>
      </c>
      <c r="K31" s="85">
        <f t="shared" si="5"/>
        <v>0</v>
      </c>
      <c r="L31" s="96">
        <f>SUM('Temps Proof'!X65:Z65)</f>
        <v>-14605.610930000001</v>
      </c>
      <c r="M31" s="84">
        <f t="shared" si="6"/>
        <v>-1.773352462409639E-2</v>
      </c>
      <c r="N31" s="1201">
        <f t="shared" si="7"/>
        <v>104381.79105</v>
      </c>
      <c r="O31" s="970">
        <f t="shared" si="8"/>
        <v>0.12673602431038186</v>
      </c>
      <c r="P31" s="1231">
        <f t="shared" si="9"/>
        <v>89776.180120000005</v>
      </c>
      <c r="Q31" s="1202">
        <f t="shared" si="10"/>
        <v>0.10900249968628548</v>
      </c>
      <c r="R31" s="650"/>
      <c r="S31" s="593"/>
      <c r="T31" s="81">
        <f t="shared" si="11"/>
        <v>927997.58314999996</v>
      </c>
      <c r="U31" s="81">
        <f t="shared" si="12"/>
        <v>913391.97222</v>
      </c>
      <c r="V31" s="83">
        <f t="shared" si="13"/>
        <v>0.12673602431038186</v>
      </c>
      <c r="W31" s="84">
        <f t="shared" si="14"/>
        <v>0.1090024996862855</v>
      </c>
      <c r="X31" s="85">
        <f>'Avg Bill by RS'!AH65</f>
        <v>0.12</v>
      </c>
      <c r="Y31" s="1064"/>
      <c r="Z31" s="1093">
        <f>'Rate Impacts - Rev Req ONLY'!N32</f>
        <v>927997.58314999996</v>
      </c>
      <c r="AA31" s="81">
        <f>'Rate Impacts - Rev Req ONLY'!O32</f>
        <v>927997.58314999996</v>
      </c>
      <c r="AB31" s="95">
        <f>SUM('Rev Req Proof Yr2'!AF65:AH65)</f>
        <v>52558.568929999994</v>
      </c>
      <c r="AC31" s="85">
        <f t="shared" si="23"/>
        <v>5.6636536435358924E-2</v>
      </c>
      <c r="AD31" s="95">
        <f>SUM('Temps Proof'!AB65:AD65)</f>
        <v>-729.79639000000009</v>
      </c>
      <c r="AE31" s="85">
        <f t="shared" si="15"/>
        <v>-7.8642057183249913E-4</v>
      </c>
      <c r="AF31" s="1205">
        <f>SUM('Temps Proof'!AR65:AT65)</f>
        <v>0</v>
      </c>
      <c r="AG31" s="85">
        <f t="shared" si="0"/>
        <v>0</v>
      </c>
      <c r="AH31" s="1201">
        <f t="shared" si="16"/>
        <v>51828.772539999991</v>
      </c>
      <c r="AI31" s="1202">
        <f t="shared" si="1"/>
        <v>5.5850115863526423E-2</v>
      </c>
      <c r="AJ31" s="650"/>
      <c r="AK31" s="593"/>
      <c r="AL31" s="81">
        <f t="shared" si="17"/>
        <v>979826.35569</v>
      </c>
      <c r="AM31" s="81">
        <f t="shared" si="18"/>
        <v>979826.35569</v>
      </c>
      <c r="AN31" s="83">
        <f t="shared" si="2"/>
        <v>5.5850115863526464E-2</v>
      </c>
      <c r="AO31" s="84">
        <f t="shared" si="3"/>
        <v>5.5850115863526464E-2</v>
      </c>
      <c r="AP31" s="85">
        <f>'Avg Bill by RS'!BM29</f>
        <v>7.9000000000000001E-2</v>
      </c>
    </row>
    <row r="32" spans="2:42" x14ac:dyDescent="0.2">
      <c r="B32" s="1076">
        <v>17</v>
      </c>
      <c r="C32" s="1070" t="s">
        <v>363</v>
      </c>
      <c r="D32" s="80">
        <f>'Rate Impacts - Rev Req ONLY'!D33</f>
        <v>160512.61187958997</v>
      </c>
      <c r="E32" s="81">
        <f>'Rate Impacts - Rev Req ONLY'!E33</f>
        <v>430728.61187958985</v>
      </c>
      <c r="F32" s="95">
        <f>SUM('Rev Req Proof Yr1'!AF72:AH72)</f>
        <v>21844.4555</v>
      </c>
      <c r="G32" s="85">
        <f t="shared" si="21"/>
        <v>0.13609183256195981</v>
      </c>
      <c r="H32" s="95">
        <f>SUM('Rev Req Proof Yr1'!AM72:AO72)</f>
        <v>-1501.3931600000001</v>
      </c>
      <c r="I32" s="84">
        <f t="shared" si="4"/>
        <v>-9.3537395125454954E-3</v>
      </c>
      <c r="J32" s="96">
        <f>SUM('Temps Proof'!T72:V72)</f>
        <v>-5153.5389999999998</v>
      </c>
      <c r="K32" s="85">
        <f t="shared" si="5"/>
        <v>-3.2106754351900864E-2</v>
      </c>
      <c r="L32" s="96">
        <f>SUM('Temps Proof'!X72:Z72)</f>
        <v>-2849.6411599999997</v>
      </c>
      <c r="M32" s="84">
        <f t="shared" si="6"/>
        <v>-1.7753378545342497E-2</v>
      </c>
      <c r="N32" s="1201">
        <f t="shared" si="7"/>
        <v>20343.06234</v>
      </c>
      <c r="O32" s="970">
        <f t="shared" si="8"/>
        <v>0.12673809304941433</v>
      </c>
      <c r="P32" s="1231">
        <f t="shared" si="9"/>
        <v>12339.882180000001</v>
      </c>
      <c r="Q32" s="1202">
        <f t="shared" si="10"/>
        <v>2.8648856471716382E-2</v>
      </c>
      <c r="R32" s="650"/>
      <c r="S32" s="593"/>
      <c r="T32" s="81">
        <f t="shared" si="11"/>
        <v>180855.67421958997</v>
      </c>
      <c r="U32" s="81">
        <f t="shared" si="12"/>
        <v>443068.49405958987</v>
      </c>
      <c r="V32" s="83">
        <f t="shared" ref="V32:V38" si="24">IFERROR((T32-D32)/D32,0)</f>
        <v>0.12673809304941436</v>
      </c>
      <c r="W32" s="84">
        <f t="shared" ref="W32:W38" si="25">IFERROR((U32-E32)/E32,0)</f>
        <v>2.8648856471716413E-2</v>
      </c>
      <c r="X32" s="85">
        <f>'Avg Bill by RS'!AH72</f>
        <v>0.03</v>
      </c>
      <c r="Y32" s="1064"/>
      <c r="Z32" s="1093">
        <f>'Rate Impacts - Rev Req ONLY'!N33</f>
        <v>180855.67421958997</v>
      </c>
      <c r="AA32" s="81">
        <f>'Rate Impacts - Rev Req ONLY'!O33</f>
        <v>451071.67421958986</v>
      </c>
      <c r="AB32" s="95">
        <f>SUM('Rev Req Proof Yr2'!AF72:AH72)</f>
        <v>10243.523710000001</v>
      </c>
      <c r="AC32" s="85">
        <f t="shared" si="23"/>
        <v>5.6639216625089667E-2</v>
      </c>
      <c r="AD32" s="95">
        <f>SUM('Temps Proof'!AB72:AD72)</f>
        <v>-145.98303999999999</v>
      </c>
      <c r="AE32" s="85">
        <f t="shared" si="15"/>
        <v>-8.0717976159681566E-4</v>
      </c>
      <c r="AF32" s="1205">
        <f>SUM('Temps Proof'!AR72:AT72)</f>
        <v>0</v>
      </c>
      <c r="AG32" s="85">
        <f t="shared" si="0"/>
        <v>0</v>
      </c>
      <c r="AH32" s="1201">
        <f t="shared" si="16"/>
        <v>10097.540670000002</v>
      </c>
      <c r="AI32" s="1202">
        <f t="shared" si="1"/>
        <v>5.5832036863492855E-2</v>
      </c>
      <c r="AJ32" s="650"/>
      <c r="AK32" s="593"/>
      <c r="AL32" s="81">
        <f t="shared" si="17"/>
        <v>190953.21488958999</v>
      </c>
      <c r="AM32" s="81">
        <f t="shared" si="18"/>
        <v>461169.21488958987</v>
      </c>
      <c r="AN32" s="83">
        <f t="shared" si="2"/>
        <v>5.5832036863492938E-2</v>
      </c>
      <c r="AO32" s="84">
        <f t="shared" si="3"/>
        <v>2.2385667837533846E-2</v>
      </c>
      <c r="AP32" s="85">
        <f>'Avg Bill by RS'!BM30</f>
        <v>4.2999999999999997E-2</v>
      </c>
    </row>
    <row r="33" spans="2:42" x14ac:dyDescent="0.2">
      <c r="B33" s="1076">
        <v>18</v>
      </c>
      <c r="C33" s="1070" t="s">
        <v>364</v>
      </c>
      <c r="D33" s="80">
        <f>'Rate Impacts - Rev Req ONLY'!D34</f>
        <v>81130.03459599179</v>
      </c>
      <c r="E33" s="81">
        <f>'Rate Impacts - Rev Req ONLY'!E34</f>
        <v>171731.03459599178</v>
      </c>
      <c r="F33" s="95">
        <f>SUM('Rev Req Proof Yr1'!AF79:AH79)</f>
        <v>11040.877800000002</v>
      </c>
      <c r="G33" s="85">
        <f t="shared" si="21"/>
        <v>0.13608866130750391</v>
      </c>
      <c r="H33" s="95">
        <f>SUM('Rev Req Proof Yr1'!AM79:AO79)</f>
        <v>-760.61590000000001</v>
      </c>
      <c r="I33" s="84">
        <f t="shared" si="4"/>
        <v>-9.3752690207478118E-3</v>
      </c>
      <c r="J33" s="96">
        <f>SUM('Temps Proof'!T79:V79)</f>
        <v>0</v>
      </c>
      <c r="K33" s="85">
        <f t="shared" si="5"/>
        <v>0</v>
      </c>
      <c r="L33" s="96">
        <f>SUM('Temps Proof'!X79:Z79)</f>
        <v>-1439.019</v>
      </c>
      <c r="M33" s="84">
        <f t="shared" si="6"/>
        <v>-1.7737191992656866E-2</v>
      </c>
      <c r="N33" s="1201">
        <f t="shared" si="7"/>
        <v>10280.261900000001</v>
      </c>
      <c r="O33" s="970">
        <f t="shared" si="8"/>
        <v>0.1267133922867561</v>
      </c>
      <c r="P33" s="1231">
        <f t="shared" si="9"/>
        <v>8841.2429000000011</v>
      </c>
      <c r="Q33" s="1202">
        <f t="shared" si="10"/>
        <v>5.148308179007708E-2</v>
      </c>
      <c r="R33" s="650"/>
      <c r="S33" s="593"/>
      <c r="T33" s="81">
        <f t="shared" si="11"/>
        <v>91410.296495991788</v>
      </c>
      <c r="U33" s="81">
        <f t="shared" si="12"/>
        <v>180572.27749599179</v>
      </c>
      <c r="V33" s="83">
        <f t="shared" si="24"/>
        <v>0.12671339228675604</v>
      </c>
      <c r="W33" s="84">
        <f t="shared" si="25"/>
        <v>5.1483081790077143E-2</v>
      </c>
      <c r="X33" s="85">
        <f>'Avg Bill by RS'!AH79</f>
        <v>5.7000000000000002E-2</v>
      </c>
      <c r="Y33" s="1064"/>
      <c r="Z33" s="1093">
        <f>'Rate Impacts - Rev Req ONLY'!N34</f>
        <v>91410.296495991788</v>
      </c>
      <c r="AA33" s="81">
        <f>'Rate Impacts - Rev Req ONLY'!O34</f>
        <v>182011.29649599179</v>
      </c>
      <c r="AB33" s="95">
        <f>SUM('Rev Req Proof Yr2'!AF79:AH79)</f>
        <v>5177.2746000000006</v>
      </c>
      <c r="AC33" s="85">
        <f t="shared" si="23"/>
        <v>5.6637761810859201E-2</v>
      </c>
      <c r="AD33" s="95">
        <f>SUM('Temps Proof'!AB79:AD79)</f>
        <v>-72.749400000000009</v>
      </c>
      <c r="AE33" s="85">
        <f t="shared" si="15"/>
        <v>-7.9585563977675061E-4</v>
      </c>
      <c r="AF33" s="1205">
        <f>SUM('Temps Proof'!AR79:AT79)</f>
        <v>0</v>
      </c>
      <c r="AG33" s="85">
        <f t="shared" si="0"/>
        <v>0</v>
      </c>
      <c r="AH33" s="1201">
        <f t="shared" si="16"/>
        <v>5104.525200000001</v>
      </c>
      <c r="AI33" s="1202">
        <f t="shared" si="1"/>
        <v>5.5841906171082457E-2</v>
      </c>
      <c r="AJ33" s="650"/>
      <c r="AK33" s="593"/>
      <c r="AL33" s="81">
        <f t="shared" si="17"/>
        <v>96514.821695991792</v>
      </c>
      <c r="AM33" s="81">
        <f t="shared" si="18"/>
        <v>187115.82169599179</v>
      </c>
      <c r="AN33" s="83">
        <f t="shared" si="2"/>
        <v>5.5841906171082485E-2</v>
      </c>
      <c r="AO33" s="84">
        <f t="shared" si="3"/>
        <v>2.804510103642064E-2</v>
      </c>
      <c r="AP33" s="85">
        <f>'Avg Bill by RS'!BM31</f>
        <v>0.04</v>
      </c>
    </row>
    <row r="34" spans="2:42" x14ac:dyDescent="0.2">
      <c r="B34" s="1076">
        <v>19</v>
      </c>
      <c r="C34" s="1070" t="s">
        <v>366</v>
      </c>
      <c r="D34" s="80">
        <f>'Rate Impacts - Rev Req ONLY'!D35</f>
        <v>0</v>
      </c>
      <c r="E34" s="81">
        <f>'Rate Impacts - Rev Req ONLY'!E35</f>
        <v>0</v>
      </c>
      <c r="F34" s="95">
        <f>SUM('Rev Req Proof Yr1'!AF86:AH86)</f>
        <v>0</v>
      </c>
      <c r="G34" s="85">
        <f>IFERROR((F34/D34),0)</f>
        <v>0</v>
      </c>
      <c r="H34" s="95">
        <f>SUM('Rev Req Proof Yr1'!AM86:AO86)</f>
        <v>0</v>
      </c>
      <c r="I34" s="84">
        <f t="shared" si="4"/>
        <v>0</v>
      </c>
      <c r="J34" s="96">
        <f>SUM('Temps Proof'!T86:V86)</f>
        <v>0</v>
      </c>
      <c r="K34" s="85">
        <f t="shared" si="5"/>
        <v>0</v>
      </c>
      <c r="L34" s="96">
        <f>SUM('Temps Proof'!X86:Z86)</f>
        <v>0</v>
      </c>
      <c r="M34" s="84">
        <f t="shared" si="6"/>
        <v>0</v>
      </c>
      <c r="N34" s="1201">
        <f t="shared" si="7"/>
        <v>0</v>
      </c>
      <c r="O34" s="970">
        <f t="shared" si="8"/>
        <v>0</v>
      </c>
      <c r="P34" s="1231">
        <f t="shared" si="9"/>
        <v>0</v>
      </c>
      <c r="Q34" s="1202">
        <f t="shared" si="10"/>
        <v>0</v>
      </c>
      <c r="R34" s="650"/>
      <c r="S34" s="593"/>
      <c r="T34" s="81">
        <f t="shared" si="11"/>
        <v>0</v>
      </c>
      <c r="U34" s="81">
        <f t="shared" si="12"/>
        <v>0</v>
      </c>
      <c r="V34" s="83">
        <f t="shared" si="24"/>
        <v>0</v>
      </c>
      <c r="W34" s="84">
        <f t="shared" si="25"/>
        <v>0</v>
      </c>
      <c r="X34" s="85">
        <f>'Avg Bill by RS'!AH86</f>
        <v>0</v>
      </c>
      <c r="Y34" s="1064"/>
      <c r="Z34" s="1093">
        <f>'Rate Impacts - Rev Req ONLY'!N35</f>
        <v>0</v>
      </c>
      <c r="AA34" s="81">
        <f>'Rate Impacts - Rev Req ONLY'!O35</f>
        <v>0</v>
      </c>
      <c r="AB34" s="95">
        <f>SUM('Rev Req Proof Yr2'!AF86:AH86)</f>
        <v>0</v>
      </c>
      <c r="AC34" s="85">
        <f>IFERROR((AB34/Z34),0)</f>
        <v>0</v>
      </c>
      <c r="AD34" s="95">
        <f>SUM('Temps Proof'!AB86:AD86)</f>
        <v>0</v>
      </c>
      <c r="AE34" s="85">
        <f t="shared" si="15"/>
        <v>0</v>
      </c>
      <c r="AF34" s="1205">
        <f>SUM('Temps Proof'!AR86:AT86)</f>
        <v>0</v>
      </c>
      <c r="AG34" s="85">
        <f t="shared" si="0"/>
        <v>0</v>
      </c>
      <c r="AH34" s="1201">
        <f t="shared" si="16"/>
        <v>0</v>
      </c>
      <c r="AI34" s="1202">
        <f t="shared" si="1"/>
        <v>0</v>
      </c>
      <c r="AJ34" s="650"/>
      <c r="AK34" s="593"/>
      <c r="AL34" s="81">
        <f t="shared" si="17"/>
        <v>0</v>
      </c>
      <c r="AM34" s="81">
        <f t="shared" si="18"/>
        <v>0</v>
      </c>
      <c r="AN34" s="83">
        <f t="shared" si="2"/>
        <v>0</v>
      </c>
      <c r="AO34" s="84">
        <f t="shared" si="3"/>
        <v>0</v>
      </c>
      <c r="AP34" s="85">
        <f>'Avg Bill by RS'!BM32</f>
        <v>0</v>
      </c>
    </row>
    <row r="35" spans="2:42" x14ac:dyDescent="0.2">
      <c r="B35" s="1076">
        <v>20</v>
      </c>
      <c r="C35" s="1070" t="s">
        <v>367</v>
      </c>
      <c r="D35" s="80">
        <f>'Rate Impacts - Rev Req ONLY'!D36</f>
        <v>825480.07319999998</v>
      </c>
      <c r="E35" s="81">
        <f>'Rate Impacts - Rev Req ONLY'!E36</f>
        <v>825480.07319999998</v>
      </c>
      <c r="F35" s="95">
        <f>SUM('Rev Req Proof Yr1'!AF93:AH93)</f>
        <v>112342.71842999995</v>
      </c>
      <c r="G35" s="85">
        <f>IFERROR((F35/D35),0)</f>
        <v>0.13609379811495606</v>
      </c>
      <c r="H35" s="95">
        <f>SUM('Rev Req Proof Yr1'!AM93:AO93)</f>
        <v>-7732.5836500000005</v>
      </c>
      <c r="I35" s="84">
        <f t="shared" si="4"/>
        <v>-9.3673777248485142E-3</v>
      </c>
      <c r="J35" s="96">
        <f>SUM('Temps Proof'!T93:V93)</f>
        <v>0</v>
      </c>
      <c r="K35" s="85">
        <f t="shared" si="5"/>
        <v>0</v>
      </c>
      <c r="L35" s="96">
        <f>SUM('Temps Proof'!X93:Z93)</f>
        <v>-14641.913430000001</v>
      </c>
      <c r="M35" s="84">
        <f t="shared" si="6"/>
        <v>-1.7737452308497471E-2</v>
      </c>
      <c r="N35" s="1201">
        <f>SUM(F35,H35)</f>
        <v>104610.13477999995</v>
      </c>
      <c r="O35" s="970">
        <f t="shared" si="8"/>
        <v>0.12672642039010754</v>
      </c>
      <c r="P35" s="1231">
        <f t="shared" si="9"/>
        <v>89968.221349999949</v>
      </c>
      <c r="Q35" s="1202">
        <f t="shared" si="10"/>
        <v>0.10898896808161007</v>
      </c>
      <c r="R35" s="650"/>
      <c r="S35" s="593"/>
      <c r="T35" s="81">
        <f t="shared" si="11"/>
        <v>930090.20797999995</v>
      </c>
      <c r="U35" s="81">
        <f t="shared" si="12"/>
        <v>915448.29454999999</v>
      </c>
      <c r="V35" s="83">
        <f t="shared" si="24"/>
        <v>0.12672642039010756</v>
      </c>
      <c r="W35" s="84">
        <f t="shared" si="25"/>
        <v>0.10898896808161015</v>
      </c>
      <c r="X35" s="85">
        <f>'Avg Bill by RS'!AH93</f>
        <v>0.11</v>
      </c>
      <c r="Y35" s="1064"/>
      <c r="Z35" s="1093">
        <f>'Rate Impacts - Rev Req ONLY'!N36</f>
        <v>930090.20797999983</v>
      </c>
      <c r="AA35" s="81">
        <f>'Rate Impacts - Rev Req ONLY'!O36</f>
        <v>930090.20797999983</v>
      </c>
      <c r="AB35" s="95">
        <f>SUM('Rev Req Proof Yr2'!AF93:AH93)</f>
        <v>52693.327570000052</v>
      </c>
      <c r="AC35" s="85">
        <f>IFERROR((AB35/Z35),0)</f>
        <v>5.6653996696128146E-2</v>
      </c>
      <c r="AD35" s="95">
        <f>SUM('Temps Proof'!AB93:AD93)</f>
        <v>-745.79075</v>
      </c>
      <c r="AE35" s="85">
        <f t="shared" si="15"/>
        <v>-8.018477601433227E-4</v>
      </c>
      <c r="AF35" s="1205">
        <f>SUM('Temps Proof'!AR93:AT93)</f>
        <v>0</v>
      </c>
      <c r="AG35" s="85">
        <f t="shared" si="0"/>
        <v>0</v>
      </c>
      <c r="AH35" s="1201">
        <f t="shared" si="16"/>
        <v>51947.536820000052</v>
      </c>
      <c r="AI35" s="1202">
        <f t="shared" si="1"/>
        <v>5.5852148935984822E-2</v>
      </c>
      <c r="AJ35" s="650"/>
      <c r="AK35" s="593"/>
      <c r="AL35" s="81">
        <f t="shared" si="17"/>
        <v>982037.74479999987</v>
      </c>
      <c r="AM35" s="81">
        <f t="shared" si="18"/>
        <v>982037.74479999987</v>
      </c>
      <c r="AN35" s="83">
        <f t="shared" si="2"/>
        <v>5.5852148935984808E-2</v>
      </c>
      <c r="AO35" s="84">
        <f t="shared" si="3"/>
        <v>5.5852148935984808E-2</v>
      </c>
      <c r="AP35" s="85">
        <f>'Avg Bill by RS'!BM33</f>
        <v>7.2999999999999995E-2</v>
      </c>
    </row>
    <row r="36" spans="2:42" x14ac:dyDescent="0.2">
      <c r="B36" s="1076">
        <v>21</v>
      </c>
      <c r="C36" s="1070" t="s">
        <v>56</v>
      </c>
      <c r="D36" s="80">
        <f>'Rate Impacts - Rev Req ONLY'!D37</f>
        <v>0</v>
      </c>
      <c r="E36" s="81">
        <f>'Rate Impacts - Rev Req ONLY'!E37</f>
        <v>0</v>
      </c>
      <c r="F36" s="95">
        <f>SUM('Rev Req Proof Yr1'!AF94:AH94)</f>
        <v>0</v>
      </c>
      <c r="G36" s="85">
        <f>IFERROR((F36/D36),0)</f>
        <v>0</v>
      </c>
      <c r="H36" s="95">
        <f>SUM('Rev Req Proof Yr1'!AM94:AO94)</f>
        <v>0</v>
      </c>
      <c r="I36" s="84">
        <f t="shared" si="4"/>
        <v>0</v>
      </c>
      <c r="J36" s="96">
        <f>SUM('Temps Proof'!T94:V94)</f>
        <v>0</v>
      </c>
      <c r="K36" s="85">
        <f t="shared" si="5"/>
        <v>0</v>
      </c>
      <c r="L36" s="96">
        <f>SUM('Temps Proof'!X94:Z94)</f>
        <v>0</v>
      </c>
      <c r="M36" s="84">
        <f t="shared" si="6"/>
        <v>0</v>
      </c>
      <c r="N36" s="1201">
        <f t="shared" si="7"/>
        <v>0</v>
      </c>
      <c r="O36" s="970">
        <f t="shared" si="8"/>
        <v>0</v>
      </c>
      <c r="P36" s="1231">
        <f t="shared" si="9"/>
        <v>0</v>
      </c>
      <c r="Q36" s="1202">
        <f t="shared" si="10"/>
        <v>0</v>
      </c>
      <c r="R36" s="650"/>
      <c r="S36" s="593"/>
      <c r="T36" s="81">
        <f t="shared" si="11"/>
        <v>0</v>
      </c>
      <c r="U36" s="81">
        <f t="shared" si="12"/>
        <v>0</v>
      </c>
      <c r="V36" s="83">
        <f t="shared" si="24"/>
        <v>0</v>
      </c>
      <c r="W36" s="84">
        <f t="shared" si="25"/>
        <v>0</v>
      </c>
      <c r="X36" s="85">
        <f>'Avg Bill by RS'!AH94</f>
        <v>0</v>
      </c>
      <c r="Y36" s="1064"/>
      <c r="Z36" s="1093">
        <f>'Rate Impacts - Rev Req ONLY'!N37</f>
        <v>0</v>
      </c>
      <c r="AA36" s="81">
        <f>'Rate Impacts - Rev Req ONLY'!O37</f>
        <v>0</v>
      </c>
      <c r="AB36" s="95">
        <f>SUM('Rev Req Proof Yr2'!AF94:AH94)</f>
        <v>0</v>
      </c>
      <c r="AC36" s="85">
        <f>IFERROR((AB36/Z36),0)</f>
        <v>0</v>
      </c>
      <c r="AD36" s="95">
        <f>SUM('Temps Proof'!AB94:AD94)</f>
        <v>0</v>
      </c>
      <c r="AE36" s="85">
        <f t="shared" si="15"/>
        <v>0</v>
      </c>
      <c r="AF36" s="1205">
        <f>SUM('Temps Proof'!AR94:AT94)</f>
        <v>0</v>
      </c>
      <c r="AG36" s="85">
        <f t="shared" si="0"/>
        <v>0</v>
      </c>
      <c r="AH36" s="1201">
        <f t="shared" si="16"/>
        <v>0</v>
      </c>
      <c r="AI36" s="1202">
        <f t="shared" si="1"/>
        <v>0</v>
      </c>
      <c r="AJ36" s="650"/>
      <c r="AK36" s="593"/>
      <c r="AL36" s="81">
        <f t="shared" si="17"/>
        <v>0</v>
      </c>
      <c r="AM36" s="81">
        <f t="shared" si="18"/>
        <v>0</v>
      </c>
      <c r="AN36" s="83">
        <f t="shared" si="2"/>
        <v>0</v>
      </c>
      <c r="AO36" s="84">
        <f t="shared" si="3"/>
        <v>0</v>
      </c>
      <c r="AP36" s="85">
        <f>'Avg Bill by RS'!BM34</f>
        <v>0</v>
      </c>
    </row>
    <row r="37" spans="2:42" x14ac:dyDescent="0.2">
      <c r="B37" s="1076">
        <v>22</v>
      </c>
      <c r="C37" s="1070" t="s">
        <v>348</v>
      </c>
      <c r="D37" s="80">
        <f>'Rate Impacts - Rev Req ONLY'!D38</f>
        <v>0</v>
      </c>
      <c r="E37" s="81">
        <f>'Rate Impacts - Rev Req ONLY'!E38</f>
        <v>0</v>
      </c>
      <c r="F37" s="95">
        <f>SUM('Rev Req Proof Yr1'!AF95:AH95)</f>
        <v>0</v>
      </c>
      <c r="G37" s="85">
        <f>IFERROR((F37/D37),0)</f>
        <v>0</v>
      </c>
      <c r="H37" s="95">
        <f>SUM('Rev Req Proof Yr1'!AM95:AO95)</f>
        <v>0</v>
      </c>
      <c r="I37" s="84">
        <f t="shared" si="4"/>
        <v>0</v>
      </c>
      <c r="J37" s="96">
        <f>SUM('Temps Proof'!T95:V95)</f>
        <v>0</v>
      </c>
      <c r="K37" s="85">
        <f t="shared" si="5"/>
        <v>0</v>
      </c>
      <c r="L37" s="96">
        <f>SUM('Temps Proof'!X95:Z95)</f>
        <v>0</v>
      </c>
      <c r="M37" s="84">
        <f t="shared" si="6"/>
        <v>0</v>
      </c>
      <c r="N37" s="1201">
        <f t="shared" si="7"/>
        <v>0</v>
      </c>
      <c r="O37" s="970">
        <f t="shared" si="8"/>
        <v>0</v>
      </c>
      <c r="P37" s="1231">
        <f t="shared" si="9"/>
        <v>0</v>
      </c>
      <c r="Q37" s="1202">
        <f t="shared" si="10"/>
        <v>0</v>
      </c>
      <c r="R37" s="650"/>
      <c r="S37" s="593"/>
      <c r="T37" s="81">
        <f t="shared" si="11"/>
        <v>0</v>
      </c>
      <c r="U37" s="81">
        <f t="shared" si="12"/>
        <v>0</v>
      </c>
      <c r="V37" s="83">
        <f t="shared" si="24"/>
        <v>0</v>
      </c>
      <c r="W37" s="84">
        <f t="shared" si="25"/>
        <v>0</v>
      </c>
      <c r="X37" s="85">
        <f>'Avg Bill by RS'!AH95</f>
        <v>0</v>
      </c>
      <c r="Y37" s="1064"/>
      <c r="Z37" s="1093">
        <f>'Rate Impacts - Rev Req ONLY'!N38</f>
        <v>0</v>
      </c>
      <c r="AA37" s="81">
        <f>'Rate Impacts - Rev Req ONLY'!O38</f>
        <v>0</v>
      </c>
      <c r="AB37" s="95">
        <f>SUM('Rev Req Proof Yr2'!AF95:AH95)</f>
        <v>0</v>
      </c>
      <c r="AC37" s="85">
        <f>IFERROR((AB37/Z37),0)</f>
        <v>0</v>
      </c>
      <c r="AD37" s="95">
        <f>SUM('Temps Proof'!AB95:AD95)</f>
        <v>0</v>
      </c>
      <c r="AE37" s="85">
        <f t="shared" si="15"/>
        <v>0</v>
      </c>
      <c r="AF37" s="1205">
        <f>SUM('Temps Proof'!AR95:AT95)</f>
        <v>0</v>
      </c>
      <c r="AG37" s="85">
        <f t="shared" si="0"/>
        <v>0</v>
      </c>
      <c r="AH37" s="1201">
        <f t="shared" si="16"/>
        <v>0</v>
      </c>
      <c r="AI37" s="1202">
        <f t="shared" si="1"/>
        <v>0</v>
      </c>
      <c r="AJ37" s="650"/>
      <c r="AK37" s="593"/>
      <c r="AL37" s="81">
        <f t="shared" si="17"/>
        <v>0</v>
      </c>
      <c r="AM37" s="81">
        <f t="shared" si="18"/>
        <v>0</v>
      </c>
      <c r="AN37" s="83">
        <f t="shared" si="2"/>
        <v>0</v>
      </c>
      <c r="AO37" s="84">
        <f t="shared" si="3"/>
        <v>0</v>
      </c>
      <c r="AP37" s="85">
        <f>'Avg Bill by RS'!BM35</f>
        <v>0</v>
      </c>
    </row>
    <row r="38" spans="2:42" x14ac:dyDescent="0.2">
      <c r="B38" s="1076">
        <v>23</v>
      </c>
      <c r="C38" s="1070" t="s">
        <v>391</v>
      </c>
      <c r="D38" s="80">
        <f>'Rate Impacts - Rev Req ONLY'!D39</f>
        <v>242994.60207180592</v>
      </c>
      <c r="E38" s="81">
        <f>'Rate Impacts - Rev Req ONLY'!E39</f>
        <v>242994.60207180592</v>
      </c>
      <c r="F38" s="95">
        <f>SUM('Rev Req Proof Yr1'!AF96:AH96)</f>
        <v>0</v>
      </c>
      <c r="G38" s="85">
        <f>IFERROR((F38/D38),0)</f>
        <v>0</v>
      </c>
      <c r="H38" s="95">
        <f>SUM('Rev Req Proof Yr1'!AM96:AO96)</f>
        <v>0</v>
      </c>
      <c r="I38" s="84">
        <f t="shared" si="4"/>
        <v>0</v>
      </c>
      <c r="J38" s="96">
        <f>SUM('Temps Proof'!T96:V96)</f>
        <v>0</v>
      </c>
      <c r="K38" s="85">
        <f t="shared" si="5"/>
        <v>0</v>
      </c>
      <c r="L38" s="96">
        <f>SUM('Temps Proof'!X96:Z96)</f>
        <v>0</v>
      </c>
      <c r="M38" s="84">
        <f t="shared" si="6"/>
        <v>0</v>
      </c>
      <c r="N38" s="1201">
        <f>SUM(F38,H38)</f>
        <v>0</v>
      </c>
      <c r="O38" s="970">
        <f t="shared" si="8"/>
        <v>0</v>
      </c>
      <c r="P38" s="1231">
        <f t="shared" si="9"/>
        <v>0</v>
      </c>
      <c r="Q38" s="1202">
        <f t="shared" si="10"/>
        <v>0</v>
      </c>
      <c r="R38" s="588"/>
      <c r="S38" s="593"/>
      <c r="T38" s="81">
        <f t="shared" si="11"/>
        <v>242994.60207180592</v>
      </c>
      <c r="U38" s="81">
        <f t="shared" si="12"/>
        <v>242994.60207180592</v>
      </c>
      <c r="V38" s="83">
        <f t="shared" si="24"/>
        <v>0</v>
      </c>
      <c r="W38" s="84">
        <f t="shared" si="25"/>
        <v>0</v>
      </c>
      <c r="X38" s="85">
        <f>'Avg Bill by RS'!AH96</f>
        <v>0</v>
      </c>
      <c r="Y38" s="1064"/>
      <c r="Z38" s="1093">
        <f>'Rate Impacts - Rev Req ONLY'!N39</f>
        <v>242994.60207180592</v>
      </c>
      <c r="AA38" s="81">
        <f>'Rate Impacts - Rev Req ONLY'!O39</f>
        <v>242994.60207180592</v>
      </c>
      <c r="AB38" s="95">
        <f>SUM('Rev Req Proof Yr2'!AF96:AH96)</f>
        <v>0</v>
      </c>
      <c r="AC38" s="85">
        <f>IFERROR((AB38/Z38),0)</f>
        <v>0</v>
      </c>
      <c r="AD38" s="95">
        <f>SUM('Temps Proof'!AB96:AD96)</f>
        <v>0</v>
      </c>
      <c r="AE38" s="85">
        <f t="shared" si="15"/>
        <v>0</v>
      </c>
      <c r="AF38" s="1205">
        <f>SUM('Temps Proof'!AR96:AT96)</f>
        <v>0</v>
      </c>
      <c r="AG38" s="85">
        <f t="shared" si="0"/>
        <v>0</v>
      </c>
      <c r="AH38" s="1201">
        <f t="shared" si="16"/>
        <v>0</v>
      </c>
      <c r="AI38" s="1202">
        <f t="shared" si="1"/>
        <v>0</v>
      </c>
      <c r="AJ38" s="588"/>
      <c r="AK38" s="593"/>
      <c r="AL38" s="81">
        <f t="shared" si="17"/>
        <v>242994.60207180592</v>
      </c>
      <c r="AM38" s="81">
        <f t="shared" si="18"/>
        <v>242994.60207180592</v>
      </c>
      <c r="AN38" s="83">
        <f t="shared" si="2"/>
        <v>0</v>
      </c>
      <c r="AO38" s="84">
        <f t="shared" si="3"/>
        <v>0</v>
      </c>
      <c r="AP38" s="85">
        <f>'Avg Bill by RS'!BM36</f>
        <v>0</v>
      </c>
    </row>
    <row r="39" spans="2:42" ht="13.5" thickBot="1" x14ac:dyDescent="0.25">
      <c r="B39" s="1078"/>
      <c r="C39" s="1071"/>
      <c r="D39" s="54"/>
      <c r="E39" s="54"/>
      <c r="F39" s="53"/>
      <c r="G39" s="1038"/>
      <c r="H39" s="53"/>
      <c r="I39" s="1039"/>
      <c r="J39" s="1040"/>
      <c r="K39" s="1041"/>
      <c r="L39" s="1040"/>
      <c r="M39" s="1229"/>
      <c r="N39" s="1234"/>
      <c r="O39" s="1235"/>
      <c r="P39" s="1235"/>
      <c r="Q39" s="1236"/>
      <c r="R39" s="587"/>
      <c r="S39" s="1044"/>
      <c r="T39" s="54"/>
      <c r="U39" s="54"/>
      <c r="V39" s="1052"/>
      <c r="W39" s="1053"/>
      <c r="X39" s="1054"/>
      <c r="Y39" s="1064"/>
      <c r="Z39" s="53"/>
      <c r="AA39" s="54"/>
      <c r="AB39" s="53"/>
      <c r="AC39" s="1038"/>
      <c r="AD39" s="53"/>
      <c r="AE39" s="1038"/>
      <c r="AF39" s="1207"/>
      <c r="AG39" s="1041"/>
      <c r="AH39" s="1042"/>
      <c r="AI39" s="1043"/>
      <c r="AJ39" s="587"/>
      <c r="AK39" s="1044"/>
      <c r="AL39" s="54"/>
      <c r="AM39" s="54"/>
      <c r="AN39" s="1052"/>
      <c r="AO39" s="1053"/>
      <c r="AP39" s="1054"/>
    </row>
    <row r="40" spans="2:42" s="92" customFormat="1" x14ac:dyDescent="0.2">
      <c r="B40" s="1082"/>
      <c r="C40" s="1469" t="s">
        <v>32</v>
      </c>
      <c r="D40" s="1026">
        <f>SUM(D16:D38)</f>
        <v>49604902.662138224</v>
      </c>
      <c r="E40" s="1027">
        <f>SUM(E16:E38)</f>
        <v>78333454.662138224</v>
      </c>
      <c r="F40" s="1191">
        <f>SUM(F16:F38)</f>
        <v>6717756.9231810682</v>
      </c>
      <c r="G40" s="1031">
        <f>IFERROR((F40/(D40-D38)),0)</f>
        <v>0.13609192162925537</v>
      </c>
      <c r="H40" s="1027">
        <f>SUM(H16:H38)</f>
        <v>-462278.66210878297</v>
      </c>
      <c r="I40" s="1030">
        <f>IFERROR((H40/(D40-D38)),0)</f>
        <v>-9.3650889983072708E-3</v>
      </c>
      <c r="J40" s="1045">
        <f>SUM(J16:J38)</f>
        <v>-1477662.7677191028</v>
      </c>
      <c r="K40" s="1031">
        <f>IFERROR((J40/(E40-E38)),0)</f>
        <v>-1.8922449254140633E-2</v>
      </c>
      <c r="L40" s="1192">
        <f>SUM(L16:L38)</f>
        <v>-875717.69437402359</v>
      </c>
      <c r="M40" s="1030">
        <f>IFERROR((L40/(E40-E38)),0)</f>
        <v>-1.1214144387168806E-2</v>
      </c>
      <c r="N40" s="971">
        <f>SUM(N16:N38)</f>
        <v>6255478.2610722845</v>
      </c>
      <c r="O40" s="1227">
        <f>IFERROR((N40)/(D40-D38),0)</f>
        <v>0.12672683263094808</v>
      </c>
      <c r="P40" s="1237">
        <f>SUM(P16:P38)</f>
        <v>3902097.798979158</v>
      </c>
      <c r="Q40" s="972">
        <f>IFERROR((P40)/(E40-E38),0)</f>
        <v>4.9968943658133182E-2</v>
      </c>
      <c r="R40" s="1083">
        <f>SUM(R16:R38)</f>
        <v>0</v>
      </c>
      <c r="S40" s="1087">
        <f>R40/E40</f>
        <v>0</v>
      </c>
      <c r="T40" s="1032">
        <f>SUM(T16:T38)</f>
        <v>55860380.923210509</v>
      </c>
      <c r="U40" s="1090">
        <f>SUM(U16:U38)</f>
        <v>82235552.461117402</v>
      </c>
      <c r="V40" s="1030">
        <f>IFERROR(SUM((T40-T38)-SUM(D40-D38))/SUM(D40-D38),0)</f>
        <v>0.12672683263094811</v>
      </c>
      <c r="W40" s="1030">
        <f>IFERROR(SUM((U40-U38)-SUM(E40-E38))/SUM(E40-E38),0)</f>
        <v>4.9968943658133431E-2</v>
      </c>
      <c r="X40" s="1031"/>
      <c r="Y40" s="1065"/>
      <c r="Z40" s="1094">
        <f>SUM(Z16:Z38)</f>
        <v>55860380.923210502</v>
      </c>
      <c r="AA40" s="1056">
        <f>SUM(AA16:AA38)</f>
        <v>84588932.923210517</v>
      </c>
      <c r="AB40" s="1193">
        <f>SUM(AB16:AB38)</f>
        <v>3150188.2762063476</v>
      </c>
      <c r="AC40" s="1057">
        <f t="shared" ref="AC40" si="26">IFERROR((AB40/Z40),0)</f>
        <v>5.6393963380536406E-2</v>
      </c>
      <c r="AD40" s="1193">
        <f>SUM(AD16:AD38)</f>
        <v>-44306.090475598678</v>
      </c>
      <c r="AE40" s="1057">
        <f>IFERROR((AD40/Z40),0)</f>
        <v>-7.931576860620564E-4</v>
      </c>
      <c r="AF40" s="1208">
        <f>SUM(AF16:AF38)</f>
        <v>0</v>
      </c>
      <c r="AG40" s="1058">
        <f>IFERROR((AF40/AB40),0)</f>
        <v>0</v>
      </c>
      <c r="AH40" s="1059">
        <f>SUM(AH16:AH38)</f>
        <v>3105882.1857307479</v>
      </c>
      <c r="AI40" s="1060">
        <f>IFERROR((AH40/Z40),0)</f>
        <v>5.5600805694474335E-2</v>
      </c>
      <c r="AJ40" s="1061">
        <f>SUM(AJ16:AJ38)</f>
        <v>0</v>
      </c>
      <c r="AK40" s="1062">
        <f>AJ40/AA40</f>
        <v>0</v>
      </c>
      <c r="AL40" s="1055">
        <f>SUM(AL16:AL38)</f>
        <v>58966263.108941264</v>
      </c>
      <c r="AM40" s="1056">
        <f>SUM(AM16:AM38)</f>
        <v>87694815.108941257</v>
      </c>
      <c r="AN40" s="1063">
        <f>IFERROR(SUM((AL40-AL38)-SUM(Z40-Z38))/SUM(Z40-Z38),0)</f>
        <v>5.5843727855120352E-2</v>
      </c>
      <c r="AO40" s="1058">
        <f>IFERROR(SUM((AM40-AM38)-SUM(AA40-AA38))/SUM(AA40-AA38),0)</f>
        <v>3.6823138701776073E-2</v>
      </c>
      <c r="AP40" s="1057"/>
    </row>
    <row r="41" spans="2:42" ht="15.75" thickBot="1" x14ac:dyDescent="0.3">
      <c r="B41" s="1084"/>
      <c r="C41" s="1085"/>
      <c r="D41" s="1280"/>
      <c r="E41" s="1046"/>
      <c r="F41" s="1470" t="s">
        <v>582</v>
      </c>
      <c r="G41" s="1048"/>
      <c r="H41" s="1471" t="s">
        <v>582</v>
      </c>
      <c r="I41" s="1046"/>
      <c r="J41" s="1472" t="s">
        <v>582</v>
      </c>
      <c r="K41" s="90"/>
      <c r="L41" s="1471" t="s">
        <v>582</v>
      </c>
      <c r="M41" s="89"/>
      <c r="N41" s="1473" t="s">
        <v>582</v>
      </c>
      <c r="O41" s="1228"/>
      <c r="P41" s="1474" t="s">
        <v>582</v>
      </c>
      <c r="Q41" s="1049"/>
      <c r="R41" s="1086"/>
      <c r="S41" s="1088"/>
      <c r="T41" s="1279"/>
      <c r="U41" s="1091"/>
      <c r="V41" s="1281" t="s">
        <v>554</v>
      </c>
      <c r="W41" s="89"/>
      <c r="X41" s="1475" t="s">
        <v>583</v>
      </c>
      <c r="Y41" s="1064"/>
      <c r="Z41" s="1047"/>
      <c r="AA41" s="1046"/>
      <c r="AB41" s="1470" t="s">
        <v>488</v>
      </c>
      <c r="AC41" s="1048"/>
      <c r="AD41" s="1477" t="s">
        <v>488</v>
      </c>
      <c r="AE41" s="1210"/>
      <c r="AF41" s="1209"/>
      <c r="AG41" s="89"/>
      <c r="AH41" s="1473" t="s">
        <v>488</v>
      </c>
      <c r="AI41" s="1049"/>
      <c r="AJ41" s="1050"/>
      <c r="AK41" s="1051"/>
      <c r="AL41" s="1046"/>
      <c r="AM41" s="1089"/>
      <c r="AN41" s="1281"/>
      <c r="AO41" s="89"/>
      <c r="AP41" s="1475" t="s">
        <v>500</v>
      </c>
    </row>
    <row r="42" spans="2:42" ht="6.75" customHeight="1" x14ac:dyDescent="0.2">
      <c r="D42" s="88"/>
      <c r="E42" s="88"/>
      <c r="F42" s="88"/>
      <c r="G42" s="88"/>
      <c r="H42" s="88"/>
      <c r="I42" s="88"/>
      <c r="J42" s="88"/>
      <c r="K42" s="88"/>
      <c r="L42" s="88"/>
      <c r="M42" s="88"/>
      <c r="N42" s="88"/>
      <c r="O42" s="1282" t="s">
        <v>555</v>
      </c>
      <c r="P42" s="88"/>
      <c r="Q42" s="88"/>
      <c r="R42" s="88"/>
      <c r="S42" s="88"/>
      <c r="T42" s="88"/>
    </row>
    <row r="43" spans="2:42" ht="12" customHeight="1" x14ac:dyDescent="0.2">
      <c r="B43" s="902" t="s">
        <v>579</v>
      </c>
      <c r="C43" s="898"/>
      <c r="D43" s="98"/>
      <c r="E43" s="99"/>
      <c r="F43" s="62"/>
      <c r="G43" s="62"/>
      <c r="H43" s="99"/>
      <c r="I43" s="62"/>
      <c r="J43" s="99"/>
      <c r="K43" s="99"/>
      <c r="L43" s="99"/>
      <c r="M43" s="99"/>
      <c r="N43" s="99"/>
      <c r="O43" s="99"/>
      <c r="P43" s="99"/>
      <c r="Q43" s="99"/>
      <c r="R43" s="99"/>
      <c r="S43" s="99"/>
      <c r="T43" s="62"/>
      <c r="U43" s="100"/>
      <c r="V43" s="580"/>
      <c r="W43" s="62"/>
      <c r="X43" s="62"/>
      <c r="Y43" s="62"/>
      <c r="Z43" s="902" t="s">
        <v>579</v>
      </c>
      <c r="AA43" s="898"/>
    </row>
    <row r="44" spans="2:42" ht="12" customHeight="1" x14ac:dyDescent="0.2">
      <c r="B44" s="902" t="s">
        <v>578</v>
      </c>
      <c r="C44" s="903"/>
      <c r="D44" s="98"/>
      <c r="E44" s="99"/>
      <c r="F44" s="100"/>
      <c r="G44" s="100"/>
      <c r="H44" s="99"/>
      <c r="I44" s="100"/>
      <c r="J44" s="99"/>
      <c r="K44" s="99"/>
      <c r="L44" s="99"/>
      <c r="M44" s="99"/>
      <c r="N44" s="99"/>
      <c r="O44" s="99"/>
      <c r="P44" s="99"/>
      <c r="Q44" s="99"/>
      <c r="R44" s="99"/>
      <c r="S44" s="99"/>
      <c r="T44" s="62"/>
      <c r="U44" s="1278"/>
      <c r="V44" s="580"/>
      <c r="W44" s="62"/>
      <c r="X44" s="62"/>
      <c r="Y44" s="62"/>
      <c r="Z44" s="902" t="s">
        <v>586</v>
      </c>
    </row>
    <row r="45" spans="2:42" ht="12" customHeight="1" x14ac:dyDescent="0.2">
      <c r="B45" s="902" t="s">
        <v>580</v>
      </c>
      <c r="D45" s="98"/>
      <c r="E45" s="99"/>
      <c r="F45" s="100"/>
      <c r="G45" s="100"/>
      <c r="H45" s="99"/>
      <c r="I45" s="100"/>
      <c r="J45" s="99"/>
      <c r="K45" s="99"/>
      <c r="L45" s="99"/>
      <c r="M45" s="99"/>
      <c r="N45" s="99"/>
      <c r="O45" s="99"/>
      <c r="P45" s="99"/>
      <c r="Q45" s="99"/>
      <c r="R45" s="99"/>
      <c r="S45" s="99"/>
      <c r="T45" s="62"/>
      <c r="U45" s="62"/>
      <c r="V45" s="62"/>
      <c r="W45" s="62"/>
      <c r="X45" s="62"/>
      <c r="Y45" s="62"/>
      <c r="Z45" s="902" t="s">
        <v>588</v>
      </c>
      <c r="AA45" s="898"/>
    </row>
    <row r="46" spans="2:42" ht="12" customHeight="1" x14ac:dyDescent="0.2">
      <c r="B46" s="902" t="s">
        <v>581</v>
      </c>
      <c r="D46" s="98"/>
      <c r="E46" s="99"/>
      <c r="F46" s="62"/>
      <c r="G46" s="62"/>
      <c r="H46" s="99"/>
      <c r="I46" s="62"/>
      <c r="J46" s="99"/>
      <c r="K46" s="99"/>
      <c r="L46" s="99"/>
      <c r="M46" s="99"/>
      <c r="N46" s="99"/>
      <c r="O46" s="99"/>
      <c r="P46" s="99"/>
      <c r="Q46" s="99"/>
      <c r="R46" s="99"/>
      <c r="S46" s="99"/>
      <c r="T46" s="62"/>
      <c r="U46" s="62"/>
      <c r="V46" s="62"/>
      <c r="W46" s="62"/>
      <c r="X46" s="62"/>
      <c r="Y46" s="62"/>
      <c r="Z46" s="902" t="s">
        <v>589</v>
      </c>
      <c r="AA46" s="903"/>
    </row>
    <row r="47" spans="2:42" ht="12" customHeight="1" x14ac:dyDescent="0.2">
      <c r="B47" s="902" t="s">
        <v>584</v>
      </c>
      <c r="C47" s="898"/>
      <c r="D47" s="98"/>
      <c r="E47" s="99"/>
      <c r="F47" s="62"/>
      <c r="G47" s="62"/>
      <c r="H47" s="99"/>
      <c r="I47" s="62"/>
      <c r="J47" s="99"/>
      <c r="K47" s="99"/>
      <c r="L47" s="99"/>
      <c r="M47" s="99"/>
      <c r="N47" s="99"/>
      <c r="O47" s="99"/>
      <c r="P47" s="99"/>
      <c r="Q47" s="99"/>
      <c r="R47" s="99"/>
      <c r="S47" s="99"/>
      <c r="T47" s="62"/>
      <c r="U47" s="62"/>
      <c r="V47" s="62"/>
      <c r="W47" s="62"/>
      <c r="X47" s="62"/>
      <c r="Y47" s="62"/>
      <c r="Z47" s="902" t="s">
        <v>587</v>
      </c>
    </row>
    <row r="48" spans="2:42" x14ac:dyDescent="0.2">
      <c r="B48" s="902" t="s">
        <v>585</v>
      </c>
      <c r="C48" s="903"/>
      <c r="D48" s="97"/>
      <c r="E48" s="62"/>
      <c r="F48" s="62"/>
      <c r="G48" s="62"/>
      <c r="H48" s="62"/>
      <c r="I48" s="62"/>
      <c r="J48" s="62"/>
      <c r="K48" s="62"/>
      <c r="L48" s="62"/>
      <c r="M48" s="62"/>
      <c r="N48" s="62"/>
      <c r="O48" s="62"/>
      <c r="P48" s="62"/>
      <c r="Q48" s="62"/>
      <c r="R48" s="62"/>
      <c r="S48" s="62"/>
      <c r="T48" s="62"/>
      <c r="U48" s="62"/>
      <c r="V48" s="62"/>
      <c r="W48" s="62"/>
      <c r="X48" s="62"/>
      <c r="Y48" s="62"/>
    </row>
    <row r="49" spans="2:39" ht="12.95" customHeight="1" x14ac:dyDescent="0.2">
      <c r="B49" s="1348"/>
      <c r="C49" s="97"/>
      <c r="D49" s="97"/>
      <c r="E49" s="62"/>
      <c r="F49" s="62"/>
      <c r="G49" s="62"/>
      <c r="H49" s="62"/>
      <c r="I49" s="62"/>
      <c r="J49" s="62"/>
      <c r="K49" s="62"/>
      <c r="L49" s="62"/>
      <c r="M49" s="62"/>
      <c r="N49" s="62"/>
      <c r="O49" s="62"/>
      <c r="P49" s="62"/>
      <c r="Q49" s="62"/>
      <c r="R49" s="62"/>
      <c r="S49" s="62"/>
      <c r="T49" s="62"/>
      <c r="U49" s="62"/>
      <c r="V49" s="62"/>
      <c r="W49" s="62"/>
      <c r="X49" s="62"/>
      <c r="Y49" s="62"/>
    </row>
    <row r="50" spans="2:39" ht="12" customHeight="1" x14ac:dyDescent="0.2">
      <c r="B50" s="1348"/>
      <c r="C50" s="98"/>
      <c r="D50" s="97"/>
      <c r="E50" s="62"/>
      <c r="F50" s="62"/>
      <c r="G50" s="62"/>
      <c r="H50" s="62"/>
      <c r="I50" s="62"/>
      <c r="J50" s="62"/>
      <c r="K50" s="62"/>
      <c r="L50" s="62"/>
      <c r="M50" s="62"/>
      <c r="N50" s="62"/>
      <c r="O50" s="62"/>
      <c r="P50" s="62"/>
      <c r="Q50" s="62"/>
      <c r="R50" s="62"/>
      <c r="S50" s="62"/>
      <c r="T50" s="62"/>
      <c r="U50" s="62"/>
      <c r="V50" s="62"/>
      <c r="W50" s="62"/>
      <c r="X50" s="62"/>
      <c r="Y50" s="62"/>
    </row>
    <row r="51" spans="2:39" ht="12" customHeight="1" thickBot="1" x14ac:dyDescent="0.25">
      <c r="B51" s="1348"/>
      <c r="C51" s="98"/>
      <c r="D51" s="62"/>
      <c r="E51" s="62"/>
      <c r="F51" s="62"/>
      <c r="G51" s="62"/>
      <c r="H51" s="62"/>
      <c r="I51" s="62"/>
      <c r="J51" s="62"/>
      <c r="K51" s="62"/>
      <c r="L51" s="62"/>
      <c r="M51" s="62"/>
      <c r="N51" s="62"/>
      <c r="O51" s="62"/>
      <c r="P51" s="62"/>
      <c r="Q51" s="62"/>
      <c r="R51" s="62"/>
      <c r="S51" s="62"/>
      <c r="T51" s="1283" t="s">
        <v>422</v>
      </c>
      <c r="U51" s="1636" t="s">
        <v>551</v>
      </c>
      <c r="V51" s="1636"/>
      <c r="W51" s="1636"/>
      <c r="X51" s="1636"/>
      <c r="Y51" s="62"/>
      <c r="Z51" s="1636" t="s">
        <v>552</v>
      </c>
      <c r="AA51" s="1636"/>
      <c r="AB51" s="1636"/>
      <c r="AC51" s="1636"/>
      <c r="AE51" s="1636" t="s">
        <v>553</v>
      </c>
      <c r="AF51" s="1636"/>
      <c r="AG51" s="1636"/>
      <c r="AH51" s="1636"/>
      <c r="AL51" s="1478" t="s">
        <v>83</v>
      </c>
      <c r="AM51" s="1479" t="s">
        <v>559</v>
      </c>
    </row>
    <row r="52" spans="2:39" x14ac:dyDescent="0.2">
      <c r="U52" s="1267" t="s">
        <v>543</v>
      </c>
      <c r="V52" s="1267" t="s">
        <v>544</v>
      </c>
      <c r="W52" s="1267" t="s">
        <v>545</v>
      </c>
      <c r="X52" s="1267" t="s">
        <v>546</v>
      </c>
      <c r="Z52" s="1267" t="s">
        <v>549</v>
      </c>
      <c r="AA52" s="1267" t="s">
        <v>550</v>
      </c>
      <c r="AB52" s="1267" t="s">
        <v>545</v>
      </c>
      <c r="AC52" s="1267" t="s">
        <v>546</v>
      </c>
      <c r="AE52" s="1267" t="s">
        <v>549</v>
      </c>
      <c r="AF52" s="1267" t="s">
        <v>550</v>
      </c>
      <c r="AG52" s="1267" t="s">
        <v>545</v>
      </c>
      <c r="AH52" s="1267" t="s">
        <v>546</v>
      </c>
      <c r="AL52" s="1480" t="s">
        <v>374</v>
      </c>
      <c r="AM52" s="1480" t="s">
        <v>560</v>
      </c>
    </row>
    <row r="53" spans="2:39" x14ac:dyDescent="0.2">
      <c r="T53" s="52" t="s">
        <v>264</v>
      </c>
      <c r="U53" s="1268">
        <f>D16+D18</f>
        <v>34006734.72181496</v>
      </c>
      <c r="V53" s="1268">
        <f>T16+T18</f>
        <v>38316252.564415865</v>
      </c>
      <c r="W53" s="1268">
        <f>V53-U53</f>
        <v>4309517.8426009044</v>
      </c>
      <c r="X53" s="1270">
        <f>W53/U53</f>
        <v>0.12672542300382619</v>
      </c>
      <c r="Z53" s="1268">
        <f>E16+E18</f>
        <v>53291888.72181496</v>
      </c>
      <c r="AA53" s="1268">
        <f>Z53+W53</f>
        <v>57601406.564415865</v>
      </c>
      <c r="AB53" s="1268">
        <f>AA53-Z53</f>
        <v>4309517.8426009044</v>
      </c>
      <c r="AC53" s="1270">
        <f>AB53/Z53</f>
        <v>8.08662996557825E-2</v>
      </c>
      <c r="AE53" s="1268">
        <f>Z53</f>
        <v>53291888.72181496</v>
      </c>
      <c r="AF53" s="1268">
        <f>U16+U18</f>
        <v>55906683.181165002</v>
      </c>
      <c r="AG53" s="1268">
        <f>AF53-AE53</f>
        <v>2614794.459350042</v>
      </c>
      <c r="AH53" s="1270">
        <f>AG53/AE53</f>
        <v>4.9065524267667388E-2</v>
      </c>
      <c r="AL53" s="1292">
        <f>'WA Volumes &amp; Revenues'!Y22</f>
        <v>82030</v>
      </c>
      <c r="AM53" s="1290">
        <f>(AG53/AL53)/12</f>
        <v>2.6563396108639545</v>
      </c>
    </row>
    <row r="54" spans="2:39" x14ac:dyDescent="0.2">
      <c r="F54" s="967"/>
      <c r="T54" s="52" t="s">
        <v>26</v>
      </c>
      <c r="U54" s="1268">
        <f>D17+D19+D21+D22+D28</f>
        <v>11867633.430188185</v>
      </c>
      <c r="V54" s="1268">
        <f>T17+T19+T21+T22+T28</f>
        <v>13371617.970759571</v>
      </c>
      <c r="W54" s="1268">
        <f t="shared" ref="W54:W57" si="27">V54-U54</f>
        <v>1503984.540571386</v>
      </c>
      <c r="X54" s="1270">
        <f t="shared" ref="X54:X58" si="28">W54/U54</f>
        <v>0.12672994573169399</v>
      </c>
      <c r="Z54" s="1268">
        <f>E17+E19+E21+E22+E28</f>
        <v>19853121.430188186</v>
      </c>
      <c r="AA54" s="1268">
        <f t="shared" ref="AA54:AA57" si="29">Z54+W54</f>
        <v>21357105.970759571</v>
      </c>
      <c r="AB54" s="1268">
        <f t="shared" ref="AB54:AB57" si="30">AA54-Z54</f>
        <v>1503984.5405713841</v>
      </c>
      <c r="AC54" s="1270">
        <f t="shared" ref="AC54:AC58" si="31">AB54/Z54</f>
        <v>7.57555705212411E-2</v>
      </c>
      <c r="AE54" s="1268">
        <f t="shared" ref="AE54:AE57" si="32">Z54</f>
        <v>19853121.430188186</v>
      </c>
      <c r="AF54" s="1268">
        <f>U17+U19+U21+U22+U28</f>
        <v>20765456.308325298</v>
      </c>
      <c r="AG54" s="1268">
        <f t="shared" ref="AG54:AG57" si="33">AF54-AE54</f>
        <v>912334.87813711166</v>
      </c>
      <c r="AH54" s="1270">
        <f t="shared" ref="AH54:AH58" si="34">AG54/AE54</f>
        <v>4.5954228474613411E-2</v>
      </c>
      <c r="AL54" s="1292">
        <f>'WA Volumes &amp; Revenues'!Y23</f>
        <v>7224</v>
      </c>
      <c r="AM54" s="1290">
        <f t="shared" ref="AM54:AM58" si="35">(AG54/AL54)/12</f>
        <v>10.524350292279342</v>
      </c>
    </row>
    <row r="55" spans="2:39" x14ac:dyDescent="0.2">
      <c r="T55" s="52" t="s">
        <v>540</v>
      </c>
      <c r="U55" s="1268">
        <f>D20+D23+D29</f>
        <v>1046175.3848576922</v>
      </c>
      <c r="V55" s="1268">
        <f>T20+T23+T29</f>
        <v>1178763.2199776922</v>
      </c>
      <c r="W55" s="1268">
        <f t="shared" si="27"/>
        <v>132587.83512000006</v>
      </c>
      <c r="X55" s="1270">
        <f t="shared" si="28"/>
        <v>0.12673576251082944</v>
      </c>
      <c r="Z55" s="1268">
        <f>E20+E23+E29</f>
        <v>2143268.3848576923</v>
      </c>
      <c r="AA55" s="1268">
        <f t="shared" si="29"/>
        <v>2275856.2199776922</v>
      </c>
      <c r="AB55" s="1268">
        <f t="shared" si="30"/>
        <v>132587.83511999995</v>
      </c>
      <c r="AC55" s="1270">
        <f t="shared" si="31"/>
        <v>6.1862450851577995E-2</v>
      </c>
      <c r="AE55" s="1268">
        <f t="shared" si="32"/>
        <v>2143268.3848576923</v>
      </c>
      <c r="AF55" s="1268">
        <f>U20+U23+U29</f>
        <v>2257300.6399696926</v>
      </c>
      <c r="AG55" s="1268">
        <f t="shared" si="33"/>
        <v>114032.25511200028</v>
      </c>
      <c r="AH55" s="1270">
        <f t="shared" si="34"/>
        <v>5.3204841688350539E-2</v>
      </c>
      <c r="AL55" s="1292">
        <f>'WA Volumes &amp; Revenues'!Y24</f>
        <v>53.999999999999993</v>
      </c>
      <c r="AM55" s="1290">
        <f t="shared" si="35"/>
        <v>175.97570233333377</v>
      </c>
    </row>
    <row r="56" spans="2:39" x14ac:dyDescent="0.2">
      <c r="T56" s="52" t="s">
        <v>541</v>
      </c>
      <c r="U56" s="1268">
        <f>D25+D33+D24+D32</f>
        <v>241642.64647558174</v>
      </c>
      <c r="V56" s="1268">
        <f>T24+T25+T32+T33</f>
        <v>272265.97071558179</v>
      </c>
      <c r="W56" s="1268">
        <f t="shared" si="27"/>
        <v>30623.324240000045</v>
      </c>
      <c r="X56" s="1270">
        <f t="shared" si="28"/>
        <v>0.12672979992004255</v>
      </c>
      <c r="Z56" s="1268">
        <f>E25+E33+E24+E32</f>
        <v>602459.64647558169</v>
      </c>
      <c r="AA56" s="1268">
        <f t="shared" si="29"/>
        <v>633082.97071558167</v>
      </c>
      <c r="AB56" s="1268">
        <f t="shared" si="30"/>
        <v>30623.324239999987</v>
      </c>
      <c r="AC56" s="1270">
        <f t="shared" si="31"/>
        <v>5.0830498638619083E-2</v>
      </c>
      <c r="AE56" s="1268">
        <f t="shared" si="32"/>
        <v>602459.64647558169</v>
      </c>
      <c r="AF56" s="1268">
        <f>U24+U25+U32+U33</f>
        <v>623640.7715555816</v>
      </c>
      <c r="AG56" s="1268">
        <f t="shared" si="33"/>
        <v>21181.125079999911</v>
      </c>
      <c r="AH56" s="1270">
        <f t="shared" si="34"/>
        <v>3.5157749077320825E-2</v>
      </c>
      <c r="AL56" s="1292">
        <f>'WA Volumes &amp; Revenues'!Y25</f>
        <v>4.9166666666666696</v>
      </c>
      <c r="AM56" s="1290">
        <f t="shared" si="35"/>
        <v>359.00211999999829</v>
      </c>
    </row>
    <row r="57" spans="2:39" x14ac:dyDescent="0.2">
      <c r="T57" s="606" t="s">
        <v>547</v>
      </c>
      <c r="U57" s="1268">
        <f>D26+D27+D30+D31+D34+D35+D36+D37</f>
        <v>2199721.8767299997</v>
      </c>
      <c r="V57" s="1268">
        <f>T26+T27+T30+T31+T34+T35+T36+T37</f>
        <v>2478486.5952699999</v>
      </c>
      <c r="W57" s="1268">
        <f t="shared" si="27"/>
        <v>278764.71854000026</v>
      </c>
      <c r="X57" s="1270">
        <f t="shared" si="28"/>
        <v>0.12672725651771871</v>
      </c>
      <c r="Z57" s="1268">
        <f>E26+E27+E30+E31+E34+E35+E36+E37</f>
        <v>2199721.8767299997</v>
      </c>
      <c r="AA57" s="1268">
        <f t="shared" si="29"/>
        <v>2478486.5952699999</v>
      </c>
      <c r="AB57" s="1268">
        <f t="shared" si="30"/>
        <v>278764.71854000026</v>
      </c>
      <c r="AC57" s="1270">
        <f t="shared" si="31"/>
        <v>0.12672725651771871</v>
      </c>
      <c r="AE57" s="1268">
        <f t="shared" si="32"/>
        <v>2199721.8767299997</v>
      </c>
      <c r="AF57" s="1268">
        <f>U26+U27+U30+U31+U34+U35+U36+U37</f>
        <v>2439476.9580300003</v>
      </c>
      <c r="AG57" s="1268">
        <f t="shared" si="33"/>
        <v>239755.08130000066</v>
      </c>
      <c r="AH57" s="1270">
        <f t="shared" si="34"/>
        <v>0.10899336131366252</v>
      </c>
      <c r="AL57" s="1294">
        <f>'WA Volumes &amp; Revenues'!Y26</f>
        <v>27.833333333333336</v>
      </c>
      <c r="AM57" s="1299">
        <f t="shared" si="35"/>
        <v>717.82958473054077</v>
      </c>
    </row>
    <row r="58" spans="2:39" x14ac:dyDescent="0.2">
      <c r="T58" s="52" t="s">
        <v>542</v>
      </c>
      <c r="U58" s="1269">
        <f>SUM(U53:U57)</f>
        <v>49361908.060066424</v>
      </c>
      <c r="V58" s="1269">
        <f>SUM(V53:V57)</f>
        <v>55617386.32113871</v>
      </c>
      <c r="W58" s="1269">
        <f>SUM(W53:W57)</f>
        <v>6255478.2610722911</v>
      </c>
      <c r="X58" s="1271">
        <f t="shared" si="28"/>
        <v>0.12672683263094819</v>
      </c>
      <c r="Z58" s="1269">
        <f>SUM(Z53:Z57)</f>
        <v>78090460.060066417</v>
      </c>
      <c r="AA58" s="1269">
        <f>SUM(AA53:AA57)</f>
        <v>84345938.32113871</v>
      </c>
      <c r="AB58" s="1269">
        <f>SUM(AB53:AB57)</f>
        <v>6255478.2610722892</v>
      </c>
      <c r="AC58" s="1271">
        <f t="shared" si="31"/>
        <v>8.0105537299442683E-2</v>
      </c>
      <c r="AE58" s="1269">
        <f>SUM(AE53:AE57)</f>
        <v>78090460.060066417</v>
      </c>
      <c r="AF58" s="1269">
        <f>SUM(AF53:AF57)</f>
        <v>81992557.85904558</v>
      </c>
      <c r="AG58" s="1269">
        <f>SUM(AG53:AG57)</f>
        <v>3902097.7989791548</v>
      </c>
      <c r="AH58" s="1271">
        <f t="shared" si="34"/>
        <v>4.996894365813314E-2</v>
      </c>
      <c r="AL58" s="1293">
        <f>SUM(AL53:AL57)</f>
        <v>89340.75</v>
      </c>
      <c r="AM58" s="1291">
        <f t="shared" si="35"/>
        <v>3.6397144257418503</v>
      </c>
    </row>
    <row r="59" spans="2:39" x14ac:dyDescent="0.2">
      <c r="AF59" s="967"/>
      <c r="AG59" s="967"/>
    </row>
    <row r="60" spans="2:39" x14ac:dyDescent="0.2">
      <c r="T60" s="606" t="s">
        <v>548</v>
      </c>
      <c r="W60" s="967"/>
    </row>
    <row r="61" spans="2:39" x14ac:dyDescent="0.2">
      <c r="W61" s="967"/>
    </row>
    <row r="62" spans="2:39" ht="13.5" thickBot="1" x14ac:dyDescent="0.25">
      <c r="T62" s="1283" t="s">
        <v>417</v>
      </c>
      <c r="U62" s="1636" t="s">
        <v>551</v>
      </c>
      <c r="V62" s="1636"/>
      <c r="W62" s="1636"/>
      <c r="X62" s="1636"/>
      <c r="Y62" s="62"/>
      <c r="Z62" s="1636" t="s">
        <v>552</v>
      </c>
      <c r="AA62" s="1636"/>
      <c r="AB62" s="1636"/>
      <c r="AC62" s="1636"/>
      <c r="AE62" s="1636" t="s">
        <v>553</v>
      </c>
      <c r="AF62" s="1636"/>
      <c r="AG62" s="1636"/>
      <c r="AH62" s="1636"/>
      <c r="AL62" s="1267" t="s">
        <v>83</v>
      </c>
      <c r="AM62" s="1295" t="s">
        <v>559</v>
      </c>
    </row>
    <row r="63" spans="2:39" x14ac:dyDescent="0.2">
      <c r="U63" s="1267" t="s">
        <v>543</v>
      </c>
      <c r="V63" s="1267" t="s">
        <v>544</v>
      </c>
      <c r="W63" s="1267" t="s">
        <v>545</v>
      </c>
      <c r="X63" s="1267" t="s">
        <v>546</v>
      </c>
      <c r="Z63" s="1267" t="s">
        <v>549</v>
      </c>
      <c r="AA63" s="1267" t="s">
        <v>550</v>
      </c>
      <c r="AB63" s="1267" t="s">
        <v>545</v>
      </c>
      <c r="AC63" s="1267" t="s">
        <v>546</v>
      </c>
      <c r="AE63" s="1267" t="s">
        <v>549</v>
      </c>
      <c r="AF63" s="1267" t="s">
        <v>550</v>
      </c>
      <c r="AG63" s="1267" t="s">
        <v>545</v>
      </c>
      <c r="AH63" s="1267" t="s">
        <v>546</v>
      </c>
      <c r="AL63" s="1296" t="s">
        <v>374</v>
      </c>
      <c r="AM63" s="1296" t="s">
        <v>560</v>
      </c>
    </row>
    <row r="64" spans="2:39" x14ac:dyDescent="0.2">
      <c r="T64" s="52" t="s">
        <v>264</v>
      </c>
      <c r="U64" s="1268">
        <f>V53</f>
        <v>38316252.564415865</v>
      </c>
      <c r="V64" s="1268">
        <f>AL16+AL18</f>
        <v>40456078.493085042</v>
      </c>
      <c r="W64" s="1268">
        <f>V64-U64</f>
        <v>2139825.928669177</v>
      </c>
      <c r="X64" s="1270">
        <f>W64/U64</f>
        <v>5.584643031235325E-2</v>
      </c>
      <c r="Z64" s="1268">
        <f>AA16+AA18</f>
        <v>57601406.564415865</v>
      </c>
      <c r="AA64" s="1268">
        <f>AB16+AB18+Z64</f>
        <v>59771645.866463423</v>
      </c>
      <c r="AB64" s="1268">
        <f>AA64-Z64</f>
        <v>2170239.3020475581</v>
      </c>
      <c r="AC64" s="1270">
        <f>AB64/Z64</f>
        <v>3.7676845610021201E-2</v>
      </c>
      <c r="AE64" s="1268">
        <f>Z64</f>
        <v>57601406.564415865</v>
      </c>
      <c r="AF64" s="1268">
        <f>AM16+AM18</f>
        <v>59741232.493085042</v>
      </c>
      <c r="AG64" s="1268">
        <f>AF64-AE64</f>
        <v>2139825.928669177</v>
      </c>
      <c r="AH64" s="1270">
        <f>AG64/AE64</f>
        <v>3.7148848548970791E-2</v>
      </c>
      <c r="AL64" s="1297">
        <f>AL53</f>
        <v>82030</v>
      </c>
      <c r="AM64" s="1290">
        <f>(AG64/AL64)/12</f>
        <v>2.1738245445458744</v>
      </c>
    </row>
    <row r="65" spans="20:39" x14ac:dyDescent="0.2">
      <c r="T65" s="52" t="s">
        <v>26</v>
      </c>
      <c r="U65" s="1268">
        <f>V54</f>
        <v>13371617.970759571</v>
      </c>
      <c r="V65" s="1268">
        <f>AL17+AL19+AL21+AL22+AL28</f>
        <v>14118243.110319136</v>
      </c>
      <c r="W65" s="1268">
        <f t="shared" ref="W65:W68" si="36">V65-U65</f>
        <v>746625.13955956511</v>
      </c>
      <c r="X65" s="1270">
        <f t="shared" ref="X65:X69" si="37">W65/U65</f>
        <v>5.5836559284916015E-2</v>
      </c>
      <c r="Z65" s="1268">
        <f>AA17+AA19+AA21+AA22+AA28</f>
        <v>21357105.970759574</v>
      </c>
      <c r="AA65" s="1268">
        <f>AB17+AB19+AB21+AB22+AB28+Z65</f>
        <v>22114480.111535363</v>
      </c>
      <c r="AB65" s="1268">
        <f>AA65-Z65</f>
        <v>757374.14077578858</v>
      </c>
      <c r="AC65" s="1270">
        <f>AB65/Z65</f>
        <v>3.5462395598576141E-2</v>
      </c>
      <c r="AE65" s="1268">
        <f t="shared" ref="AE65:AE68" si="38">Z65</f>
        <v>21357105.970759574</v>
      </c>
      <c r="AF65" s="1268">
        <f>AM17+AM19+AM21+AM22+AM28</f>
        <v>22103731.110319134</v>
      </c>
      <c r="AG65" s="1268">
        <f t="shared" ref="AG65:AG68" si="39">AF65-AE65</f>
        <v>746625.13955955952</v>
      </c>
      <c r="AH65" s="1270">
        <f t="shared" ref="AH65:AH69" si="40">AG65/AE65</f>
        <v>3.4959097013508217E-2</v>
      </c>
      <c r="AL65" s="1297">
        <f>AL54</f>
        <v>7224</v>
      </c>
      <c r="AM65" s="1290">
        <f t="shared" ref="AM65:AM69" si="41">(AG65/AL65)/12</f>
        <v>8.612785386207543</v>
      </c>
    </row>
    <row r="66" spans="20:39" x14ac:dyDescent="0.2">
      <c r="T66" s="52" t="s">
        <v>540</v>
      </c>
      <c r="U66" s="1268">
        <f>V55</f>
        <v>1178763.2199776922</v>
      </c>
      <c r="V66" s="1268">
        <f>AL20+AL23+AL29</f>
        <v>1244578.8446896924</v>
      </c>
      <c r="W66" s="1268">
        <f t="shared" si="36"/>
        <v>65815.624712000135</v>
      </c>
      <c r="X66" s="1270">
        <f t="shared" si="37"/>
        <v>5.5834474300314255E-2</v>
      </c>
      <c r="Z66" s="1268">
        <f>AA20+AA23+AA29</f>
        <v>2275856.2199776927</v>
      </c>
      <c r="AA66" s="1268">
        <f>AB20+AB23+AB29+Z66</f>
        <v>2342622.6834006929</v>
      </c>
      <c r="AB66" s="1268">
        <f>AA66-Z66</f>
        <v>66766.463423000183</v>
      </c>
      <c r="AC66" s="1270">
        <f>AB66/Z66</f>
        <v>2.9336854778837747E-2</v>
      </c>
      <c r="AE66" s="1268">
        <f t="shared" si="38"/>
        <v>2275856.2199776927</v>
      </c>
      <c r="AF66" s="1268">
        <f>AM20+AM23+AM29</f>
        <v>2341671.8446896924</v>
      </c>
      <c r="AG66" s="1268">
        <f t="shared" si="39"/>
        <v>65815.62471199967</v>
      </c>
      <c r="AH66" s="1270">
        <f t="shared" si="40"/>
        <v>2.8919060938148708E-2</v>
      </c>
      <c r="AL66" s="1297">
        <f>AL55</f>
        <v>53.999999999999993</v>
      </c>
      <c r="AM66" s="1290">
        <f t="shared" si="41"/>
        <v>101.56732208641925</v>
      </c>
    </row>
    <row r="67" spans="20:39" x14ac:dyDescent="0.2">
      <c r="T67" s="52" t="s">
        <v>541</v>
      </c>
      <c r="U67" s="1268">
        <f>V56</f>
        <v>272265.97071558179</v>
      </c>
      <c r="V67" s="1268">
        <f>AL25+AL33+AL24+AL32</f>
        <v>287468.03658558178</v>
      </c>
      <c r="W67" s="1268">
        <f t="shared" si="36"/>
        <v>15202.065869999991</v>
      </c>
      <c r="X67" s="1270">
        <f t="shared" si="37"/>
        <v>5.5835350374654723E-2</v>
      </c>
      <c r="Z67" s="1268">
        <f>AA25+AA33+AA24+AA32</f>
        <v>633082.97071558167</v>
      </c>
      <c r="AA67" s="1268">
        <f>AB25+AB33+AB24+AB32+Z67</f>
        <v>648503.76902558166</v>
      </c>
      <c r="AB67" s="1268">
        <f>AA67-Z67</f>
        <v>15420.798309999984</v>
      </c>
      <c r="AC67" s="1270">
        <f>AB67/Z67</f>
        <v>2.4358257958778547E-2</v>
      </c>
      <c r="AE67" s="1268">
        <f t="shared" si="38"/>
        <v>633082.97071558167</v>
      </c>
      <c r="AF67" s="1268">
        <f>AM25+AM33+AM24+AM32</f>
        <v>648285.03658558172</v>
      </c>
      <c r="AG67" s="1268">
        <f t="shared" si="39"/>
        <v>15202.065870000049</v>
      </c>
      <c r="AH67" s="1270">
        <f t="shared" si="40"/>
        <v>2.4012754367436173E-2</v>
      </c>
      <c r="AL67" s="1297">
        <f>AL56</f>
        <v>4.9166666666666696</v>
      </c>
      <c r="AM67" s="1290">
        <f t="shared" si="41"/>
        <v>257.66213338983118</v>
      </c>
    </row>
    <row r="68" spans="20:39" x14ac:dyDescent="0.2">
      <c r="T68" s="606" t="s">
        <v>547</v>
      </c>
      <c r="U68" s="1268">
        <f>V57</f>
        <v>2478486.5952699999</v>
      </c>
      <c r="V68" s="1268">
        <f>AL26+AL27+AL30+AL31+AL34+AL35+AL36+AL37</f>
        <v>2616900.0221899999</v>
      </c>
      <c r="W68" s="1268">
        <f t="shared" si="36"/>
        <v>138413.42692</v>
      </c>
      <c r="X68" s="1270">
        <f t="shared" si="37"/>
        <v>5.5845945337832902E-2</v>
      </c>
      <c r="Z68" s="1268">
        <f>AA26+AA27+AA30+AA31+AA34+AA35+AA36+AA37</f>
        <v>2478486.5952699999</v>
      </c>
      <c r="AA68" s="1268">
        <f>AB26+AB27+AB30+AB31+AB34+AB35+AB36+AB37+Z68</f>
        <v>2618874.1669199998</v>
      </c>
      <c r="AB68" s="1268">
        <f>AA68-Z68</f>
        <v>140387.57164999982</v>
      </c>
      <c r="AC68" s="1270">
        <f>AB68/Z68</f>
        <v>5.664245750528514E-2</v>
      </c>
      <c r="AE68" s="1268">
        <f t="shared" si="38"/>
        <v>2478486.5952699999</v>
      </c>
      <c r="AF68" s="1268">
        <f>AM26+AM27+AM30+AM31+AM34+AM35+AM36+AM37</f>
        <v>2616900.0221899999</v>
      </c>
      <c r="AG68" s="1268">
        <f t="shared" si="39"/>
        <v>138413.42692</v>
      </c>
      <c r="AH68" s="1270">
        <f t="shared" si="40"/>
        <v>5.5845945337832902E-2</v>
      </c>
      <c r="AL68" s="1298">
        <f>AL57</f>
        <v>27.833333333333336</v>
      </c>
      <c r="AM68" s="1299">
        <f t="shared" si="41"/>
        <v>414.41145784431137</v>
      </c>
    </row>
    <row r="69" spans="20:39" x14ac:dyDescent="0.2">
      <c r="T69" s="52" t="s">
        <v>542</v>
      </c>
      <c r="U69" s="1269">
        <f>SUM(U64:U68)</f>
        <v>55617386.32113871</v>
      </c>
      <c r="V69" s="1269">
        <f>SUM(V64:V68)</f>
        <v>58723268.50686945</v>
      </c>
      <c r="W69" s="1269">
        <f>SUM(W64:W68)</f>
        <v>3105882.1857307423</v>
      </c>
      <c r="X69" s="1271">
        <f t="shared" si="37"/>
        <v>5.5843727855119971E-2</v>
      </c>
      <c r="Z69" s="1269">
        <f>SUM(Z64:Z68)</f>
        <v>84345938.32113871</v>
      </c>
      <c r="AA69" s="1269">
        <f>SUM(AA64:AA68)</f>
        <v>87496126.597345069</v>
      </c>
      <c r="AB69" s="1269">
        <f>SUM(AB64:AB68)</f>
        <v>3150188.2762063467</v>
      </c>
      <c r="AC69" s="1271">
        <f t="shared" ref="AC69" si="42">AB69/Z69</f>
        <v>3.7348428850388984E-2</v>
      </c>
      <c r="AE69" s="1269">
        <f>SUM(AE64:AE68)</f>
        <v>84345938.32113871</v>
      </c>
      <c r="AF69" s="1269">
        <f>SUM(AF64:AF68)</f>
        <v>87451820.506869465</v>
      </c>
      <c r="AG69" s="1269">
        <f>SUM(AG64:AG68)</f>
        <v>3105882.1857307362</v>
      </c>
      <c r="AH69" s="1271">
        <f t="shared" si="40"/>
        <v>3.6823138701776024E-2</v>
      </c>
      <c r="AL69" s="1297">
        <f>SUM(AL64:AL68)</f>
        <v>89340.75</v>
      </c>
      <c r="AM69" s="1291">
        <f t="shared" si="41"/>
        <v>2.8970376393477935</v>
      </c>
    </row>
    <row r="70" spans="20:39" x14ac:dyDescent="0.2">
      <c r="W70" s="967"/>
      <c r="AA70" s="967"/>
      <c r="AB70" s="967"/>
      <c r="AG70" s="967"/>
    </row>
    <row r="71" spans="20:39" x14ac:dyDescent="0.2">
      <c r="T71" s="606" t="s">
        <v>548</v>
      </c>
      <c r="W71" s="967"/>
      <c r="AB71" s="967"/>
      <c r="AG71" s="967"/>
    </row>
  </sheetData>
  <customSheetViews>
    <customSheetView guid="{80646397-1CEF-4A79-B348-594AB32B8020}" showGridLines="0" fitToPage="1" topLeftCell="A4">
      <pane xSplit="5" ySplit="9" topLeftCell="I13" activePane="bottomRight" state="frozen"/>
      <selection pane="bottomRight" activeCell="P35" sqref="P35"/>
      <pageMargins left="0.5" right="0.5" top="0.5" bottom="0.5" header="0.25" footer="0.25"/>
      <printOptions verticalCentered="1"/>
      <pageSetup scale="72" orientation="landscape" r:id="rId1"/>
      <headerFooter alignWithMargins="0">
        <oddHeader>&amp;RUG 388 - NW Natural/2500
Wyman/WP02</oddHeader>
        <oddFooter xml:space="preserve">&amp;C&amp;F &amp;D &amp;T
&amp;A </oddFooter>
      </headerFooter>
    </customSheetView>
    <customSheetView guid="{37B35166-7378-4B00-BB4E-9E442A0D870E}" showGridLines="0" fitToPage="1" topLeftCell="A4">
      <pane xSplit="5" ySplit="9" topLeftCell="L13" activePane="bottomRight" state="frozen"/>
      <selection pane="bottomRight" activeCell="Q32" activeCellId="1" sqref="F32 Q32"/>
      <pageMargins left="0.5" right="0.5" top="0.5" bottom="0.5" header="0.25" footer="0.25"/>
      <printOptions verticalCentered="1"/>
      <pageSetup scale="72" orientation="landscape" r:id="rId2"/>
      <headerFooter alignWithMargins="0">
        <oddHeader>&amp;RUG 388 - NW Natural/2500
Wyman/WP02</oddHeader>
        <oddFooter xml:space="preserve">&amp;C&amp;F &amp;D &amp;T
&amp;A </oddFooter>
      </headerFooter>
    </customSheetView>
  </customSheetViews>
  <mergeCells count="29">
    <mergeCell ref="U2:W2"/>
    <mergeCell ref="V3:V4"/>
    <mergeCell ref="U3:U4"/>
    <mergeCell ref="W3:W4"/>
    <mergeCell ref="AM2:AO2"/>
    <mergeCell ref="AM3:AM4"/>
    <mergeCell ref="AN3:AN4"/>
    <mergeCell ref="AO3:AO4"/>
    <mergeCell ref="AH11:AI11"/>
    <mergeCell ref="AJ11:AK11"/>
    <mergeCell ref="AN11:AP11"/>
    <mergeCell ref="D10:X10"/>
    <mergeCell ref="Z10:AP10"/>
    <mergeCell ref="AD11:AE11"/>
    <mergeCell ref="AF11:AG11"/>
    <mergeCell ref="F11:G11"/>
    <mergeCell ref="H11:I11"/>
    <mergeCell ref="J11:K11"/>
    <mergeCell ref="N11:Q11"/>
    <mergeCell ref="V11:X11"/>
    <mergeCell ref="L11:M11"/>
    <mergeCell ref="AB11:AC11"/>
    <mergeCell ref="R11:S11"/>
    <mergeCell ref="U62:X62"/>
    <mergeCell ref="Z62:AC62"/>
    <mergeCell ref="AE62:AH62"/>
    <mergeCell ref="U51:X51"/>
    <mergeCell ref="Z51:AC51"/>
    <mergeCell ref="AE51:AH51"/>
  </mergeCells>
  <printOptions verticalCentered="1"/>
  <pageMargins left="0.25" right="0.25" top="0.5" bottom="0.5" header="0.25" footer="0.25"/>
  <pageSetup scale="49" orientation="landscape" r:id="rId3"/>
  <headerFooter alignWithMargins="0">
    <oddHeader>&amp;RExh. RJW-3 Wyman WP1</oddHeader>
    <oddFooter xml:space="preserve">&amp;C&amp;F &amp;D &amp;T
&amp;A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7" tint="0.79998168889431442"/>
    <pageSetUpPr fitToPage="1"/>
  </sheetPr>
  <dimension ref="B1:BB77"/>
  <sheetViews>
    <sheetView zoomScale="95" zoomScaleNormal="95" workbookViewId="0">
      <pane xSplit="4" ySplit="8" topLeftCell="AC9" activePane="bottomRight" state="frozen"/>
      <selection pane="topRight" activeCell="E1" sqref="E1"/>
      <selection pane="bottomLeft" activeCell="A9" sqref="A9"/>
      <selection pane="bottomRight" activeCell="AN9" sqref="AN9"/>
    </sheetView>
  </sheetViews>
  <sheetFormatPr defaultColWidth="9.33203125" defaultRowHeight="12.75" outlineLevelCol="1" x14ac:dyDescent="0.2"/>
  <cols>
    <col min="1" max="1" width="3.1640625" style="52" customWidth="1"/>
    <col min="2" max="2" width="8.6640625" style="52" customWidth="1"/>
    <col min="3" max="3" width="16.33203125" style="52" customWidth="1"/>
    <col min="4" max="5" width="14" style="52" customWidth="1"/>
    <col min="6" max="6" width="15" style="52" customWidth="1"/>
    <col min="7" max="9" width="14" style="52" customWidth="1"/>
    <col min="10" max="10" width="14" style="622" customWidth="1" outlineLevel="1"/>
    <col min="11" max="11" width="15.1640625" style="622" customWidth="1" outlineLevel="1"/>
    <col min="12" max="12" width="14" style="622" customWidth="1" outlineLevel="1"/>
    <col min="13" max="13" width="14.33203125" style="622" customWidth="1" outlineLevel="1"/>
    <col min="14" max="14" width="14" style="52" customWidth="1"/>
    <col min="15" max="17" width="16" style="52" customWidth="1" outlineLevel="1"/>
    <col min="18" max="18" width="16.5" style="92" customWidth="1" outlineLevel="1"/>
    <col min="19" max="19" width="16" style="52" customWidth="1" outlineLevel="1"/>
    <col min="20" max="20" width="15.6640625" style="52" customWidth="1" outlineLevel="1"/>
    <col min="21" max="21" width="15.5" style="52" customWidth="1" outlineLevel="1"/>
    <col min="22" max="22" width="16" style="52" customWidth="1"/>
    <col min="23" max="23" width="10.1640625" style="56" customWidth="1"/>
    <col min="24" max="24" width="12.5" style="56" hidden="1" customWidth="1" outlineLevel="1"/>
    <col min="25" max="25" width="12.83203125" style="56" hidden="1" customWidth="1" outlineLevel="1"/>
    <col min="26" max="26" width="12.5" style="56" hidden="1" customWidth="1" outlineLevel="1"/>
    <col min="27" max="27" width="12.1640625" style="56" hidden="1" customWidth="1" outlineLevel="1"/>
    <col min="28" max="28" width="13" style="56" hidden="1" customWidth="1" outlineLevel="1"/>
    <col min="29" max="29" width="15" style="92" customWidth="1" collapsed="1"/>
    <col min="30" max="30" width="3.83203125" style="52" customWidth="1"/>
    <col min="31" max="32" width="11.33203125" style="52" customWidth="1" outlineLevel="1"/>
    <col min="33" max="34" width="13" style="52" customWidth="1" outlineLevel="1"/>
    <col min="35" max="35" width="12.6640625" style="52" customWidth="1" outlineLevel="1"/>
    <col min="36" max="36" width="14.6640625" style="92" customWidth="1"/>
    <col min="37" max="37" width="6.33203125" style="130" customWidth="1"/>
    <col min="38" max="40" width="13.1640625" style="130" customWidth="1" outlineLevel="1"/>
    <col min="41" max="41" width="6.33203125" style="130" customWidth="1"/>
    <col min="42" max="42" width="12.5" style="56" hidden="1" customWidth="1" outlineLevel="1"/>
    <col min="43" max="43" width="12.83203125" style="56" hidden="1" customWidth="1" outlineLevel="1"/>
    <col min="44" max="44" width="12.5" style="56" hidden="1" customWidth="1" outlineLevel="1"/>
    <col min="45" max="46" width="11.5" style="56" hidden="1" customWidth="1" outlineLevel="1"/>
    <col min="47" max="47" width="15" style="92" customWidth="1" collapsed="1"/>
    <col min="48" max="48" width="3.83203125" style="52" customWidth="1"/>
    <col min="49" max="50" width="11.33203125" style="52" customWidth="1" outlineLevel="1"/>
    <col min="51" max="52" width="13" style="52" customWidth="1" outlineLevel="1"/>
    <col min="53" max="53" width="12.6640625" style="52" customWidth="1" outlineLevel="1"/>
    <col min="54" max="54" width="14.6640625" style="92" customWidth="1"/>
    <col min="55" max="16384" width="9.33203125" style="52"/>
  </cols>
  <sheetData>
    <row r="1" spans="2:54" x14ac:dyDescent="0.2">
      <c r="B1" s="91" t="s">
        <v>0</v>
      </c>
      <c r="T1" s="65"/>
      <c r="U1" s="65"/>
    </row>
    <row r="2" spans="2:54" x14ac:dyDescent="0.2">
      <c r="B2" s="91" t="s">
        <v>276</v>
      </c>
    </row>
    <row r="3" spans="2:54" x14ac:dyDescent="0.2">
      <c r="B3" s="91" t="s">
        <v>277</v>
      </c>
      <c r="P3" s="101"/>
      <c r="R3" s="138"/>
    </row>
    <row r="4" spans="2:54" x14ac:dyDescent="0.2">
      <c r="B4" s="91" t="s">
        <v>214</v>
      </c>
      <c r="N4" s="656"/>
      <c r="O4" s="59" t="s">
        <v>226</v>
      </c>
      <c r="P4" s="59" t="s">
        <v>226</v>
      </c>
      <c r="Q4" s="59" t="s">
        <v>226</v>
      </c>
      <c r="R4" s="58"/>
      <c r="S4" s="58" t="s">
        <v>225</v>
      </c>
      <c r="T4" s="58" t="s">
        <v>225</v>
      </c>
      <c r="U4" s="58" t="s">
        <v>225</v>
      </c>
      <c r="AE4" s="606"/>
      <c r="AH4" s="101"/>
      <c r="AI4" s="606"/>
      <c r="AK4" s="131"/>
      <c r="AL4" s="131"/>
      <c r="AM4" s="131"/>
      <c r="AN4" s="131"/>
      <c r="AO4" s="131"/>
      <c r="AW4" s="606"/>
      <c r="AZ4" s="101"/>
      <c r="BA4" s="606"/>
    </row>
    <row r="5" spans="2:54" ht="13.5" thickBot="1" x14ac:dyDescent="0.25">
      <c r="O5" s="974">
        <f>'Rates in Detail'!L4</f>
        <v>6718.061567838412</v>
      </c>
      <c r="P5" s="975">
        <f>'Rates in Detail'!P4</f>
        <v>-462.25200000000001</v>
      </c>
      <c r="Q5" s="102">
        <v>0</v>
      </c>
      <c r="R5" s="102"/>
      <c r="S5" s="975">
        <f>'Rates in Detail'!S4</f>
        <v>-1477.729</v>
      </c>
      <c r="T5" s="975">
        <f>'Rates in Detail'!T4</f>
        <v>-875.74</v>
      </c>
      <c r="U5" s="102">
        <v>0</v>
      </c>
      <c r="AE5" s="101"/>
      <c r="AF5" s="101"/>
      <c r="AG5" s="101"/>
      <c r="AH5" s="101"/>
      <c r="AI5" s="101"/>
      <c r="AL5" s="978"/>
      <c r="AM5" s="978"/>
      <c r="AN5" s="978"/>
      <c r="AW5" s="101"/>
      <c r="AX5" s="101"/>
      <c r="AY5" s="101"/>
      <c r="AZ5" s="101"/>
      <c r="BA5" s="101"/>
    </row>
    <row r="6" spans="2:54" ht="13.5" thickBot="1" x14ac:dyDescent="0.25">
      <c r="B6" s="103"/>
      <c r="C6" s="103"/>
      <c r="D6" s="103"/>
      <c r="E6" s="103"/>
      <c r="F6" s="103"/>
      <c r="G6" s="103"/>
      <c r="H6" s="632" t="s">
        <v>258</v>
      </c>
      <c r="I6" s="104" t="s">
        <v>272</v>
      </c>
      <c r="J6" s="1672" t="s">
        <v>257</v>
      </c>
      <c r="K6" s="1673"/>
      <c r="L6" s="1673"/>
      <c r="M6" s="1673"/>
      <c r="N6" s="1674"/>
      <c r="O6" s="1098" t="s">
        <v>179</v>
      </c>
      <c r="P6" s="1098" t="str">
        <f>'Rates in Detail'!P9</f>
        <v>EDIT Amort Cr</v>
      </c>
      <c r="Q6" s="1099" t="s">
        <v>375</v>
      </c>
      <c r="R6" s="257" t="s">
        <v>245</v>
      </c>
      <c r="S6" s="1098" t="str">
        <f>'Rates in Detail'!S9</f>
        <v>Historical EE</v>
      </c>
      <c r="T6" s="1098" t="str">
        <f>'Rates in Detail'!T9</f>
        <v>Truck Lot Sale</v>
      </c>
      <c r="U6" s="1099" t="s">
        <v>375</v>
      </c>
      <c r="V6" s="258" t="s">
        <v>245</v>
      </c>
      <c r="X6" s="1667" t="s">
        <v>400</v>
      </c>
      <c r="Y6" s="1668"/>
      <c r="Z6" s="1668"/>
      <c r="AA6" s="1668"/>
      <c r="AB6" s="1668"/>
      <c r="AC6" s="1669"/>
      <c r="AE6" s="1670" t="s">
        <v>434</v>
      </c>
      <c r="AF6" s="1671"/>
      <c r="AG6" s="1671"/>
      <c r="AH6" s="1671"/>
      <c r="AI6" s="1671"/>
      <c r="AJ6" s="1671"/>
      <c r="AL6" s="979" t="s">
        <v>179</v>
      </c>
      <c r="AM6" s="980" t="s">
        <v>418</v>
      </c>
      <c r="AN6" s="980" t="s">
        <v>419</v>
      </c>
      <c r="AP6" s="1667" t="s">
        <v>436</v>
      </c>
      <c r="AQ6" s="1668"/>
      <c r="AR6" s="1668"/>
      <c r="AS6" s="1668"/>
      <c r="AT6" s="1668"/>
      <c r="AU6" s="1669"/>
      <c r="AW6" s="1670" t="s">
        <v>437</v>
      </c>
      <c r="AX6" s="1671"/>
      <c r="AY6" s="1671"/>
      <c r="AZ6" s="1671"/>
      <c r="BA6" s="1671"/>
      <c r="BB6" s="1671"/>
    </row>
    <row r="7" spans="2:54" ht="63.75" x14ac:dyDescent="0.2">
      <c r="B7" s="105" t="s">
        <v>150</v>
      </c>
      <c r="C7" s="66" t="s">
        <v>2</v>
      </c>
      <c r="D7" s="66" t="s">
        <v>3</v>
      </c>
      <c r="E7" s="66" t="s">
        <v>164</v>
      </c>
      <c r="F7" s="66" t="s">
        <v>162</v>
      </c>
      <c r="G7" s="66" t="s">
        <v>163</v>
      </c>
      <c r="H7" s="106" t="s">
        <v>160</v>
      </c>
      <c r="I7" s="66" t="s">
        <v>161</v>
      </c>
      <c r="J7" s="623" t="s">
        <v>394</v>
      </c>
      <c r="K7" s="624" t="s">
        <v>395</v>
      </c>
      <c r="L7" s="624" t="s">
        <v>396</v>
      </c>
      <c r="M7" s="624" t="s">
        <v>397</v>
      </c>
      <c r="N7" s="107" t="s">
        <v>398</v>
      </c>
      <c r="O7" s="120" t="s">
        <v>159</v>
      </c>
      <c r="P7" s="121" t="s">
        <v>433</v>
      </c>
      <c r="Q7" s="121" t="s">
        <v>246</v>
      </c>
      <c r="R7" s="253" t="s">
        <v>399</v>
      </c>
      <c r="S7" s="121" t="s">
        <v>238</v>
      </c>
      <c r="T7" s="591" t="s">
        <v>238</v>
      </c>
      <c r="U7" s="121" t="s">
        <v>238</v>
      </c>
      <c r="V7" s="259" t="s">
        <v>435</v>
      </c>
      <c r="W7" s="619"/>
      <c r="X7" s="346" t="s">
        <v>90</v>
      </c>
      <c r="Y7" s="346" t="s">
        <v>228</v>
      </c>
      <c r="Z7" s="346" t="s">
        <v>223</v>
      </c>
      <c r="AA7" s="346" t="s">
        <v>224</v>
      </c>
      <c r="AB7" s="346" t="s">
        <v>222</v>
      </c>
      <c r="AC7" s="347" t="s">
        <v>242</v>
      </c>
      <c r="AE7" s="341" t="s">
        <v>90</v>
      </c>
      <c r="AF7" s="341" t="s">
        <v>228</v>
      </c>
      <c r="AG7" s="341" t="str">
        <f>Z7</f>
        <v>Pipeline Capacity Rate (Demand)</v>
      </c>
      <c r="AH7" s="341" t="str">
        <f>AA7</f>
        <v>Commodity Rate (WACOG)</v>
      </c>
      <c r="AI7" s="341" t="str">
        <f>AB7</f>
        <v>Temporary Adjustment</v>
      </c>
      <c r="AJ7" s="342" t="s">
        <v>526</v>
      </c>
      <c r="AK7" s="108"/>
      <c r="AL7" s="981" t="s">
        <v>159</v>
      </c>
      <c r="AM7" s="981" t="s">
        <v>238</v>
      </c>
      <c r="AN7" s="982" t="s">
        <v>444</v>
      </c>
      <c r="AO7" s="108"/>
      <c r="AP7" s="346" t="s">
        <v>90</v>
      </c>
      <c r="AQ7" s="346" t="s">
        <v>228</v>
      </c>
      <c r="AR7" s="346" t="s">
        <v>223</v>
      </c>
      <c r="AS7" s="346" t="s">
        <v>224</v>
      </c>
      <c r="AT7" s="346" t="s">
        <v>222</v>
      </c>
      <c r="AU7" s="347" t="s">
        <v>527</v>
      </c>
      <c r="AW7" s="341" t="s">
        <v>90</v>
      </c>
      <c r="AX7" s="341" t="s">
        <v>228</v>
      </c>
      <c r="AY7" s="341" t="str">
        <f>AR7</f>
        <v>Pipeline Capacity Rate (Demand)</v>
      </c>
      <c r="AZ7" s="341" t="str">
        <f>AS7</f>
        <v>Commodity Rate (WACOG)</v>
      </c>
      <c r="BA7" s="341" t="str">
        <f>AT7</f>
        <v>Temporary Adjustment</v>
      </c>
      <c r="BB7" s="342" t="s">
        <v>528</v>
      </c>
    </row>
    <row r="8" spans="2:54" ht="13.5" thickBot="1" x14ac:dyDescent="0.25">
      <c r="B8" s="640"/>
      <c r="C8" s="641" t="s">
        <v>35</v>
      </c>
      <c r="D8" s="641" t="s">
        <v>36</v>
      </c>
      <c r="E8" s="641" t="s">
        <v>13</v>
      </c>
      <c r="F8" s="641" t="s">
        <v>37</v>
      </c>
      <c r="G8" s="641" t="s">
        <v>38</v>
      </c>
      <c r="H8" s="642" t="s">
        <v>39</v>
      </c>
      <c r="I8" s="643" t="s">
        <v>40</v>
      </c>
      <c r="J8" s="642" t="s">
        <v>41</v>
      </c>
      <c r="K8" s="641" t="s">
        <v>42</v>
      </c>
      <c r="L8" s="641" t="s">
        <v>129</v>
      </c>
      <c r="M8" s="641" t="s">
        <v>130</v>
      </c>
      <c r="N8" s="643" t="s">
        <v>259</v>
      </c>
      <c r="O8" s="644" t="s">
        <v>131</v>
      </c>
      <c r="P8" s="645" t="s">
        <v>132</v>
      </c>
      <c r="Q8" s="645" t="s">
        <v>133</v>
      </c>
      <c r="R8" s="646" t="s">
        <v>490</v>
      </c>
      <c r="S8" s="645" t="s">
        <v>135</v>
      </c>
      <c r="T8" s="645" t="s">
        <v>89</v>
      </c>
      <c r="U8" s="645" t="s">
        <v>92</v>
      </c>
      <c r="V8" s="647" t="s">
        <v>491</v>
      </c>
      <c r="W8" s="633"/>
      <c r="X8" s="634" t="s">
        <v>94</v>
      </c>
      <c r="Y8" s="635" t="s">
        <v>186</v>
      </c>
      <c r="Z8" s="635" t="s">
        <v>232</v>
      </c>
      <c r="AA8" s="635" t="s">
        <v>227</v>
      </c>
      <c r="AB8" s="635" t="s">
        <v>233</v>
      </c>
      <c r="AC8" s="636" t="s">
        <v>492</v>
      </c>
      <c r="AD8" s="633"/>
      <c r="AE8" s="637" t="s">
        <v>235</v>
      </c>
      <c r="AF8" s="638" t="s">
        <v>254</v>
      </c>
      <c r="AG8" s="638" t="s">
        <v>438</v>
      </c>
      <c r="AH8" s="638" t="s">
        <v>255</v>
      </c>
      <c r="AI8" s="638" t="s">
        <v>256</v>
      </c>
      <c r="AJ8" s="639" t="s">
        <v>493</v>
      </c>
      <c r="AK8" s="976"/>
      <c r="AL8" s="983" t="s">
        <v>260</v>
      </c>
      <c r="AM8" s="984" t="s">
        <v>494</v>
      </c>
      <c r="AN8" s="985" t="s">
        <v>495</v>
      </c>
      <c r="AO8" s="977"/>
      <c r="AP8" s="634" t="s">
        <v>439</v>
      </c>
      <c r="AQ8" s="635" t="s">
        <v>496</v>
      </c>
      <c r="AR8" s="635" t="s">
        <v>261</v>
      </c>
      <c r="AS8" s="635" t="s">
        <v>262</v>
      </c>
      <c r="AT8" s="635" t="s">
        <v>440</v>
      </c>
      <c r="AU8" s="636" t="s">
        <v>497</v>
      </c>
      <c r="AV8" s="633"/>
      <c r="AW8" s="637" t="s">
        <v>263</v>
      </c>
      <c r="AX8" s="638" t="s">
        <v>498</v>
      </c>
      <c r="AY8" s="638" t="s">
        <v>441</v>
      </c>
      <c r="AZ8" s="638" t="s">
        <v>442</v>
      </c>
      <c r="BA8" s="638" t="s">
        <v>443</v>
      </c>
      <c r="BB8" s="639" t="s">
        <v>499</v>
      </c>
    </row>
    <row r="9" spans="2:54" x14ac:dyDescent="0.2">
      <c r="B9" s="110">
        <v>1</v>
      </c>
      <c r="C9" s="904" t="str">
        <f>'WA Volumes &amp; Revenues'!B15</f>
        <v>1R</v>
      </c>
      <c r="D9" s="904" t="s">
        <v>283</v>
      </c>
      <c r="E9" s="111" t="s">
        <v>283</v>
      </c>
      <c r="F9" s="113">
        <f>'WA Volumes &amp; Revenues'!E15</f>
        <v>214704.20066131229</v>
      </c>
      <c r="G9" s="113">
        <f>'WA Volumes &amp; Revenues'!H15</f>
        <v>911</v>
      </c>
      <c r="H9" s="907">
        <f>'WA Volumes &amp; Revenues'!O15</f>
        <v>5.5</v>
      </c>
      <c r="I9" s="908">
        <f>'WA Volumes &amp; Revenues'!N15</f>
        <v>5.5</v>
      </c>
      <c r="J9" s="627">
        <f>'Rates in Detail'!E13</f>
        <v>0.67652999999999996</v>
      </c>
      <c r="K9" s="631">
        <f>'Rates in Detail'!H13</f>
        <v>0.10141</v>
      </c>
      <c r="L9" s="631">
        <f>'Rates in Detail'!F13</f>
        <v>0.26333000000000001</v>
      </c>
      <c r="M9" s="631">
        <f>'Rates in Detail'!I13</f>
        <v>0.11125999999999998</v>
      </c>
      <c r="N9" s="135">
        <f>SUM(J9:M9)</f>
        <v>1.1525299999999998</v>
      </c>
      <c r="O9" s="973">
        <f>'Rates in Detail'!L13</f>
        <v>0.13225000000000001</v>
      </c>
      <c r="P9" s="631">
        <f>'Rates in Detail'!P13</f>
        <v>-9.1000000000000004E-3</v>
      </c>
      <c r="Q9" s="631">
        <f>'Rates in Detail'!Q13</f>
        <v>0</v>
      </c>
      <c r="R9" s="254">
        <f>SUM(O9:Q9)</f>
        <v>0.12315000000000001</v>
      </c>
      <c r="S9" s="973">
        <f>'Rates in Detail'!S13</f>
        <v>-3.1189999999999999E-2</v>
      </c>
      <c r="T9" s="631">
        <f>'Rates in Detail'!T13</f>
        <v>-1.7239999999999998E-2</v>
      </c>
      <c r="U9" s="631">
        <f>'Rates in Detail'!U13</f>
        <v>0</v>
      </c>
      <c r="V9" s="260">
        <f>SUM(R9:U9)</f>
        <v>7.4720000000000009E-2</v>
      </c>
      <c r="W9" s="620"/>
      <c r="X9" s="114"/>
      <c r="Y9" s="114"/>
      <c r="Z9" s="114"/>
      <c r="AA9" s="114"/>
      <c r="AB9" s="114"/>
      <c r="AC9" s="348">
        <f>SUM(X9:AB9)</f>
        <v>0</v>
      </c>
      <c r="AE9" s="114">
        <f>X9+O9+P9+Q9+J9</f>
        <v>0.79967999999999995</v>
      </c>
      <c r="AF9" s="114"/>
      <c r="AG9" s="114">
        <f>Z9+K9</f>
        <v>0.10141</v>
      </c>
      <c r="AH9" s="114">
        <f t="shared" ref="AH9:AH40" si="0">AA9+L9</f>
        <v>0.26333000000000001</v>
      </c>
      <c r="AI9" s="114">
        <f>AB9+S9+T9+U9+M9</f>
        <v>6.2829999999999983E-2</v>
      </c>
      <c r="AJ9" s="343">
        <f>SUM(AE9:AI9)</f>
        <v>1.22725</v>
      </c>
      <c r="AK9" s="131"/>
      <c r="AL9" s="114">
        <f>'Rates in Detail'!Y13</f>
        <v>6.2010000000000003E-2</v>
      </c>
      <c r="AM9" s="114">
        <f>'Rates in Detail'!Z13</f>
        <v>-8.8000000000000003E-4</v>
      </c>
      <c r="AN9" s="986">
        <f>SUM(AL9:AM9)</f>
        <v>6.1130000000000004E-2</v>
      </c>
      <c r="AO9" s="131"/>
      <c r="AP9" s="114"/>
      <c r="AQ9" s="114"/>
      <c r="AR9" s="114"/>
      <c r="AS9" s="114"/>
      <c r="AT9" s="114"/>
      <c r="AU9" s="348">
        <f>SUM(AP9:AT9)</f>
        <v>0</v>
      </c>
      <c r="AW9" s="114">
        <f>AE9+AL9+AP9</f>
        <v>0.86168999999999996</v>
      </c>
      <c r="AX9" s="114">
        <f>AF9+AQ9</f>
        <v>0</v>
      </c>
      <c r="AY9" s="114">
        <f>AG9+AR9</f>
        <v>0.10141</v>
      </c>
      <c r="AZ9" s="114">
        <f>AH9+AS9</f>
        <v>0.26333000000000001</v>
      </c>
      <c r="BA9" s="114">
        <f>M9+AM9+AT9</f>
        <v>0.11037999999999998</v>
      </c>
      <c r="BB9" s="343">
        <f>SUM(AW9:BA9)</f>
        <v>1.3368099999999998</v>
      </c>
    </row>
    <row r="10" spans="2:54" x14ac:dyDescent="0.2">
      <c r="B10" s="110">
        <f>B9+1</f>
        <v>2</v>
      </c>
      <c r="C10" s="904" t="str">
        <f>'WA Volumes &amp; Revenues'!B16</f>
        <v>1C</v>
      </c>
      <c r="D10" s="904" t="s">
        <v>283</v>
      </c>
      <c r="E10" s="111" t="s">
        <v>283</v>
      </c>
      <c r="F10" s="113">
        <f>'WA Volumes &amp; Revenues'!E16</f>
        <v>46539.057144390383</v>
      </c>
      <c r="G10" s="113">
        <f>'WA Volumes &amp; Revenues'!H16</f>
        <v>34</v>
      </c>
      <c r="H10" s="907">
        <f>'WA Volumes &amp; Revenues'!O16</f>
        <v>7</v>
      </c>
      <c r="I10" s="908">
        <f>'WA Volumes &amp; Revenues'!N16</f>
        <v>7</v>
      </c>
      <c r="J10" s="627">
        <f>'Rates in Detail'!E14</f>
        <v>0.73148999999999997</v>
      </c>
      <c r="K10" s="631">
        <f>'Rates in Detail'!H14</f>
        <v>0.10141</v>
      </c>
      <c r="L10" s="631">
        <f>'Rates in Detail'!F14</f>
        <v>0.26333000000000001</v>
      </c>
      <c r="M10" s="631">
        <f>'Rates in Detail'!I14</f>
        <v>9.3060000000000004E-2</v>
      </c>
      <c r="N10" s="135">
        <f t="shared" ref="N10:N73" si="1">SUM(J10:M10)</f>
        <v>1.18929</v>
      </c>
      <c r="O10" s="973">
        <f>'Rates in Detail'!L14</f>
        <v>0.10997</v>
      </c>
      <c r="P10" s="631">
        <f>'Rates in Detail'!P14</f>
        <v>-7.5599999999999999E-3</v>
      </c>
      <c r="Q10" s="631">
        <f>'Rates in Detail'!Q14</f>
        <v>0</v>
      </c>
      <c r="R10" s="254">
        <f t="shared" ref="R10:R73" si="2">SUM(O10:Q10)</f>
        <v>0.10241</v>
      </c>
      <c r="S10" s="973">
        <f>'Rates in Detail'!S14</f>
        <v>-2.5940000000000001E-2</v>
      </c>
      <c r="T10" s="631">
        <f>'Rates in Detail'!T14</f>
        <v>-1.4330000000000001E-2</v>
      </c>
      <c r="U10" s="631">
        <f>'Rates in Detail'!U14</f>
        <v>0</v>
      </c>
      <c r="V10" s="260">
        <f t="shared" ref="V10:V40" si="3">SUM(R10:U10)</f>
        <v>6.2139999999999994E-2</v>
      </c>
      <c r="W10" s="620"/>
      <c r="X10" s="114"/>
      <c r="Y10" s="114"/>
      <c r="Z10" s="114"/>
      <c r="AA10" s="114"/>
      <c r="AB10" s="114"/>
      <c r="AC10" s="348">
        <f t="shared" ref="AC10:AC73" si="4">SUM(X10:AB10)</f>
        <v>0</v>
      </c>
      <c r="AE10" s="114">
        <f t="shared" ref="AE10:AE73" si="5">X10+O10+P10+Q10+J10</f>
        <v>0.83389999999999997</v>
      </c>
      <c r="AF10" s="114"/>
      <c r="AG10" s="114">
        <f t="shared" ref="AG10:AG40" si="6">Z10+K10</f>
        <v>0.10141</v>
      </c>
      <c r="AH10" s="114">
        <f t="shared" si="0"/>
        <v>0.26333000000000001</v>
      </c>
      <c r="AI10" s="114">
        <f t="shared" ref="AI10:AI73" si="7">AB10+S10+T10+U10+M10</f>
        <v>5.2790000000000004E-2</v>
      </c>
      <c r="AJ10" s="343">
        <f t="shared" ref="AJ10:AJ73" si="8">SUM(AE10:AI10)</f>
        <v>1.25143</v>
      </c>
      <c r="AK10" s="131"/>
      <c r="AL10" s="114">
        <f>'Rates in Detail'!Y14</f>
        <v>5.1569999999999998E-2</v>
      </c>
      <c r="AM10" s="114">
        <f>'Rates in Detail'!Z14</f>
        <v>-7.2999999999999996E-4</v>
      </c>
      <c r="AN10" s="986">
        <f t="shared" ref="AN10:AN73" si="9">SUM(AL10:AM10)</f>
        <v>5.0839999999999996E-2</v>
      </c>
      <c r="AO10" s="131"/>
      <c r="AP10" s="114"/>
      <c r="AQ10" s="114"/>
      <c r="AR10" s="114"/>
      <c r="AS10" s="114"/>
      <c r="AT10" s="114"/>
      <c r="AU10" s="348">
        <f t="shared" ref="AU10:AU73" si="10">SUM(AP10:AT10)</f>
        <v>0</v>
      </c>
      <c r="AW10" s="114">
        <f t="shared" ref="AW10:AW73" si="11">AE10+AL10+AP10</f>
        <v>0.88546999999999998</v>
      </c>
      <c r="AX10" s="114">
        <f t="shared" ref="AX10:AX73" si="12">AF10+AQ10</f>
        <v>0</v>
      </c>
      <c r="AY10" s="114">
        <f t="shared" ref="AY10:AY73" si="13">AG10+AR10</f>
        <v>0.10141</v>
      </c>
      <c r="AZ10" s="114">
        <f t="shared" ref="AZ10:AZ73" si="14">AH10+AS10</f>
        <v>0.26333000000000001</v>
      </c>
      <c r="BA10" s="114">
        <f t="shared" ref="BA10:BA73" si="15">M10+AM10+AT10</f>
        <v>9.2330000000000009E-2</v>
      </c>
      <c r="BB10" s="343">
        <f t="shared" ref="BB10:BB73" si="16">SUM(AW10:BA10)</f>
        <v>1.3425400000000001</v>
      </c>
    </row>
    <row r="11" spans="2:54" x14ac:dyDescent="0.2">
      <c r="B11" s="110">
        <f t="shared" ref="B11:B74" si="17">B10+1</f>
        <v>3</v>
      </c>
      <c r="C11" s="904" t="str">
        <f>'WA Volumes &amp; Revenues'!B17</f>
        <v>2R</v>
      </c>
      <c r="D11" s="904" t="s">
        <v>283</v>
      </c>
      <c r="E11" s="111" t="s">
        <v>283</v>
      </c>
      <c r="F11" s="113">
        <f>'WA Volumes &amp; Revenues'!E17</f>
        <v>54953515.785084128</v>
      </c>
      <c r="G11" s="113">
        <f>'WA Volumes &amp; Revenues'!H17</f>
        <v>81119</v>
      </c>
      <c r="H11" s="907">
        <f>'WA Volumes &amp; Revenues'!O17</f>
        <v>8</v>
      </c>
      <c r="I11" s="908">
        <f>'WA Volumes &amp; Revenues'!N17</f>
        <v>8</v>
      </c>
      <c r="J11" s="627">
        <f>'Rates in Detail'!E15</f>
        <v>0.45815999999999979</v>
      </c>
      <c r="K11" s="631">
        <f>'Rates in Detail'!H15</f>
        <v>0.10141</v>
      </c>
      <c r="L11" s="631">
        <f>'Rates in Detail'!F15</f>
        <v>0.26333000000000001</v>
      </c>
      <c r="M11" s="631">
        <f>'Rates in Detail'!I15</f>
        <v>6.6579999999999986E-2</v>
      </c>
      <c r="N11" s="135">
        <f t="shared" si="1"/>
        <v>0.88947999999999972</v>
      </c>
      <c r="O11" s="973">
        <f>'Rates in Detail'!L15</f>
        <v>8.3699999999999997E-2</v>
      </c>
      <c r="P11" s="631">
        <f>'Rates in Detail'!P15</f>
        <v>-5.7600000000000004E-3</v>
      </c>
      <c r="Q11" s="631">
        <f>'Rates in Detail'!Q15</f>
        <v>0</v>
      </c>
      <c r="R11" s="254">
        <f t="shared" si="2"/>
        <v>7.7939999999999995E-2</v>
      </c>
      <c r="S11" s="973">
        <f>'Rates in Detail'!S15</f>
        <v>-1.9740000000000001E-2</v>
      </c>
      <c r="T11" s="631">
        <f>'Rates in Detail'!T15</f>
        <v>-1.091E-2</v>
      </c>
      <c r="U11" s="631">
        <f>'Rates in Detail'!U15</f>
        <v>0</v>
      </c>
      <c r="V11" s="260">
        <f t="shared" si="3"/>
        <v>4.7289999999999999E-2</v>
      </c>
      <c r="W11" s="620"/>
      <c r="X11" s="114"/>
      <c r="Y11" s="114"/>
      <c r="Z11" s="114"/>
      <c r="AA11" s="114"/>
      <c r="AB11" s="114"/>
      <c r="AC11" s="348">
        <f t="shared" si="4"/>
        <v>0</v>
      </c>
      <c r="AE11" s="114">
        <f t="shared" si="5"/>
        <v>0.5360999999999998</v>
      </c>
      <c r="AF11" s="114"/>
      <c r="AG11" s="114">
        <f t="shared" si="6"/>
        <v>0.10141</v>
      </c>
      <c r="AH11" s="114">
        <f t="shared" si="0"/>
        <v>0.26333000000000001</v>
      </c>
      <c r="AI11" s="114">
        <f t="shared" si="7"/>
        <v>3.592999999999999E-2</v>
      </c>
      <c r="AJ11" s="343">
        <f t="shared" si="8"/>
        <v>0.93676999999999988</v>
      </c>
      <c r="AK11" s="131"/>
      <c r="AL11" s="114">
        <f>'Rates in Detail'!Y15</f>
        <v>3.925E-2</v>
      </c>
      <c r="AM11" s="114">
        <f>'Rates in Detail'!Z15</f>
        <v>-5.5000000000000003E-4</v>
      </c>
      <c r="AN11" s="986">
        <f t="shared" si="9"/>
        <v>3.8699999999999998E-2</v>
      </c>
      <c r="AO11" s="131"/>
      <c r="AP11" s="114"/>
      <c r="AQ11" s="114"/>
      <c r="AR11" s="114"/>
      <c r="AS11" s="114"/>
      <c r="AT11" s="114"/>
      <c r="AU11" s="348">
        <f t="shared" si="10"/>
        <v>0</v>
      </c>
      <c r="AW11" s="114">
        <f t="shared" si="11"/>
        <v>0.57534999999999981</v>
      </c>
      <c r="AX11" s="114">
        <f t="shared" si="12"/>
        <v>0</v>
      </c>
      <c r="AY11" s="114">
        <f t="shared" si="13"/>
        <v>0.10141</v>
      </c>
      <c r="AZ11" s="114">
        <f t="shared" si="14"/>
        <v>0.26333000000000001</v>
      </c>
      <c r="BA11" s="114">
        <f t="shared" si="15"/>
        <v>6.6029999999999991E-2</v>
      </c>
      <c r="BB11" s="343">
        <f t="shared" si="16"/>
        <v>1.0061199999999999</v>
      </c>
    </row>
    <row r="12" spans="2:54" x14ac:dyDescent="0.2">
      <c r="B12" s="110">
        <f t="shared" si="17"/>
        <v>4</v>
      </c>
      <c r="C12" s="904" t="str">
        <f>'WA Volumes &amp; Revenues'!B18</f>
        <v>3 CFS</v>
      </c>
      <c r="D12" s="904" t="s">
        <v>283</v>
      </c>
      <c r="E12" s="111" t="s">
        <v>283</v>
      </c>
      <c r="F12" s="113">
        <f>'WA Volumes &amp; Revenues'!E18</f>
        <v>17867210.60654201</v>
      </c>
      <c r="G12" s="113">
        <f>'WA Volumes &amp; Revenues'!H18</f>
        <v>6318</v>
      </c>
      <c r="H12" s="907">
        <f>'WA Volumes &amp; Revenues'!O18</f>
        <v>22</v>
      </c>
      <c r="I12" s="909">
        <f>'WA Volumes &amp; Revenues'!N18</f>
        <v>22</v>
      </c>
      <c r="J12" s="627">
        <f>'Rates in Detail'!E16</f>
        <v>0.44368000000000019</v>
      </c>
      <c r="K12" s="631">
        <f>'Rates in Detail'!H16</f>
        <v>0.10141</v>
      </c>
      <c r="L12" s="631">
        <f>'Rates in Detail'!F16</f>
        <v>0.26333000000000001</v>
      </c>
      <c r="M12" s="631">
        <f>'Rates in Detail'!I16</f>
        <v>5.8480000000000004E-2</v>
      </c>
      <c r="N12" s="136">
        <f t="shared" si="1"/>
        <v>0.86690000000000011</v>
      </c>
      <c r="O12" s="627">
        <f>'Rates in Detail'!L16</f>
        <v>7.5149999999999995E-2</v>
      </c>
      <c r="P12" s="631">
        <f>'Rates in Detail'!P16</f>
        <v>-5.1700000000000001E-3</v>
      </c>
      <c r="Q12" s="631">
        <f>'Rates in Detail'!Q16</f>
        <v>0</v>
      </c>
      <c r="R12" s="254">
        <f t="shared" si="2"/>
        <v>6.9980000000000001E-2</v>
      </c>
      <c r="S12" s="627">
        <f>'Rates in Detail'!S16</f>
        <v>-1.7729999999999999E-2</v>
      </c>
      <c r="T12" s="631">
        <f>'Rates in Detail'!T16</f>
        <v>-9.7999999999999997E-3</v>
      </c>
      <c r="U12" s="631">
        <f>'Rates in Detail'!U16</f>
        <v>0</v>
      </c>
      <c r="V12" s="260">
        <f t="shared" si="3"/>
        <v>4.2450000000000002E-2</v>
      </c>
      <c r="W12" s="620"/>
      <c r="X12" s="114"/>
      <c r="Y12" s="114"/>
      <c r="Z12" s="114"/>
      <c r="AA12" s="114"/>
      <c r="AB12" s="114"/>
      <c r="AC12" s="348">
        <f t="shared" si="4"/>
        <v>0</v>
      </c>
      <c r="AE12" s="114">
        <f t="shared" si="5"/>
        <v>0.51366000000000023</v>
      </c>
      <c r="AF12" s="114"/>
      <c r="AG12" s="114">
        <f t="shared" si="6"/>
        <v>0.10141</v>
      </c>
      <c r="AH12" s="114">
        <f t="shared" si="0"/>
        <v>0.26333000000000001</v>
      </c>
      <c r="AI12" s="114">
        <f t="shared" si="7"/>
        <v>3.0950000000000005E-2</v>
      </c>
      <c r="AJ12" s="343">
        <f t="shared" si="8"/>
        <v>0.90935000000000032</v>
      </c>
      <c r="AK12" s="131"/>
      <c r="AL12" s="114">
        <f>'Rates in Detail'!Y16</f>
        <v>3.524E-2</v>
      </c>
      <c r="AM12" s="114">
        <f>'Rates in Detail'!Z16</f>
        <v>-5.0000000000000001E-4</v>
      </c>
      <c r="AN12" s="986">
        <f t="shared" si="9"/>
        <v>3.474E-2</v>
      </c>
      <c r="AO12" s="131"/>
      <c r="AP12" s="114"/>
      <c r="AQ12" s="114"/>
      <c r="AR12" s="114"/>
      <c r="AS12" s="114"/>
      <c r="AT12" s="114"/>
      <c r="AU12" s="348">
        <f t="shared" si="10"/>
        <v>0</v>
      </c>
      <c r="AW12" s="114">
        <f t="shared" si="11"/>
        <v>0.54890000000000028</v>
      </c>
      <c r="AX12" s="114">
        <f t="shared" si="12"/>
        <v>0</v>
      </c>
      <c r="AY12" s="114">
        <f t="shared" si="13"/>
        <v>0.10141</v>
      </c>
      <c r="AZ12" s="114">
        <f t="shared" si="14"/>
        <v>0.26333000000000001</v>
      </c>
      <c r="BA12" s="114">
        <f t="shared" si="15"/>
        <v>5.7980000000000004E-2</v>
      </c>
      <c r="BB12" s="343">
        <f t="shared" si="16"/>
        <v>0.97162000000000026</v>
      </c>
    </row>
    <row r="13" spans="2:54" x14ac:dyDescent="0.2">
      <c r="B13" s="110">
        <f t="shared" si="17"/>
        <v>5</v>
      </c>
      <c r="C13" s="904" t="str">
        <f>'WA Volumes &amp; Revenues'!B19</f>
        <v>3 IFS</v>
      </c>
      <c r="D13" s="904" t="s">
        <v>283</v>
      </c>
      <c r="E13" s="111" t="s">
        <v>283</v>
      </c>
      <c r="F13" s="113">
        <f>'WA Volumes &amp; Revenues'!E19</f>
        <v>283651.99999999994</v>
      </c>
      <c r="G13" s="113">
        <f>'WA Volumes &amp; Revenues'!H19</f>
        <v>24.25</v>
      </c>
      <c r="H13" s="907">
        <f>'WA Volumes &amp; Revenues'!O19</f>
        <v>22</v>
      </c>
      <c r="I13" s="909">
        <f>'WA Volumes &amp; Revenues'!N19</f>
        <v>22</v>
      </c>
      <c r="J13" s="627">
        <f>'Rates in Detail'!E17</f>
        <v>0.46249000000000001</v>
      </c>
      <c r="K13" s="631">
        <f>'Rates in Detail'!H17</f>
        <v>0.10141</v>
      </c>
      <c r="L13" s="631">
        <f>'Rates in Detail'!F17</f>
        <v>0.26333000000000001</v>
      </c>
      <c r="M13" s="631">
        <f>'Rates in Detail'!I17</f>
        <v>-8.9999999999999802E-5</v>
      </c>
      <c r="N13" s="136">
        <f t="shared" si="1"/>
        <v>0.8271400000000001</v>
      </c>
      <c r="O13" s="627">
        <f>'Rates in Detail'!L17</f>
        <v>6.8080000000000002E-2</v>
      </c>
      <c r="P13" s="631">
        <f>'Rates in Detail'!P17</f>
        <v>-4.6899999999999997E-3</v>
      </c>
      <c r="Q13" s="631">
        <f>'Rates in Detail'!Q17</f>
        <v>0</v>
      </c>
      <c r="R13" s="254">
        <f t="shared" si="2"/>
        <v>6.3390000000000002E-2</v>
      </c>
      <c r="S13" s="627">
        <f>'Rates in Detail'!S17</f>
        <v>0</v>
      </c>
      <c r="T13" s="631">
        <f>'Rates in Detail'!T17</f>
        <v>-8.8699999999999994E-3</v>
      </c>
      <c r="U13" s="631">
        <f>'Rates in Detail'!U17</f>
        <v>0</v>
      </c>
      <c r="V13" s="260">
        <f t="shared" si="3"/>
        <v>5.4519999999999999E-2</v>
      </c>
      <c r="W13" s="620"/>
      <c r="X13" s="114"/>
      <c r="Y13" s="114"/>
      <c r="Z13" s="114"/>
      <c r="AA13" s="114"/>
      <c r="AB13" s="114"/>
      <c r="AC13" s="348">
        <f t="shared" si="4"/>
        <v>0</v>
      </c>
      <c r="AE13" s="114">
        <f t="shared" si="5"/>
        <v>0.52588000000000001</v>
      </c>
      <c r="AF13" s="114"/>
      <c r="AG13" s="114">
        <f t="shared" si="6"/>
        <v>0.10141</v>
      </c>
      <c r="AH13" s="114">
        <f t="shared" si="0"/>
        <v>0.26333000000000001</v>
      </c>
      <c r="AI13" s="114">
        <f t="shared" si="7"/>
        <v>-8.9599999999999992E-3</v>
      </c>
      <c r="AJ13" s="343">
        <f t="shared" si="8"/>
        <v>0.88166</v>
      </c>
      <c r="AK13" s="131"/>
      <c r="AL13" s="114">
        <f>'Rates in Detail'!Y17</f>
        <v>3.1919999999999997E-2</v>
      </c>
      <c r="AM13" s="114">
        <f>'Rates in Detail'!Z17</f>
        <v>-4.4999999999999999E-4</v>
      </c>
      <c r="AN13" s="986">
        <f t="shared" si="9"/>
        <v>3.1469999999999998E-2</v>
      </c>
      <c r="AO13" s="131"/>
      <c r="AP13" s="114"/>
      <c r="AQ13" s="114"/>
      <c r="AR13" s="114"/>
      <c r="AS13" s="114"/>
      <c r="AT13" s="114"/>
      <c r="AU13" s="348">
        <f t="shared" si="10"/>
        <v>0</v>
      </c>
      <c r="AW13" s="114">
        <f t="shared" si="11"/>
        <v>0.55779999999999996</v>
      </c>
      <c r="AX13" s="114">
        <f t="shared" si="12"/>
        <v>0</v>
      </c>
      <c r="AY13" s="114">
        <f t="shared" si="13"/>
        <v>0.10141</v>
      </c>
      <c r="AZ13" s="114">
        <f t="shared" si="14"/>
        <v>0.26333000000000001</v>
      </c>
      <c r="BA13" s="114">
        <f t="shared" si="15"/>
        <v>-5.3999999999999979E-4</v>
      </c>
      <c r="BB13" s="343">
        <f t="shared" si="16"/>
        <v>0.92199999999999993</v>
      </c>
    </row>
    <row r="14" spans="2:54" x14ac:dyDescent="0.2">
      <c r="B14" s="110">
        <f t="shared" si="17"/>
        <v>6</v>
      </c>
      <c r="C14" s="905" t="str">
        <f>'WA Volumes &amp; Revenues'!B20</f>
        <v>27R</v>
      </c>
      <c r="D14" s="904" t="s">
        <v>283</v>
      </c>
      <c r="E14" s="111" t="s">
        <v>283</v>
      </c>
      <c r="F14" s="113">
        <f>'WA Volumes &amp; Revenues'!E20</f>
        <v>461371.76933137607</v>
      </c>
      <c r="G14" s="113">
        <f>'WA Volumes &amp; Revenues'!H20</f>
        <v>776</v>
      </c>
      <c r="H14" s="910">
        <f>'WA Volumes &amp; Revenues'!O20</f>
        <v>9</v>
      </c>
      <c r="I14" s="911">
        <f>'WA Volumes &amp; Revenues'!N20</f>
        <v>9</v>
      </c>
      <c r="J14" s="627">
        <f>'Rates in Detail'!E18</f>
        <v>0.24087999999999973</v>
      </c>
      <c r="K14" s="631">
        <f>'Rates in Detail'!H18</f>
        <v>0.10141</v>
      </c>
      <c r="L14" s="631">
        <f>'Rates in Detail'!F18</f>
        <v>0.26333000000000001</v>
      </c>
      <c r="M14" s="631">
        <f>'Rates in Detail'!I18</f>
        <v>3.8710000000000001E-2</v>
      </c>
      <c r="N14" s="136">
        <f t="shared" si="1"/>
        <v>0.64432999999999985</v>
      </c>
      <c r="O14" s="627">
        <f>'Rates in Detail'!L18</f>
        <v>5.9569999999999998E-2</v>
      </c>
      <c r="P14" s="631">
        <f>'Rates in Detail'!P18</f>
        <v>-4.1000000000000003E-3</v>
      </c>
      <c r="Q14" s="631">
        <f>'Rates in Detail'!Q18</f>
        <v>0</v>
      </c>
      <c r="R14" s="254">
        <f t="shared" si="2"/>
        <v>5.5469999999999998E-2</v>
      </c>
      <c r="S14" s="627">
        <f>'Rates in Detail'!S18</f>
        <v>-1.405E-2</v>
      </c>
      <c r="T14" s="631">
        <f>'Rates in Detail'!T18</f>
        <v>-7.77E-3</v>
      </c>
      <c r="U14" s="631">
        <f>'Rates in Detail'!U18</f>
        <v>0</v>
      </c>
      <c r="V14" s="260">
        <f t="shared" si="3"/>
        <v>3.3649999999999999E-2</v>
      </c>
      <c r="W14" s="620"/>
      <c r="X14" s="114"/>
      <c r="Y14" s="114"/>
      <c r="Z14" s="114"/>
      <c r="AA14" s="114"/>
      <c r="AB14" s="114"/>
      <c r="AC14" s="348">
        <f t="shared" si="4"/>
        <v>0</v>
      </c>
      <c r="AE14" s="114">
        <f t="shared" si="5"/>
        <v>0.29634999999999972</v>
      </c>
      <c r="AF14" s="114"/>
      <c r="AG14" s="114">
        <f t="shared" si="6"/>
        <v>0.10141</v>
      </c>
      <c r="AH14" s="114">
        <f t="shared" si="0"/>
        <v>0.26333000000000001</v>
      </c>
      <c r="AI14" s="114">
        <f t="shared" si="7"/>
        <v>1.6890000000000002E-2</v>
      </c>
      <c r="AJ14" s="343">
        <f t="shared" si="8"/>
        <v>0.67797999999999969</v>
      </c>
      <c r="AK14" s="131"/>
      <c r="AL14" s="114">
        <f>'Rates in Detail'!Y18</f>
        <v>2.793E-2</v>
      </c>
      <c r="AM14" s="114">
        <f>'Rates in Detail'!Z18</f>
        <v>-3.8999999999999999E-4</v>
      </c>
      <c r="AN14" s="986">
        <f t="shared" si="9"/>
        <v>2.7539999999999999E-2</v>
      </c>
      <c r="AO14" s="131"/>
      <c r="AP14" s="114"/>
      <c r="AQ14" s="114"/>
      <c r="AR14" s="114"/>
      <c r="AS14" s="114"/>
      <c r="AT14" s="114"/>
      <c r="AU14" s="348">
        <f t="shared" si="10"/>
        <v>0</v>
      </c>
      <c r="AW14" s="114">
        <f t="shared" si="11"/>
        <v>0.32427999999999974</v>
      </c>
      <c r="AX14" s="114">
        <f t="shared" si="12"/>
        <v>0</v>
      </c>
      <c r="AY14" s="114">
        <f t="shared" si="13"/>
        <v>0.10141</v>
      </c>
      <c r="AZ14" s="114">
        <f t="shared" si="14"/>
        <v>0.26333000000000001</v>
      </c>
      <c r="BA14" s="114">
        <f t="shared" si="15"/>
        <v>3.832E-2</v>
      </c>
      <c r="BB14" s="343">
        <f t="shared" si="16"/>
        <v>0.72733999999999976</v>
      </c>
    </row>
    <row r="15" spans="2:54" x14ac:dyDescent="0.2">
      <c r="B15" s="110">
        <f t="shared" si="17"/>
        <v>7</v>
      </c>
      <c r="C15" s="906" t="str">
        <f>'WA Volumes &amp; Revenues'!B21</f>
        <v>41C Firm Sales</v>
      </c>
      <c r="D15" s="906" t="s">
        <v>4</v>
      </c>
      <c r="E15" s="115">
        <v>2000</v>
      </c>
      <c r="F15" s="116">
        <f>'WA Volumes &amp; Revenues'!E21</f>
        <v>1777065.1510316674</v>
      </c>
      <c r="G15" s="116">
        <f>'WA Volumes &amp; Revenues'!H21</f>
        <v>91</v>
      </c>
      <c r="H15" s="912">
        <f>'WA Volumes &amp; Revenues'!O21</f>
        <v>250</v>
      </c>
      <c r="I15" s="913">
        <f>'WA Volumes &amp; Revenues'!N21</f>
        <v>250</v>
      </c>
      <c r="J15" s="628">
        <f>'Rates in Detail'!E19</f>
        <v>0.34474000000000016</v>
      </c>
      <c r="K15" s="630">
        <f>'Rates in Detail'!H19</f>
        <v>0</v>
      </c>
      <c r="L15" s="630">
        <f>'Rates in Detail'!F19</f>
        <v>0.26333000000000001</v>
      </c>
      <c r="M15" s="630">
        <f>'Rates in Detail'!I19</f>
        <v>4.3429999999999996E-2</v>
      </c>
      <c r="N15" s="137">
        <f t="shared" si="1"/>
        <v>0.65150000000000008</v>
      </c>
      <c r="O15" s="628">
        <f>'Rates in Detail'!L19</f>
        <v>5.9679999999999997E-2</v>
      </c>
      <c r="P15" s="630">
        <f>'Rates in Detail'!P19</f>
        <v>-4.1099999999999999E-3</v>
      </c>
      <c r="Q15" s="630">
        <f>'Rates in Detail'!Q19</f>
        <v>0</v>
      </c>
      <c r="R15" s="255">
        <f t="shared" si="2"/>
        <v>5.5569999999999994E-2</v>
      </c>
      <c r="S15" s="628">
        <f>'Rates in Detail'!S19</f>
        <v>-1.4080000000000001E-2</v>
      </c>
      <c r="T15" s="630">
        <f>'Rates in Detail'!T19</f>
        <v>-7.7799999999999996E-3</v>
      </c>
      <c r="U15" s="630">
        <f>'Rates in Detail'!U19</f>
        <v>0</v>
      </c>
      <c r="V15" s="261">
        <f t="shared" si="3"/>
        <v>3.370999999999999E-2</v>
      </c>
      <c r="W15" s="620"/>
      <c r="X15" s="117"/>
      <c r="Y15" s="117"/>
      <c r="Z15" s="117"/>
      <c r="AA15" s="117"/>
      <c r="AB15" s="117"/>
      <c r="AC15" s="349">
        <f t="shared" si="4"/>
        <v>0</v>
      </c>
      <c r="AE15" s="114">
        <f t="shared" si="5"/>
        <v>0.40031000000000017</v>
      </c>
      <c r="AF15" s="114"/>
      <c r="AG15" s="114">
        <f t="shared" si="6"/>
        <v>0</v>
      </c>
      <c r="AH15" s="114">
        <f t="shared" si="0"/>
        <v>0.26333000000000001</v>
      </c>
      <c r="AI15" s="114">
        <f t="shared" si="7"/>
        <v>2.1569999999999995E-2</v>
      </c>
      <c r="AJ15" s="343">
        <f t="shared" si="8"/>
        <v>0.68521000000000021</v>
      </c>
      <c r="AK15" s="131"/>
      <c r="AL15" s="117">
        <f>'Rates in Detail'!Y19</f>
        <v>2.7990000000000001E-2</v>
      </c>
      <c r="AM15" s="117">
        <f>'Rates in Detail'!Z19</f>
        <v>-4.0000000000000002E-4</v>
      </c>
      <c r="AN15" s="987">
        <f t="shared" si="9"/>
        <v>2.759E-2</v>
      </c>
      <c r="AO15" s="131"/>
      <c r="AP15" s="117"/>
      <c r="AQ15" s="117"/>
      <c r="AR15" s="117"/>
      <c r="AS15" s="117"/>
      <c r="AT15" s="117"/>
      <c r="AU15" s="349">
        <f t="shared" si="10"/>
        <v>0</v>
      </c>
      <c r="AW15" s="117">
        <f t="shared" si="11"/>
        <v>0.42830000000000018</v>
      </c>
      <c r="AX15" s="117">
        <f t="shared" si="12"/>
        <v>0</v>
      </c>
      <c r="AY15" s="117">
        <f t="shared" si="13"/>
        <v>0</v>
      </c>
      <c r="AZ15" s="117">
        <f t="shared" si="14"/>
        <v>0.26333000000000001</v>
      </c>
      <c r="BA15" s="117">
        <f t="shared" si="15"/>
        <v>4.3029999999999999E-2</v>
      </c>
      <c r="BB15" s="344">
        <f t="shared" si="16"/>
        <v>0.7346600000000002</v>
      </c>
    </row>
    <row r="16" spans="2:54" x14ac:dyDescent="0.2">
      <c r="B16" s="110">
        <f t="shared" si="17"/>
        <v>8</v>
      </c>
      <c r="C16" s="904"/>
      <c r="D16" s="904" t="s">
        <v>5</v>
      </c>
      <c r="E16" s="112" t="s">
        <v>74</v>
      </c>
      <c r="F16" s="113">
        <f>'WA Volumes &amp; Revenues'!E22</f>
        <v>1974656.4658023661</v>
      </c>
      <c r="G16" s="113"/>
      <c r="H16" s="907"/>
      <c r="I16" s="909"/>
      <c r="J16" s="627">
        <f>'Rates in Detail'!E20</f>
        <v>0.30376999999999998</v>
      </c>
      <c r="K16" s="631">
        <f>'Rates in Detail'!H20</f>
        <v>0</v>
      </c>
      <c r="L16" s="631">
        <f>'Rates in Detail'!F20</f>
        <v>0.26333000000000001</v>
      </c>
      <c r="M16" s="631">
        <f>'Rates in Detail'!I20</f>
        <v>3.7170000000000002E-2</v>
      </c>
      <c r="N16" s="135">
        <f t="shared" si="1"/>
        <v>0.60426999999999997</v>
      </c>
      <c r="O16" s="627">
        <f>'Rates in Detail'!L20</f>
        <v>5.2589999999999998E-2</v>
      </c>
      <c r="P16" s="631">
        <f>'Rates in Detail'!P20</f>
        <v>-3.62E-3</v>
      </c>
      <c r="Q16" s="631">
        <f>'Rates in Detail'!Q20</f>
        <v>0</v>
      </c>
      <c r="R16" s="254">
        <f t="shared" si="2"/>
        <v>4.897E-2</v>
      </c>
      <c r="S16" s="627">
        <f>'Rates in Detail'!S20</f>
        <v>-1.24E-2</v>
      </c>
      <c r="T16" s="631">
        <f>'Rates in Detail'!T20</f>
        <v>-6.8599999999999998E-3</v>
      </c>
      <c r="U16" s="631">
        <f>'Rates in Detail'!U20</f>
        <v>0</v>
      </c>
      <c r="V16" s="260">
        <f t="shared" si="3"/>
        <v>2.971E-2</v>
      </c>
      <c r="W16" s="620"/>
      <c r="X16" s="114"/>
      <c r="Y16" s="114"/>
      <c r="Z16" s="114"/>
      <c r="AA16" s="114"/>
      <c r="AB16" s="114"/>
      <c r="AC16" s="348">
        <f t="shared" si="4"/>
        <v>0</v>
      </c>
      <c r="AE16" s="114">
        <f t="shared" si="5"/>
        <v>0.35274</v>
      </c>
      <c r="AF16" s="114"/>
      <c r="AG16" s="114">
        <f t="shared" si="6"/>
        <v>0</v>
      </c>
      <c r="AH16" s="114">
        <f t="shared" si="0"/>
        <v>0.26333000000000001</v>
      </c>
      <c r="AI16" s="114">
        <f t="shared" si="7"/>
        <v>1.7910000000000002E-2</v>
      </c>
      <c r="AJ16" s="343">
        <f t="shared" si="8"/>
        <v>0.63397999999999999</v>
      </c>
      <c r="AK16" s="131"/>
      <c r="AL16" s="114">
        <f>'Rates in Detail'!Y20</f>
        <v>2.4660000000000001E-2</v>
      </c>
      <c r="AM16" s="114">
        <f>'Rates in Detail'!Z20</f>
        <v>-3.5E-4</v>
      </c>
      <c r="AN16" s="986">
        <f t="shared" si="9"/>
        <v>2.4310000000000002E-2</v>
      </c>
      <c r="AO16" s="131"/>
      <c r="AP16" s="114"/>
      <c r="AQ16" s="114"/>
      <c r="AR16" s="114"/>
      <c r="AS16" s="114"/>
      <c r="AT16" s="114"/>
      <c r="AU16" s="348">
        <f t="shared" si="10"/>
        <v>0</v>
      </c>
      <c r="AW16" s="114">
        <f t="shared" si="11"/>
        <v>0.37740000000000001</v>
      </c>
      <c r="AX16" s="114">
        <f t="shared" si="12"/>
        <v>0</v>
      </c>
      <c r="AY16" s="114">
        <f t="shared" si="13"/>
        <v>0</v>
      </c>
      <c r="AZ16" s="114">
        <f t="shared" si="14"/>
        <v>0.26333000000000001</v>
      </c>
      <c r="BA16" s="114">
        <f t="shared" si="15"/>
        <v>3.6819999999999999E-2</v>
      </c>
      <c r="BB16" s="343">
        <f t="shared" si="16"/>
        <v>0.67754999999999999</v>
      </c>
    </row>
    <row r="17" spans="2:54" x14ac:dyDescent="0.2">
      <c r="B17" s="110">
        <f t="shared" si="17"/>
        <v>9</v>
      </c>
      <c r="C17" s="906" t="str">
        <f>'WA Volumes &amp; Revenues'!B23</f>
        <v>41I Firm Sales</v>
      </c>
      <c r="D17" s="906" t="s">
        <v>4</v>
      </c>
      <c r="E17" s="115">
        <v>2000</v>
      </c>
      <c r="F17" s="116">
        <f>'WA Volumes &amp; Revenues'!E23</f>
        <v>392890.20000000007</v>
      </c>
      <c r="G17" s="116">
        <f>'WA Volumes &amp; Revenues'!H23</f>
        <v>17.833333333333332</v>
      </c>
      <c r="H17" s="912">
        <f>'WA Volumes &amp; Revenues'!O23</f>
        <v>250</v>
      </c>
      <c r="I17" s="913">
        <f>'WA Volumes &amp; Revenues'!N23</f>
        <v>250</v>
      </c>
      <c r="J17" s="628">
        <f>'Rates in Detail'!E21</f>
        <v>0.34416000000000024</v>
      </c>
      <c r="K17" s="630">
        <f>'Rates in Detail'!H21</f>
        <v>0</v>
      </c>
      <c r="L17" s="630">
        <f>'Rates in Detail'!F21</f>
        <v>0.26333000000000001</v>
      </c>
      <c r="M17" s="630">
        <f>'Rates in Detail'!I21</f>
        <v>-1.7200000000000002E-3</v>
      </c>
      <c r="N17" s="137">
        <f t="shared" si="1"/>
        <v>0.60577000000000025</v>
      </c>
      <c r="O17" s="628">
        <f>'Rates in Detail'!L21</f>
        <v>5.6809999999999999E-2</v>
      </c>
      <c r="P17" s="630">
        <f>'Rates in Detail'!P21</f>
        <v>-3.9100000000000003E-3</v>
      </c>
      <c r="Q17" s="630">
        <f>'Rates in Detail'!Q21</f>
        <v>0</v>
      </c>
      <c r="R17" s="255">
        <f t="shared" si="2"/>
        <v>5.2900000000000003E-2</v>
      </c>
      <c r="S17" s="628">
        <f>'Rates in Detail'!S21</f>
        <v>0</v>
      </c>
      <c r="T17" s="630">
        <f>'Rates in Detail'!T21</f>
        <v>-7.4000000000000003E-3</v>
      </c>
      <c r="U17" s="630">
        <f>'Rates in Detail'!U21</f>
        <v>0</v>
      </c>
      <c r="V17" s="261">
        <f t="shared" si="3"/>
        <v>4.5499999999999999E-2</v>
      </c>
      <c r="W17" s="620"/>
      <c r="X17" s="117"/>
      <c r="Y17" s="117"/>
      <c r="Z17" s="117"/>
      <c r="AA17" s="117"/>
      <c r="AB17" s="117"/>
      <c r="AC17" s="349">
        <f t="shared" si="4"/>
        <v>0</v>
      </c>
      <c r="AE17" s="114">
        <f t="shared" si="5"/>
        <v>0.39706000000000025</v>
      </c>
      <c r="AF17" s="114"/>
      <c r="AG17" s="114">
        <f t="shared" si="6"/>
        <v>0</v>
      </c>
      <c r="AH17" s="114">
        <f t="shared" si="0"/>
        <v>0.26333000000000001</v>
      </c>
      <c r="AI17" s="114">
        <f t="shared" si="7"/>
        <v>-9.1199999999999996E-3</v>
      </c>
      <c r="AJ17" s="343">
        <f t="shared" si="8"/>
        <v>0.65127000000000024</v>
      </c>
      <c r="AK17" s="131"/>
      <c r="AL17" s="117">
        <f>'Rates in Detail'!Y21</f>
        <v>2.664E-2</v>
      </c>
      <c r="AM17" s="117">
        <f>'Rates in Detail'!Z21</f>
        <v>-3.8000000000000002E-4</v>
      </c>
      <c r="AN17" s="987">
        <f t="shared" si="9"/>
        <v>2.6260000000000002E-2</v>
      </c>
      <c r="AO17" s="131"/>
      <c r="AP17" s="117"/>
      <c r="AQ17" s="117"/>
      <c r="AR17" s="117"/>
      <c r="AS17" s="117"/>
      <c r="AT17" s="117"/>
      <c r="AU17" s="349">
        <f t="shared" si="10"/>
        <v>0</v>
      </c>
      <c r="AW17" s="117">
        <f t="shared" si="11"/>
        <v>0.42370000000000024</v>
      </c>
      <c r="AX17" s="117">
        <f t="shared" si="12"/>
        <v>0</v>
      </c>
      <c r="AY17" s="117">
        <f t="shared" si="13"/>
        <v>0</v>
      </c>
      <c r="AZ17" s="117">
        <f t="shared" si="14"/>
        <v>0.26333000000000001</v>
      </c>
      <c r="BA17" s="117">
        <f t="shared" si="15"/>
        <v>-2.1000000000000003E-3</v>
      </c>
      <c r="BB17" s="344">
        <f t="shared" si="16"/>
        <v>0.68493000000000026</v>
      </c>
    </row>
    <row r="18" spans="2:54" x14ac:dyDescent="0.2">
      <c r="B18" s="110">
        <f t="shared" si="17"/>
        <v>10</v>
      </c>
      <c r="C18" s="904"/>
      <c r="D18" s="904" t="s">
        <v>5</v>
      </c>
      <c r="E18" s="112" t="s">
        <v>74</v>
      </c>
      <c r="F18" s="113">
        <f>'WA Volumes &amp; Revenues'!E24</f>
        <v>621650.00000000012</v>
      </c>
      <c r="G18" s="113"/>
      <c r="H18" s="907"/>
      <c r="I18" s="909"/>
      <c r="J18" s="627">
        <f>'Rates in Detail'!E22</f>
        <v>0.30325000000000002</v>
      </c>
      <c r="K18" s="631">
        <f>'Rates in Detail'!H22</f>
        <v>0</v>
      </c>
      <c r="L18" s="631">
        <f>'Rates in Detail'!F22</f>
        <v>0.26333000000000001</v>
      </c>
      <c r="M18" s="631">
        <f>'Rates in Detail'!I22</f>
        <v>-2.6199999999999999E-3</v>
      </c>
      <c r="N18" s="135">
        <f t="shared" si="1"/>
        <v>0.56396000000000013</v>
      </c>
      <c r="O18" s="627">
        <f>'Rates in Detail'!L22</f>
        <v>5.0049999999999997E-2</v>
      </c>
      <c r="P18" s="631">
        <f>'Rates in Detail'!P22</f>
        <v>-3.4399999999999999E-3</v>
      </c>
      <c r="Q18" s="631">
        <f>'Rates in Detail'!Q22</f>
        <v>0</v>
      </c>
      <c r="R18" s="254">
        <f t="shared" si="2"/>
        <v>4.6609999999999999E-2</v>
      </c>
      <c r="S18" s="627">
        <f>'Rates in Detail'!S22</f>
        <v>0</v>
      </c>
      <c r="T18" s="631">
        <f>'Rates in Detail'!T22</f>
        <v>-6.5199999999999998E-3</v>
      </c>
      <c r="U18" s="631">
        <f>'Rates in Detail'!U22</f>
        <v>0</v>
      </c>
      <c r="V18" s="260">
        <f t="shared" si="3"/>
        <v>4.0090000000000001E-2</v>
      </c>
      <c r="W18" s="620"/>
      <c r="X18" s="114"/>
      <c r="Y18" s="114"/>
      <c r="Z18" s="114"/>
      <c r="AA18" s="114"/>
      <c r="AB18" s="114"/>
      <c r="AC18" s="348">
        <f t="shared" si="4"/>
        <v>0</v>
      </c>
      <c r="AE18" s="114">
        <f t="shared" si="5"/>
        <v>0.34986</v>
      </c>
      <c r="AF18" s="114"/>
      <c r="AG18" s="114">
        <f t="shared" si="6"/>
        <v>0</v>
      </c>
      <c r="AH18" s="114">
        <f t="shared" si="0"/>
        <v>0.26333000000000001</v>
      </c>
      <c r="AI18" s="114">
        <f t="shared" si="7"/>
        <v>-9.1399999999999988E-3</v>
      </c>
      <c r="AJ18" s="343">
        <f t="shared" si="8"/>
        <v>0.60404999999999998</v>
      </c>
      <c r="AK18" s="131"/>
      <c r="AL18" s="114">
        <f>'Rates in Detail'!Y22</f>
        <v>2.3470000000000001E-2</v>
      </c>
      <c r="AM18" s="114">
        <f>'Rates in Detail'!Z22</f>
        <v>-3.3E-4</v>
      </c>
      <c r="AN18" s="986">
        <f t="shared" si="9"/>
        <v>2.3140000000000001E-2</v>
      </c>
      <c r="AO18" s="131"/>
      <c r="AP18" s="114"/>
      <c r="AQ18" s="114"/>
      <c r="AR18" s="114"/>
      <c r="AS18" s="114"/>
      <c r="AT18" s="114"/>
      <c r="AU18" s="348">
        <f t="shared" si="10"/>
        <v>0</v>
      </c>
      <c r="AW18" s="114">
        <f t="shared" si="11"/>
        <v>0.37333</v>
      </c>
      <c r="AX18" s="114">
        <f t="shared" si="12"/>
        <v>0</v>
      </c>
      <c r="AY18" s="114">
        <f t="shared" si="13"/>
        <v>0</v>
      </c>
      <c r="AZ18" s="114">
        <f t="shared" si="14"/>
        <v>0.26333000000000001</v>
      </c>
      <c r="BA18" s="114">
        <f t="shared" si="15"/>
        <v>-2.9499999999999999E-3</v>
      </c>
      <c r="BB18" s="343">
        <f t="shared" si="16"/>
        <v>0.63371</v>
      </c>
    </row>
    <row r="19" spans="2:54" x14ac:dyDescent="0.2">
      <c r="B19" s="110">
        <f t="shared" si="17"/>
        <v>11</v>
      </c>
      <c r="C19" s="906" t="str">
        <f>'WA Volumes &amp; Revenues'!B25</f>
        <v>41C Interr Sales</v>
      </c>
      <c r="D19" s="906" t="s">
        <v>4</v>
      </c>
      <c r="E19" s="115">
        <v>2000</v>
      </c>
      <c r="F19" s="116">
        <f>'WA Volumes &amp; Revenues'!E25</f>
        <v>0</v>
      </c>
      <c r="G19" s="116">
        <f>'WA Volumes &amp; Revenues'!H25</f>
        <v>0</v>
      </c>
      <c r="H19" s="912">
        <f>'WA Volumes &amp; Revenues'!O25</f>
        <v>250</v>
      </c>
      <c r="I19" s="913">
        <f>'WA Volumes &amp; Revenues'!N25</f>
        <v>250</v>
      </c>
      <c r="J19" s="628">
        <f>'Rates in Detail'!E23</f>
        <v>0.34372999999999987</v>
      </c>
      <c r="K19" s="630">
        <f>'Rates in Detail'!H23</f>
        <v>0</v>
      </c>
      <c r="L19" s="630">
        <f>'Rates in Detail'!F23</f>
        <v>0.26333000000000001</v>
      </c>
      <c r="M19" s="630">
        <f>'Rates in Detail'!I23</f>
        <v>5.3189999999999994E-2</v>
      </c>
      <c r="N19" s="137">
        <f t="shared" si="1"/>
        <v>0.66024999999999989</v>
      </c>
      <c r="O19" s="628">
        <f>'Rates in Detail'!L23</f>
        <v>4.3560000000000001E-2</v>
      </c>
      <c r="P19" s="630">
        <f>'Rates in Detail'!P23</f>
        <v>-3.2200000000000002E-3</v>
      </c>
      <c r="Q19" s="630">
        <f>'Rates in Detail'!Q23</f>
        <v>0</v>
      </c>
      <c r="R19" s="255">
        <f t="shared" si="2"/>
        <v>4.0340000000000001E-2</v>
      </c>
      <c r="S19" s="628">
        <f>'Rates in Detail'!S23</f>
        <v>-1.404E-2</v>
      </c>
      <c r="T19" s="630">
        <f>'Rates in Detail'!T23</f>
        <v>-6.1000000000000004E-3</v>
      </c>
      <c r="U19" s="630">
        <f>'Rates in Detail'!U23</f>
        <v>0</v>
      </c>
      <c r="V19" s="261">
        <f t="shared" si="3"/>
        <v>2.0199999999999999E-2</v>
      </c>
      <c r="W19" s="620"/>
      <c r="X19" s="117"/>
      <c r="Y19" s="117"/>
      <c r="Z19" s="117"/>
      <c r="AA19" s="117"/>
      <c r="AB19" s="117"/>
      <c r="AC19" s="349">
        <f t="shared" si="4"/>
        <v>0</v>
      </c>
      <c r="AE19" s="114">
        <f t="shared" si="5"/>
        <v>0.38406999999999986</v>
      </c>
      <c r="AF19" s="114"/>
      <c r="AG19" s="114">
        <f t="shared" si="6"/>
        <v>0</v>
      </c>
      <c r="AH19" s="114">
        <f t="shared" si="0"/>
        <v>0.26333000000000001</v>
      </c>
      <c r="AI19" s="114">
        <f t="shared" si="7"/>
        <v>3.3049999999999996E-2</v>
      </c>
      <c r="AJ19" s="343">
        <f t="shared" si="8"/>
        <v>0.68044999999999989</v>
      </c>
      <c r="AK19" s="131"/>
      <c r="AL19" s="117">
        <f>'Rates in Detail'!Y23</f>
        <v>2.1749999999999999E-2</v>
      </c>
      <c r="AM19" s="117">
        <f>'Rates in Detail'!Z23</f>
        <v>-3.1E-4</v>
      </c>
      <c r="AN19" s="987">
        <f t="shared" si="9"/>
        <v>2.1439999999999997E-2</v>
      </c>
      <c r="AO19" s="131"/>
      <c r="AP19" s="117"/>
      <c r="AQ19" s="117"/>
      <c r="AR19" s="117"/>
      <c r="AS19" s="117"/>
      <c r="AT19" s="117"/>
      <c r="AU19" s="349">
        <f t="shared" si="10"/>
        <v>0</v>
      </c>
      <c r="AW19" s="117">
        <f t="shared" si="11"/>
        <v>0.40581999999999985</v>
      </c>
      <c r="AX19" s="117">
        <f t="shared" si="12"/>
        <v>0</v>
      </c>
      <c r="AY19" s="117">
        <f t="shared" si="13"/>
        <v>0</v>
      </c>
      <c r="AZ19" s="117">
        <f t="shared" si="14"/>
        <v>0.26333000000000001</v>
      </c>
      <c r="BA19" s="117">
        <f t="shared" si="15"/>
        <v>5.2879999999999996E-2</v>
      </c>
      <c r="BB19" s="344">
        <f t="shared" si="16"/>
        <v>0.72202999999999995</v>
      </c>
    </row>
    <row r="20" spans="2:54" x14ac:dyDescent="0.2">
      <c r="B20" s="110">
        <f t="shared" si="17"/>
        <v>12</v>
      </c>
      <c r="C20" s="904"/>
      <c r="D20" s="904" t="s">
        <v>5</v>
      </c>
      <c r="E20" s="112" t="s">
        <v>74</v>
      </c>
      <c r="F20" s="113">
        <f>'WA Volumes &amp; Revenues'!E26</f>
        <v>0</v>
      </c>
      <c r="G20" s="113"/>
      <c r="H20" s="907"/>
      <c r="I20" s="909"/>
      <c r="J20" s="627">
        <f>'Rates in Detail'!E24</f>
        <v>0.30284999999999984</v>
      </c>
      <c r="K20" s="631">
        <f>'Rates in Detail'!H24</f>
        <v>0</v>
      </c>
      <c r="L20" s="631">
        <f>'Rates in Detail'!F24</f>
        <v>0.26333000000000001</v>
      </c>
      <c r="M20" s="631">
        <f>'Rates in Detail'!I24</f>
        <v>4.6990000000000004E-2</v>
      </c>
      <c r="N20" s="135">
        <f t="shared" si="1"/>
        <v>0.61316999999999988</v>
      </c>
      <c r="O20" s="627">
        <f>'Rates in Detail'!L24</f>
        <v>3.8379999999999997E-2</v>
      </c>
      <c r="P20" s="631">
        <f>'Rates in Detail'!P24</f>
        <v>-2.8400000000000001E-3</v>
      </c>
      <c r="Q20" s="631">
        <f>'Rates in Detail'!Q24</f>
        <v>0</v>
      </c>
      <c r="R20" s="254">
        <f t="shared" si="2"/>
        <v>3.5539999999999995E-2</v>
      </c>
      <c r="S20" s="627">
        <f>'Rates in Detail'!S24</f>
        <v>-1.2370000000000001E-2</v>
      </c>
      <c r="T20" s="631">
        <f>'Rates in Detail'!T24</f>
        <v>-5.3699999999999998E-3</v>
      </c>
      <c r="U20" s="631">
        <f>'Rates in Detail'!U24</f>
        <v>0</v>
      </c>
      <c r="V20" s="260">
        <f t="shared" si="3"/>
        <v>1.7799999999999996E-2</v>
      </c>
      <c r="W20" s="620"/>
      <c r="X20" s="114"/>
      <c r="Y20" s="114"/>
      <c r="Z20" s="114"/>
      <c r="AA20" s="114"/>
      <c r="AB20" s="114"/>
      <c r="AC20" s="348">
        <f t="shared" si="4"/>
        <v>0</v>
      </c>
      <c r="AE20" s="114">
        <f t="shared" si="5"/>
        <v>0.33838999999999986</v>
      </c>
      <c r="AF20" s="114"/>
      <c r="AG20" s="114">
        <f t="shared" si="6"/>
        <v>0</v>
      </c>
      <c r="AH20" s="114">
        <f t="shared" si="0"/>
        <v>0.26333000000000001</v>
      </c>
      <c r="AI20" s="114">
        <f t="shared" si="7"/>
        <v>2.9250000000000005E-2</v>
      </c>
      <c r="AJ20" s="343">
        <f t="shared" si="8"/>
        <v>0.63096999999999981</v>
      </c>
      <c r="AK20" s="131"/>
      <c r="AL20" s="114">
        <f>'Rates in Detail'!Y24</f>
        <v>1.917E-2</v>
      </c>
      <c r="AM20" s="114">
        <f>'Rates in Detail'!Z24</f>
        <v>-2.7E-4</v>
      </c>
      <c r="AN20" s="986">
        <f t="shared" si="9"/>
        <v>1.89E-2</v>
      </c>
      <c r="AO20" s="131"/>
      <c r="AP20" s="114"/>
      <c r="AQ20" s="114"/>
      <c r="AR20" s="114"/>
      <c r="AS20" s="114"/>
      <c r="AT20" s="114"/>
      <c r="AU20" s="348">
        <f t="shared" si="10"/>
        <v>0</v>
      </c>
      <c r="AW20" s="114">
        <f t="shared" si="11"/>
        <v>0.35755999999999988</v>
      </c>
      <c r="AX20" s="114">
        <f t="shared" si="12"/>
        <v>0</v>
      </c>
      <c r="AY20" s="114">
        <f t="shared" si="13"/>
        <v>0</v>
      </c>
      <c r="AZ20" s="114">
        <f t="shared" si="14"/>
        <v>0.26333000000000001</v>
      </c>
      <c r="BA20" s="114">
        <f t="shared" si="15"/>
        <v>4.6720000000000005E-2</v>
      </c>
      <c r="BB20" s="343">
        <f t="shared" si="16"/>
        <v>0.66760999999999993</v>
      </c>
    </row>
    <row r="21" spans="2:54" x14ac:dyDescent="0.2">
      <c r="B21" s="110">
        <f t="shared" si="17"/>
        <v>13</v>
      </c>
      <c r="C21" s="906" t="str">
        <f>'WA Volumes &amp; Revenues'!B27</f>
        <v>41I Interr Sales</v>
      </c>
      <c r="D21" s="906" t="s">
        <v>4</v>
      </c>
      <c r="E21" s="115">
        <v>2000</v>
      </c>
      <c r="F21" s="116">
        <f>'WA Volumes &amp; Revenues'!E27</f>
        <v>0</v>
      </c>
      <c r="G21" s="116">
        <f>'WA Volumes &amp; Revenues'!H27</f>
        <v>0</v>
      </c>
      <c r="H21" s="912">
        <f>'WA Volumes &amp; Revenues'!O27</f>
        <v>250</v>
      </c>
      <c r="I21" s="913">
        <f>'WA Volumes &amp; Revenues'!N27</f>
        <v>250</v>
      </c>
      <c r="J21" s="628">
        <f>'Rates in Detail'!E25</f>
        <v>0.34372999999999987</v>
      </c>
      <c r="K21" s="630">
        <f>'Rates in Detail'!H25</f>
        <v>0</v>
      </c>
      <c r="L21" s="630">
        <f>'Rates in Detail'!F25</f>
        <v>0.26333000000000001</v>
      </c>
      <c r="M21" s="630">
        <f>'Rates in Detail'!I25</f>
        <v>8.7499999999999991E-3</v>
      </c>
      <c r="N21" s="137">
        <f t="shared" si="1"/>
        <v>0.61580999999999997</v>
      </c>
      <c r="O21" s="628">
        <f>'Rates in Detail'!L25</f>
        <v>4.3560000000000001E-2</v>
      </c>
      <c r="P21" s="630">
        <f>'Rates in Detail'!P25</f>
        <v>-3.2200000000000002E-3</v>
      </c>
      <c r="Q21" s="630">
        <f>'Rates in Detail'!Q25</f>
        <v>0</v>
      </c>
      <c r="R21" s="255">
        <f t="shared" si="2"/>
        <v>4.0340000000000001E-2</v>
      </c>
      <c r="S21" s="628">
        <f>'Rates in Detail'!S25</f>
        <v>0</v>
      </c>
      <c r="T21" s="630">
        <f>'Rates in Detail'!T25</f>
        <v>-6.1000000000000004E-3</v>
      </c>
      <c r="U21" s="630">
        <f>'Rates in Detail'!U25</f>
        <v>0</v>
      </c>
      <c r="V21" s="261">
        <f t="shared" si="3"/>
        <v>3.424E-2</v>
      </c>
      <c r="W21" s="620"/>
      <c r="X21" s="117"/>
      <c r="Y21" s="117"/>
      <c r="Z21" s="117"/>
      <c r="AA21" s="117"/>
      <c r="AB21" s="117"/>
      <c r="AC21" s="349">
        <f t="shared" si="4"/>
        <v>0</v>
      </c>
      <c r="AE21" s="114">
        <f t="shared" si="5"/>
        <v>0.38406999999999986</v>
      </c>
      <c r="AF21" s="114"/>
      <c r="AG21" s="114">
        <f t="shared" si="6"/>
        <v>0</v>
      </c>
      <c r="AH21" s="114">
        <f t="shared" si="0"/>
        <v>0.26333000000000001</v>
      </c>
      <c r="AI21" s="114">
        <f t="shared" si="7"/>
        <v>2.6499999999999987E-3</v>
      </c>
      <c r="AJ21" s="343">
        <f t="shared" si="8"/>
        <v>0.65004999999999991</v>
      </c>
      <c r="AK21" s="131"/>
      <c r="AL21" s="117">
        <f>'Rates in Detail'!Y25</f>
        <v>2.1749999999999999E-2</v>
      </c>
      <c r="AM21" s="117">
        <f>'Rates in Detail'!Z25</f>
        <v>-3.1E-4</v>
      </c>
      <c r="AN21" s="987">
        <f t="shared" si="9"/>
        <v>2.1439999999999997E-2</v>
      </c>
      <c r="AO21" s="131"/>
      <c r="AP21" s="117"/>
      <c r="AQ21" s="117"/>
      <c r="AR21" s="117"/>
      <c r="AS21" s="117"/>
      <c r="AT21" s="117"/>
      <c r="AU21" s="349">
        <f t="shared" si="10"/>
        <v>0</v>
      </c>
      <c r="AW21" s="117">
        <f t="shared" si="11"/>
        <v>0.40581999999999985</v>
      </c>
      <c r="AX21" s="117">
        <f t="shared" si="12"/>
        <v>0</v>
      </c>
      <c r="AY21" s="117">
        <f t="shared" si="13"/>
        <v>0</v>
      </c>
      <c r="AZ21" s="117">
        <f t="shared" si="14"/>
        <v>0.26333000000000001</v>
      </c>
      <c r="BA21" s="117">
        <f t="shared" si="15"/>
        <v>8.4399999999999996E-3</v>
      </c>
      <c r="BB21" s="344">
        <f t="shared" si="16"/>
        <v>0.67758999999999991</v>
      </c>
    </row>
    <row r="22" spans="2:54" x14ac:dyDescent="0.2">
      <c r="B22" s="110">
        <f t="shared" si="17"/>
        <v>14</v>
      </c>
      <c r="C22" s="904"/>
      <c r="D22" s="904" t="s">
        <v>5</v>
      </c>
      <c r="E22" s="112" t="s">
        <v>74</v>
      </c>
      <c r="F22" s="113">
        <f>'WA Volumes &amp; Revenues'!E28</f>
        <v>0</v>
      </c>
      <c r="G22" s="113"/>
      <c r="H22" s="907"/>
      <c r="I22" s="909"/>
      <c r="J22" s="627">
        <f>'Rates in Detail'!E26</f>
        <v>0.30284999999999984</v>
      </c>
      <c r="K22" s="631">
        <f>'Rates in Detail'!H26</f>
        <v>0</v>
      </c>
      <c r="L22" s="631">
        <f>'Rates in Detail'!F26</f>
        <v>0.26333000000000001</v>
      </c>
      <c r="M22" s="631">
        <f>'Rates in Detail'!I26</f>
        <v>7.8399999999999997E-3</v>
      </c>
      <c r="N22" s="135">
        <f t="shared" si="1"/>
        <v>0.57401999999999986</v>
      </c>
      <c r="O22" s="627">
        <f>'Rates in Detail'!L26</f>
        <v>3.8379999999999997E-2</v>
      </c>
      <c r="P22" s="631">
        <f>'Rates in Detail'!P26</f>
        <v>-2.8400000000000001E-3</v>
      </c>
      <c r="Q22" s="631">
        <f>'Rates in Detail'!Q26</f>
        <v>0</v>
      </c>
      <c r="R22" s="254">
        <f t="shared" si="2"/>
        <v>3.5539999999999995E-2</v>
      </c>
      <c r="S22" s="627">
        <f>'Rates in Detail'!S26</f>
        <v>0</v>
      </c>
      <c r="T22" s="631">
        <f>'Rates in Detail'!T26</f>
        <v>-5.3699999999999998E-3</v>
      </c>
      <c r="U22" s="631">
        <f>'Rates in Detail'!U26</f>
        <v>0</v>
      </c>
      <c r="V22" s="260">
        <f t="shared" si="3"/>
        <v>3.0169999999999995E-2</v>
      </c>
      <c r="W22" s="620"/>
      <c r="X22" s="114"/>
      <c r="Y22" s="114"/>
      <c r="Z22" s="114"/>
      <c r="AA22" s="114"/>
      <c r="AB22" s="114"/>
      <c r="AC22" s="348">
        <f t="shared" si="4"/>
        <v>0</v>
      </c>
      <c r="AE22" s="114">
        <f t="shared" si="5"/>
        <v>0.33838999999999986</v>
      </c>
      <c r="AF22" s="114"/>
      <c r="AG22" s="114">
        <f t="shared" si="6"/>
        <v>0</v>
      </c>
      <c r="AH22" s="114">
        <f t="shared" si="0"/>
        <v>0.26333000000000001</v>
      </c>
      <c r="AI22" s="114">
        <f t="shared" si="7"/>
        <v>2.47E-3</v>
      </c>
      <c r="AJ22" s="343">
        <f t="shared" si="8"/>
        <v>0.60418999999999978</v>
      </c>
      <c r="AK22" s="131"/>
      <c r="AL22" s="114">
        <f>'Rates in Detail'!Y26</f>
        <v>1.917E-2</v>
      </c>
      <c r="AM22" s="114">
        <f>'Rates in Detail'!Z26</f>
        <v>-2.7E-4</v>
      </c>
      <c r="AN22" s="986">
        <f t="shared" si="9"/>
        <v>1.89E-2</v>
      </c>
      <c r="AO22" s="131"/>
      <c r="AP22" s="114"/>
      <c r="AQ22" s="114"/>
      <c r="AR22" s="114"/>
      <c r="AS22" s="114"/>
      <c r="AT22" s="114"/>
      <c r="AU22" s="348">
        <f t="shared" si="10"/>
        <v>0</v>
      </c>
      <c r="AW22" s="114">
        <f t="shared" si="11"/>
        <v>0.35755999999999988</v>
      </c>
      <c r="AX22" s="114">
        <f t="shared" si="12"/>
        <v>0</v>
      </c>
      <c r="AY22" s="114">
        <f t="shared" si="13"/>
        <v>0</v>
      </c>
      <c r="AZ22" s="114">
        <f t="shared" si="14"/>
        <v>0.26333000000000001</v>
      </c>
      <c r="BA22" s="114">
        <f t="shared" si="15"/>
        <v>7.5699999999999995E-3</v>
      </c>
      <c r="BB22" s="343">
        <f t="shared" si="16"/>
        <v>0.62845999999999991</v>
      </c>
    </row>
    <row r="23" spans="2:54" x14ac:dyDescent="0.2">
      <c r="B23" s="110">
        <f t="shared" si="17"/>
        <v>15</v>
      </c>
      <c r="C23" s="906" t="str">
        <f>'WA Volumes &amp; Revenues'!B29</f>
        <v>41C Firm Transpt</v>
      </c>
      <c r="D23" s="906" t="s">
        <v>4</v>
      </c>
      <c r="E23" s="115">
        <v>2000</v>
      </c>
      <c r="F23" s="116">
        <f>'WA Volumes &amp; Revenues'!E29</f>
        <v>168721</v>
      </c>
      <c r="G23" s="116">
        <f>'WA Volumes &amp; Revenues'!H29</f>
        <v>7.916666666666667</v>
      </c>
      <c r="H23" s="912">
        <f>'WA Volumes &amp; Revenues'!O29</f>
        <v>500</v>
      </c>
      <c r="I23" s="913">
        <f>'WA Volumes &amp; Revenues'!N29</f>
        <v>500</v>
      </c>
      <c r="J23" s="628">
        <f>'Rates in Detail'!E27</f>
        <v>0.34791</v>
      </c>
      <c r="K23" s="630">
        <f>'Rates in Detail'!H27</f>
        <v>0</v>
      </c>
      <c r="L23" s="630">
        <f>'Rates in Detail'!F27</f>
        <v>0</v>
      </c>
      <c r="M23" s="630">
        <f>'Rates in Detail'!I27</f>
        <v>1.5499999999999999E-3</v>
      </c>
      <c r="N23" s="137">
        <f t="shared" si="1"/>
        <v>0.34945999999999999</v>
      </c>
      <c r="O23" s="628">
        <f>'Rates in Detail'!L27</f>
        <v>6.3149999999999998E-2</v>
      </c>
      <c r="P23" s="630">
        <f>'Rates in Detail'!P27</f>
        <v>-4.3499999999999997E-3</v>
      </c>
      <c r="Q23" s="630">
        <f>'Rates in Detail'!Q27</f>
        <v>0</v>
      </c>
      <c r="R23" s="255">
        <f t="shared" si="2"/>
        <v>5.8799999999999998E-2</v>
      </c>
      <c r="S23" s="628">
        <f>'Rates in Detail'!S27</f>
        <v>0</v>
      </c>
      <c r="T23" s="630">
        <f>'Rates in Detail'!T27</f>
        <v>-8.2299999999999995E-3</v>
      </c>
      <c r="U23" s="630">
        <f>'Rates in Detail'!U27</f>
        <v>0</v>
      </c>
      <c r="V23" s="261">
        <f t="shared" si="3"/>
        <v>5.0569999999999997E-2</v>
      </c>
      <c r="W23" s="620"/>
      <c r="X23" s="117"/>
      <c r="Y23" s="117"/>
      <c r="Z23" s="117"/>
      <c r="AA23" s="117"/>
      <c r="AB23" s="117"/>
      <c r="AC23" s="349">
        <f t="shared" si="4"/>
        <v>0</v>
      </c>
      <c r="AE23" s="114">
        <f t="shared" si="5"/>
        <v>0.40671000000000002</v>
      </c>
      <c r="AF23" s="114"/>
      <c r="AG23" s="114">
        <f t="shared" si="6"/>
        <v>0</v>
      </c>
      <c r="AH23" s="114">
        <f t="shared" si="0"/>
        <v>0</v>
      </c>
      <c r="AI23" s="114">
        <f t="shared" si="7"/>
        <v>-6.6799999999999993E-3</v>
      </c>
      <c r="AJ23" s="343">
        <f t="shared" si="8"/>
        <v>0.40003</v>
      </c>
      <c r="AK23" s="131"/>
      <c r="AL23" s="117">
        <f>'Rates in Detail'!Y27</f>
        <v>2.9610000000000001E-2</v>
      </c>
      <c r="AM23" s="117">
        <f>'Rates in Detail'!Z27</f>
        <v>-4.2000000000000002E-4</v>
      </c>
      <c r="AN23" s="987">
        <f t="shared" si="9"/>
        <v>2.9190000000000001E-2</v>
      </c>
      <c r="AO23" s="131"/>
      <c r="AP23" s="117"/>
      <c r="AQ23" s="117"/>
      <c r="AR23" s="117"/>
      <c r="AS23" s="117"/>
      <c r="AT23" s="117"/>
      <c r="AU23" s="349">
        <f t="shared" si="10"/>
        <v>0</v>
      </c>
      <c r="AW23" s="117">
        <f t="shared" si="11"/>
        <v>0.43632000000000004</v>
      </c>
      <c r="AX23" s="117">
        <f t="shared" si="12"/>
        <v>0</v>
      </c>
      <c r="AY23" s="117">
        <f t="shared" si="13"/>
        <v>0</v>
      </c>
      <c r="AZ23" s="117">
        <f t="shared" si="14"/>
        <v>0</v>
      </c>
      <c r="BA23" s="117">
        <f t="shared" si="15"/>
        <v>1.1299999999999999E-3</v>
      </c>
      <c r="BB23" s="344">
        <f t="shared" si="16"/>
        <v>0.43745000000000006</v>
      </c>
    </row>
    <row r="24" spans="2:54" x14ac:dyDescent="0.2">
      <c r="B24" s="110">
        <f t="shared" si="17"/>
        <v>16</v>
      </c>
      <c r="C24" s="904"/>
      <c r="D24" s="904" t="s">
        <v>5</v>
      </c>
      <c r="E24" s="112" t="s">
        <v>74</v>
      </c>
      <c r="F24" s="113">
        <f>'WA Volumes &amp; Revenues'!E30</f>
        <v>272866</v>
      </c>
      <c r="G24" s="113"/>
      <c r="H24" s="907"/>
      <c r="I24" s="909"/>
      <c r="J24" s="627">
        <f>'Rates in Detail'!E28</f>
        <v>0.30653000000000008</v>
      </c>
      <c r="K24" s="631">
        <f>'Rates in Detail'!H28</f>
        <v>0</v>
      </c>
      <c r="L24" s="631">
        <f>'Rates in Detail'!F28</f>
        <v>0</v>
      </c>
      <c r="M24" s="631">
        <f>'Rates in Detail'!I28</f>
        <v>1.3600000000000001E-3</v>
      </c>
      <c r="N24" s="135">
        <f t="shared" si="1"/>
        <v>0.30789000000000011</v>
      </c>
      <c r="O24" s="627">
        <f>'Rates in Detail'!L28</f>
        <v>5.5640000000000002E-2</v>
      </c>
      <c r="P24" s="631">
        <f>'Rates in Detail'!P28</f>
        <v>-3.8300000000000001E-3</v>
      </c>
      <c r="Q24" s="631">
        <f>'Rates in Detail'!Q28</f>
        <v>0</v>
      </c>
      <c r="R24" s="254">
        <f t="shared" si="2"/>
        <v>5.1810000000000002E-2</v>
      </c>
      <c r="S24" s="627">
        <f>'Rates in Detail'!S28</f>
        <v>0</v>
      </c>
      <c r="T24" s="631">
        <f>'Rates in Detail'!T28</f>
        <v>-7.2500000000000004E-3</v>
      </c>
      <c r="U24" s="631">
        <f>'Rates in Detail'!U28</f>
        <v>0</v>
      </c>
      <c r="V24" s="260">
        <f t="shared" si="3"/>
        <v>4.4560000000000002E-2</v>
      </c>
      <c r="W24" s="620"/>
      <c r="X24" s="114"/>
      <c r="Y24" s="114"/>
      <c r="Z24" s="114"/>
      <c r="AA24" s="114"/>
      <c r="AB24" s="114"/>
      <c r="AC24" s="348">
        <f t="shared" si="4"/>
        <v>0</v>
      </c>
      <c r="AE24" s="114">
        <f t="shared" si="5"/>
        <v>0.3583400000000001</v>
      </c>
      <c r="AF24" s="114"/>
      <c r="AG24" s="114">
        <f t="shared" si="6"/>
        <v>0</v>
      </c>
      <c r="AH24" s="114">
        <f t="shared" si="0"/>
        <v>0</v>
      </c>
      <c r="AI24" s="114">
        <f t="shared" si="7"/>
        <v>-5.8900000000000003E-3</v>
      </c>
      <c r="AJ24" s="343">
        <f t="shared" si="8"/>
        <v>0.3524500000000001</v>
      </c>
      <c r="AK24" s="131"/>
      <c r="AL24" s="114">
        <f>'Rates in Detail'!Y28</f>
        <v>2.6089999999999999E-2</v>
      </c>
      <c r="AM24" s="114">
        <f>'Rates in Detail'!Z28</f>
        <v>-3.6999999999999999E-4</v>
      </c>
      <c r="AN24" s="986">
        <f t="shared" si="9"/>
        <v>2.572E-2</v>
      </c>
      <c r="AO24" s="131"/>
      <c r="AP24" s="114"/>
      <c r="AQ24" s="114"/>
      <c r="AR24" s="114"/>
      <c r="AS24" s="114"/>
      <c r="AT24" s="114"/>
      <c r="AU24" s="348">
        <f t="shared" si="10"/>
        <v>0</v>
      </c>
      <c r="AW24" s="114">
        <f t="shared" si="11"/>
        <v>0.3844300000000001</v>
      </c>
      <c r="AX24" s="114">
        <f t="shared" si="12"/>
        <v>0</v>
      </c>
      <c r="AY24" s="114">
        <f t="shared" si="13"/>
        <v>0</v>
      </c>
      <c r="AZ24" s="114">
        <f t="shared" si="14"/>
        <v>0</v>
      </c>
      <c r="BA24" s="114">
        <f t="shared" si="15"/>
        <v>9.8999999999999999E-4</v>
      </c>
      <c r="BB24" s="343">
        <f t="shared" si="16"/>
        <v>0.3854200000000001</v>
      </c>
    </row>
    <row r="25" spans="2:54" x14ac:dyDescent="0.2">
      <c r="B25" s="110">
        <f t="shared" si="17"/>
        <v>17</v>
      </c>
      <c r="C25" s="906" t="str">
        <f>'WA Volumes &amp; Revenues'!B31</f>
        <v>41I Firm Transpt</v>
      </c>
      <c r="D25" s="906" t="s">
        <v>4</v>
      </c>
      <c r="E25" s="115">
        <v>2000</v>
      </c>
      <c r="F25" s="116">
        <f>'WA Volumes &amp; Revenues'!E31</f>
        <v>0</v>
      </c>
      <c r="G25" s="116">
        <f>'WA Volumes &amp; Revenues'!H31</f>
        <v>0</v>
      </c>
      <c r="H25" s="912">
        <f>'WA Volumes &amp; Revenues'!O31</f>
        <v>500</v>
      </c>
      <c r="I25" s="913">
        <f>'WA Volumes &amp; Revenues'!N31</f>
        <v>500</v>
      </c>
      <c r="J25" s="628">
        <f>'Rates in Detail'!E29</f>
        <v>0.34791</v>
      </c>
      <c r="K25" s="630">
        <f>'Rates in Detail'!H29</f>
        <v>0</v>
      </c>
      <c r="L25" s="630">
        <f>'Rates in Detail'!F29</f>
        <v>0</v>
      </c>
      <c r="M25" s="630">
        <f>'Rates in Detail'!I29</f>
        <v>1.5499999999999999E-3</v>
      </c>
      <c r="N25" s="137">
        <f t="shared" si="1"/>
        <v>0.34945999999999999</v>
      </c>
      <c r="O25" s="628">
        <f>'Rates in Detail'!L29</f>
        <v>4.4089999999999997E-2</v>
      </c>
      <c r="P25" s="630">
        <f>'Rates in Detail'!P29</f>
        <v>-3.2599999999999999E-3</v>
      </c>
      <c r="Q25" s="630">
        <f>'Rates in Detail'!Q29</f>
        <v>0</v>
      </c>
      <c r="R25" s="255">
        <f t="shared" si="2"/>
        <v>4.0829999999999998E-2</v>
      </c>
      <c r="S25" s="628">
        <f>'Rates in Detail'!S29</f>
        <v>0</v>
      </c>
      <c r="T25" s="630">
        <f>'Rates in Detail'!T29</f>
        <v>-6.1700000000000001E-3</v>
      </c>
      <c r="U25" s="630">
        <f>'Rates in Detail'!U29</f>
        <v>0</v>
      </c>
      <c r="V25" s="261">
        <f t="shared" si="3"/>
        <v>3.4659999999999996E-2</v>
      </c>
      <c r="W25" s="620"/>
      <c r="X25" s="117"/>
      <c r="Y25" s="117"/>
      <c r="Z25" s="117"/>
      <c r="AA25" s="117"/>
      <c r="AB25" s="117"/>
      <c r="AC25" s="349">
        <f t="shared" si="4"/>
        <v>0</v>
      </c>
      <c r="AE25" s="114">
        <f t="shared" si="5"/>
        <v>0.38873999999999997</v>
      </c>
      <c r="AF25" s="114"/>
      <c r="AG25" s="114">
        <f t="shared" si="6"/>
        <v>0</v>
      </c>
      <c r="AH25" s="114">
        <f t="shared" si="0"/>
        <v>0</v>
      </c>
      <c r="AI25" s="114">
        <f t="shared" si="7"/>
        <v>-4.62E-3</v>
      </c>
      <c r="AJ25" s="343">
        <f t="shared" si="8"/>
        <v>0.38411999999999996</v>
      </c>
      <c r="AK25" s="131"/>
      <c r="AL25" s="117">
        <f>'Rates in Detail'!Y29</f>
        <v>2.2020000000000001E-2</v>
      </c>
      <c r="AM25" s="117">
        <f>'Rates in Detail'!Z29</f>
        <v>-3.1E-4</v>
      </c>
      <c r="AN25" s="987">
        <f t="shared" si="9"/>
        <v>2.171E-2</v>
      </c>
      <c r="AO25" s="131"/>
      <c r="AP25" s="117"/>
      <c r="AQ25" s="117"/>
      <c r="AR25" s="117"/>
      <c r="AS25" s="117"/>
      <c r="AT25" s="117"/>
      <c r="AU25" s="349">
        <f t="shared" si="10"/>
        <v>0</v>
      </c>
      <c r="AW25" s="117">
        <f t="shared" si="11"/>
        <v>0.41075999999999996</v>
      </c>
      <c r="AX25" s="117">
        <f t="shared" si="12"/>
        <v>0</v>
      </c>
      <c r="AY25" s="117">
        <f t="shared" si="13"/>
        <v>0</v>
      </c>
      <c r="AZ25" s="117">
        <f t="shared" si="14"/>
        <v>0</v>
      </c>
      <c r="BA25" s="117">
        <f t="shared" si="15"/>
        <v>1.24E-3</v>
      </c>
      <c r="BB25" s="344">
        <f t="shared" si="16"/>
        <v>0.41199999999999998</v>
      </c>
    </row>
    <row r="26" spans="2:54" x14ac:dyDescent="0.2">
      <c r="B26" s="110">
        <f t="shared" si="17"/>
        <v>18</v>
      </c>
      <c r="C26" s="904"/>
      <c r="D26" s="904" t="s">
        <v>5</v>
      </c>
      <c r="E26" s="112" t="s">
        <v>74</v>
      </c>
      <c r="F26" s="113">
        <f>'WA Volumes &amp; Revenues'!E32</f>
        <v>0</v>
      </c>
      <c r="G26" s="113"/>
      <c r="H26" s="907"/>
      <c r="I26" s="909"/>
      <c r="J26" s="627">
        <f>'Rates in Detail'!E30</f>
        <v>0.30653000000000008</v>
      </c>
      <c r="K26" s="631">
        <f>'Rates in Detail'!H30</f>
        <v>0</v>
      </c>
      <c r="L26" s="631">
        <f>'Rates in Detail'!F30</f>
        <v>0</v>
      </c>
      <c r="M26" s="631">
        <f>'Rates in Detail'!I30</f>
        <v>1.3600000000000001E-3</v>
      </c>
      <c r="N26" s="135">
        <f t="shared" si="1"/>
        <v>0.30789000000000011</v>
      </c>
      <c r="O26" s="627">
        <f>'Rates in Detail'!L30</f>
        <v>3.8850000000000003E-2</v>
      </c>
      <c r="P26" s="631">
        <f>'Rates in Detail'!P30</f>
        <v>-2.8700000000000002E-3</v>
      </c>
      <c r="Q26" s="631">
        <f>'Rates in Detail'!Q30</f>
        <v>0</v>
      </c>
      <c r="R26" s="254">
        <f t="shared" si="2"/>
        <v>3.5980000000000005E-2</v>
      </c>
      <c r="S26" s="627">
        <f>'Rates in Detail'!S30</f>
        <v>0</v>
      </c>
      <c r="T26" s="631">
        <f>'Rates in Detail'!T30</f>
        <v>-5.4400000000000004E-3</v>
      </c>
      <c r="U26" s="631">
        <f>'Rates in Detail'!U30</f>
        <v>0</v>
      </c>
      <c r="V26" s="260">
        <f t="shared" si="3"/>
        <v>3.0540000000000005E-2</v>
      </c>
      <c r="W26" s="620"/>
      <c r="X26" s="114"/>
      <c r="Y26" s="114"/>
      <c r="Z26" s="114"/>
      <c r="AA26" s="114"/>
      <c r="AB26" s="114"/>
      <c r="AC26" s="348">
        <f t="shared" si="4"/>
        <v>0</v>
      </c>
      <c r="AE26" s="114">
        <f t="shared" si="5"/>
        <v>0.34251000000000009</v>
      </c>
      <c r="AF26" s="114"/>
      <c r="AG26" s="114">
        <f t="shared" si="6"/>
        <v>0</v>
      </c>
      <c r="AH26" s="114">
        <f t="shared" si="0"/>
        <v>0</v>
      </c>
      <c r="AI26" s="114">
        <f t="shared" si="7"/>
        <v>-4.0800000000000003E-3</v>
      </c>
      <c r="AJ26" s="343">
        <f t="shared" si="8"/>
        <v>0.33843000000000012</v>
      </c>
      <c r="AK26" s="131"/>
      <c r="AL26" s="114">
        <f>'Rates in Detail'!Y30</f>
        <v>1.9400000000000001E-2</v>
      </c>
      <c r="AM26" s="114">
        <f>'Rates in Detail'!Z30</f>
        <v>-2.7999999999999998E-4</v>
      </c>
      <c r="AN26" s="986">
        <f t="shared" si="9"/>
        <v>1.9120000000000002E-2</v>
      </c>
      <c r="AO26" s="131"/>
      <c r="AP26" s="114"/>
      <c r="AQ26" s="114"/>
      <c r="AR26" s="114"/>
      <c r="AS26" s="114"/>
      <c r="AT26" s="114"/>
      <c r="AU26" s="348">
        <f t="shared" si="10"/>
        <v>0</v>
      </c>
      <c r="AW26" s="114">
        <f t="shared" si="11"/>
        <v>0.36191000000000006</v>
      </c>
      <c r="AX26" s="114">
        <f t="shared" si="12"/>
        <v>0</v>
      </c>
      <c r="AY26" s="114">
        <f t="shared" si="13"/>
        <v>0</v>
      </c>
      <c r="AZ26" s="114">
        <f t="shared" si="14"/>
        <v>0</v>
      </c>
      <c r="BA26" s="114">
        <f t="shared" si="15"/>
        <v>1.0800000000000002E-3</v>
      </c>
      <c r="BB26" s="343">
        <f t="shared" si="16"/>
        <v>0.36299000000000009</v>
      </c>
    </row>
    <row r="27" spans="2:54" x14ac:dyDescent="0.2">
      <c r="B27" s="110">
        <f t="shared" si="17"/>
        <v>19</v>
      </c>
      <c r="C27" s="906" t="str">
        <f>'WA Volumes &amp; Revenues'!B33</f>
        <v>42C Firm Sales</v>
      </c>
      <c r="D27" s="906" t="s">
        <v>4</v>
      </c>
      <c r="E27" s="115">
        <v>10000</v>
      </c>
      <c r="F27" s="116">
        <f>'WA Volumes &amp; Revenues'!E33</f>
        <v>350769.66174469434</v>
      </c>
      <c r="G27" s="116">
        <f>'WA Volumes &amp; Revenues'!H33</f>
        <v>5</v>
      </c>
      <c r="H27" s="912">
        <f>'WA Volumes &amp; Revenues'!O33</f>
        <v>1300</v>
      </c>
      <c r="I27" s="913">
        <f>'WA Volumes &amp; Revenues'!N33</f>
        <v>1300</v>
      </c>
      <c r="J27" s="628">
        <f>'Rates in Detail'!E31</f>
        <v>0.15245999999999996</v>
      </c>
      <c r="K27" s="630">
        <f>'Rates in Detail'!H31</f>
        <v>0</v>
      </c>
      <c r="L27" s="630">
        <f>'Rates in Detail'!F31</f>
        <v>0.26333000000000001</v>
      </c>
      <c r="M27" s="630">
        <f>'Rates in Detail'!I31</f>
        <v>1.9560000000000001E-2</v>
      </c>
      <c r="N27" s="137">
        <f t="shared" si="1"/>
        <v>0.43535000000000001</v>
      </c>
      <c r="O27" s="628">
        <f>'Rates in Detail'!L31</f>
        <v>4.4949999999999997E-2</v>
      </c>
      <c r="P27" s="630">
        <f>'Rates in Detail'!P31</f>
        <v>-3.0899999999999999E-3</v>
      </c>
      <c r="Q27" s="630">
        <f>'Rates in Detail'!Q31</f>
        <v>0</v>
      </c>
      <c r="R27" s="255">
        <f t="shared" si="2"/>
        <v>4.1859999999999994E-2</v>
      </c>
      <c r="S27" s="628">
        <f>'Rates in Detail'!S31</f>
        <v>-1.06E-2</v>
      </c>
      <c r="T27" s="630">
        <f>'Rates in Detail'!T31</f>
        <v>-5.8599999999999998E-3</v>
      </c>
      <c r="U27" s="630">
        <f>'Rates in Detail'!U31</f>
        <v>0</v>
      </c>
      <c r="V27" s="261">
        <f t="shared" si="3"/>
        <v>2.5399999999999995E-2</v>
      </c>
      <c r="W27" s="620"/>
      <c r="X27" s="117"/>
      <c r="Y27" s="117"/>
      <c r="Z27" s="117"/>
      <c r="AA27" s="117"/>
      <c r="AB27" s="117"/>
      <c r="AC27" s="349">
        <f t="shared" si="4"/>
        <v>0</v>
      </c>
      <c r="AE27" s="114">
        <f t="shared" si="5"/>
        <v>0.19431999999999994</v>
      </c>
      <c r="AF27" s="114"/>
      <c r="AG27" s="114">
        <f t="shared" si="6"/>
        <v>0</v>
      </c>
      <c r="AH27" s="114">
        <f t="shared" si="0"/>
        <v>0.26333000000000001</v>
      </c>
      <c r="AI27" s="114">
        <f t="shared" si="7"/>
        <v>3.1000000000000021E-3</v>
      </c>
      <c r="AJ27" s="343">
        <f t="shared" si="8"/>
        <v>0.46074999999999994</v>
      </c>
      <c r="AK27" s="131"/>
      <c r="AL27" s="117">
        <f>'Rates in Detail'!Y31</f>
        <v>2.1080000000000002E-2</v>
      </c>
      <c r="AM27" s="117">
        <f>'Rates in Detail'!Z31</f>
        <v>-2.9999999999999997E-4</v>
      </c>
      <c r="AN27" s="987">
        <f t="shared" si="9"/>
        <v>2.078E-2</v>
      </c>
      <c r="AO27" s="131"/>
      <c r="AP27" s="117"/>
      <c r="AQ27" s="117"/>
      <c r="AR27" s="117"/>
      <c r="AS27" s="117"/>
      <c r="AT27" s="117"/>
      <c r="AU27" s="349">
        <f t="shared" si="10"/>
        <v>0</v>
      </c>
      <c r="AW27" s="117">
        <f t="shared" si="11"/>
        <v>0.21539999999999992</v>
      </c>
      <c r="AX27" s="117">
        <f t="shared" si="12"/>
        <v>0</v>
      </c>
      <c r="AY27" s="117">
        <f t="shared" si="13"/>
        <v>0</v>
      </c>
      <c r="AZ27" s="117">
        <f t="shared" si="14"/>
        <v>0.26333000000000001</v>
      </c>
      <c r="BA27" s="117">
        <f t="shared" si="15"/>
        <v>1.9259999999999999E-2</v>
      </c>
      <c r="BB27" s="344">
        <f t="shared" si="16"/>
        <v>0.49798999999999993</v>
      </c>
    </row>
    <row r="28" spans="2:54" x14ac:dyDescent="0.2">
      <c r="B28" s="110">
        <f t="shared" si="17"/>
        <v>20</v>
      </c>
      <c r="C28" s="906"/>
      <c r="D28" s="906" t="s">
        <v>5</v>
      </c>
      <c r="E28" s="115">
        <v>20000</v>
      </c>
      <c r="F28" s="116">
        <f>'WA Volumes &amp; Revenues'!E34</f>
        <v>303088.75426472601</v>
      </c>
      <c r="G28" s="116"/>
      <c r="H28" s="912"/>
      <c r="I28" s="913"/>
      <c r="J28" s="628">
        <f>'Rates in Detail'!E32</f>
        <v>0.1364699999999997</v>
      </c>
      <c r="K28" s="630">
        <f>'Rates in Detail'!H32</f>
        <v>0</v>
      </c>
      <c r="L28" s="630">
        <f>'Rates in Detail'!F32</f>
        <v>0.26333000000000001</v>
      </c>
      <c r="M28" s="630">
        <f>'Rates in Detail'!I32</f>
        <v>1.6539999999999999E-2</v>
      </c>
      <c r="N28" s="137">
        <f t="shared" si="1"/>
        <v>0.41633999999999971</v>
      </c>
      <c r="O28" s="628">
        <f>'Rates in Detail'!L32</f>
        <v>4.0230000000000002E-2</v>
      </c>
      <c r="P28" s="630">
        <f>'Rates in Detail'!P32</f>
        <v>-2.7699999999999999E-3</v>
      </c>
      <c r="Q28" s="630">
        <f>'Rates in Detail'!Q32</f>
        <v>0</v>
      </c>
      <c r="R28" s="255">
        <f t="shared" si="2"/>
        <v>3.746E-2</v>
      </c>
      <c r="S28" s="628">
        <f>'Rates in Detail'!S32</f>
        <v>-9.4900000000000002E-3</v>
      </c>
      <c r="T28" s="630">
        <f>'Rates in Detail'!T32</f>
        <v>-5.2500000000000003E-3</v>
      </c>
      <c r="U28" s="630">
        <f>'Rates in Detail'!U32</f>
        <v>0</v>
      </c>
      <c r="V28" s="261">
        <f t="shared" si="3"/>
        <v>2.2720000000000001E-2</v>
      </c>
      <c r="W28" s="620"/>
      <c r="X28" s="117"/>
      <c r="Y28" s="117"/>
      <c r="Z28" s="117"/>
      <c r="AA28" s="117"/>
      <c r="AB28" s="117"/>
      <c r="AC28" s="349">
        <f t="shared" si="4"/>
        <v>0</v>
      </c>
      <c r="AE28" s="114">
        <f t="shared" si="5"/>
        <v>0.1739299999999997</v>
      </c>
      <c r="AF28" s="114"/>
      <c r="AG28" s="114">
        <f t="shared" si="6"/>
        <v>0</v>
      </c>
      <c r="AH28" s="114">
        <f t="shared" si="0"/>
        <v>0.26333000000000001</v>
      </c>
      <c r="AI28" s="114">
        <f t="shared" si="7"/>
        <v>1.7999999999999995E-3</v>
      </c>
      <c r="AJ28" s="343">
        <f t="shared" si="8"/>
        <v>0.43905999999999973</v>
      </c>
      <c r="AK28" s="131"/>
      <c r="AL28" s="117">
        <f>'Rates in Detail'!Y32</f>
        <v>1.8859999999999998E-2</v>
      </c>
      <c r="AM28" s="117">
        <f>'Rates in Detail'!Z32</f>
        <v>-2.7E-4</v>
      </c>
      <c r="AN28" s="987">
        <f t="shared" si="9"/>
        <v>1.8589999999999999E-2</v>
      </c>
      <c r="AO28" s="131"/>
      <c r="AP28" s="117"/>
      <c r="AQ28" s="117"/>
      <c r="AR28" s="117"/>
      <c r="AS28" s="117"/>
      <c r="AT28" s="117"/>
      <c r="AU28" s="349">
        <f t="shared" si="10"/>
        <v>0</v>
      </c>
      <c r="AW28" s="117">
        <f t="shared" si="11"/>
        <v>0.19278999999999968</v>
      </c>
      <c r="AX28" s="117">
        <f t="shared" si="12"/>
        <v>0</v>
      </c>
      <c r="AY28" s="117">
        <f t="shared" si="13"/>
        <v>0</v>
      </c>
      <c r="AZ28" s="117">
        <f t="shared" si="14"/>
        <v>0.26333000000000001</v>
      </c>
      <c r="BA28" s="117">
        <f t="shared" si="15"/>
        <v>1.627E-2</v>
      </c>
      <c r="BB28" s="344">
        <f t="shared" si="16"/>
        <v>0.4723899999999997</v>
      </c>
    </row>
    <row r="29" spans="2:54" x14ac:dyDescent="0.2">
      <c r="B29" s="110">
        <f t="shared" si="17"/>
        <v>21</v>
      </c>
      <c r="C29" s="906"/>
      <c r="D29" s="906" t="s">
        <v>6</v>
      </c>
      <c r="E29" s="115">
        <v>20000</v>
      </c>
      <c r="F29" s="116">
        <f>'WA Volumes &amp; Revenues'!E35</f>
        <v>59441.942130257296</v>
      </c>
      <c r="G29" s="116"/>
      <c r="H29" s="912"/>
      <c r="I29" s="913"/>
      <c r="J29" s="628">
        <f>'Rates in Detail'!E33</f>
        <v>0.1046699999999999</v>
      </c>
      <c r="K29" s="630">
        <f>'Rates in Detail'!H33</f>
        <v>0</v>
      </c>
      <c r="L29" s="630">
        <f>'Rates in Detail'!F33</f>
        <v>0.26333000000000001</v>
      </c>
      <c r="M29" s="630">
        <f>'Rates in Detail'!I33</f>
        <v>1.052E-2</v>
      </c>
      <c r="N29" s="137">
        <f t="shared" si="1"/>
        <v>0.37851999999999986</v>
      </c>
      <c r="O29" s="628">
        <f>'Rates in Detail'!L33</f>
        <v>3.0859999999999999E-2</v>
      </c>
      <c r="P29" s="630">
        <f>'Rates in Detail'!P33</f>
        <v>-2.1199999999999999E-3</v>
      </c>
      <c r="Q29" s="630">
        <f>'Rates in Detail'!Q33</f>
        <v>0</v>
      </c>
      <c r="R29" s="255">
        <f t="shared" si="2"/>
        <v>2.8739999999999998E-2</v>
      </c>
      <c r="S29" s="628">
        <f>'Rates in Detail'!S33</f>
        <v>-7.28E-3</v>
      </c>
      <c r="T29" s="630">
        <f>'Rates in Detail'!T33</f>
        <v>-4.0200000000000001E-3</v>
      </c>
      <c r="U29" s="630">
        <f>'Rates in Detail'!U33</f>
        <v>0</v>
      </c>
      <c r="V29" s="261">
        <f t="shared" si="3"/>
        <v>1.7440000000000001E-2</v>
      </c>
      <c r="W29" s="620"/>
      <c r="X29" s="117"/>
      <c r="Y29" s="117"/>
      <c r="Z29" s="117"/>
      <c r="AA29" s="117"/>
      <c r="AB29" s="117"/>
      <c r="AC29" s="349">
        <f t="shared" si="4"/>
        <v>0</v>
      </c>
      <c r="AE29" s="114">
        <f t="shared" si="5"/>
        <v>0.13340999999999989</v>
      </c>
      <c r="AF29" s="114"/>
      <c r="AG29" s="114">
        <f t="shared" si="6"/>
        <v>0</v>
      </c>
      <c r="AH29" s="114">
        <f t="shared" si="0"/>
        <v>0.26333000000000001</v>
      </c>
      <c r="AI29" s="114">
        <f t="shared" si="7"/>
        <v>-7.8000000000000118E-4</v>
      </c>
      <c r="AJ29" s="343">
        <f t="shared" si="8"/>
        <v>0.39595999999999987</v>
      </c>
      <c r="AK29" s="131"/>
      <c r="AL29" s="117">
        <f>'Rates in Detail'!Y33</f>
        <v>1.447E-2</v>
      </c>
      <c r="AM29" s="117">
        <f>'Rates in Detail'!Z33</f>
        <v>-2.0000000000000001E-4</v>
      </c>
      <c r="AN29" s="987">
        <f t="shared" si="9"/>
        <v>1.427E-2</v>
      </c>
      <c r="AO29" s="131"/>
      <c r="AP29" s="117"/>
      <c r="AQ29" s="117"/>
      <c r="AR29" s="117"/>
      <c r="AS29" s="117"/>
      <c r="AT29" s="117"/>
      <c r="AU29" s="349">
        <f t="shared" si="10"/>
        <v>0</v>
      </c>
      <c r="AW29" s="117">
        <f t="shared" si="11"/>
        <v>0.1478799999999999</v>
      </c>
      <c r="AX29" s="117">
        <f t="shared" si="12"/>
        <v>0</v>
      </c>
      <c r="AY29" s="117">
        <f t="shared" si="13"/>
        <v>0</v>
      </c>
      <c r="AZ29" s="117">
        <f t="shared" si="14"/>
        <v>0.26333000000000001</v>
      </c>
      <c r="BA29" s="117">
        <f t="shared" si="15"/>
        <v>1.0319999999999999E-2</v>
      </c>
      <c r="BB29" s="344">
        <f t="shared" si="16"/>
        <v>0.4215299999999999</v>
      </c>
    </row>
    <row r="30" spans="2:54" x14ac:dyDescent="0.2">
      <c r="B30" s="110">
        <f t="shared" si="17"/>
        <v>22</v>
      </c>
      <c r="C30" s="906"/>
      <c r="D30" s="906" t="s">
        <v>7</v>
      </c>
      <c r="E30" s="115">
        <v>100000</v>
      </c>
      <c r="F30" s="116">
        <f>'WA Volumes &amp; Revenues'!E36</f>
        <v>3614.6071898605187</v>
      </c>
      <c r="G30" s="116"/>
      <c r="H30" s="912"/>
      <c r="I30" s="913"/>
      <c r="J30" s="628">
        <f>'Rates in Detail'!E34</f>
        <v>8.3729999999999999E-2</v>
      </c>
      <c r="K30" s="630">
        <f>'Rates in Detail'!H34</f>
        <v>0</v>
      </c>
      <c r="L30" s="630">
        <f>'Rates in Detail'!F34</f>
        <v>0.26333000000000001</v>
      </c>
      <c r="M30" s="630">
        <f>'Rates in Detail'!I34</f>
        <v>6.550000000000002E-3</v>
      </c>
      <c r="N30" s="137">
        <f t="shared" si="1"/>
        <v>0.35361000000000004</v>
      </c>
      <c r="O30" s="628">
        <f>'Rates in Detail'!L34</f>
        <v>2.4680000000000001E-2</v>
      </c>
      <c r="P30" s="630">
        <f>'Rates in Detail'!P34</f>
        <v>-1.6999999999999999E-3</v>
      </c>
      <c r="Q30" s="630">
        <f>'Rates in Detail'!Q34</f>
        <v>0</v>
      </c>
      <c r="R30" s="255">
        <f t="shared" si="2"/>
        <v>2.298E-2</v>
      </c>
      <c r="S30" s="628">
        <f>'Rates in Detail'!S34</f>
        <v>-5.8199999999999997E-3</v>
      </c>
      <c r="T30" s="630">
        <f>'Rates in Detail'!T34</f>
        <v>-3.2200000000000002E-3</v>
      </c>
      <c r="U30" s="630">
        <f>'Rates in Detail'!U34</f>
        <v>0</v>
      </c>
      <c r="V30" s="261">
        <f t="shared" si="3"/>
        <v>1.3940000000000001E-2</v>
      </c>
      <c r="W30" s="620"/>
      <c r="X30" s="117"/>
      <c r="Y30" s="117"/>
      <c r="Z30" s="117"/>
      <c r="AA30" s="117"/>
      <c r="AB30" s="117"/>
      <c r="AC30" s="349">
        <f t="shared" si="4"/>
        <v>0</v>
      </c>
      <c r="AE30" s="114">
        <f t="shared" si="5"/>
        <v>0.10671</v>
      </c>
      <c r="AF30" s="114"/>
      <c r="AG30" s="114">
        <f t="shared" si="6"/>
        <v>0</v>
      </c>
      <c r="AH30" s="114">
        <f t="shared" si="0"/>
        <v>0.26333000000000001</v>
      </c>
      <c r="AI30" s="114">
        <f t="shared" si="7"/>
        <v>-2.4899999999999974E-3</v>
      </c>
      <c r="AJ30" s="343">
        <f t="shared" si="8"/>
        <v>0.36755000000000004</v>
      </c>
      <c r="AK30" s="131"/>
      <c r="AL30" s="117">
        <f>'Rates in Detail'!Y34</f>
        <v>1.157E-2</v>
      </c>
      <c r="AM30" s="117">
        <f>'Rates in Detail'!Z34</f>
        <v>-1.6000000000000001E-4</v>
      </c>
      <c r="AN30" s="987">
        <f t="shared" si="9"/>
        <v>1.141E-2</v>
      </c>
      <c r="AO30" s="131"/>
      <c r="AP30" s="117"/>
      <c r="AQ30" s="117"/>
      <c r="AR30" s="117"/>
      <c r="AS30" s="117"/>
      <c r="AT30" s="117"/>
      <c r="AU30" s="349">
        <f t="shared" si="10"/>
        <v>0</v>
      </c>
      <c r="AW30" s="117">
        <f t="shared" si="11"/>
        <v>0.11828</v>
      </c>
      <c r="AX30" s="117">
        <f t="shared" si="12"/>
        <v>0</v>
      </c>
      <c r="AY30" s="117">
        <f t="shared" si="13"/>
        <v>0</v>
      </c>
      <c r="AZ30" s="117">
        <f t="shared" si="14"/>
        <v>0.26333000000000001</v>
      </c>
      <c r="BA30" s="117">
        <f t="shared" si="15"/>
        <v>6.3900000000000016E-3</v>
      </c>
      <c r="BB30" s="344">
        <f t="shared" si="16"/>
        <v>0.38800000000000001</v>
      </c>
    </row>
    <row r="31" spans="2:54" x14ac:dyDescent="0.2">
      <c r="B31" s="110">
        <f t="shared" si="17"/>
        <v>23</v>
      </c>
      <c r="C31" s="906"/>
      <c r="D31" s="906" t="s">
        <v>8</v>
      </c>
      <c r="E31" s="115">
        <v>600000</v>
      </c>
      <c r="F31" s="116">
        <f>'WA Volumes &amp; Revenues'!E37</f>
        <v>0</v>
      </c>
      <c r="G31" s="116"/>
      <c r="H31" s="912"/>
      <c r="I31" s="913"/>
      <c r="J31" s="628">
        <f>'Rates in Detail'!E35</f>
        <v>5.5809999999999992E-2</v>
      </c>
      <c r="K31" s="630">
        <f>'Rates in Detail'!H35</f>
        <v>0</v>
      </c>
      <c r="L31" s="630">
        <f>'Rates in Detail'!F35</f>
        <v>0.26333000000000001</v>
      </c>
      <c r="M31" s="630">
        <f>'Rates in Detail'!I35</f>
        <v>1.239999999999998E-3</v>
      </c>
      <c r="N31" s="137">
        <f t="shared" si="1"/>
        <v>0.32038</v>
      </c>
      <c r="O31" s="628">
        <f>'Rates in Detail'!L35</f>
        <v>1.6449999999999999E-2</v>
      </c>
      <c r="P31" s="630">
        <f>'Rates in Detail'!P35</f>
        <v>-1.1299999999999999E-3</v>
      </c>
      <c r="Q31" s="630">
        <f>'Rates in Detail'!Q35</f>
        <v>0</v>
      </c>
      <c r="R31" s="255">
        <f t="shared" si="2"/>
        <v>1.532E-2</v>
      </c>
      <c r="S31" s="628">
        <f>'Rates in Detail'!S35</f>
        <v>-3.8800000000000002E-3</v>
      </c>
      <c r="T31" s="630">
        <f>'Rates in Detail'!T35</f>
        <v>-2.15E-3</v>
      </c>
      <c r="U31" s="630">
        <f>'Rates in Detail'!U35</f>
        <v>0</v>
      </c>
      <c r="V31" s="261">
        <f t="shared" si="3"/>
        <v>9.2899999999999996E-3</v>
      </c>
      <c r="W31" s="620"/>
      <c r="X31" s="117"/>
      <c r="Y31" s="117"/>
      <c r="Z31" s="117"/>
      <c r="AA31" s="117"/>
      <c r="AB31" s="117"/>
      <c r="AC31" s="349">
        <f t="shared" si="4"/>
        <v>0</v>
      </c>
      <c r="AE31" s="114">
        <f t="shared" si="5"/>
        <v>7.1129999999999999E-2</v>
      </c>
      <c r="AF31" s="114"/>
      <c r="AG31" s="114">
        <f t="shared" si="6"/>
        <v>0</v>
      </c>
      <c r="AH31" s="114">
        <f t="shared" si="0"/>
        <v>0.26333000000000001</v>
      </c>
      <c r="AI31" s="114">
        <f t="shared" si="7"/>
        <v>-4.7900000000000026E-3</v>
      </c>
      <c r="AJ31" s="343">
        <f t="shared" si="8"/>
        <v>0.32966999999999996</v>
      </c>
      <c r="AK31" s="131"/>
      <c r="AL31" s="117">
        <f>'Rates in Detail'!Y35</f>
        <v>7.7099999999999998E-3</v>
      </c>
      <c r="AM31" s="117">
        <f>'Rates in Detail'!Z35</f>
        <v>-1.1E-4</v>
      </c>
      <c r="AN31" s="987">
        <f t="shared" si="9"/>
        <v>7.6E-3</v>
      </c>
      <c r="AO31" s="131"/>
      <c r="AP31" s="117"/>
      <c r="AQ31" s="117"/>
      <c r="AR31" s="117"/>
      <c r="AS31" s="117"/>
      <c r="AT31" s="117"/>
      <c r="AU31" s="349">
        <f t="shared" si="10"/>
        <v>0</v>
      </c>
      <c r="AW31" s="117">
        <f t="shared" si="11"/>
        <v>7.8839999999999993E-2</v>
      </c>
      <c r="AX31" s="117">
        <f t="shared" si="12"/>
        <v>0</v>
      </c>
      <c r="AY31" s="117">
        <f t="shared" si="13"/>
        <v>0</v>
      </c>
      <c r="AZ31" s="117">
        <f t="shared" si="14"/>
        <v>0.26333000000000001</v>
      </c>
      <c r="BA31" s="117">
        <f t="shared" si="15"/>
        <v>1.129999999999998E-3</v>
      </c>
      <c r="BB31" s="344">
        <f t="shared" si="16"/>
        <v>0.34329999999999999</v>
      </c>
    </row>
    <row r="32" spans="2:54" x14ac:dyDescent="0.2">
      <c r="B32" s="110">
        <f t="shared" si="17"/>
        <v>24</v>
      </c>
      <c r="C32" s="904"/>
      <c r="D32" s="904" t="s">
        <v>9</v>
      </c>
      <c r="E32" s="112" t="s">
        <v>74</v>
      </c>
      <c r="F32" s="113">
        <f>'WA Volumes &amp; Revenues'!E38</f>
        <v>0</v>
      </c>
      <c r="G32" s="113"/>
      <c r="H32" s="907"/>
      <c r="I32" s="909"/>
      <c r="J32" s="627">
        <f>'Rates in Detail'!E36</f>
        <v>2.0920000000000029E-2</v>
      </c>
      <c r="K32" s="631">
        <f>'Rates in Detail'!H36</f>
        <v>0</v>
      </c>
      <c r="L32" s="631">
        <f>'Rates in Detail'!F36</f>
        <v>0.26333000000000001</v>
      </c>
      <c r="M32" s="631">
        <f>'Rates in Detail'!I36</f>
        <v>-5.3500000000000006E-3</v>
      </c>
      <c r="N32" s="135">
        <f t="shared" si="1"/>
        <v>0.27890000000000004</v>
      </c>
      <c r="O32" s="627">
        <f>'Rates in Detail'!L36</f>
        <v>6.1700000000000001E-3</v>
      </c>
      <c r="P32" s="631">
        <f>'Rates in Detail'!P36</f>
        <v>-4.2000000000000002E-4</v>
      </c>
      <c r="Q32" s="631">
        <f>'Rates in Detail'!Q36</f>
        <v>0</v>
      </c>
      <c r="R32" s="254">
        <f t="shared" si="2"/>
        <v>5.7499999999999999E-3</v>
      </c>
      <c r="S32" s="627">
        <f>'Rates in Detail'!S36</f>
        <v>-1.4499999999999999E-3</v>
      </c>
      <c r="T32" s="631">
        <f>'Rates in Detail'!T36</f>
        <v>-8.0000000000000004E-4</v>
      </c>
      <c r="U32" s="631">
        <f>'Rates in Detail'!U36</f>
        <v>0</v>
      </c>
      <c r="V32" s="260">
        <f t="shared" si="3"/>
        <v>3.5000000000000001E-3</v>
      </c>
      <c r="W32" s="620"/>
      <c r="X32" s="114"/>
      <c r="Y32" s="114"/>
      <c r="Z32" s="114"/>
      <c r="AA32" s="114"/>
      <c r="AB32" s="114"/>
      <c r="AC32" s="348">
        <f t="shared" si="4"/>
        <v>0</v>
      </c>
      <c r="AE32" s="114">
        <f t="shared" si="5"/>
        <v>2.6670000000000027E-2</v>
      </c>
      <c r="AF32" s="114"/>
      <c r="AG32" s="114">
        <f t="shared" si="6"/>
        <v>0</v>
      </c>
      <c r="AH32" s="114">
        <f t="shared" si="0"/>
        <v>0.26333000000000001</v>
      </c>
      <c r="AI32" s="114">
        <f t="shared" si="7"/>
        <v>-7.6000000000000009E-3</v>
      </c>
      <c r="AJ32" s="343">
        <f t="shared" si="8"/>
        <v>0.28240000000000004</v>
      </c>
      <c r="AK32" s="131"/>
      <c r="AL32" s="114">
        <f>'Rates in Detail'!Y36</f>
        <v>2.8900000000000002E-3</v>
      </c>
      <c r="AM32" s="114">
        <f>'Rates in Detail'!Z36</f>
        <v>-4.0000000000000003E-5</v>
      </c>
      <c r="AN32" s="986">
        <f t="shared" si="9"/>
        <v>2.8500000000000001E-3</v>
      </c>
      <c r="AO32" s="131"/>
      <c r="AP32" s="114"/>
      <c r="AQ32" s="114"/>
      <c r="AR32" s="114"/>
      <c r="AS32" s="114"/>
      <c r="AT32" s="114"/>
      <c r="AU32" s="348">
        <f t="shared" si="10"/>
        <v>0</v>
      </c>
      <c r="AW32" s="114">
        <f t="shared" si="11"/>
        <v>2.9560000000000027E-2</v>
      </c>
      <c r="AX32" s="114">
        <f t="shared" si="12"/>
        <v>0</v>
      </c>
      <c r="AY32" s="114">
        <f t="shared" si="13"/>
        <v>0</v>
      </c>
      <c r="AZ32" s="114">
        <f t="shared" si="14"/>
        <v>0.26333000000000001</v>
      </c>
      <c r="BA32" s="114">
        <f t="shared" si="15"/>
        <v>-5.3900000000000007E-3</v>
      </c>
      <c r="BB32" s="343">
        <f t="shared" si="16"/>
        <v>0.28750000000000003</v>
      </c>
    </row>
    <row r="33" spans="2:54" x14ac:dyDescent="0.2">
      <c r="B33" s="110">
        <f t="shared" si="17"/>
        <v>25</v>
      </c>
      <c r="C33" s="906" t="str">
        <f>'WA Volumes &amp; Revenues'!B39</f>
        <v>42I Firm Sales</v>
      </c>
      <c r="D33" s="906" t="s">
        <v>4</v>
      </c>
      <c r="E33" s="115">
        <v>10000</v>
      </c>
      <c r="F33" s="116">
        <f>'WA Volumes &amp; Revenues'!E39</f>
        <v>1093724.2000000002</v>
      </c>
      <c r="G33" s="116">
        <f>'WA Volumes &amp; Revenues'!H39</f>
        <v>11.916666666666666</v>
      </c>
      <c r="H33" s="912">
        <f>'WA Volumes &amp; Revenues'!O39</f>
        <v>1300</v>
      </c>
      <c r="I33" s="913">
        <f>'WA Volumes &amp; Revenues'!N39</f>
        <v>1300</v>
      </c>
      <c r="J33" s="628">
        <f>'Rates in Detail'!E37</f>
        <v>0.14721000000000001</v>
      </c>
      <c r="K33" s="630">
        <f>'Rates in Detail'!H37</f>
        <v>0</v>
      </c>
      <c r="L33" s="630">
        <f>'Rates in Detail'!F37</f>
        <v>0.26333000000000001</v>
      </c>
      <c r="M33" s="630">
        <f>'Rates in Detail'!I37</f>
        <v>-4.6100000000000012E-3</v>
      </c>
      <c r="N33" s="137">
        <f t="shared" si="1"/>
        <v>0.40593000000000001</v>
      </c>
      <c r="O33" s="628">
        <f>'Rates in Detail'!L37</f>
        <v>3.9980000000000002E-2</v>
      </c>
      <c r="P33" s="630">
        <f>'Rates in Detail'!P37</f>
        <v>-2.7499999999999998E-3</v>
      </c>
      <c r="Q33" s="630">
        <f>'Rates in Detail'!Q37</f>
        <v>0</v>
      </c>
      <c r="R33" s="255">
        <f t="shared" si="2"/>
        <v>3.7229999999999999E-2</v>
      </c>
      <c r="S33" s="628">
        <f>'Rates in Detail'!S37</f>
        <v>0</v>
      </c>
      <c r="T33" s="630">
        <f>'Rates in Detail'!T37</f>
        <v>-5.2100000000000002E-3</v>
      </c>
      <c r="U33" s="630">
        <f>'Rates in Detail'!U37</f>
        <v>0</v>
      </c>
      <c r="V33" s="261">
        <f t="shared" si="3"/>
        <v>3.202E-2</v>
      </c>
      <c r="W33" s="620"/>
      <c r="X33" s="117"/>
      <c r="Y33" s="117"/>
      <c r="Z33" s="117"/>
      <c r="AA33" s="117"/>
      <c r="AB33" s="117"/>
      <c r="AC33" s="349">
        <f t="shared" si="4"/>
        <v>0</v>
      </c>
      <c r="AE33" s="114">
        <f t="shared" si="5"/>
        <v>0.18443999999999999</v>
      </c>
      <c r="AF33" s="114"/>
      <c r="AG33" s="114">
        <f t="shared" si="6"/>
        <v>0</v>
      </c>
      <c r="AH33" s="114">
        <f t="shared" si="0"/>
        <v>0.26333000000000001</v>
      </c>
      <c r="AI33" s="114">
        <f t="shared" si="7"/>
        <v>-9.8200000000000023E-3</v>
      </c>
      <c r="AJ33" s="343">
        <f t="shared" si="8"/>
        <v>0.43795000000000001</v>
      </c>
      <c r="AK33" s="131"/>
      <c r="AL33" s="117">
        <f>'Rates in Detail'!Y37</f>
        <v>1.8749999999999999E-2</v>
      </c>
      <c r="AM33" s="117">
        <f>'Rates in Detail'!Z37</f>
        <v>-2.7E-4</v>
      </c>
      <c r="AN33" s="987">
        <f t="shared" si="9"/>
        <v>1.848E-2</v>
      </c>
      <c r="AO33" s="131"/>
      <c r="AP33" s="117"/>
      <c r="AQ33" s="117"/>
      <c r="AR33" s="117"/>
      <c r="AS33" s="117"/>
      <c r="AT33" s="117"/>
      <c r="AU33" s="349">
        <f t="shared" si="10"/>
        <v>0</v>
      </c>
      <c r="AW33" s="117">
        <f t="shared" si="11"/>
        <v>0.20318999999999998</v>
      </c>
      <c r="AX33" s="117">
        <f t="shared" si="12"/>
        <v>0</v>
      </c>
      <c r="AY33" s="117">
        <f t="shared" si="13"/>
        <v>0</v>
      </c>
      <c r="AZ33" s="117">
        <f t="shared" si="14"/>
        <v>0.26333000000000001</v>
      </c>
      <c r="BA33" s="117">
        <f t="shared" si="15"/>
        <v>-4.8800000000000015E-3</v>
      </c>
      <c r="BB33" s="344">
        <f t="shared" si="16"/>
        <v>0.46163999999999999</v>
      </c>
    </row>
    <row r="34" spans="2:54" x14ac:dyDescent="0.2">
      <c r="B34" s="110">
        <f t="shared" si="17"/>
        <v>26</v>
      </c>
      <c r="C34" s="906"/>
      <c r="D34" s="906" t="s">
        <v>5</v>
      </c>
      <c r="E34" s="115">
        <v>20000</v>
      </c>
      <c r="F34" s="116">
        <f>'WA Volumes &amp; Revenues'!E40</f>
        <v>655939.80000000005</v>
      </c>
      <c r="G34" s="116"/>
      <c r="H34" s="912"/>
      <c r="I34" s="913"/>
      <c r="J34" s="628">
        <f>'Rates in Detail'!E38</f>
        <v>0.13177</v>
      </c>
      <c r="K34" s="630">
        <f>'Rates in Detail'!H38</f>
        <v>0</v>
      </c>
      <c r="L34" s="630">
        <f>'Rates in Detail'!F38</f>
        <v>0.26333000000000001</v>
      </c>
      <c r="M34" s="630">
        <f>'Rates in Detail'!I38</f>
        <v>-5.1100000000000008E-3</v>
      </c>
      <c r="N34" s="137">
        <f t="shared" si="1"/>
        <v>0.38999</v>
      </c>
      <c r="O34" s="628">
        <f>'Rates in Detail'!L38</f>
        <v>3.5790000000000002E-2</v>
      </c>
      <c r="P34" s="630">
        <f>'Rates in Detail'!P38</f>
        <v>-2.4599999999999999E-3</v>
      </c>
      <c r="Q34" s="630">
        <f>'Rates in Detail'!Q38</f>
        <v>0</v>
      </c>
      <c r="R34" s="255">
        <f t="shared" si="2"/>
        <v>3.3330000000000005E-2</v>
      </c>
      <c r="S34" s="628">
        <f>'Rates in Detail'!S38</f>
        <v>0</v>
      </c>
      <c r="T34" s="630">
        <f>'Rates in Detail'!T38</f>
        <v>-4.6699999999999997E-3</v>
      </c>
      <c r="U34" s="630">
        <f>'Rates in Detail'!U38</f>
        <v>0</v>
      </c>
      <c r="V34" s="261">
        <f t="shared" si="3"/>
        <v>2.8660000000000005E-2</v>
      </c>
      <c r="W34" s="620"/>
      <c r="X34" s="117"/>
      <c r="Y34" s="117"/>
      <c r="Z34" s="117"/>
      <c r="AA34" s="117"/>
      <c r="AB34" s="117"/>
      <c r="AC34" s="349">
        <f t="shared" si="4"/>
        <v>0</v>
      </c>
      <c r="AE34" s="114">
        <f t="shared" si="5"/>
        <v>0.1651</v>
      </c>
      <c r="AF34" s="114"/>
      <c r="AG34" s="114">
        <f t="shared" si="6"/>
        <v>0</v>
      </c>
      <c r="AH34" s="114">
        <f t="shared" si="0"/>
        <v>0.26333000000000001</v>
      </c>
      <c r="AI34" s="114">
        <f t="shared" si="7"/>
        <v>-9.7800000000000005E-3</v>
      </c>
      <c r="AJ34" s="343">
        <f t="shared" si="8"/>
        <v>0.41864999999999997</v>
      </c>
      <c r="AK34" s="131"/>
      <c r="AL34" s="117">
        <f>'Rates in Detail'!Y38</f>
        <v>1.678E-2</v>
      </c>
      <c r="AM34" s="117">
        <f>'Rates in Detail'!Z38</f>
        <v>-2.4000000000000001E-4</v>
      </c>
      <c r="AN34" s="987">
        <f t="shared" si="9"/>
        <v>1.6539999999999999E-2</v>
      </c>
      <c r="AO34" s="131"/>
      <c r="AP34" s="117"/>
      <c r="AQ34" s="117"/>
      <c r="AR34" s="117"/>
      <c r="AS34" s="117"/>
      <c r="AT34" s="117"/>
      <c r="AU34" s="349">
        <f t="shared" si="10"/>
        <v>0</v>
      </c>
      <c r="AW34" s="117">
        <f t="shared" si="11"/>
        <v>0.18187999999999999</v>
      </c>
      <c r="AX34" s="117">
        <f t="shared" si="12"/>
        <v>0</v>
      </c>
      <c r="AY34" s="117">
        <f t="shared" si="13"/>
        <v>0</v>
      </c>
      <c r="AZ34" s="117">
        <f t="shared" si="14"/>
        <v>0.26333000000000001</v>
      </c>
      <c r="BA34" s="117">
        <f t="shared" si="15"/>
        <v>-5.3500000000000006E-3</v>
      </c>
      <c r="BB34" s="344">
        <f t="shared" si="16"/>
        <v>0.43985999999999997</v>
      </c>
    </row>
    <row r="35" spans="2:54" x14ac:dyDescent="0.2">
      <c r="B35" s="110">
        <f t="shared" si="17"/>
        <v>27</v>
      </c>
      <c r="C35" s="906"/>
      <c r="D35" s="906" t="s">
        <v>6</v>
      </c>
      <c r="E35" s="115">
        <v>20000</v>
      </c>
      <c r="F35" s="116">
        <f>'WA Volumes &amp; Revenues'!E41</f>
        <v>81241.3</v>
      </c>
      <c r="G35" s="116"/>
      <c r="H35" s="912"/>
      <c r="I35" s="913"/>
      <c r="J35" s="628">
        <f>'Rates in Detail'!E39</f>
        <v>0.10104999999999985</v>
      </c>
      <c r="K35" s="630">
        <f>'Rates in Detail'!H39</f>
        <v>0</v>
      </c>
      <c r="L35" s="630">
        <f>'Rates in Detail'!F39</f>
        <v>0.26333000000000001</v>
      </c>
      <c r="M35" s="630">
        <f>'Rates in Detail'!I39</f>
        <v>-6.0700000000000007E-3</v>
      </c>
      <c r="N35" s="137">
        <f t="shared" si="1"/>
        <v>0.35830999999999985</v>
      </c>
      <c r="O35" s="628">
        <f>'Rates in Detail'!L39</f>
        <v>2.7439999999999999E-2</v>
      </c>
      <c r="P35" s="630">
        <f>'Rates in Detail'!P39</f>
        <v>-1.89E-3</v>
      </c>
      <c r="Q35" s="630">
        <f>'Rates in Detail'!Q39</f>
        <v>0</v>
      </c>
      <c r="R35" s="255">
        <f t="shared" si="2"/>
        <v>2.555E-2</v>
      </c>
      <c r="S35" s="628">
        <f>'Rates in Detail'!S39</f>
        <v>0</v>
      </c>
      <c r="T35" s="630">
        <f>'Rates in Detail'!T39</f>
        <v>-3.5799999999999998E-3</v>
      </c>
      <c r="U35" s="630">
        <f>'Rates in Detail'!U39</f>
        <v>0</v>
      </c>
      <c r="V35" s="261">
        <f t="shared" si="3"/>
        <v>2.197E-2</v>
      </c>
      <c r="W35" s="620"/>
      <c r="X35" s="117"/>
      <c r="Y35" s="117"/>
      <c r="Z35" s="117"/>
      <c r="AA35" s="117"/>
      <c r="AB35" s="117"/>
      <c r="AC35" s="349">
        <f t="shared" si="4"/>
        <v>0</v>
      </c>
      <c r="AE35" s="114">
        <f t="shared" si="5"/>
        <v>0.12659999999999985</v>
      </c>
      <c r="AF35" s="114"/>
      <c r="AG35" s="114">
        <f t="shared" si="6"/>
        <v>0</v>
      </c>
      <c r="AH35" s="114">
        <f t="shared" si="0"/>
        <v>0.26333000000000001</v>
      </c>
      <c r="AI35" s="114">
        <f t="shared" si="7"/>
        <v>-9.6500000000000006E-3</v>
      </c>
      <c r="AJ35" s="343">
        <f t="shared" si="8"/>
        <v>0.3802799999999999</v>
      </c>
      <c r="AK35" s="131"/>
      <c r="AL35" s="117">
        <f>'Rates in Detail'!Y39</f>
        <v>1.2869999999999999E-2</v>
      </c>
      <c r="AM35" s="117">
        <f>'Rates in Detail'!Z39</f>
        <v>-1.8000000000000001E-4</v>
      </c>
      <c r="AN35" s="987">
        <f t="shared" si="9"/>
        <v>1.269E-2</v>
      </c>
      <c r="AO35" s="131"/>
      <c r="AP35" s="117"/>
      <c r="AQ35" s="117"/>
      <c r="AR35" s="117"/>
      <c r="AS35" s="117"/>
      <c r="AT35" s="117"/>
      <c r="AU35" s="349">
        <f t="shared" si="10"/>
        <v>0</v>
      </c>
      <c r="AW35" s="117">
        <f t="shared" si="11"/>
        <v>0.13946999999999984</v>
      </c>
      <c r="AX35" s="117">
        <f t="shared" si="12"/>
        <v>0</v>
      </c>
      <c r="AY35" s="117">
        <f t="shared" si="13"/>
        <v>0</v>
      </c>
      <c r="AZ35" s="117">
        <f t="shared" si="14"/>
        <v>0.26333000000000001</v>
      </c>
      <c r="BA35" s="117">
        <f t="shared" si="15"/>
        <v>-6.2500000000000003E-3</v>
      </c>
      <c r="BB35" s="344">
        <f t="shared" si="16"/>
        <v>0.39654999999999985</v>
      </c>
    </row>
    <row r="36" spans="2:54" x14ac:dyDescent="0.2">
      <c r="B36" s="110">
        <f t="shared" si="17"/>
        <v>28</v>
      </c>
      <c r="C36" s="906"/>
      <c r="D36" s="906" t="s">
        <v>7</v>
      </c>
      <c r="E36" s="115">
        <v>100000</v>
      </c>
      <c r="F36" s="116">
        <f>'WA Volumes &amp; Revenues'!E42</f>
        <v>9320.1</v>
      </c>
      <c r="G36" s="116"/>
      <c r="H36" s="912"/>
      <c r="I36" s="913"/>
      <c r="J36" s="628">
        <f>'Rates in Detail'!E40</f>
        <v>8.0839999999999995E-2</v>
      </c>
      <c r="K36" s="630">
        <f>'Rates in Detail'!H40</f>
        <v>0</v>
      </c>
      <c r="L36" s="630">
        <f>'Rates in Detail'!F40</f>
        <v>0.26333000000000001</v>
      </c>
      <c r="M36" s="630">
        <f>'Rates in Detail'!I40</f>
        <v>-6.7300000000000007E-3</v>
      </c>
      <c r="N36" s="137">
        <f t="shared" si="1"/>
        <v>0.33743999999999996</v>
      </c>
      <c r="O36" s="628">
        <f>'Rates in Detail'!L40</f>
        <v>2.196E-2</v>
      </c>
      <c r="P36" s="630">
        <f>'Rates in Detail'!P40</f>
        <v>-1.5100000000000001E-3</v>
      </c>
      <c r="Q36" s="630">
        <f>'Rates in Detail'!Q40</f>
        <v>0</v>
      </c>
      <c r="R36" s="255">
        <f t="shared" si="2"/>
        <v>2.0449999999999999E-2</v>
      </c>
      <c r="S36" s="628">
        <f>'Rates in Detail'!S40</f>
        <v>0</v>
      </c>
      <c r="T36" s="630">
        <f>'Rates in Detail'!T40</f>
        <v>-2.8600000000000001E-3</v>
      </c>
      <c r="U36" s="630">
        <f>'Rates in Detail'!U40</f>
        <v>0</v>
      </c>
      <c r="V36" s="261">
        <f t="shared" si="3"/>
        <v>1.7589999999999998E-2</v>
      </c>
      <c r="W36" s="620"/>
      <c r="X36" s="117"/>
      <c r="Y36" s="117"/>
      <c r="Z36" s="117"/>
      <c r="AA36" s="117"/>
      <c r="AB36" s="117"/>
      <c r="AC36" s="349">
        <f t="shared" si="4"/>
        <v>0</v>
      </c>
      <c r="AE36" s="114">
        <f t="shared" si="5"/>
        <v>0.10128999999999999</v>
      </c>
      <c r="AF36" s="114"/>
      <c r="AG36" s="114">
        <f t="shared" si="6"/>
        <v>0</v>
      </c>
      <c r="AH36" s="114">
        <f t="shared" si="0"/>
        <v>0.26333000000000001</v>
      </c>
      <c r="AI36" s="114">
        <f t="shared" si="7"/>
        <v>-9.5900000000000013E-3</v>
      </c>
      <c r="AJ36" s="343">
        <f t="shared" si="8"/>
        <v>0.35503000000000001</v>
      </c>
      <c r="AK36" s="131"/>
      <c r="AL36" s="117">
        <f>'Rates in Detail'!Y40</f>
        <v>1.03E-2</v>
      </c>
      <c r="AM36" s="117">
        <f>'Rates in Detail'!Z40</f>
        <v>-1.4999999999999999E-4</v>
      </c>
      <c r="AN36" s="987">
        <f t="shared" si="9"/>
        <v>1.0149999999999999E-2</v>
      </c>
      <c r="AO36" s="131"/>
      <c r="AP36" s="117"/>
      <c r="AQ36" s="117"/>
      <c r="AR36" s="117"/>
      <c r="AS36" s="117"/>
      <c r="AT36" s="117"/>
      <c r="AU36" s="349">
        <f t="shared" si="10"/>
        <v>0</v>
      </c>
      <c r="AW36" s="117">
        <f t="shared" si="11"/>
        <v>0.11158999999999999</v>
      </c>
      <c r="AX36" s="117">
        <f t="shared" si="12"/>
        <v>0</v>
      </c>
      <c r="AY36" s="117">
        <f t="shared" si="13"/>
        <v>0</v>
      </c>
      <c r="AZ36" s="117">
        <f t="shared" si="14"/>
        <v>0.26333000000000001</v>
      </c>
      <c r="BA36" s="117">
        <f t="shared" si="15"/>
        <v>-6.8800000000000007E-3</v>
      </c>
      <c r="BB36" s="344">
        <f t="shared" si="16"/>
        <v>0.36804000000000003</v>
      </c>
    </row>
    <row r="37" spans="2:54" x14ac:dyDescent="0.2">
      <c r="B37" s="110">
        <f t="shared" si="17"/>
        <v>29</v>
      </c>
      <c r="C37" s="906"/>
      <c r="D37" s="906" t="s">
        <v>8</v>
      </c>
      <c r="E37" s="115">
        <v>600000</v>
      </c>
      <c r="F37" s="116">
        <f>'WA Volumes &amp; Revenues'!E43</f>
        <v>0</v>
      </c>
      <c r="G37" s="116"/>
      <c r="H37" s="912"/>
      <c r="I37" s="913"/>
      <c r="J37" s="628">
        <f>'Rates in Detail'!E41</f>
        <v>5.391E-2</v>
      </c>
      <c r="K37" s="630">
        <f>'Rates in Detail'!H41</f>
        <v>0</v>
      </c>
      <c r="L37" s="630">
        <f>'Rates in Detail'!F41</f>
        <v>0.26333000000000001</v>
      </c>
      <c r="M37" s="630">
        <f>'Rates in Detail'!I41</f>
        <v>-7.5900000000000004E-3</v>
      </c>
      <c r="N37" s="137">
        <f t="shared" si="1"/>
        <v>0.30965000000000004</v>
      </c>
      <c r="O37" s="628">
        <f>'Rates in Detail'!L41</f>
        <v>1.464E-2</v>
      </c>
      <c r="P37" s="630">
        <f>'Rates in Detail'!P41</f>
        <v>-1.01E-3</v>
      </c>
      <c r="Q37" s="630">
        <f>'Rates in Detail'!Q41</f>
        <v>0</v>
      </c>
      <c r="R37" s="255">
        <f t="shared" si="2"/>
        <v>1.363E-2</v>
      </c>
      <c r="S37" s="628">
        <f>'Rates in Detail'!S41</f>
        <v>0</v>
      </c>
      <c r="T37" s="630">
        <f>'Rates in Detail'!T41</f>
        <v>-1.91E-3</v>
      </c>
      <c r="U37" s="630">
        <f>'Rates in Detail'!U41</f>
        <v>0</v>
      </c>
      <c r="V37" s="261">
        <f t="shared" si="3"/>
        <v>1.172E-2</v>
      </c>
      <c r="W37" s="620"/>
      <c r="X37" s="117"/>
      <c r="Y37" s="117"/>
      <c r="Z37" s="117"/>
      <c r="AA37" s="117"/>
      <c r="AB37" s="117"/>
      <c r="AC37" s="349">
        <f t="shared" si="4"/>
        <v>0</v>
      </c>
      <c r="AE37" s="114">
        <f t="shared" si="5"/>
        <v>6.7540000000000003E-2</v>
      </c>
      <c r="AF37" s="114"/>
      <c r="AG37" s="114">
        <f t="shared" si="6"/>
        <v>0</v>
      </c>
      <c r="AH37" s="114">
        <f t="shared" si="0"/>
        <v>0.26333000000000001</v>
      </c>
      <c r="AI37" s="114">
        <f t="shared" si="7"/>
        <v>-9.4999999999999998E-3</v>
      </c>
      <c r="AJ37" s="343">
        <f t="shared" si="8"/>
        <v>0.32136999999999999</v>
      </c>
      <c r="AK37" s="131"/>
      <c r="AL37" s="117">
        <f>'Rates in Detail'!Y41</f>
        <v>6.8700000000000002E-3</v>
      </c>
      <c r="AM37" s="117">
        <f>'Rates in Detail'!Z41</f>
        <v>-1E-4</v>
      </c>
      <c r="AN37" s="987">
        <f t="shared" si="9"/>
        <v>6.77E-3</v>
      </c>
      <c r="AO37" s="131"/>
      <c r="AP37" s="117"/>
      <c r="AQ37" s="117"/>
      <c r="AR37" s="117"/>
      <c r="AS37" s="117"/>
      <c r="AT37" s="117"/>
      <c r="AU37" s="349">
        <f t="shared" si="10"/>
        <v>0</v>
      </c>
      <c r="AW37" s="117">
        <f t="shared" si="11"/>
        <v>7.4410000000000004E-2</v>
      </c>
      <c r="AX37" s="117">
        <f t="shared" si="12"/>
        <v>0</v>
      </c>
      <c r="AY37" s="117">
        <f t="shared" si="13"/>
        <v>0</v>
      </c>
      <c r="AZ37" s="117">
        <f t="shared" si="14"/>
        <v>0.26333000000000001</v>
      </c>
      <c r="BA37" s="117">
        <f t="shared" si="15"/>
        <v>-7.6900000000000007E-3</v>
      </c>
      <c r="BB37" s="344">
        <f t="shared" si="16"/>
        <v>0.33005000000000007</v>
      </c>
    </row>
    <row r="38" spans="2:54" x14ac:dyDescent="0.2">
      <c r="B38" s="110">
        <f t="shared" si="17"/>
        <v>30</v>
      </c>
      <c r="C38" s="904"/>
      <c r="D38" s="904" t="s">
        <v>9</v>
      </c>
      <c r="E38" s="112" t="s">
        <v>74</v>
      </c>
      <c r="F38" s="113">
        <f>'WA Volumes &amp; Revenues'!E44</f>
        <v>0</v>
      </c>
      <c r="G38" s="113"/>
      <c r="H38" s="907"/>
      <c r="I38" s="909"/>
      <c r="J38" s="627">
        <f>'Rates in Detail'!E42</f>
        <v>2.0199999999999999E-2</v>
      </c>
      <c r="K38" s="631">
        <f>'Rates in Detail'!H42</f>
        <v>0</v>
      </c>
      <c r="L38" s="631">
        <f>'Rates in Detail'!F42</f>
        <v>0.26333000000000001</v>
      </c>
      <c r="M38" s="631">
        <f>'Rates in Detail'!I42</f>
        <v>-8.6700000000000006E-3</v>
      </c>
      <c r="N38" s="135">
        <f t="shared" si="1"/>
        <v>0.27485999999999999</v>
      </c>
      <c r="O38" s="627">
        <f>'Rates in Detail'!L42</f>
        <v>5.4900000000000001E-3</v>
      </c>
      <c r="P38" s="631">
        <f>'Rates in Detail'!P42</f>
        <v>-3.8000000000000002E-4</v>
      </c>
      <c r="Q38" s="631">
        <f>'Rates in Detail'!Q42</f>
        <v>0</v>
      </c>
      <c r="R38" s="254">
        <f t="shared" si="2"/>
        <v>5.11E-3</v>
      </c>
      <c r="S38" s="627">
        <f>'Rates in Detail'!S42</f>
        <v>0</v>
      </c>
      <c r="T38" s="631">
        <f>'Rates in Detail'!T42</f>
        <v>-7.2000000000000005E-4</v>
      </c>
      <c r="U38" s="631">
        <f>'Rates in Detail'!U42</f>
        <v>0</v>
      </c>
      <c r="V38" s="260">
        <f t="shared" si="3"/>
        <v>4.3899999999999998E-3</v>
      </c>
      <c r="W38" s="620"/>
      <c r="X38" s="114"/>
      <c r="Y38" s="114"/>
      <c r="Z38" s="114"/>
      <c r="AA38" s="114"/>
      <c r="AB38" s="114"/>
      <c r="AC38" s="348">
        <f t="shared" si="4"/>
        <v>0</v>
      </c>
      <c r="AE38" s="114">
        <f t="shared" si="5"/>
        <v>2.5309999999999999E-2</v>
      </c>
      <c r="AF38" s="114"/>
      <c r="AG38" s="114">
        <f t="shared" si="6"/>
        <v>0</v>
      </c>
      <c r="AH38" s="114">
        <f t="shared" si="0"/>
        <v>0.26333000000000001</v>
      </c>
      <c r="AI38" s="114">
        <f t="shared" si="7"/>
        <v>-9.3900000000000008E-3</v>
      </c>
      <c r="AJ38" s="343">
        <f t="shared" si="8"/>
        <v>0.27925</v>
      </c>
      <c r="AK38" s="131"/>
      <c r="AL38" s="114">
        <f>'Rates in Detail'!Y42</f>
        <v>2.5699999999999998E-3</v>
      </c>
      <c r="AM38" s="114">
        <f>'Rates in Detail'!Z42</f>
        <v>-4.0000000000000003E-5</v>
      </c>
      <c r="AN38" s="986">
        <f t="shared" si="9"/>
        <v>2.5299999999999997E-3</v>
      </c>
      <c r="AO38" s="131"/>
      <c r="AP38" s="114"/>
      <c r="AQ38" s="114"/>
      <c r="AR38" s="114"/>
      <c r="AS38" s="114"/>
      <c r="AT38" s="114"/>
      <c r="AU38" s="348">
        <f t="shared" si="10"/>
        <v>0</v>
      </c>
      <c r="AW38" s="114">
        <f t="shared" si="11"/>
        <v>2.7879999999999999E-2</v>
      </c>
      <c r="AX38" s="114">
        <f t="shared" si="12"/>
        <v>0</v>
      </c>
      <c r="AY38" s="114">
        <f t="shared" si="13"/>
        <v>0</v>
      </c>
      <c r="AZ38" s="114">
        <f t="shared" si="14"/>
        <v>0.26333000000000001</v>
      </c>
      <c r="BA38" s="114">
        <f t="shared" si="15"/>
        <v>-8.7100000000000007E-3</v>
      </c>
      <c r="BB38" s="343">
        <f t="shared" si="16"/>
        <v>0.28250000000000003</v>
      </c>
    </row>
    <row r="39" spans="2:54" x14ac:dyDescent="0.2">
      <c r="B39" s="110">
        <f t="shared" si="17"/>
        <v>31</v>
      </c>
      <c r="C39" s="906" t="str">
        <f>'WA Volumes &amp; Revenues'!B45</f>
        <v>42C Firm Transpt</v>
      </c>
      <c r="D39" s="906" t="s">
        <v>4</v>
      </c>
      <c r="E39" s="115">
        <v>10000</v>
      </c>
      <c r="F39" s="116">
        <f>'WA Volumes &amp; Revenues'!E45</f>
        <v>480000</v>
      </c>
      <c r="G39" s="116">
        <f>'WA Volumes &amp; Revenues'!H45</f>
        <v>4</v>
      </c>
      <c r="H39" s="912">
        <f>'WA Volumes &amp; Revenues'!O45</f>
        <v>1550</v>
      </c>
      <c r="I39" s="913">
        <f>'WA Volumes &amp; Revenues'!N45</f>
        <v>1550</v>
      </c>
      <c r="J39" s="628">
        <f>'Rates in Detail'!E43</f>
        <v>0.13791999999999999</v>
      </c>
      <c r="K39" s="630">
        <f>'Rates in Detail'!H43</f>
        <v>0</v>
      </c>
      <c r="L39" s="630">
        <f>'Rates in Detail'!F43</f>
        <v>0</v>
      </c>
      <c r="M39" s="630">
        <f>'Rates in Detail'!I43</f>
        <v>5.9999999999999995E-4</v>
      </c>
      <c r="N39" s="137">
        <f t="shared" si="1"/>
        <v>0.13851999999999998</v>
      </c>
      <c r="O39" s="628">
        <f>'Rates in Detail'!L43</f>
        <v>2.5399999999999999E-2</v>
      </c>
      <c r="P39" s="630">
        <f>'Rates in Detail'!P43</f>
        <v>-1.75E-3</v>
      </c>
      <c r="Q39" s="630">
        <f>'Rates in Detail'!Q43</f>
        <v>0</v>
      </c>
      <c r="R39" s="255">
        <f t="shared" si="2"/>
        <v>2.3649999999999997E-2</v>
      </c>
      <c r="S39" s="628">
        <f>'Rates in Detail'!S43</f>
        <v>0</v>
      </c>
      <c r="T39" s="630">
        <f>'Rates in Detail'!T43</f>
        <v>-3.31E-3</v>
      </c>
      <c r="U39" s="630">
        <f>'Rates in Detail'!U43</f>
        <v>0</v>
      </c>
      <c r="V39" s="261">
        <f t="shared" si="3"/>
        <v>2.0339999999999997E-2</v>
      </c>
      <c r="W39" s="620"/>
      <c r="X39" s="117"/>
      <c r="Y39" s="117"/>
      <c r="Z39" s="117"/>
      <c r="AA39" s="117"/>
      <c r="AB39" s="117"/>
      <c r="AC39" s="349">
        <f t="shared" si="4"/>
        <v>0</v>
      </c>
      <c r="AE39" s="114">
        <f t="shared" si="5"/>
        <v>0.16156999999999999</v>
      </c>
      <c r="AF39" s="114"/>
      <c r="AG39" s="114">
        <f t="shared" si="6"/>
        <v>0</v>
      </c>
      <c r="AH39" s="114">
        <f t="shared" si="0"/>
        <v>0</v>
      </c>
      <c r="AI39" s="114">
        <f t="shared" si="7"/>
        <v>-2.7100000000000002E-3</v>
      </c>
      <c r="AJ39" s="343">
        <f t="shared" si="8"/>
        <v>0.15886</v>
      </c>
      <c r="AK39" s="131"/>
      <c r="AL39" s="117">
        <f>'Rates in Detail'!Y43</f>
        <v>1.191E-2</v>
      </c>
      <c r="AM39" s="117">
        <f>'Rates in Detail'!Z43</f>
        <v>-1.7000000000000001E-4</v>
      </c>
      <c r="AN39" s="987">
        <f t="shared" si="9"/>
        <v>1.174E-2</v>
      </c>
      <c r="AO39" s="131"/>
      <c r="AP39" s="117"/>
      <c r="AQ39" s="117"/>
      <c r="AR39" s="117"/>
      <c r="AS39" s="117"/>
      <c r="AT39" s="117"/>
      <c r="AU39" s="349">
        <f t="shared" si="10"/>
        <v>0</v>
      </c>
      <c r="AW39" s="117">
        <f t="shared" si="11"/>
        <v>0.17348</v>
      </c>
      <c r="AX39" s="117">
        <f t="shared" si="12"/>
        <v>0</v>
      </c>
      <c r="AY39" s="117">
        <f t="shared" si="13"/>
        <v>0</v>
      </c>
      <c r="AZ39" s="117">
        <f t="shared" si="14"/>
        <v>0</v>
      </c>
      <c r="BA39" s="117">
        <f t="shared" si="15"/>
        <v>4.2999999999999994E-4</v>
      </c>
      <c r="BB39" s="344">
        <f t="shared" si="16"/>
        <v>0.17391000000000001</v>
      </c>
    </row>
    <row r="40" spans="2:54" x14ac:dyDescent="0.2">
      <c r="B40" s="110">
        <f t="shared" si="17"/>
        <v>32</v>
      </c>
      <c r="C40" s="906"/>
      <c r="D40" s="906" t="s">
        <v>5</v>
      </c>
      <c r="E40" s="115">
        <v>20000</v>
      </c>
      <c r="F40" s="116">
        <f>'WA Volumes &amp; Revenues'!E46</f>
        <v>807846</v>
      </c>
      <c r="G40" s="116"/>
      <c r="H40" s="912"/>
      <c r="I40" s="913"/>
      <c r="J40" s="628">
        <f>'Rates in Detail'!E44</f>
        <v>0.12346999999999998</v>
      </c>
      <c r="K40" s="630">
        <f>'Rates in Detail'!H44</f>
        <v>0</v>
      </c>
      <c r="L40" s="630">
        <f>'Rates in Detail'!F44</f>
        <v>0</v>
      </c>
      <c r="M40" s="630">
        <f>'Rates in Detail'!I44</f>
        <v>5.2999999999999998E-4</v>
      </c>
      <c r="N40" s="137">
        <f t="shared" si="1"/>
        <v>0.12399999999999999</v>
      </c>
      <c r="O40" s="628">
        <f>'Rates in Detail'!L44</f>
        <v>2.274E-2</v>
      </c>
      <c r="P40" s="630">
        <f>'Rates in Detail'!P44</f>
        <v>-1.57E-3</v>
      </c>
      <c r="Q40" s="630">
        <f>'Rates in Detail'!Q44</f>
        <v>0</v>
      </c>
      <c r="R40" s="255">
        <f t="shared" si="2"/>
        <v>2.1170000000000001E-2</v>
      </c>
      <c r="S40" s="628">
        <f>'Rates in Detail'!S44</f>
        <v>0</v>
      </c>
      <c r="T40" s="630">
        <f>'Rates in Detail'!T44</f>
        <v>-2.96E-3</v>
      </c>
      <c r="U40" s="630">
        <f>'Rates in Detail'!U44</f>
        <v>0</v>
      </c>
      <c r="V40" s="261">
        <f t="shared" si="3"/>
        <v>1.821E-2</v>
      </c>
      <c r="W40" s="620"/>
      <c r="X40" s="117"/>
      <c r="Y40" s="117"/>
      <c r="Z40" s="117"/>
      <c r="AA40" s="117"/>
      <c r="AB40" s="117"/>
      <c r="AC40" s="349">
        <f t="shared" si="4"/>
        <v>0</v>
      </c>
      <c r="AE40" s="114">
        <f t="shared" si="5"/>
        <v>0.14463999999999999</v>
      </c>
      <c r="AF40" s="114"/>
      <c r="AG40" s="114">
        <f t="shared" si="6"/>
        <v>0</v>
      </c>
      <c r="AH40" s="114">
        <f t="shared" si="0"/>
        <v>0</v>
      </c>
      <c r="AI40" s="114">
        <f t="shared" si="7"/>
        <v>-2.4299999999999999E-3</v>
      </c>
      <c r="AJ40" s="343">
        <f t="shared" si="8"/>
        <v>0.14221</v>
      </c>
      <c r="AK40" s="131"/>
      <c r="AL40" s="117">
        <f>'Rates in Detail'!Y44</f>
        <v>1.0659999999999999E-2</v>
      </c>
      <c r="AM40" s="117">
        <f>'Rates in Detail'!Z44</f>
        <v>-1.4999999999999999E-4</v>
      </c>
      <c r="AN40" s="987">
        <f t="shared" si="9"/>
        <v>1.0509999999999999E-2</v>
      </c>
      <c r="AO40" s="131"/>
      <c r="AP40" s="117"/>
      <c r="AQ40" s="117"/>
      <c r="AR40" s="117"/>
      <c r="AS40" s="117"/>
      <c r="AT40" s="117"/>
      <c r="AU40" s="349">
        <f t="shared" si="10"/>
        <v>0</v>
      </c>
      <c r="AW40" s="117">
        <f t="shared" si="11"/>
        <v>0.15529999999999999</v>
      </c>
      <c r="AX40" s="117">
        <f t="shared" si="12"/>
        <v>0</v>
      </c>
      <c r="AY40" s="117">
        <f t="shared" si="13"/>
        <v>0</v>
      </c>
      <c r="AZ40" s="117">
        <f t="shared" si="14"/>
        <v>0</v>
      </c>
      <c r="BA40" s="117">
        <f t="shared" si="15"/>
        <v>3.8000000000000002E-4</v>
      </c>
      <c r="BB40" s="344">
        <f t="shared" si="16"/>
        <v>0.15567999999999999</v>
      </c>
    </row>
    <row r="41" spans="2:54" x14ac:dyDescent="0.2">
      <c r="B41" s="110">
        <f t="shared" si="17"/>
        <v>33</v>
      </c>
      <c r="C41" s="906"/>
      <c r="D41" s="906" t="s">
        <v>6</v>
      </c>
      <c r="E41" s="115">
        <v>20000</v>
      </c>
      <c r="F41" s="116">
        <f>'WA Volumes &amp; Revenues'!E47</f>
        <v>583779</v>
      </c>
      <c r="G41" s="116"/>
      <c r="H41" s="912"/>
      <c r="I41" s="913"/>
      <c r="J41" s="628">
        <f>'Rates in Detail'!E45</f>
        <v>9.4670000000000004E-2</v>
      </c>
      <c r="K41" s="630">
        <f>'Rates in Detail'!H45</f>
        <v>0</v>
      </c>
      <c r="L41" s="630">
        <f>'Rates in Detail'!F45</f>
        <v>0</v>
      </c>
      <c r="M41" s="630">
        <f>'Rates in Detail'!I45</f>
        <v>4.1000000000000005E-4</v>
      </c>
      <c r="N41" s="137">
        <f t="shared" si="1"/>
        <v>9.5079999999999998E-2</v>
      </c>
      <c r="O41" s="628">
        <f>'Rates in Detail'!L45</f>
        <v>1.7440000000000001E-2</v>
      </c>
      <c r="P41" s="630">
        <f>'Rates in Detail'!P45</f>
        <v>-1.1999999999999999E-3</v>
      </c>
      <c r="Q41" s="630">
        <f>'Rates in Detail'!Q45</f>
        <v>0</v>
      </c>
      <c r="R41" s="255">
        <f t="shared" si="2"/>
        <v>1.6240000000000001E-2</v>
      </c>
      <c r="S41" s="628">
        <f>'Rates in Detail'!S45</f>
        <v>0</v>
      </c>
      <c r="T41" s="630">
        <f>'Rates in Detail'!T45</f>
        <v>-2.2699999999999999E-3</v>
      </c>
      <c r="U41" s="630">
        <f>'Rates in Detail'!U45</f>
        <v>0</v>
      </c>
      <c r="V41" s="261">
        <f t="shared" ref="V41:V72" si="18">SUM(R41:U41)</f>
        <v>1.3970000000000002E-2</v>
      </c>
      <c r="W41" s="620"/>
      <c r="X41" s="117"/>
      <c r="Y41" s="117"/>
      <c r="Z41" s="117"/>
      <c r="AA41" s="117"/>
      <c r="AB41" s="117"/>
      <c r="AC41" s="349">
        <f t="shared" si="4"/>
        <v>0</v>
      </c>
      <c r="AE41" s="114">
        <f t="shared" si="5"/>
        <v>0.11091000000000001</v>
      </c>
      <c r="AF41" s="114"/>
      <c r="AG41" s="114">
        <f t="shared" ref="AG41:AG77" si="19">Z41+K41</f>
        <v>0</v>
      </c>
      <c r="AH41" s="114">
        <f t="shared" ref="AH41:AH77" si="20">AA41+L41</f>
        <v>0</v>
      </c>
      <c r="AI41" s="114">
        <f t="shared" si="7"/>
        <v>-1.8599999999999999E-3</v>
      </c>
      <c r="AJ41" s="343">
        <f t="shared" si="8"/>
        <v>0.10905000000000001</v>
      </c>
      <c r="AK41" s="131"/>
      <c r="AL41" s="117">
        <f>'Rates in Detail'!Y45</f>
        <v>8.1799999999999998E-3</v>
      </c>
      <c r="AM41" s="117">
        <f>'Rates in Detail'!Z45</f>
        <v>-1.2E-4</v>
      </c>
      <c r="AN41" s="987">
        <f t="shared" si="9"/>
        <v>8.0599999999999995E-3</v>
      </c>
      <c r="AO41" s="131"/>
      <c r="AP41" s="117"/>
      <c r="AQ41" s="117"/>
      <c r="AR41" s="117"/>
      <c r="AS41" s="117"/>
      <c r="AT41" s="117"/>
      <c r="AU41" s="349">
        <f t="shared" si="10"/>
        <v>0</v>
      </c>
      <c r="AW41" s="117">
        <f t="shared" si="11"/>
        <v>0.11909</v>
      </c>
      <c r="AX41" s="117">
        <f t="shared" si="12"/>
        <v>0</v>
      </c>
      <c r="AY41" s="117">
        <f t="shared" si="13"/>
        <v>0</v>
      </c>
      <c r="AZ41" s="117">
        <f t="shared" si="14"/>
        <v>0</v>
      </c>
      <c r="BA41" s="117">
        <f t="shared" si="15"/>
        <v>2.9000000000000006E-4</v>
      </c>
      <c r="BB41" s="344">
        <f t="shared" si="16"/>
        <v>0.11938</v>
      </c>
    </row>
    <row r="42" spans="2:54" x14ac:dyDescent="0.2">
      <c r="B42" s="110">
        <f t="shared" si="17"/>
        <v>34</v>
      </c>
      <c r="C42" s="906"/>
      <c r="D42" s="906" t="s">
        <v>7</v>
      </c>
      <c r="E42" s="115">
        <v>100000</v>
      </c>
      <c r="F42" s="116">
        <f>'WA Volumes &amp; Revenues'!E48</f>
        <v>598933</v>
      </c>
      <c r="G42" s="116"/>
      <c r="H42" s="912"/>
      <c r="I42" s="913"/>
      <c r="J42" s="628">
        <f>'Rates in Detail'!E46</f>
        <v>7.5750000000000012E-2</v>
      </c>
      <c r="K42" s="630">
        <f>'Rates in Detail'!H46</f>
        <v>0</v>
      </c>
      <c r="L42" s="630">
        <f>'Rates in Detail'!F46</f>
        <v>0</v>
      </c>
      <c r="M42" s="630">
        <f>'Rates in Detail'!I46</f>
        <v>3.1999999999999997E-4</v>
      </c>
      <c r="N42" s="137">
        <f t="shared" si="1"/>
        <v>7.6070000000000013E-2</v>
      </c>
      <c r="O42" s="628">
        <f>'Rates in Detail'!L46</f>
        <v>1.3950000000000001E-2</v>
      </c>
      <c r="P42" s="630">
        <f>'Rates in Detail'!P46</f>
        <v>-9.6000000000000002E-4</v>
      </c>
      <c r="Q42" s="630">
        <f>'Rates in Detail'!Q46</f>
        <v>0</v>
      </c>
      <c r="R42" s="255">
        <f t="shared" si="2"/>
        <v>1.299E-2</v>
      </c>
      <c r="S42" s="628">
        <f>'Rates in Detail'!S46</f>
        <v>0</v>
      </c>
      <c r="T42" s="630">
        <f>'Rates in Detail'!T46</f>
        <v>-1.82E-3</v>
      </c>
      <c r="U42" s="630">
        <f>'Rates in Detail'!U46</f>
        <v>0</v>
      </c>
      <c r="V42" s="261">
        <f t="shared" si="18"/>
        <v>1.1169999999999999E-2</v>
      </c>
      <c r="W42" s="620"/>
      <c r="X42" s="117"/>
      <c r="Y42" s="117"/>
      <c r="Z42" s="117"/>
      <c r="AA42" s="117"/>
      <c r="AB42" s="117"/>
      <c r="AC42" s="349">
        <f t="shared" si="4"/>
        <v>0</v>
      </c>
      <c r="AE42" s="114">
        <f t="shared" si="5"/>
        <v>8.8740000000000013E-2</v>
      </c>
      <c r="AF42" s="114"/>
      <c r="AG42" s="114">
        <f t="shared" si="19"/>
        <v>0</v>
      </c>
      <c r="AH42" s="114">
        <f t="shared" si="20"/>
        <v>0</v>
      </c>
      <c r="AI42" s="114">
        <f t="shared" si="7"/>
        <v>-1.5E-3</v>
      </c>
      <c r="AJ42" s="343">
        <f t="shared" si="8"/>
        <v>8.7240000000000012E-2</v>
      </c>
      <c r="AK42" s="131"/>
      <c r="AL42" s="117">
        <f>'Rates in Detail'!Y46</f>
        <v>6.5399999999999998E-3</v>
      </c>
      <c r="AM42" s="117">
        <f>'Rates in Detail'!Z46</f>
        <v>-9.0000000000000006E-5</v>
      </c>
      <c r="AN42" s="987">
        <f t="shared" si="9"/>
        <v>6.45E-3</v>
      </c>
      <c r="AO42" s="131"/>
      <c r="AP42" s="117"/>
      <c r="AQ42" s="117"/>
      <c r="AR42" s="117"/>
      <c r="AS42" s="117"/>
      <c r="AT42" s="117"/>
      <c r="AU42" s="349">
        <f t="shared" si="10"/>
        <v>0</v>
      </c>
      <c r="AW42" s="117">
        <f t="shared" si="11"/>
        <v>9.5280000000000017E-2</v>
      </c>
      <c r="AX42" s="117">
        <f t="shared" si="12"/>
        <v>0</v>
      </c>
      <c r="AY42" s="117">
        <f t="shared" si="13"/>
        <v>0</v>
      </c>
      <c r="AZ42" s="117">
        <f t="shared" si="14"/>
        <v>0</v>
      </c>
      <c r="BA42" s="117">
        <f t="shared" si="15"/>
        <v>2.2999999999999995E-4</v>
      </c>
      <c r="BB42" s="344">
        <f t="shared" si="16"/>
        <v>9.5510000000000012E-2</v>
      </c>
    </row>
    <row r="43" spans="2:54" x14ac:dyDescent="0.2">
      <c r="B43" s="110">
        <f t="shared" si="17"/>
        <v>35</v>
      </c>
      <c r="C43" s="906"/>
      <c r="D43" s="906" t="s">
        <v>8</v>
      </c>
      <c r="E43" s="115">
        <v>600000</v>
      </c>
      <c r="F43" s="116">
        <f>'WA Volumes &amp; Revenues'!E49</f>
        <v>0</v>
      </c>
      <c r="G43" s="116"/>
      <c r="H43" s="912"/>
      <c r="I43" s="913"/>
      <c r="J43" s="628">
        <f>'Rates in Detail'!E47</f>
        <v>5.0500000000000003E-2</v>
      </c>
      <c r="K43" s="630">
        <f>'Rates in Detail'!H47</f>
        <v>0</v>
      </c>
      <c r="L43" s="630">
        <f>'Rates in Detail'!F47</f>
        <v>0</v>
      </c>
      <c r="M43" s="630">
        <f>'Rates in Detail'!I47</f>
        <v>2.1000000000000001E-4</v>
      </c>
      <c r="N43" s="137">
        <f t="shared" si="1"/>
        <v>5.0710000000000005E-2</v>
      </c>
      <c r="O43" s="628">
        <f>'Rates in Detail'!L47</f>
        <v>9.2999999999999992E-3</v>
      </c>
      <c r="P43" s="630">
        <f>'Rates in Detail'!P47</f>
        <v>-6.4000000000000005E-4</v>
      </c>
      <c r="Q43" s="630">
        <f>'Rates in Detail'!Q47</f>
        <v>0</v>
      </c>
      <c r="R43" s="255">
        <f t="shared" si="2"/>
        <v>8.6599999999999993E-3</v>
      </c>
      <c r="S43" s="628">
        <f>'Rates in Detail'!S47</f>
        <v>0</v>
      </c>
      <c r="T43" s="630">
        <f>'Rates in Detail'!T47</f>
        <v>-1.2099999999999999E-3</v>
      </c>
      <c r="U43" s="630">
        <f>'Rates in Detail'!U47</f>
        <v>0</v>
      </c>
      <c r="V43" s="261">
        <f t="shared" si="18"/>
        <v>7.4499999999999992E-3</v>
      </c>
      <c r="W43" s="620"/>
      <c r="X43" s="117"/>
      <c r="Y43" s="117"/>
      <c r="Z43" s="117"/>
      <c r="AA43" s="117"/>
      <c r="AB43" s="117"/>
      <c r="AC43" s="349">
        <f t="shared" si="4"/>
        <v>0</v>
      </c>
      <c r="AE43" s="114">
        <f t="shared" si="5"/>
        <v>5.9160000000000004E-2</v>
      </c>
      <c r="AF43" s="114"/>
      <c r="AG43" s="114">
        <f t="shared" si="19"/>
        <v>0</v>
      </c>
      <c r="AH43" s="114">
        <f t="shared" si="20"/>
        <v>0</v>
      </c>
      <c r="AI43" s="114">
        <f t="shared" si="7"/>
        <v>-1E-3</v>
      </c>
      <c r="AJ43" s="343">
        <f t="shared" si="8"/>
        <v>5.8160000000000003E-2</v>
      </c>
      <c r="AK43" s="131"/>
      <c r="AL43" s="117">
        <f>'Rates in Detail'!Y47</f>
        <v>4.3600000000000002E-3</v>
      </c>
      <c r="AM43" s="117">
        <f>'Rates in Detail'!Z47</f>
        <v>-6.0000000000000002E-5</v>
      </c>
      <c r="AN43" s="987">
        <f t="shared" si="9"/>
        <v>4.3E-3</v>
      </c>
      <c r="AO43" s="131"/>
      <c r="AP43" s="117"/>
      <c r="AQ43" s="117"/>
      <c r="AR43" s="117"/>
      <c r="AS43" s="117"/>
      <c r="AT43" s="117"/>
      <c r="AU43" s="349">
        <f t="shared" si="10"/>
        <v>0</v>
      </c>
      <c r="AW43" s="117">
        <f t="shared" si="11"/>
        <v>6.3520000000000007E-2</v>
      </c>
      <c r="AX43" s="117">
        <f t="shared" si="12"/>
        <v>0</v>
      </c>
      <c r="AY43" s="117">
        <f t="shared" si="13"/>
        <v>0</v>
      </c>
      <c r="AZ43" s="117">
        <f t="shared" si="14"/>
        <v>0</v>
      </c>
      <c r="BA43" s="117">
        <f t="shared" si="15"/>
        <v>1.5000000000000001E-4</v>
      </c>
      <c r="BB43" s="344">
        <f t="shared" si="16"/>
        <v>6.3670000000000004E-2</v>
      </c>
    </row>
    <row r="44" spans="2:54" x14ac:dyDescent="0.2">
      <c r="B44" s="110">
        <f t="shared" si="17"/>
        <v>36</v>
      </c>
      <c r="C44" s="904"/>
      <c r="D44" s="904" t="s">
        <v>9</v>
      </c>
      <c r="E44" s="112" t="s">
        <v>74</v>
      </c>
      <c r="F44" s="113">
        <f>'WA Volumes &amp; Revenues'!E50</f>
        <v>0</v>
      </c>
      <c r="G44" s="113"/>
      <c r="H44" s="907"/>
      <c r="I44" s="909"/>
      <c r="J44" s="627">
        <f>'Rates in Detail'!E48</f>
        <v>1.8929999999999999E-2</v>
      </c>
      <c r="K44" s="631">
        <f>'Rates in Detail'!H48</f>
        <v>0</v>
      </c>
      <c r="L44" s="631">
        <f>'Rates in Detail'!F48</f>
        <v>0</v>
      </c>
      <c r="M44" s="631">
        <f>'Rates in Detail'!I48</f>
        <v>7.9999999999999993E-5</v>
      </c>
      <c r="N44" s="135">
        <f t="shared" si="1"/>
        <v>1.9009999999999999E-2</v>
      </c>
      <c r="O44" s="627">
        <f>'Rates in Detail'!L48</f>
        <v>3.49E-3</v>
      </c>
      <c r="P44" s="631">
        <f>'Rates in Detail'!P48</f>
        <v>-2.4000000000000001E-4</v>
      </c>
      <c r="Q44" s="631">
        <f>'Rates in Detail'!Q48</f>
        <v>0</v>
      </c>
      <c r="R44" s="254">
        <f t="shared" si="2"/>
        <v>3.2499999999999999E-3</v>
      </c>
      <c r="S44" s="627">
        <f>'Rates in Detail'!S48</f>
        <v>0</v>
      </c>
      <c r="T44" s="631">
        <f>'Rates in Detail'!T48</f>
        <v>-4.4999999999999999E-4</v>
      </c>
      <c r="U44" s="631">
        <f>'Rates in Detail'!U48</f>
        <v>0</v>
      </c>
      <c r="V44" s="260">
        <f t="shared" si="18"/>
        <v>2.8E-3</v>
      </c>
      <c r="W44" s="620"/>
      <c r="X44" s="114"/>
      <c r="Y44" s="114"/>
      <c r="Z44" s="114"/>
      <c r="AA44" s="114"/>
      <c r="AB44" s="114"/>
      <c r="AC44" s="348">
        <f t="shared" si="4"/>
        <v>0</v>
      </c>
      <c r="AE44" s="114">
        <f t="shared" si="5"/>
        <v>2.2179999999999998E-2</v>
      </c>
      <c r="AF44" s="114"/>
      <c r="AG44" s="114">
        <f t="shared" si="19"/>
        <v>0</v>
      </c>
      <c r="AH44" s="114">
        <f t="shared" si="20"/>
        <v>0</v>
      </c>
      <c r="AI44" s="114">
        <f t="shared" si="7"/>
        <v>-3.6999999999999999E-4</v>
      </c>
      <c r="AJ44" s="343">
        <f t="shared" si="8"/>
        <v>2.181E-2</v>
      </c>
      <c r="AK44" s="131"/>
      <c r="AL44" s="114">
        <f>'Rates in Detail'!Y48</f>
        <v>1.64E-3</v>
      </c>
      <c r="AM44" s="114">
        <f>'Rates in Detail'!Z48</f>
        <v>-2.0000000000000002E-5</v>
      </c>
      <c r="AN44" s="986">
        <f t="shared" si="9"/>
        <v>1.6199999999999999E-3</v>
      </c>
      <c r="AO44" s="131"/>
      <c r="AP44" s="114"/>
      <c r="AQ44" s="114"/>
      <c r="AR44" s="114"/>
      <c r="AS44" s="114"/>
      <c r="AT44" s="114"/>
      <c r="AU44" s="348">
        <f t="shared" si="10"/>
        <v>0</v>
      </c>
      <c r="AW44" s="114">
        <f t="shared" si="11"/>
        <v>2.3819999999999997E-2</v>
      </c>
      <c r="AX44" s="114">
        <f t="shared" si="12"/>
        <v>0</v>
      </c>
      <c r="AY44" s="114">
        <f t="shared" si="13"/>
        <v>0</v>
      </c>
      <c r="AZ44" s="114">
        <f t="shared" si="14"/>
        <v>0</v>
      </c>
      <c r="BA44" s="114">
        <f t="shared" si="15"/>
        <v>5.9999999999999995E-5</v>
      </c>
      <c r="BB44" s="343">
        <f t="shared" si="16"/>
        <v>2.3879999999999998E-2</v>
      </c>
    </row>
    <row r="45" spans="2:54" x14ac:dyDescent="0.2">
      <c r="B45" s="110">
        <f t="shared" si="17"/>
        <v>37</v>
      </c>
      <c r="C45" s="906" t="str">
        <f>'WA Volumes &amp; Revenues'!B51</f>
        <v>42I Firm Transpt</v>
      </c>
      <c r="D45" s="906" t="s">
        <v>4</v>
      </c>
      <c r="E45" s="115">
        <v>10000</v>
      </c>
      <c r="F45" s="116">
        <f>'WA Volumes &amp; Revenues'!E51</f>
        <v>924395</v>
      </c>
      <c r="G45" s="116">
        <f>'WA Volumes &amp; Revenues'!H51</f>
        <v>8.9166666666666661</v>
      </c>
      <c r="H45" s="912">
        <f>'WA Volumes &amp; Revenues'!O51</f>
        <v>1550</v>
      </c>
      <c r="I45" s="913">
        <f>'WA Volumes &amp; Revenues'!N51</f>
        <v>1550</v>
      </c>
      <c r="J45" s="628">
        <f>'Rates in Detail'!E49</f>
        <v>0.13941000000000001</v>
      </c>
      <c r="K45" s="630">
        <f>'Rates in Detail'!H49</f>
        <v>0</v>
      </c>
      <c r="L45" s="630">
        <f>'Rates in Detail'!F49</f>
        <v>0</v>
      </c>
      <c r="M45" s="630">
        <f>'Rates in Detail'!I49</f>
        <v>5.8999999999999992E-4</v>
      </c>
      <c r="N45" s="137">
        <f t="shared" si="1"/>
        <v>0.14000000000000001</v>
      </c>
      <c r="O45" s="628">
        <f>'Rates in Detail'!L49</f>
        <v>2.5739999999999999E-2</v>
      </c>
      <c r="P45" s="630">
        <f>'Rates in Detail'!P49</f>
        <v>-1.7700000000000001E-3</v>
      </c>
      <c r="Q45" s="630">
        <f>'Rates in Detail'!Q49</f>
        <v>0</v>
      </c>
      <c r="R45" s="255">
        <f t="shared" si="2"/>
        <v>2.3969999999999998E-2</v>
      </c>
      <c r="S45" s="628">
        <f>'Rates in Detail'!S49</f>
        <v>0</v>
      </c>
      <c r="T45" s="630">
        <f>'Rates in Detail'!T49</f>
        <v>-3.3600000000000001E-3</v>
      </c>
      <c r="U45" s="630">
        <f>'Rates in Detail'!U49</f>
        <v>0</v>
      </c>
      <c r="V45" s="261">
        <f t="shared" si="18"/>
        <v>2.0609999999999996E-2</v>
      </c>
      <c r="W45" s="620"/>
      <c r="X45" s="117"/>
      <c r="Y45" s="117"/>
      <c r="Z45" s="117"/>
      <c r="AA45" s="117"/>
      <c r="AB45" s="117"/>
      <c r="AC45" s="349">
        <f t="shared" si="4"/>
        <v>0</v>
      </c>
      <c r="AE45" s="114">
        <f t="shared" si="5"/>
        <v>0.16338</v>
      </c>
      <c r="AF45" s="114"/>
      <c r="AG45" s="114">
        <f t="shared" si="19"/>
        <v>0</v>
      </c>
      <c r="AH45" s="114">
        <f t="shared" si="20"/>
        <v>0</v>
      </c>
      <c r="AI45" s="114">
        <f t="shared" si="7"/>
        <v>-2.7700000000000003E-3</v>
      </c>
      <c r="AJ45" s="343">
        <f t="shared" si="8"/>
        <v>0.16061</v>
      </c>
      <c r="AK45" s="131"/>
      <c r="AL45" s="117">
        <f>'Rates in Detail'!Y49</f>
        <v>1.2070000000000001E-2</v>
      </c>
      <c r="AM45" s="117">
        <f>'Rates in Detail'!Z49</f>
        <v>-1.7000000000000001E-4</v>
      </c>
      <c r="AN45" s="987">
        <f t="shared" si="9"/>
        <v>1.1900000000000001E-2</v>
      </c>
      <c r="AO45" s="131"/>
      <c r="AP45" s="117"/>
      <c r="AQ45" s="117"/>
      <c r="AR45" s="117"/>
      <c r="AS45" s="117"/>
      <c r="AT45" s="117"/>
      <c r="AU45" s="349">
        <f t="shared" si="10"/>
        <v>0</v>
      </c>
      <c r="AW45" s="117">
        <f t="shared" si="11"/>
        <v>0.17544999999999999</v>
      </c>
      <c r="AX45" s="117">
        <f t="shared" si="12"/>
        <v>0</v>
      </c>
      <c r="AY45" s="117">
        <f t="shared" si="13"/>
        <v>0</v>
      </c>
      <c r="AZ45" s="117">
        <f t="shared" si="14"/>
        <v>0</v>
      </c>
      <c r="BA45" s="117">
        <f t="shared" si="15"/>
        <v>4.1999999999999991E-4</v>
      </c>
      <c r="BB45" s="344">
        <f t="shared" si="16"/>
        <v>0.17587</v>
      </c>
    </row>
    <row r="46" spans="2:54" x14ac:dyDescent="0.2">
      <c r="B46" s="110">
        <f t="shared" si="17"/>
        <v>38</v>
      </c>
      <c r="C46" s="906"/>
      <c r="D46" s="906" t="s">
        <v>5</v>
      </c>
      <c r="E46" s="115">
        <v>20000</v>
      </c>
      <c r="F46" s="116">
        <f>'WA Volumes &amp; Revenues'!E52</f>
        <v>1036796</v>
      </c>
      <c r="G46" s="116"/>
      <c r="H46" s="912"/>
      <c r="I46" s="913"/>
      <c r="J46" s="628">
        <f>'Rates in Detail'!E50</f>
        <v>0.12478999999999997</v>
      </c>
      <c r="K46" s="630">
        <f>'Rates in Detail'!H50</f>
        <v>0</v>
      </c>
      <c r="L46" s="630">
        <f>'Rates in Detail'!F50</f>
        <v>0</v>
      </c>
      <c r="M46" s="630">
        <f>'Rates in Detail'!I50</f>
        <v>5.2000000000000006E-4</v>
      </c>
      <c r="N46" s="137">
        <f t="shared" si="1"/>
        <v>0.12530999999999998</v>
      </c>
      <c r="O46" s="628">
        <f>'Rates in Detail'!L50</f>
        <v>2.3040000000000001E-2</v>
      </c>
      <c r="P46" s="630">
        <f>'Rates in Detail'!P50</f>
        <v>-1.5900000000000001E-3</v>
      </c>
      <c r="Q46" s="630">
        <f>'Rates in Detail'!Q50</f>
        <v>0</v>
      </c>
      <c r="R46" s="255">
        <f t="shared" si="2"/>
        <v>2.145E-2</v>
      </c>
      <c r="S46" s="628">
        <f>'Rates in Detail'!S50</f>
        <v>0</v>
      </c>
      <c r="T46" s="630">
        <f>'Rates in Detail'!T50</f>
        <v>-3.0000000000000001E-3</v>
      </c>
      <c r="U46" s="630">
        <f>'Rates in Detail'!U50</f>
        <v>0</v>
      </c>
      <c r="V46" s="261">
        <f t="shared" si="18"/>
        <v>1.8450000000000001E-2</v>
      </c>
      <c r="W46" s="620"/>
      <c r="X46" s="117"/>
      <c r="Y46" s="117"/>
      <c r="Z46" s="117"/>
      <c r="AA46" s="117"/>
      <c r="AB46" s="117"/>
      <c r="AC46" s="349">
        <f t="shared" si="4"/>
        <v>0</v>
      </c>
      <c r="AE46" s="114">
        <f t="shared" si="5"/>
        <v>0.14623999999999998</v>
      </c>
      <c r="AF46" s="114"/>
      <c r="AG46" s="114">
        <f t="shared" si="19"/>
        <v>0</v>
      </c>
      <c r="AH46" s="114">
        <f t="shared" si="20"/>
        <v>0</v>
      </c>
      <c r="AI46" s="114">
        <f t="shared" si="7"/>
        <v>-2.48E-3</v>
      </c>
      <c r="AJ46" s="343">
        <f t="shared" si="8"/>
        <v>0.14375999999999997</v>
      </c>
      <c r="AK46" s="131"/>
      <c r="AL46" s="117">
        <f>'Rates in Detail'!Y50</f>
        <v>1.0800000000000001E-2</v>
      </c>
      <c r="AM46" s="117">
        <f>'Rates in Detail'!Z50</f>
        <v>-1.4999999999999999E-4</v>
      </c>
      <c r="AN46" s="987">
        <f t="shared" si="9"/>
        <v>1.065E-2</v>
      </c>
      <c r="AO46" s="131"/>
      <c r="AP46" s="117"/>
      <c r="AQ46" s="117"/>
      <c r="AR46" s="117"/>
      <c r="AS46" s="117"/>
      <c r="AT46" s="117"/>
      <c r="AU46" s="349">
        <f t="shared" si="10"/>
        <v>0</v>
      </c>
      <c r="AW46" s="117">
        <f t="shared" si="11"/>
        <v>0.15703999999999999</v>
      </c>
      <c r="AX46" s="117">
        <f t="shared" si="12"/>
        <v>0</v>
      </c>
      <c r="AY46" s="117">
        <f t="shared" si="13"/>
        <v>0</v>
      </c>
      <c r="AZ46" s="117">
        <f t="shared" si="14"/>
        <v>0</v>
      </c>
      <c r="BA46" s="117">
        <f t="shared" si="15"/>
        <v>3.700000000000001E-4</v>
      </c>
      <c r="BB46" s="344">
        <f t="shared" si="16"/>
        <v>0.15740999999999999</v>
      </c>
    </row>
    <row r="47" spans="2:54" x14ac:dyDescent="0.2">
      <c r="B47" s="110">
        <f t="shared" si="17"/>
        <v>39</v>
      </c>
      <c r="C47" s="906"/>
      <c r="D47" s="906" t="s">
        <v>6</v>
      </c>
      <c r="E47" s="115">
        <v>20000</v>
      </c>
      <c r="F47" s="116">
        <f>'WA Volumes &amp; Revenues'!E53</f>
        <v>937215</v>
      </c>
      <c r="G47" s="116"/>
      <c r="H47" s="912"/>
      <c r="I47" s="913"/>
      <c r="J47" s="628">
        <f>'Rates in Detail'!E51</f>
        <v>9.5690000000000011E-2</v>
      </c>
      <c r="K47" s="630">
        <f>'Rates in Detail'!H51</f>
        <v>0</v>
      </c>
      <c r="L47" s="630">
        <f>'Rates in Detail'!F51</f>
        <v>0</v>
      </c>
      <c r="M47" s="630">
        <f>'Rates in Detail'!I51</f>
        <v>4.1000000000000005E-4</v>
      </c>
      <c r="N47" s="137">
        <f t="shared" si="1"/>
        <v>9.6100000000000005E-2</v>
      </c>
      <c r="O47" s="628">
        <f>'Rates in Detail'!L51</f>
        <v>1.7670000000000002E-2</v>
      </c>
      <c r="P47" s="630">
        <f>'Rates in Detail'!P51</f>
        <v>-1.2199999999999999E-3</v>
      </c>
      <c r="Q47" s="630">
        <f>'Rates in Detail'!Q51</f>
        <v>0</v>
      </c>
      <c r="R47" s="255">
        <f t="shared" si="2"/>
        <v>1.6450000000000003E-2</v>
      </c>
      <c r="S47" s="628">
        <f>'Rates in Detail'!S51</f>
        <v>0</v>
      </c>
      <c r="T47" s="630">
        <f>'Rates in Detail'!T51</f>
        <v>-2.3E-3</v>
      </c>
      <c r="U47" s="630">
        <f>'Rates in Detail'!U51</f>
        <v>0</v>
      </c>
      <c r="V47" s="261">
        <f t="shared" si="18"/>
        <v>1.4150000000000003E-2</v>
      </c>
      <c r="W47" s="620"/>
      <c r="X47" s="117"/>
      <c r="Y47" s="117"/>
      <c r="Z47" s="117"/>
      <c r="AA47" s="117"/>
      <c r="AB47" s="117"/>
      <c r="AC47" s="349">
        <f t="shared" si="4"/>
        <v>0</v>
      </c>
      <c r="AE47" s="114">
        <f t="shared" si="5"/>
        <v>0.11214000000000002</v>
      </c>
      <c r="AF47" s="114"/>
      <c r="AG47" s="114">
        <f t="shared" si="19"/>
        <v>0</v>
      </c>
      <c r="AH47" s="114">
        <f t="shared" si="20"/>
        <v>0</v>
      </c>
      <c r="AI47" s="114">
        <f t="shared" si="7"/>
        <v>-1.89E-3</v>
      </c>
      <c r="AJ47" s="343">
        <f t="shared" si="8"/>
        <v>0.11025000000000001</v>
      </c>
      <c r="AK47" s="131"/>
      <c r="AL47" s="117">
        <f>'Rates in Detail'!Y51</f>
        <v>8.2799999999999992E-3</v>
      </c>
      <c r="AM47" s="117">
        <f>'Rates in Detail'!Z51</f>
        <v>-1.2E-4</v>
      </c>
      <c r="AN47" s="987">
        <f t="shared" si="9"/>
        <v>8.1599999999999989E-3</v>
      </c>
      <c r="AO47" s="131"/>
      <c r="AP47" s="117"/>
      <c r="AQ47" s="117"/>
      <c r="AR47" s="117"/>
      <c r="AS47" s="117"/>
      <c r="AT47" s="117"/>
      <c r="AU47" s="349">
        <f t="shared" si="10"/>
        <v>0</v>
      </c>
      <c r="AW47" s="117">
        <f t="shared" si="11"/>
        <v>0.12042000000000001</v>
      </c>
      <c r="AX47" s="117">
        <f t="shared" si="12"/>
        <v>0</v>
      </c>
      <c r="AY47" s="117">
        <f t="shared" si="13"/>
        <v>0</v>
      </c>
      <c r="AZ47" s="117">
        <f t="shared" si="14"/>
        <v>0</v>
      </c>
      <c r="BA47" s="117">
        <f t="shared" si="15"/>
        <v>2.9000000000000006E-4</v>
      </c>
      <c r="BB47" s="344">
        <f t="shared" si="16"/>
        <v>0.12071000000000001</v>
      </c>
    </row>
    <row r="48" spans="2:54" x14ac:dyDescent="0.2">
      <c r="B48" s="110">
        <f t="shared" si="17"/>
        <v>40</v>
      </c>
      <c r="C48" s="906"/>
      <c r="D48" s="906" t="s">
        <v>7</v>
      </c>
      <c r="E48" s="115">
        <v>100000</v>
      </c>
      <c r="F48" s="116">
        <f>'WA Volumes &amp; Revenues'!E54</f>
        <v>2390318</v>
      </c>
      <c r="G48" s="116"/>
      <c r="H48" s="912"/>
      <c r="I48" s="913"/>
      <c r="J48" s="628">
        <f>'Rates in Detail'!E52</f>
        <v>7.6560000000000017E-2</v>
      </c>
      <c r="K48" s="630">
        <f>'Rates in Detail'!H52</f>
        <v>0</v>
      </c>
      <c r="L48" s="630">
        <f>'Rates in Detail'!F52</f>
        <v>0</v>
      </c>
      <c r="M48" s="630">
        <f>'Rates in Detail'!I52</f>
        <v>3.1999999999999997E-4</v>
      </c>
      <c r="N48" s="137">
        <f t="shared" si="1"/>
        <v>7.6880000000000018E-2</v>
      </c>
      <c r="O48" s="628">
        <f>'Rates in Detail'!L52</f>
        <v>1.414E-2</v>
      </c>
      <c r="P48" s="630">
        <f>'Rates in Detail'!P52</f>
        <v>-9.7000000000000005E-4</v>
      </c>
      <c r="Q48" s="630">
        <f>'Rates in Detail'!Q52</f>
        <v>0</v>
      </c>
      <c r="R48" s="255">
        <f t="shared" si="2"/>
        <v>1.3169999999999999E-2</v>
      </c>
      <c r="S48" s="628">
        <f>'Rates in Detail'!S52</f>
        <v>0</v>
      </c>
      <c r="T48" s="630">
        <f>'Rates in Detail'!T52</f>
        <v>-1.8400000000000001E-3</v>
      </c>
      <c r="U48" s="630">
        <f>'Rates in Detail'!U52</f>
        <v>0</v>
      </c>
      <c r="V48" s="261">
        <f t="shared" si="18"/>
        <v>1.133E-2</v>
      </c>
      <c r="W48" s="620"/>
      <c r="X48" s="117"/>
      <c r="Y48" s="117"/>
      <c r="Z48" s="117"/>
      <c r="AA48" s="117"/>
      <c r="AB48" s="117"/>
      <c r="AC48" s="349">
        <f t="shared" si="4"/>
        <v>0</v>
      </c>
      <c r="AE48" s="114">
        <f t="shared" si="5"/>
        <v>8.9730000000000018E-2</v>
      </c>
      <c r="AF48" s="114"/>
      <c r="AG48" s="114">
        <f t="shared" si="19"/>
        <v>0</v>
      </c>
      <c r="AH48" s="114">
        <f t="shared" si="20"/>
        <v>0</v>
      </c>
      <c r="AI48" s="114">
        <f t="shared" si="7"/>
        <v>-1.5200000000000001E-3</v>
      </c>
      <c r="AJ48" s="343">
        <f t="shared" si="8"/>
        <v>8.8210000000000025E-2</v>
      </c>
      <c r="AK48" s="131"/>
      <c r="AL48" s="117">
        <f>'Rates in Detail'!Y52</f>
        <v>6.6299999999999996E-3</v>
      </c>
      <c r="AM48" s="117">
        <f>'Rates in Detail'!Z52</f>
        <v>-9.0000000000000006E-5</v>
      </c>
      <c r="AN48" s="987">
        <f t="shared" si="9"/>
        <v>6.5399999999999998E-3</v>
      </c>
      <c r="AO48" s="131"/>
      <c r="AP48" s="117"/>
      <c r="AQ48" s="117"/>
      <c r="AR48" s="117"/>
      <c r="AS48" s="117"/>
      <c r="AT48" s="117"/>
      <c r="AU48" s="349">
        <f t="shared" si="10"/>
        <v>0</v>
      </c>
      <c r="AW48" s="117">
        <f t="shared" si="11"/>
        <v>9.6360000000000015E-2</v>
      </c>
      <c r="AX48" s="117">
        <f t="shared" si="12"/>
        <v>0</v>
      </c>
      <c r="AY48" s="117">
        <f t="shared" si="13"/>
        <v>0</v>
      </c>
      <c r="AZ48" s="117">
        <f t="shared" si="14"/>
        <v>0</v>
      </c>
      <c r="BA48" s="117">
        <f t="shared" si="15"/>
        <v>2.2999999999999995E-4</v>
      </c>
      <c r="BB48" s="344">
        <f t="shared" si="16"/>
        <v>9.6590000000000009E-2</v>
      </c>
    </row>
    <row r="49" spans="2:54" x14ac:dyDescent="0.2">
      <c r="B49" s="110">
        <f t="shared" si="17"/>
        <v>41</v>
      </c>
      <c r="C49" s="906"/>
      <c r="D49" s="906" t="s">
        <v>8</v>
      </c>
      <c r="E49" s="115">
        <v>600000</v>
      </c>
      <c r="F49" s="116">
        <f>'WA Volumes &amp; Revenues'!E55</f>
        <v>1492257</v>
      </c>
      <c r="G49" s="116"/>
      <c r="H49" s="912"/>
      <c r="I49" s="913"/>
      <c r="J49" s="628">
        <f>'Rates in Detail'!E53</f>
        <v>5.1040000000000002E-2</v>
      </c>
      <c r="K49" s="630">
        <f>'Rates in Detail'!H53</f>
        <v>0</v>
      </c>
      <c r="L49" s="630">
        <f>'Rates in Detail'!F53</f>
        <v>0</v>
      </c>
      <c r="M49" s="630">
        <f>'Rates in Detail'!I53</f>
        <v>2.1000000000000001E-4</v>
      </c>
      <c r="N49" s="137">
        <f t="shared" si="1"/>
        <v>5.1250000000000004E-2</v>
      </c>
      <c r="O49" s="628">
        <f>'Rates in Detail'!L53</f>
        <v>9.4199999999999996E-3</v>
      </c>
      <c r="P49" s="630">
        <f>'Rates in Detail'!P53</f>
        <v>-6.4999999999999997E-4</v>
      </c>
      <c r="Q49" s="630">
        <f>'Rates in Detail'!Q53</f>
        <v>0</v>
      </c>
      <c r="R49" s="255">
        <f t="shared" si="2"/>
        <v>8.77E-3</v>
      </c>
      <c r="S49" s="628">
        <f>'Rates in Detail'!S53</f>
        <v>0</v>
      </c>
      <c r="T49" s="630">
        <f>'Rates in Detail'!T53</f>
        <v>-1.23E-3</v>
      </c>
      <c r="U49" s="630">
        <f>'Rates in Detail'!U53</f>
        <v>0</v>
      </c>
      <c r="V49" s="261">
        <f t="shared" si="18"/>
        <v>7.5399999999999998E-3</v>
      </c>
      <c r="W49" s="620"/>
      <c r="X49" s="117"/>
      <c r="Y49" s="117"/>
      <c r="Z49" s="117"/>
      <c r="AA49" s="117"/>
      <c r="AB49" s="117"/>
      <c r="AC49" s="349">
        <f t="shared" si="4"/>
        <v>0</v>
      </c>
      <c r="AE49" s="114">
        <f t="shared" si="5"/>
        <v>5.9810000000000002E-2</v>
      </c>
      <c r="AF49" s="114"/>
      <c r="AG49" s="114">
        <f t="shared" si="19"/>
        <v>0</v>
      </c>
      <c r="AH49" s="114">
        <f t="shared" si="20"/>
        <v>0</v>
      </c>
      <c r="AI49" s="114">
        <f t="shared" si="7"/>
        <v>-1.0200000000000001E-3</v>
      </c>
      <c r="AJ49" s="343">
        <f t="shared" si="8"/>
        <v>5.8790000000000002E-2</v>
      </c>
      <c r="AK49" s="131"/>
      <c r="AL49" s="117">
        <f>'Rates in Detail'!Y53</f>
        <v>4.4200000000000003E-3</v>
      </c>
      <c r="AM49" s="117">
        <f>'Rates in Detail'!Z53</f>
        <v>-6.0000000000000002E-5</v>
      </c>
      <c r="AN49" s="987">
        <f t="shared" si="9"/>
        <v>4.3600000000000002E-3</v>
      </c>
      <c r="AO49" s="131"/>
      <c r="AP49" s="117"/>
      <c r="AQ49" s="117"/>
      <c r="AR49" s="117"/>
      <c r="AS49" s="117"/>
      <c r="AT49" s="117"/>
      <c r="AU49" s="349">
        <f t="shared" si="10"/>
        <v>0</v>
      </c>
      <c r="AW49" s="117">
        <f t="shared" si="11"/>
        <v>6.4230000000000009E-2</v>
      </c>
      <c r="AX49" s="117">
        <f t="shared" si="12"/>
        <v>0</v>
      </c>
      <c r="AY49" s="117">
        <f t="shared" si="13"/>
        <v>0</v>
      </c>
      <c r="AZ49" s="117">
        <f t="shared" si="14"/>
        <v>0</v>
      </c>
      <c r="BA49" s="117">
        <f t="shared" si="15"/>
        <v>1.5000000000000001E-4</v>
      </c>
      <c r="BB49" s="344">
        <f t="shared" si="16"/>
        <v>6.4380000000000007E-2</v>
      </c>
    </row>
    <row r="50" spans="2:54" x14ac:dyDescent="0.2">
      <c r="B50" s="110">
        <f t="shared" si="17"/>
        <v>42</v>
      </c>
      <c r="C50" s="904"/>
      <c r="D50" s="904" t="s">
        <v>9</v>
      </c>
      <c r="E50" s="112" t="s">
        <v>74</v>
      </c>
      <c r="F50" s="113">
        <f>'WA Volumes &amp; Revenues'!E56</f>
        <v>0</v>
      </c>
      <c r="G50" s="113"/>
      <c r="H50" s="907"/>
      <c r="I50" s="909"/>
      <c r="J50" s="627">
        <f>'Rates in Detail'!E54</f>
        <v>1.9140000000000001E-2</v>
      </c>
      <c r="K50" s="631">
        <f>'Rates in Detail'!H54</f>
        <v>0</v>
      </c>
      <c r="L50" s="631">
        <f>'Rates in Detail'!F54</f>
        <v>0</v>
      </c>
      <c r="M50" s="631">
        <f>'Rates in Detail'!I54</f>
        <v>7.9999999999999993E-5</v>
      </c>
      <c r="N50" s="135">
        <f t="shared" si="1"/>
        <v>1.9220000000000001E-2</v>
      </c>
      <c r="O50" s="627">
        <f>'Rates in Detail'!L54</f>
        <v>3.5300000000000002E-3</v>
      </c>
      <c r="P50" s="631">
        <f>'Rates in Detail'!P54</f>
        <v>-2.4000000000000001E-4</v>
      </c>
      <c r="Q50" s="631">
        <f>'Rates in Detail'!Q54</f>
        <v>0</v>
      </c>
      <c r="R50" s="254">
        <f t="shared" si="2"/>
        <v>3.29E-3</v>
      </c>
      <c r="S50" s="627">
        <f>'Rates in Detail'!S54</f>
        <v>0</v>
      </c>
      <c r="T50" s="631">
        <f>'Rates in Detail'!T54</f>
        <v>-4.6000000000000001E-4</v>
      </c>
      <c r="U50" s="631">
        <f>'Rates in Detail'!U54</f>
        <v>0</v>
      </c>
      <c r="V50" s="260">
        <f t="shared" si="18"/>
        <v>2.8300000000000001E-3</v>
      </c>
      <c r="W50" s="620"/>
      <c r="X50" s="114"/>
      <c r="Y50" s="114"/>
      <c r="Z50" s="114"/>
      <c r="AA50" s="114"/>
      <c r="AB50" s="114"/>
      <c r="AC50" s="348">
        <f t="shared" si="4"/>
        <v>0</v>
      </c>
      <c r="AE50" s="114">
        <f t="shared" si="5"/>
        <v>2.2430000000000002E-2</v>
      </c>
      <c r="AF50" s="114"/>
      <c r="AG50" s="114">
        <f t="shared" si="19"/>
        <v>0</v>
      </c>
      <c r="AH50" s="114">
        <f t="shared" si="20"/>
        <v>0</v>
      </c>
      <c r="AI50" s="114">
        <f t="shared" si="7"/>
        <v>-3.8000000000000002E-4</v>
      </c>
      <c r="AJ50" s="343">
        <f t="shared" si="8"/>
        <v>2.2050000000000004E-2</v>
      </c>
      <c r="AK50" s="131"/>
      <c r="AL50" s="114">
        <f>'Rates in Detail'!Y54</f>
        <v>1.66E-3</v>
      </c>
      <c r="AM50" s="114">
        <f>'Rates in Detail'!Z54</f>
        <v>-2.0000000000000002E-5</v>
      </c>
      <c r="AN50" s="986">
        <f t="shared" si="9"/>
        <v>1.64E-3</v>
      </c>
      <c r="AO50" s="131"/>
      <c r="AP50" s="114"/>
      <c r="AQ50" s="114"/>
      <c r="AR50" s="114"/>
      <c r="AS50" s="114"/>
      <c r="AT50" s="114"/>
      <c r="AU50" s="348">
        <f t="shared" si="10"/>
        <v>0</v>
      </c>
      <c r="AW50" s="114">
        <f t="shared" si="11"/>
        <v>2.409E-2</v>
      </c>
      <c r="AX50" s="114">
        <f t="shared" si="12"/>
        <v>0</v>
      </c>
      <c r="AY50" s="114">
        <f t="shared" si="13"/>
        <v>0</v>
      </c>
      <c r="AZ50" s="114">
        <f t="shared" si="14"/>
        <v>0</v>
      </c>
      <c r="BA50" s="114">
        <f t="shared" si="15"/>
        <v>5.9999999999999995E-5</v>
      </c>
      <c r="BB50" s="343">
        <f t="shared" si="16"/>
        <v>2.4150000000000001E-2</v>
      </c>
    </row>
    <row r="51" spans="2:54" x14ac:dyDescent="0.2">
      <c r="B51" s="110">
        <f t="shared" si="17"/>
        <v>43</v>
      </c>
      <c r="C51" s="906" t="str">
        <f>'WA Volumes &amp; Revenues'!B57</f>
        <v>42C Interr Sales</v>
      </c>
      <c r="D51" s="906" t="s">
        <v>4</v>
      </c>
      <c r="E51" s="115">
        <v>10000</v>
      </c>
      <c r="F51" s="116">
        <f>'WA Volumes &amp; Revenues'!E57</f>
        <v>240000</v>
      </c>
      <c r="G51" s="116">
        <f>'WA Volumes &amp; Revenues'!H57</f>
        <v>2</v>
      </c>
      <c r="H51" s="912">
        <f>'WA Volumes &amp; Revenues'!O57</f>
        <v>1300</v>
      </c>
      <c r="I51" s="913">
        <f>'WA Volumes &amp; Revenues'!N57</f>
        <v>1300</v>
      </c>
      <c r="J51" s="628">
        <f>'Rates in Detail'!E55</f>
        <v>0.13682000000000002</v>
      </c>
      <c r="K51" s="630">
        <f>'Rates in Detail'!H55</f>
        <v>0</v>
      </c>
      <c r="L51" s="630">
        <f>'Rates in Detail'!F55</f>
        <v>0.26333000000000001</v>
      </c>
      <c r="M51" s="630">
        <f>'Rates in Detail'!I55</f>
        <v>2.334E-2</v>
      </c>
      <c r="N51" s="137">
        <f t="shared" si="1"/>
        <v>0.42349000000000003</v>
      </c>
      <c r="O51" s="628">
        <f>'Rates in Detail'!L55</f>
        <v>2.6700000000000002E-2</v>
      </c>
      <c r="P51" s="630">
        <f>'Rates in Detail'!P55</f>
        <v>-1.8400000000000001E-3</v>
      </c>
      <c r="Q51" s="630">
        <f>'Rates in Detail'!Q55</f>
        <v>0</v>
      </c>
      <c r="R51" s="255">
        <f t="shared" si="2"/>
        <v>2.486E-2</v>
      </c>
      <c r="S51" s="628">
        <f>'Rates in Detail'!S55</f>
        <v>-6.3E-3</v>
      </c>
      <c r="T51" s="630">
        <f>'Rates in Detail'!T55</f>
        <v>-3.48E-3</v>
      </c>
      <c r="U51" s="630">
        <f>'Rates in Detail'!U55</f>
        <v>0</v>
      </c>
      <c r="V51" s="261">
        <f t="shared" si="18"/>
        <v>1.508E-2</v>
      </c>
      <c r="W51" s="620"/>
      <c r="X51" s="117"/>
      <c r="Y51" s="117"/>
      <c r="Z51" s="117"/>
      <c r="AA51" s="117"/>
      <c r="AB51" s="117"/>
      <c r="AC51" s="349">
        <f t="shared" si="4"/>
        <v>0</v>
      </c>
      <c r="AE51" s="114">
        <f t="shared" si="5"/>
        <v>0.16168000000000002</v>
      </c>
      <c r="AF51" s="114"/>
      <c r="AG51" s="114">
        <f t="shared" si="19"/>
        <v>0</v>
      </c>
      <c r="AH51" s="114">
        <f t="shared" si="20"/>
        <v>0.26333000000000001</v>
      </c>
      <c r="AI51" s="114">
        <f t="shared" si="7"/>
        <v>1.3559999999999999E-2</v>
      </c>
      <c r="AJ51" s="343">
        <f t="shared" si="8"/>
        <v>0.43857000000000002</v>
      </c>
      <c r="AK51" s="131"/>
      <c r="AL51" s="117">
        <f>'Rates in Detail'!Y55</f>
        <v>1.252E-2</v>
      </c>
      <c r="AM51" s="117">
        <f>'Rates in Detail'!Z55</f>
        <v>-1.8000000000000001E-4</v>
      </c>
      <c r="AN51" s="987">
        <f t="shared" si="9"/>
        <v>1.234E-2</v>
      </c>
      <c r="AO51" s="131"/>
      <c r="AP51" s="117"/>
      <c r="AQ51" s="117"/>
      <c r="AR51" s="117"/>
      <c r="AS51" s="117"/>
      <c r="AT51" s="117"/>
      <c r="AU51" s="349">
        <f t="shared" si="10"/>
        <v>0</v>
      </c>
      <c r="AW51" s="117">
        <f t="shared" si="11"/>
        <v>0.17420000000000002</v>
      </c>
      <c r="AX51" s="117">
        <f t="shared" si="12"/>
        <v>0</v>
      </c>
      <c r="AY51" s="117">
        <f t="shared" si="13"/>
        <v>0</v>
      </c>
      <c r="AZ51" s="117">
        <f t="shared" si="14"/>
        <v>0.26333000000000001</v>
      </c>
      <c r="BA51" s="117">
        <f t="shared" si="15"/>
        <v>2.316E-2</v>
      </c>
      <c r="BB51" s="344">
        <f t="shared" si="16"/>
        <v>0.46069000000000004</v>
      </c>
    </row>
    <row r="52" spans="2:54" x14ac:dyDescent="0.2">
      <c r="B52" s="110">
        <f t="shared" si="17"/>
        <v>44</v>
      </c>
      <c r="C52" s="906"/>
      <c r="D52" s="906" t="s">
        <v>5</v>
      </c>
      <c r="E52" s="115">
        <v>20000</v>
      </c>
      <c r="F52" s="116">
        <f>'WA Volumes &amp; Revenues'!E58</f>
        <v>467511</v>
      </c>
      <c r="G52" s="116"/>
      <c r="H52" s="912"/>
      <c r="I52" s="913"/>
      <c r="J52" s="628">
        <f>'Rates in Detail'!E56</f>
        <v>0.12246999999999988</v>
      </c>
      <c r="K52" s="630">
        <f>'Rates in Detail'!H56</f>
        <v>0</v>
      </c>
      <c r="L52" s="630">
        <f>'Rates in Detail'!F56</f>
        <v>0.26333000000000001</v>
      </c>
      <c r="M52" s="630">
        <f>'Rates in Detail'!I56</f>
        <v>2.0999999999999998E-2</v>
      </c>
      <c r="N52" s="137">
        <f t="shared" si="1"/>
        <v>0.40679999999999994</v>
      </c>
      <c r="O52" s="628">
        <f>'Rates in Detail'!L56</f>
        <v>2.3900000000000001E-2</v>
      </c>
      <c r="P52" s="630">
        <f>'Rates in Detail'!P56</f>
        <v>-1.64E-3</v>
      </c>
      <c r="Q52" s="630">
        <f>'Rates in Detail'!Q56</f>
        <v>0</v>
      </c>
      <c r="R52" s="255">
        <f t="shared" si="2"/>
        <v>2.2260000000000002E-2</v>
      </c>
      <c r="S52" s="628">
        <f>'Rates in Detail'!S56</f>
        <v>-5.64E-3</v>
      </c>
      <c r="T52" s="630">
        <f>'Rates in Detail'!T56</f>
        <v>-3.1199999999999999E-3</v>
      </c>
      <c r="U52" s="630">
        <f>'Rates in Detail'!U56</f>
        <v>0</v>
      </c>
      <c r="V52" s="261">
        <f t="shared" si="18"/>
        <v>1.3500000000000003E-2</v>
      </c>
      <c r="W52" s="620"/>
      <c r="X52" s="117"/>
      <c r="Y52" s="117"/>
      <c r="Z52" s="117"/>
      <c r="AA52" s="117"/>
      <c r="AB52" s="117"/>
      <c r="AC52" s="349">
        <f t="shared" si="4"/>
        <v>0</v>
      </c>
      <c r="AE52" s="114">
        <f t="shared" si="5"/>
        <v>0.14472999999999989</v>
      </c>
      <c r="AF52" s="114"/>
      <c r="AG52" s="114">
        <f t="shared" si="19"/>
        <v>0</v>
      </c>
      <c r="AH52" s="114">
        <f t="shared" si="20"/>
        <v>0.26333000000000001</v>
      </c>
      <c r="AI52" s="114">
        <f t="shared" si="7"/>
        <v>1.2239999999999997E-2</v>
      </c>
      <c r="AJ52" s="343">
        <f t="shared" si="8"/>
        <v>0.42029999999999984</v>
      </c>
      <c r="AK52" s="131"/>
      <c r="AL52" s="117">
        <f>'Rates in Detail'!Y56</f>
        <v>1.1209999999999999E-2</v>
      </c>
      <c r="AM52" s="117">
        <f>'Rates in Detail'!Z56</f>
        <v>-1.6000000000000001E-4</v>
      </c>
      <c r="AN52" s="987">
        <f t="shared" si="9"/>
        <v>1.1049999999999999E-2</v>
      </c>
      <c r="AO52" s="131"/>
      <c r="AP52" s="117"/>
      <c r="AQ52" s="117"/>
      <c r="AR52" s="117"/>
      <c r="AS52" s="117"/>
      <c r="AT52" s="117"/>
      <c r="AU52" s="349">
        <f t="shared" si="10"/>
        <v>0</v>
      </c>
      <c r="AW52" s="117">
        <f t="shared" si="11"/>
        <v>0.15593999999999988</v>
      </c>
      <c r="AX52" s="117">
        <f t="shared" si="12"/>
        <v>0</v>
      </c>
      <c r="AY52" s="117">
        <f t="shared" si="13"/>
        <v>0</v>
      </c>
      <c r="AZ52" s="117">
        <f t="shared" si="14"/>
        <v>0.26333000000000001</v>
      </c>
      <c r="BA52" s="117">
        <f t="shared" si="15"/>
        <v>2.0839999999999997E-2</v>
      </c>
      <c r="BB52" s="344">
        <f t="shared" si="16"/>
        <v>0.44010999999999989</v>
      </c>
    </row>
    <row r="53" spans="2:54" x14ac:dyDescent="0.2">
      <c r="B53" s="110">
        <f t="shared" si="17"/>
        <v>45</v>
      </c>
      <c r="C53" s="906"/>
      <c r="D53" s="906" t="s">
        <v>6</v>
      </c>
      <c r="E53" s="115">
        <v>20000</v>
      </c>
      <c r="F53" s="116">
        <f>'WA Volumes &amp; Revenues'!E59</f>
        <v>218004</v>
      </c>
      <c r="G53" s="116"/>
      <c r="H53" s="912"/>
      <c r="I53" s="913"/>
      <c r="J53" s="628">
        <f>'Rates in Detail'!E57</f>
        <v>9.3909999999999993E-2</v>
      </c>
      <c r="K53" s="630">
        <f>'Rates in Detail'!H57</f>
        <v>0</v>
      </c>
      <c r="L53" s="630">
        <f>'Rates in Detail'!F57</f>
        <v>0.26333000000000001</v>
      </c>
      <c r="M53" s="630">
        <f>'Rates in Detail'!I57</f>
        <v>1.6370000000000003E-2</v>
      </c>
      <c r="N53" s="137">
        <f t="shared" si="1"/>
        <v>0.37361</v>
      </c>
      <c r="O53" s="628">
        <f>'Rates in Detail'!L57</f>
        <v>1.8329999999999999E-2</v>
      </c>
      <c r="P53" s="630">
        <f>'Rates in Detail'!P57</f>
        <v>-1.2600000000000001E-3</v>
      </c>
      <c r="Q53" s="630">
        <f>'Rates in Detail'!Q57</f>
        <v>0</v>
      </c>
      <c r="R53" s="255">
        <f t="shared" si="2"/>
        <v>1.7069999999999998E-2</v>
      </c>
      <c r="S53" s="628">
        <f>'Rates in Detail'!S57</f>
        <v>-4.3200000000000001E-3</v>
      </c>
      <c r="T53" s="630">
        <f>'Rates in Detail'!T57</f>
        <v>-2.3900000000000002E-3</v>
      </c>
      <c r="U53" s="630">
        <f>'Rates in Detail'!U57</f>
        <v>0</v>
      </c>
      <c r="V53" s="261">
        <f t="shared" si="18"/>
        <v>1.0359999999999998E-2</v>
      </c>
      <c r="W53" s="620"/>
      <c r="X53" s="117"/>
      <c r="Y53" s="117"/>
      <c r="Z53" s="117"/>
      <c r="AA53" s="117"/>
      <c r="AB53" s="117"/>
      <c r="AC53" s="349">
        <f t="shared" si="4"/>
        <v>0</v>
      </c>
      <c r="AE53" s="114">
        <f t="shared" si="5"/>
        <v>0.11098</v>
      </c>
      <c r="AF53" s="114"/>
      <c r="AG53" s="114">
        <f t="shared" si="19"/>
        <v>0</v>
      </c>
      <c r="AH53" s="114">
        <f t="shared" si="20"/>
        <v>0.26333000000000001</v>
      </c>
      <c r="AI53" s="114">
        <f t="shared" si="7"/>
        <v>9.6600000000000019E-3</v>
      </c>
      <c r="AJ53" s="343">
        <f t="shared" si="8"/>
        <v>0.38397000000000003</v>
      </c>
      <c r="AK53" s="131"/>
      <c r="AL53" s="117">
        <f>'Rates in Detail'!Y57</f>
        <v>8.5900000000000004E-3</v>
      </c>
      <c r="AM53" s="117">
        <f>'Rates in Detail'!Z57</f>
        <v>-1.2E-4</v>
      </c>
      <c r="AN53" s="987">
        <f t="shared" si="9"/>
        <v>8.4700000000000001E-3</v>
      </c>
      <c r="AO53" s="131"/>
      <c r="AP53" s="117"/>
      <c r="AQ53" s="117"/>
      <c r="AR53" s="117"/>
      <c r="AS53" s="117"/>
      <c r="AT53" s="117"/>
      <c r="AU53" s="349">
        <f t="shared" si="10"/>
        <v>0</v>
      </c>
      <c r="AW53" s="117">
        <f t="shared" si="11"/>
        <v>0.11957</v>
      </c>
      <c r="AX53" s="117">
        <f t="shared" si="12"/>
        <v>0</v>
      </c>
      <c r="AY53" s="117">
        <f t="shared" si="13"/>
        <v>0</v>
      </c>
      <c r="AZ53" s="117">
        <f t="shared" si="14"/>
        <v>0.26333000000000001</v>
      </c>
      <c r="BA53" s="117">
        <f t="shared" si="15"/>
        <v>1.6250000000000004E-2</v>
      </c>
      <c r="BB53" s="344">
        <f t="shared" si="16"/>
        <v>0.39915</v>
      </c>
    </row>
    <row r="54" spans="2:54" x14ac:dyDescent="0.2">
      <c r="B54" s="110">
        <f t="shared" si="17"/>
        <v>46</v>
      </c>
      <c r="C54" s="906"/>
      <c r="D54" s="906" t="s">
        <v>7</v>
      </c>
      <c r="E54" s="115">
        <v>100000</v>
      </c>
      <c r="F54" s="116">
        <f>'WA Volumes &amp; Revenues'!E60</f>
        <v>18208</v>
      </c>
      <c r="G54" s="116"/>
      <c r="H54" s="912"/>
      <c r="I54" s="913"/>
      <c r="J54" s="628">
        <f>'Rates in Detail'!E58</f>
        <v>7.5130000000000044E-2</v>
      </c>
      <c r="K54" s="630">
        <f>'Rates in Detail'!H58</f>
        <v>0</v>
      </c>
      <c r="L54" s="630">
        <f>'Rates in Detail'!F58</f>
        <v>0.26333000000000001</v>
      </c>
      <c r="M54" s="630">
        <f>'Rates in Detail'!I58</f>
        <v>1.3339999999999999E-2</v>
      </c>
      <c r="N54" s="137">
        <f t="shared" si="1"/>
        <v>0.35180000000000006</v>
      </c>
      <c r="O54" s="628">
        <f>'Rates in Detail'!L58</f>
        <v>1.4659999999999999E-2</v>
      </c>
      <c r="P54" s="630">
        <f>'Rates in Detail'!P58</f>
        <v>-1.01E-3</v>
      </c>
      <c r="Q54" s="630">
        <f>'Rates in Detail'!Q58</f>
        <v>0</v>
      </c>
      <c r="R54" s="255">
        <f t="shared" si="2"/>
        <v>1.3649999999999999E-2</v>
      </c>
      <c r="S54" s="628">
        <f>'Rates in Detail'!S58</f>
        <v>-3.46E-3</v>
      </c>
      <c r="T54" s="630">
        <f>'Rates in Detail'!T58</f>
        <v>-1.91E-3</v>
      </c>
      <c r="U54" s="630">
        <f>'Rates in Detail'!U58</f>
        <v>0</v>
      </c>
      <c r="V54" s="261">
        <f t="shared" si="18"/>
        <v>8.2799999999999992E-3</v>
      </c>
      <c r="W54" s="620"/>
      <c r="X54" s="117"/>
      <c r="Y54" s="117"/>
      <c r="Z54" s="117"/>
      <c r="AA54" s="117"/>
      <c r="AB54" s="117"/>
      <c r="AC54" s="349">
        <f t="shared" si="4"/>
        <v>0</v>
      </c>
      <c r="AE54" s="114">
        <f t="shared" si="5"/>
        <v>8.8780000000000039E-2</v>
      </c>
      <c r="AF54" s="114"/>
      <c r="AG54" s="114">
        <f t="shared" si="19"/>
        <v>0</v>
      </c>
      <c r="AH54" s="114">
        <f t="shared" si="20"/>
        <v>0.26333000000000001</v>
      </c>
      <c r="AI54" s="114">
        <f t="shared" si="7"/>
        <v>7.9699999999999997E-3</v>
      </c>
      <c r="AJ54" s="343">
        <f t="shared" si="8"/>
        <v>0.36008000000000001</v>
      </c>
      <c r="AK54" s="131"/>
      <c r="AL54" s="117">
        <f>'Rates in Detail'!Y58</f>
        <v>6.8799999999999998E-3</v>
      </c>
      <c r="AM54" s="117">
        <f>'Rates in Detail'!Z58</f>
        <v>-1E-4</v>
      </c>
      <c r="AN54" s="987">
        <f t="shared" si="9"/>
        <v>6.7799999999999996E-3</v>
      </c>
      <c r="AO54" s="131"/>
      <c r="AP54" s="117"/>
      <c r="AQ54" s="117"/>
      <c r="AR54" s="117"/>
      <c r="AS54" s="117"/>
      <c r="AT54" s="117"/>
      <c r="AU54" s="349">
        <f t="shared" si="10"/>
        <v>0</v>
      </c>
      <c r="AW54" s="117">
        <f t="shared" si="11"/>
        <v>9.5660000000000037E-2</v>
      </c>
      <c r="AX54" s="117">
        <f t="shared" si="12"/>
        <v>0</v>
      </c>
      <c r="AY54" s="117">
        <f t="shared" si="13"/>
        <v>0</v>
      </c>
      <c r="AZ54" s="117">
        <f t="shared" si="14"/>
        <v>0.26333000000000001</v>
      </c>
      <c r="BA54" s="117">
        <f t="shared" si="15"/>
        <v>1.324E-2</v>
      </c>
      <c r="BB54" s="344">
        <f t="shared" si="16"/>
        <v>0.37223000000000001</v>
      </c>
    </row>
    <row r="55" spans="2:54" x14ac:dyDescent="0.2">
      <c r="B55" s="110">
        <f t="shared" si="17"/>
        <v>47</v>
      </c>
      <c r="C55" s="906"/>
      <c r="D55" s="906" t="s">
        <v>8</v>
      </c>
      <c r="E55" s="115">
        <v>600000</v>
      </c>
      <c r="F55" s="116">
        <f>'WA Volumes &amp; Revenues'!E61</f>
        <v>0</v>
      </c>
      <c r="G55" s="116"/>
      <c r="H55" s="912"/>
      <c r="I55" s="913"/>
      <c r="J55" s="628">
        <f>'Rates in Detail'!E59</f>
        <v>5.0089999999999968E-2</v>
      </c>
      <c r="K55" s="630">
        <f>'Rates in Detail'!H59</f>
        <v>0</v>
      </c>
      <c r="L55" s="630">
        <f>'Rates in Detail'!F59</f>
        <v>0.26333000000000001</v>
      </c>
      <c r="M55" s="630">
        <f>'Rates in Detail'!I59</f>
        <v>9.2699999999999987E-3</v>
      </c>
      <c r="N55" s="137">
        <f t="shared" si="1"/>
        <v>0.32268999999999998</v>
      </c>
      <c r="O55" s="628">
        <f>'Rates in Detail'!L59</f>
        <v>9.7800000000000005E-3</v>
      </c>
      <c r="P55" s="630">
        <f>'Rates in Detail'!P59</f>
        <v>-6.7000000000000002E-4</v>
      </c>
      <c r="Q55" s="630">
        <f>'Rates in Detail'!Q59</f>
        <v>0</v>
      </c>
      <c r="R55" s="255">
        <f t="shared" si="2"/>
        <v>9.11E-3</v>
      </c>
      <c r="S55" s="628">
        <f>'Rates in Detail'!S59</f>
        <v>-2.31E-3</v>
      </c>
      <c r="T55" s="630">
        <f>'Rates in Detail'!T59</f>
        <v>-1.2700000000000001E-3</v>
      </c>
      <c r="U55" s="630">
        <f>'Rates in Detail'!U59</f>
        <v>0</v>
      </c>
      <c r="V55" s="261">
        <f t="shared" si="18"/>
        <v>5.5300000000000002E-3</v>
      </c>
      <c r="W55" s="620"/>
      <c r="X55" s="117"/>
      <c r="Y55" s="117"/>
      <c r="Z55" s="117"/>
      <c r="AA55" s="117"/>
      <c r="AB55" s="117"/>
      <c r="AC55" s="349">
        <f t="shared" si="4"/>
        <v>0</v>
      </c>
      <c r="AE55" s="114">
        <f t="shared" si="5"/>
        <v>5.9199999999999968E-2</v>
      </c>
      <c r="AF55" s="114"/>
      <c r="AG55" s="114">
        <f t="shared" si="19"/>
        <v>0</v>
      </c>
      <c r="AH55" s="114">
        <f t="shared" si="20"/>
        <v>0.26333000000000001</v>
      </c>
      <c r="AI55" s="114">
        <f t="shared" si="7"/>
        <v>5.6899999999999989E-3</v>
      </c>
      <c r="AJ55" s="343">
        <f t="shared" si="8"/>
        <v>0.32821999999999996</v>
      </c>
      <c r="AK55" s="131"/>
      <c r="AL55" s="117">
        <f>'Rates in Detail'!Y59</f>
        <v>4.5799999999999999E-3</v>
      </c>
      <c r="AM55" s="117">
        <f>'Rates in Detail'!Z59</f>
        <v>-6.0000000000000002E-5</v>
      </c>
      <c r="AN55" s="987">
        <f t="shared" si="9"/>
        <v>4.5199999999999997E-3</v>
      </c>
      <c r="AO55" s="131"/>
      <c r="AP55" s="117"/>
      <c r="AQ55" s="117"/>
      <c r="AR55" s="117"/>
      <c r="AS55" s="117"/>
      <c r="AT55" s="117"/>
      <c r="AU55" s="349">
        <f t="shared" si="10"/>
        <v>0</v>
      </c>
      <c r="AW55" s="117">
        <f t="shared" si="11"/>
        <v>6.3779999999999962E-2</v>
      </c>
      <c r="AX55" s="117">
        <f t="shared" si="12"/>
        <v>0</v>
      </c>
      <c r="AY55" s="117">
        <f t="shared" si="13"/>
        <v>0</v>
      </c>
      <c r="AZ55" s="117">
        <f t="shared" si="14"/>
        <v>0.26333000000000001</v>
      </c>
      <c r="BA55" s="117">
        <f t="shared" si="15"/>
        <v>9.2099999999999994E-3</v>
      </c>
      <c r="BB55" s="344">
        <f t="shared" si="16"/>
        <v>0.33631999999999995</v>
      </c>
    </row>
    <row r="56" spans="2:54" x14ac:dyDescent="0.2">
      <c r="B56" s="110">
        <f t="shared" si="17"/>
        <v>48</v>
      </c>
      <c r="C56" s="904"/>
      <c r="D56" s="904" t="s">
        <v>9</v>
      </c>
      <c r="E56" s="112" t="s">
        <v>74</v>
      </c>
      <c r="F56" s="113">
        <f>'WA Volumes &amp; Revenues'!E62</f>
        <v>0</v>
      </c>
      <c r="G56" s="113"/>
      <c r="H56" s="907"/>
      <c r="I56" s="909"/>
      <c r="J56" s="627">
        <f>'Rates in Detail'!E60</f>
        <v>1.8790000000000001E-2</v>
      </c>
      <c r="K56" s="631">
        <f>'Rates in Detail'!H60</f>
        <v>0</v>
      </c>
      <c r="L56" s="631">
        <f>'Rates in Detail'!F60</f>
        <v>0.26333000000000001</v>
      </c>
      <c r="M56" s="631">
        <f>'Rates in Detail'!I60</f>
        <v>4.1999999999999989E-3</v>
      </c>
      <c r="N56" s="135">
        <f t="shared" si="1"/>
        <v>0.28632000000000002</v>
      </c>
      <c r="O56" s="627">
        <f>'Rates in Detail'!L60</f>
        <v>3.6700000000000001E-3</v>
      </c>
      <c r="P56" s="631">
        <f>'Rates in Detail'!P60</f>
        <v>-2.5000000000000001E-4</v>
      </c>
      <c r="Q56" s="631">
        <f>'Rates in Detail'!Q60</f>
        <v>0</v>
      </c>
      <c r="R56" s="254">
        <f t="shared" si="2"/>
        <v>3.4200000000000003E-3</v>
      </c>
      <c r="S56" s="627">
        <f>'Rates in Detail'!S60</f>
        <v>-8.7000000000000001E-4</v>
      </c>
      <c r="T56" s="631">
        <f>'Rates in Detail'!T60</f>
        <v>-4.8000000000000001E-4</v>
      </c>
      <c r="U56" s="631">
        <f>'Rates in Detail'!U60</f>
        <v>0</v>
      </c>
      <c r="V56" s="260">
        <f t="shared" si="18"/>
        <v>2.0700000000000002E-3</v>
      </c>
      <c r="W56" s="620"/>
      <c r="X56" s="114"/>
      <c r="Y56" s="114"/>
      <c r="Z56" s="114"/>
      <c r="AA56" s="114"/>
      <c r="AB56" s="114"/>
      <c r="AC56" s="348">
        <f t="shared" si="4"/>
        <v>0</v>
      </c>
      <c r="AE56" s="114">
        <f t="shared" si="5"/>
        <v>2.2210000000000001E-2</v>
      </c>
      <c r="AF56" s="114"/>
      <c r="AG56" s="114">
        <f t="shared" si="19"/>
        <v>0</v>
      </c>
      <c r="AH56" s="114">
        <f t="shared" si="20"/>
        <v>0.26333000000000001</v>
      </c>
      <c r="AI56" s="114">
        <f t="shared" si="7"/>
        <v>2.8499999999999988E-3</v>
      </c>
      <c r="AJ56" s="343">
        <f t="shared" si="8"/>
        <v>0.28839000000000004</v>
      </c>
      <c r="AK56" s="131"/>
      <c r="AL56" s="114">
        <f>'Rates in Detail'!Y60</f>
        <v>1.72E-3</v>
      </c>
      <c r="AM56" s="114">
        <f>'Rates in Detail'!Z60</f>
        <v>-2.0000000000000002E-5</v>
      </c>
      <c r="AN56" s="986">
        <f t="shared" si="9"/>
        <v>1.6999999999999999E-3</v>
      </c>
      <c r="AO56" s="131"/>
      <c r="AP56" s="114"/>
      <c r="AQ56" s="114"/>
      <c r="AR56" s="114"/>
      <c r="AS56" s="114"/>
      <c r="AT56" s="114"/>
      <c r="AU56" s="348">
        <f t="shared" si="10"/>
        <v>0</v>
      </c>
      <c r="AW56" s="114">
        <f t="shared" si="11"/>
        <v>2.393E-2</v>
      </c>
      <c r="AX56" s="114">
        <f t="shared" si="12"/>
        <v>0</v>
      </c>
      <c r="AY56" s="114">
        <f t="shared" si="13"/>
        <v>0</v>
      </c>
      <c r="AZ56" s="114">
        <f t="shared" si="14"/>
        <v>0.26333000000000001</v>
      </c>
      <c r="BA56" s="114">
        <f t="shared" si="15"/>
        <v>4.1799999999999988E-3</v>
      </c>
      <c r="BB56" s="343">
        <f t="shared" si="16"/>
        <v>0.29144000000000003</v>
      </c>
    </row>
    <row r="57" spans="2:54" x14ac:dyDescent="0.2">
      <c r="B57" s="110">
        <f t="shared" si="17"/>
        <v>49</v>
      </c>
      <c r="C57" s="906" t="str">
        <f>'WA Volumes &amp; Revenues'!B63</f>
        <v>42I Interr Sales</v>
      </c>
      <c r="D57" s="906" t="s">
        <v>4</v>
      </c>
      <c r="E57" s="115">
        <v>10000</v>
      </c>
      <c r="F57" s="116">
        <f>'WA Volumes &amp; Revenues'!E63</f>
        <v>156740</v>
      </c>
      <c r="G57" s="116">
        <f>'WA Volumes &amp; Revenues'!H63</f>
        <v>1.9166666666666701</v>
      </c>
      <c r="H57" s="912">
        <f>'WA Volumes &amp; Revenues'!O63</f>
        <v>1300</v>
      </c>
      <c r="I57" s="913">
        <f>'WA Volumes &amp; Revenues'!N63</f>
        <v>1300</v>
      </c>
      <c r="J57" s="628">
        <f>'Rates in Detail'!E61</f>
        <v>0.14583999999999989</v>
      </c>
      <c r="K57" s="630">
        <f>'Rates in Detail'!H61</f>
        <v>0</v>
      </c>
      <c r="L57" s="630">
        <f>'Rates in Detail'!F61</f>
        <v>0.26333000000000001</v>
      </c>
      <c r="M57" s="630">
        <f>'Rates in Detail'!I61</f>
        <v>6.9699999999999996E-3</v>
      </c>
      <c r="N57" s="137">
        <f t="shared" si="1"/>
        <v>0.4161399999999999</v>
      </c>
      <c r="O57" s="628">
        <f>'Rates in Detail'!L61</f>
        <v>3.6839999999999998E-2</v>
      </c>
      <c r="P57" s="630">
        <f>'Rates in Detail'!P61</f>
        <v>-2.5400000000000002E-3</v>
      </c>
      <c r="Q57" s="630">
        <f>'Rates in Detail'!Q61</f>
        <v>0</v>
      </c>
      <c r="R57" s="255">
        <f t="shared" si="2"/>
        <v>3.4299999999999997E-2</v>
      </c>
      <c r="S57" s="628">
        <f>'Rates in Detail'!S61</f>
        <v>0</v>
      </c>
      <c r="T57" s="630">
        <f>'Rates in Detail'!T61</f>
        <v>-4.7999999999999996E-3</v>
      </c>
      <c r="U57" s="630">
        <f>'Rates in Detail'!U61</f>
        <v>0</v>
      </c>
      <c r="V57" s="261">
        <f t="shared" si="18"/>
        <v>2.9499999999999998E-2</v>
      </c>
      <c r="W57" s="620"/>
      <c r="X57" s="117"/>
      <c r="Y57" s="117"/>
      <c r="Z57" s="117"/>
      <c r="AA57" s="117"/>
      <c r="AB57" s="117"/>
      <c r="AC57" s="349">
        <f t="shared" si="4"/>
        <v>0</v>
      </c>
      <c r="AE57" s="114">
        <f t="shared" si="5"/>
        <v>0.18013999999999988</v>
      </c>
      <c r="AF57" s="114"/>
      <c r="AG57" s="114">
        <f t="shared" si="19"/>
        <v>0</v>
      </c>
      <c r="AH57" s="114">
        <f t="shared" si="20"/>
        <v>0.26333000000000001</v>
      </c>
      <c r="AI57" s="114">
        <f t="shared" si="7"/>
        <v>2.1700000000000001E-3</v>
      </c>
      <c r="AJ57" s="343">
        <f t="shared" si="8"/>
        <v>0.44563999999999993</v>
      </c>
      <c r="AK57" s="131"/>
      <c r="AL57" s="117">
        <f>'Rates in Detail'!Y61</f>
        <v>1.728E-2</v>
      </c>
      <c r="AM57" s="117">
        <f>'Rates in Detail'!Z61</f>
        <v>-2.4000000000000001E-4</v>
      </c>
      <c r="AN57" s="987">
        <f t="shared" si="9"/>
        <v>1.704E-2</v>
      </c>
      <c r="AO57" s="131"/>
      <c r="AP57" s="117"/>
      <c r="AQ57" s="117"/>
      <c r="AR57" s="117"/>
      <c r="AS57" s="117"/>
      <c r="AT57" s="117"/>
      <c r="AU57" s="349">
        <f t="shared" si="10"/>
        <v>0</v>
      </c>
      <c r="AW57" s="117">
        <f t="shared" si="11"/>
        <v>0.19741999999999987</v>
      </c>
      <c r="AX57" s="117">
        <f t="shared" si="12"/>
        <v>0</v>
      </c>
      <c r="AY57" s="117">
        <f t="shared" si="13"/>
        <v>0</v>
      </c>
      <c r="AZ57" s="117">
        <f t="shared" si="14"/>
        <v>0.26333000000000001</v>
      </c>
      <c r="BA57" s="117">
        <f t="shared" si="15"/>
        <v>6.7299999999999999E-3</v>
      </c>
      <c r="BB57" s="344">
        <f t="shared" si="16"/>
        <v>0.4674799999999999</v>
      </c>
    </row>
    <row r="58" spans="2:54" x14ac:dyDescent="0.2">
      <c r="B58" s="110">
        <f t="shared" si="17"/>
        <v>50</v>
      </c>
      <c r="C58" s="906"/>
      <c r="D58" s="906" t="s">
        <v>5</v>
      </c>
      <c r="E58" s="115">
        <v>20000</v>
      </c>
      <c r="F58" s="116">
        <f>'WA Volumes &amp; Revenues'!E64</f>
        <v>159690</v>
      </c>
      <c r="G58" s="116"/>
      <c r="H58" s="912"/>
      <c r="I58" s="913"/>
      <c r="J58" s="628">
        <f>'Rates in Detail'!E62</f>
        <v>0.13054999999999992</v>
      </c>
      <c r="K58" s="630">
        <f>'Rates in Detail'!H62</f>
        <v>0</v>
      </c>
      <c r="L58" s="630">
        <f>'Rates in Detail'!F62</f>
        <v>0.26333000000000001</v>
      </c>
      <c r="M58" s="630">
        <f>'Rates in Detail'!I62</f>
        <v>6.3499999999999997E-3</v>
      </c>
      <c r="N58" s="137">
        <f t="shared" si="1"/>
        <v>0.40022999999999992</v>
      </c>
      <c r="O58" s="628">
        <f>'Rates in Detail'!L62</f>
        <v>3.2980000000000002E-2</v>
      </c>
      <c r="P58" s="630">
        <f>'Rates in Detail'!P62</f>
        <v>-2.2699999999999999E-3</v>
      </c>
      <c r="Q58" s="630">
        <f>'Rates in Detail'!Q62</f>
        <v>0</v>
      </c>
      <c r="R58" s="255">
        <f t="shared" si="2"/>
        <v>3.0710000000000001E-2</v>
      </c>
      <c r="S58" s="628">
        <f>'Rates in Detail'!S62</f>
        <v>0</v>
      </c>
      <c r="T58" s="630">
        <f>'Rates in Detail'!T62</f>
        <v>-4.3E-3</v>
      </c>
      <c r="U58" s="630">
        <f>'Rates in Detail'!U62</f>
        <v>0</v>
      </c>
      <c r="V58" s="261">
        <f t="shared" si="18"/>
        <v>2.6410000000000003E-2</v>
      </c>
      <c r="W58" s="620"/>
      <c r="X58" s="117"/>
      <c r="Y58" s="117"/>
      <c r="Z58" s="117"/>
      <c r="AA58" s="117"/>
      <c r="AB58" s="117"/>
      <c r="AC58" s="349">
        <f t="shared" si="4"/>
        <v>0</v>
      </c>
      <c r="AE58" s="114">
        <f t="shared" si="5"/>
        <v>0.1612599999999999</v>
      </c>
      <c r="AF58" s="114"/>
      <c r="AG58" s="114">
        <f t="shared" si="19"/>
        <v>0</v>
      </c>
      <c r="AH58" s="114">
        <f t="shared" si="20"/>
        <v>0.26333000000000001</v>
      </c>
      <c r="AI58" s="114">
        <f t="shared" si="7"/>
        <v>2.0499999999999997E-3</v>
      </c>
      <c r="AJ58" s="343">
        <f t="shared" si="8"/>
        <v>0.42663999999999991</v>
      </c>
      <c r="AK58" s="131"/>
      <c r="AL58" s="117">
        <f>'Rates in Detail'!Y62</f>
        <v>1.546E-2</v>
      </c>
      <c r="AM58" s="117">
        <f>'Rates in Detail'!Z62</f>
        <v>-2.2000000000000001E-4</v>
      </c>
      <c r="AN58" s="987">
        <f t="shared" si="9"/>
        <v>1.524E-2</v>
      </c>
      <c r="AO58" s="131"/>
      <c r="AP58" s="117"/>
      <c r="AQ58" s="117"/>
      <c r="AR58" s="117"/>
      <c r="AS58" s="117"/>
      <c r="AT58" s="117"/>
      <c r="AU58" s="349">
        <f t="shared" si="10"/>
        <v>0</v>
      </c>
      <c r="AW58" s="117">
        <f t="shared" si="11"/>
        <v>0.1767199999999999</v>
      </c>
      <c r="AX58" s="117">
        <f t="shared" si="12"/>
        <v>0</v>
      </c>
      <c r="AY58" s="117">
        <f t="shared" si="13"/>
        <v>0</v>
      </c>
      <c r="AZ58" s="117">
        <f t="shared" si="14"/>
        <v>0.26333000000000001</v>
      </c>
      <c r="BA58" s="117">
        <f t="shared" si="15"/>
        <v>6.13E-3</v>
      </c>
      <c r="BB58" s="344">
        <f t="shared" si="16"/>
        <v>0.44617999999999997</v>
      </c>
    </row>
    <row r="59" spans="2:54" x14ac:dyDescent="0.2">
      <c r="B59" s="110">
        <f t="shared" si="17"/>
        <v>51</v>
      </c>
      <c r="C59" s="906"/>
      <c r="D59" s="906" t="s">
        <v>6</v>
      </c>
      <c r="E59" s="115">
        <v>20000</v>
      </c>
      <c r="F59" s="116">
        <f>'WA Volumes &amp; Revenues'!E65</f>
        <v>0</v>
      </c>
      <c r="G59" s="116"/>
      <c r="H59" s="912"/>
      <c r="I59" s="913"/>
      <c r="J59" s="628">
        <f>'Rates in Detail'!E63</f>
        <v>0.10011</v>
      </c>
      <c r="K59" s="630">
        <f>'Rates in Detail'!H63</f>
        <v>0</v>
      </c>
      <c r="L59" s="630">
        <f>'Rates in Detail'!F63</f>
        <v>0.26333000000000001</v>
      </c>
      <c r="M59" s="630">
        <f>'Rates in Detail'!I63</f>
        <v>5.1399999999999996E-3</v>
      </c>
      <c r="N59" s="137">
        <f t="shared" si="1"/>
        <v>0.36857999999999996</v>
      </c>
      <c r="O59" s="628">
        <f>'Rates in Detail'!L63</f>
        <v>2.529E-2</v>
      </c>
      <c r="P59" s="630">
        <f>'Rates in Detail'!P63</f>
        <v>-1.74E-3</v>
      </c>
      <c r="Q59" s="630">
        <f>'Rates in Detail'!Q63</f>
        <v>0</v>
      </c>
      <c r="R59" s="255">
        <f t="shared" si="2"/>
        <v>2.3550000000000001E-2</v>
      </c>
      <c r="S59" s="628">
        <f>'Rates in Detail'!S63</f>
        <v>0</v>
      </c>
      <c r="T59" s="630">
        <f>'Rates in Detail'!T63</f>
        <v>-3.3E-3</v>
      </c>
      <c r="U59" s="630">
        <f>'Rates in Detail'!U63</f>
        <v>0</v>
      </c>
      <c r="V59" s="261">
        <f t="shared" si="18"/>
        <v>2.0250000000000001E-2</v>
      </c>
      <c r="W59" s="620"/>
      <c r="X59" s="117"/>
      <c r="Y59" s="117"/>
      <c r="Z59" s="117"/>
      <c r="AA59" s="117"/>
      <c r="AB59" s="117"/>
      <c r="AC59" s="349">
        <f t="shared" si="4"/>
        <v>0</v>
      </c>
      <c r="AE59" s="114">
        <f t="shared" si="5"/>
        <v>0.12366000000000001</v>
      </c>
      <c r="AF59" s="114"/>
      <c r="AG59" s="114">
        <f t="shared" si="19"/>
        <v>0</v>
      </c>
      <c r="AH59" s="114">
        <f t="shared" si="20"/>
        <v>0.26333000000000001</v>
      </c>
      <c r="AI59" s="114">
        <f t="shared" si="7"/>
        <v>1.8399999999999996E-3</v>
      </c>
      <c r="AJ59" s="343">
        <f t="shared" si="8"/>
        <v>0.38883000000000001</v>
      </c>
      <c r="AK59" s="131"/>
      <c r="AL59" s="117">
        <f>'Rates in Detail'!Y63</f>
        <v>1.1860000000000001E-2</v>
      </c>
      <c r="AM59" s="117">
        <f>'Rates in Detail'!Z63</f>
        <v>-1.7000000000000001E-4</v>
      </c>
      <c r="AN59" s="987">
        <f t="shared" si="9"/>
        <v>1.1690000000000001E-2</v>
      </c>
      <c r="AO59" s="131"/>
      <c r="AP59" s="117"/>
      <c r="AQ59" s="117"/>
      <c r="AR59" s="117"/>
      <c r="AS59" s="117"/>
      <c r="AT59" s="117"/>
      <c r="AU59" s="349">
        <f t="shared" si="10"/>
        <v>0</v>
      </c>
      <c r="AW59" s="117">
        <f t="shared" si="11"/>
        <v>0.13552</v>
      </c>
      <c r="AX59" s="117">
        <f t="shared" si="12"/>
        <v>0</v>
      </c>
      <c r="AY59" s="117">
        <f t="shared" si="13"/>
        <v>0</v>
      </c>
      <c r="AZ59" s="117">
        <f t="shared" si="14"/>
        <v>0.26333000000000001</v>
      </c>
      <c r="BA59" s="117">
        <f t="shared" si="15"/>
        <v>4.9699999999999996E-3</v>
      </c>
      <c r="BB59" s="344">
        <f t="shared" si="16"/>
        <v>0.40382000000000001</v>
      </c>
    </row>
    <row r="60" spans="2:54" x14ac:dyDescent="0.2">
      <c r="B60" s="110">
        <f t="shared" si="17"/>
        <v>52</v>
      </c>
      <c r="C60" s="906"/>
      <c r="D60" s="906" t="s">
        <v>7</v>
      </c>
      <c r="E60" s="115">
        <v>100000</v>
      </c>
      <c r="F60" s="116">
        <f>'WA Volumes &amp; Revenues'!E66</f>
        <v>0</v>
      </c>
      <c r="G60" s="116"/>
      <c r="H60" s="912"/>
      <c r="I60" s="913"/>
      <c r="J60" s="628">
        <f>'Rates in Detail'!E64</f>
        <v>8.0089999999999995E-2</v>
      </c>
      <c r="K60" s="630">
        <f>'Rates in Detail'!H64</f>
        <v>0</v>
      </c>
      <c r="L60" s="630">
        <f>'Rates in Detail'!F64</f>
        <v>0.26333000000000001</v>
      </c>
      <c r="M60" s="630">
        <f>'Rates in Detail'!I64</f>
        <v>4.3499999999999997E-3</v>
      </c>
      <c r="N60" s="137">
        <f t="shared" si="1"/>
        <v>0.34777000000000002</v>
      </c>
      <c r="O60" s="628">
        <f>'Rates in Detail'!L64</f>
        <v>2.0230000000000001E-2</v>
      </c>
      <c r="P60" s="630">
        <f>'Rates in Detail'!P64</f>
        <v>-1.39E-3</v>
      </c>
      <c r="Q60" s="630">
        <f>'Rates in Detail'!Q64</f>
        <v>0</v>
      </c>
      <c r="R60" s="255">
        <f t="shared" si="2"/>
        <v>1.8840000000000003E-2</v>
      </c>
      <c r="S60" s="628">
        <f>'Rates in Detail'!S64</f>
        <v>0</v>
      </c>
      <c r="T60" s="630">
        <f>'Rates in Detail'!T64</f>
        <v>-2.64E-3</v>
      </c>
      <c r="U60" s="630">
        <f>'Rates in Detail'!U64</f>
        <v>0</v>
      </c>
      <c r="V60" s="261">
        <f t="shared" si="18"/>
        <v>1.6200000000000003E-2</v>
      </c>
      <c r="W60" s="620"/>
      <c r="X60" s="117"/>
      <c r="Y60" s="117"/>
      <c r="Z60" s="117"/>
      <c r="AA60" s="117"/>
      <c r="AB60" s="117"/>
      <c r="AC60" s="349">
        <f t="shared" si="4"/>
        <v>0</v>
      </c>
      <c r="AE60" s="114">
        <f t="shared" si="5"/>
        <v>9.892999999999999E-2</v>
      </c>
      <c r="AF60" s="114"/>
      <c r="AG60" s="114">
        <f t="shared" si="19"/>
        <v>0</v>
      </c>
      <c r="AH60" s="114">
        <f t="shared" si="20"/>
        <v>0.26333000000000001</v>
      </c>
      <c r="AI60" s="114">
        <f t="shared" si="7"/>
        <v>1.7099999999999997E-3</v>
      </c>
      <c r="AJ60" s="343">
        <f t="shared" si="8"/>
        <v>0.36397000000000002</v>
      </c>
      <c r="AK60" s="131"/>
      <c r="AL60" s="117">
        <f>'Rates in Detail'!Y64</f>
        <v>9.4900000000000002E-3</v>
      </c>
      <c r="AM60" s="117">
        <f>'Rates in Detail'!Z64</f>
        <v>-1.2999999999999999E-4</v>
      </c>
      <c r="AN60" s="987">
        <f t="shared" si="9"/>
        <v>9.3600000000000003E-3</v>
      </c>
      <c r="AO60" s="131"/>
      <c r="AP60" s="117"/>
      <c r="AQ60" s="117"/>
      <c r="AR60" s="117"/>
      <c r="AS60" s="117"/>
      <c r="AT60" s="117"/>
      <c r="AU60" s="349">
        <f t="shared" si="10"/>
        <v>0</v>
      </c>
      <c r="AW60" s="117">
        <f t="shared" si="11"/>
        <v>0.10841999999999999</v>
      </c>
      <c r="AX60" s="117">
        <f t="shared" si="12"/>
        <v>0</v>
      </c>
      <c r="AY60" s="117">
        <f t="shared" si="13"/>
        <v>0</v>
      </c>
      <c r="AZ60" s="117">
        <f t="shared" si="14"/>
        <v>0.26333000000000001</v>
      </c>
      <c r="BA60" s="117">
        <f t="shared" si="15"/>
        <v>4.2199999999999998E-3</v>
      </c>
      <c r="BB60" s="344">
        <f t="shared" si="16"/>
        <v>0.37597000000000003</v>
      </c>
    </row>
    <row r="61" spans="2:54" x14ac:dyDescent="0.2">
      <c r="B61" s="110">
        <f t="shared" si="17"/>
        <v>53</v>
      </c>
      <c r="C61" s="906"/>
      <c r="D61" s="906" t="s">
        <v>8</v>
      </c>
      <c r="E61" s="115">
        <v>600000</v>
      </c>
      <c r="F61" s="116">
        <f>'WA Volumes &amp; Revenues'!E67</f>
        <v>0</v>
      </c>
      <c r="G61" s="116"/>
      <c r="H61" s="912"/>
      <c r="I61" s="913"/>
      <c r="J61" s="628">
        <f>'Rates in Detail'!E65</f>
        <v>5.339E-2</v>
      </c>
      <c r="K61" s="630">
        <f>'Rates in Detail'!H65</f>
        <v>0</v>
      </c>
      <c r="L61" s="630">
        <f>'Rates in Detail'!F65</f>
        <v>0.26333000000000001</v>
      </c>
      <c r="M61" s="630">
        <f>'Rates in Detail'!I65</f>
        <v>3.2999999999999995E-3</v>
      </c>
      <c r="N61" s="137">
        <f t="shared" si="1"/>
        <v>0.32002000000000003</v>
      </c>
      <c r="O61" s="628">
        <f>'Rates in Detail'!L65</f>
        <v>1.349E-2</v>
      </c>
      <c r="P61" s="630">
        <f>'Rates in Detail'!P65</f>
        <v>-9.3000000000000005E-4</v>
      </c>
      <c r="Q61" s="630">
        <f>'Rates in Detail'!Q65</f>
        <v>0</v>
      </c>
      <c r="R61" s="255">
        <f t="shared" si="2"/>
        <v>1.256E-2</v>
      </c>
      <c r="S61" s="628">
        <f>'Rates in Detail'!S65</f>
        <v>0</v>
      </c>
      <c r="T61" s="630">
        <f>'Rates in Detail'!T65</f>
        <v>-1.7600000000000001E-3</v>
      </c>
      <c r="U61" s="630">
        <f>'Rates in Detail'!U65</f>
        <v>0</v>
      </c>
      <c r="V61" s="261">
        <f t="shared" si="18"/>
        <v>1.0800000000000001E-2</v>
      </c>
      <c r="W61" s="620"/>
      <c r="X61" s="117"/>
      <c r="Y61" s="117"/>
      <c r="Z61" s="117"/>
      <c r="AA61" s="117"/>
      <c r="AB61" s="117"/>
      <c r="AC61" s="349">
        <f t="shared" si="4"/>
        <v>0</v>
      </c>
      <c r="AE61" s="114">
        <f t="shared" si="5"/>
        <v>6.5949999999999995E-2</v>
      </c>
      <c r="AF61" s="114"/>
      <c r="AG61" s="114">
        <f t="shared" si="19"/>
        <v>0</v>
      </c>
      <c r="AH61" s="114">
        <f t="shared" si="20"/>
        <v>0.26333000000000001</v>
      </c>
      <c r="AI61" s="114">
        <f t="shared" si="7"/>
        <v>1.5399999999999995E-3</v>
      </c>
      <c r="AJ61" s="343">
        <f t="shared" si="8"/>
        <v>0.33082</v>
      </c>
      <c r="AK61" s="131"/>
      <c r="AL61" s="117">
        <f>'Rates in Detail'!Y65</f>
        <v>6.3200000000000001E-3</v>
      </c>
      <c r="AM61" s="117">
        <f>'Rates in Detail'!Z65</f>
        <v>-9.0000000000000006E-5</v>
      </c>
      <c r="AN61" s="987">
        <f t="shared" si="9"/>
        <v>6.2300000000000003E-3</v>
      </c>
      <c r="AO61" s="131"/>
      <c r="AP61" s="117"/>
      <c r="AQ61" s="117"/>
      <c r="AR61" s="117"/>
      <c r="AS61" s="117"/>
      <c r="AT61" s="117"/>
      <c r="AU61" s="349">
        <f t="shared" si="10"/>
        <v>0</v>
      </c>
      <c r="AW61" s="117">
        <f t="shared" si="11"/>
        <v>7.2270000000000001E-2</v>
      </c>
      <c r="AX61" s="117">
        <f t="shared" si="12"/>
        <v>0</v>
      </c>
      <c r="AY61" s="117">
        <f t="shared" si="13"/>
        <v>0</v>
      </c>
      <c r="AZ61" s="117">
        <f t="shared" si="14"/>
        <v>0.26333000000000001</v>
      </c>
      <c r="BA61" s="117">
        <f t="shared" si="15"/>
        <v>3.2099999999999997E-3</v>
      </c>
      <c r="BB61" s="344">
        <f t="shared" si="16"/>
        <v>0.33881</v>
      </c>
    </row>
    <row r="62" spans="2:54" x14ac:dyDescent="0.2">
      <c r="B62" s="110">
        <f t="shared" si="17"/>
        <v>54</v>
      </c>
      <c r="C62" s="904"/>
      <c r="D62" s="904" t="s">
        <v>9</v>
      </c>
      <c r="E62" s="112" t="s">
        <v>74</v>
      </c>
      <c r="F62" s="113">
        <f>'WA Volumes &amp; Revenues'!E68</f>
        <v>0</v>
      </c>
      <c r="G62" s="113"/>
      <c r="H62" s="907"/>
      <c r="I62" s="909"/>
      <c r="J62" s="627">
        <f>'Rates in Detail'!E66</f>
        <v>2.002E-2</v>
      </c>
      <c r="K62" s="631">
        <f>'Rates in Detail'!H66</f>
        <v>0</v>
      </c>
      <c r="L62" s="631">
        <f>'Rates in Detail'!F66</f>
        <v>0.26333000000000001</v>
      </c>
      <c r="M62" s="631">
        <f>'Rates in Detail'!I66</f>
        <v>1.9499999999999995E-3</v>
      </c>
      <c r="N62" s="135">
        <f t="shared" si="1"/>
        <v>0.2853</v>
      </c>
      <c r="O62" s="627">
        <f>'Rates in Detail'!L66</f>
        <v>5.0600000000000003E-3</v>
      </c>
      <c r="P62" s="631">
        <f>'Rates in Detail'!P66</f>
        <v>-3.5E-4</v>
      </c>
      <c r="Q62" s="631">
        <f>'Rates in Detail'!Q66</f>
        <v>0</v>
      </c>
      <c r="R62" s="254">
        <f t="shared" si="2"/>
        <v>4.7100000000000006E-3</v>
      </c>
      <c r="S62" s="627">
        <f>'Rates in Detail'!S66</f>
        <v>0</v>
      </c>
      <c r="T62" s="631">
        <f>'Rates in Detail'!T66</f>
        <v>-6.6E-4</v>
      </c>
      <c r="U62" s="631">
        <f>'Rates in Detail'!U66</f>
        <v>0</v>
      </c>
      <c r="V62" s="260">
        <f t="shared" si="18"/>
        <v>4.0500000000000006E-3</v>
      </c>
      <c r="W62" s="620"/>
      <c r="X62" s="114"/>
      <c r="Y62" s="114"/>
      <c r="Z62" s="114"/>
      <c r="AA62" s="114"/>
      <c r="AB62" s="114"/>
      <c r="AC62" s="348">
        <f t="shared" si="4"/>
        <v>0</v>
      </c>
      <c r="AE62" s="114">
        <f t="shared" si="5"/>
        <v>2.4730000000000002E-2</v>
      </c>
      <c r="AF62" s="114"/>
      <c r="AG62" s="114">
        <f t="shared" si="19"/>
        <v>0</v>
      </c>
      <c r="AH62" s="114">
        <f t="shared" si="20"/>
        <v>0.26333000000000001</v>
      </c>
      <c r="AI62" s="114">
        <f t="shared" si="7"/>
        <v>1.2899999999999995E-3</v>
      </c>
      <c r="AJ62" s="343">
        <f t="shared" si="8"/>
        <v>0.28935</v>
      </c>
      <c r="AK62" s="131"/>
      <c r="AL62" s="114">
        <f>'Rates in Detail'!Y66</f>
        <v>2.3700000000000001E-3</v>
      </c>
      <c r="AM62" s="114">
        <f>'Rates in Detail'!Z66</f>
        <v>-3.0000000000000001E-5</v>
      </c>
      <c r="AN62" s="986">
        <f t="shared" si="9"/>
        <v>2.3400000000000001E-3</v>
      </c>
      <c r="AO62" s="131"/>
      <c r="AP62" s="114"/>
      <c r="AQ62" s="114"/>
      <c r="AR62" s="114"/>
      <c r="AS62" s="114"/>
      <c r="AT62" s="114"/>
      <c r="AU62" s="348">
        <f t="shared" si="10"/>
        <v>0</v>
      </c>
      <c r="AW62" s="114">
        <f t="shared" si="11"/>
        <v>2.7100000000000003E-2</v>
      </c>
      <c r="AX62" s="114">
        <f t="shared" si="12"/>
        <v>0</v>
      </c>
      <c r="AY62" s="114">
        <f t="shared" si="13"/>
        <v>0</v>
      </c>
      <c r="AZ62" s="114">
        <f t="shared" si="14"/>
        <v>0.26333000000000001</v>
      </c>
      <c r="BA62" s="114">
        <f t="shared" si="15"/>
        <v>1.9199999999999994E-3</v>
      </c>
      <c r="BB62" s="343">
        <f t="shared" si="16"/>
        <v>0.29235</v>
      </c>
    </row>
    <row r="63" spans="2:54" x14ac:dyDescent="0.2">
      <c r="B63" s="110">
        <f t="shared" si="17"/>
        <v>55</v>
      </c>
      <c r="C63" s="906" t="str">
        <f>'WA Volumes &amp; Revenues'!B69</f>
        <v>42C Inter Transpt</v>
      </c>
      <c r="D63" s="906" t="s">
        <v>4</v>
      </c>
      <c r="E63" s="115">
        <v>10000</v>
      </c>
      <c r="F63" s="116">
        <f>'WA Volumes &amp; Revenues'!E69</f>
        <v>0</v>
      </c>
      <c r="G63" s="116">
        <f>'WA Volumes &amp; Revenues'!H69</f>
        <v>0</v>
      </c>
      <c r="H63" s="912">
        <f>'WA Volumes &amp; Revenues'!O69</f>
        <v>1550</v>
      </c>
      <c r="I63" s="913">
        <f>'WA Volumes &amp; Revenues'!N69</f>
        <v>1550</v>
      </c>
      <c r="J63" s="628">
        <f>'Rates in Detail'!E67</f>
        <v>0.13402999999999998</v>
      </c>
      <c r="K63" s="630">
        <f>'Rates in Detail'!H67</f>
        <v>0</v>
      </c>
      <c r="L63" s="630">
        <f>'Rates in Detail'!F67</f>
        <v>0</v>
      </c>
      <c r="M63" s="630">
        <f>'Rates in Detail'!I67</f>
        <v>5.6999999999999998E-4</v>
      </c>
      <c r="N63" s="137">
        <f t="shared" si="1"/>
        <v>0.13459999999999997</v>
      </c>
      <c r="O63" s="628">
        <f>'Rates in Detail'!L67</f>
        <v>1.6990000000000002E-2</v>
      </c>
      <c r="P63" s="630">
        <f>'Rates in Detail'!P67</f>
        <v>-1.2600000000000001E-3</v>
      </c>
      <c r="Q63" s="630">
        <f>'Rates in Detail'!Q67</f>
        <v>0</v>
      </c>
      <c r="R63" s="255">
        <f t="shared" si="2"/>
        <v>1.5730000000000001E-2</v>
      </c>
      <c r="S63" s="628">
        <f>'Rates in Detail'!S67</f>
        <v>0</v>
      </c>
      <c r="T63" s="630">
        <f>'Rates in Detail'!T67</f>
        <v>-2.3800000000000002E-3</v>
      </c>
      <c r="U63" s="630">
        <f>'Rates in Detail'!U67</f>
        <v>0</v>
      </c>
      <c r="V63" s="261">
        <f t="shared" si="18"/>
        <v>1.3350000000000001E-2</v>
      </c>
      <c r="W63" s="620"/>
      <c r="X63" s="117"/>
      <c r="Y63" s="117"/>
      <c r="Z63" s="117"/>
      <c r="AA63" s="117"/>
      <c r="AB63" s="117"/>
      <c r="AC63" s="349">
        <f t="shared" si="4"/>
        <v>0</v>
      </c>
      <c r="AE63" s="114">
        <f t="shared" si="5"/>
        <v>0.14975999999999998</v>
      </c>
      <c r="AF63" s="114"/>
      <c r="AG63" s="114">
        <f t="shared" si="19"/>
        <v>0</v>
      </c>
      <c r="AH63" s="114">
        <f t="shared" si="20"/>
        <v>0</v>
      </c>
      <c r="AI63" s="114">
        <f t="shared" si="7"/>
        <v>-1.8100000000000002E-3</v>
      </c>
      <c r="AJ63" s="343">
        <f t="shared" si="8"/>
        <v>0.14794999999999997</v>
      </c>
      <c r="AK63" s="131"/>
      <c r="AL63" s="117">
        <f>'Rates in Detail'!Y67</f>
        <v>8.4799999999999997E-3</v>
      </c>
      <c r="AM63" s="117">
        <f>'Rates in Detail'!Z67</f>
        <v>-1.2E-4</v>
      </c>
      <c r="AN63" s="987">
        <f t="shared" si="9"/>
        <v>8.3599999999999994E-3</v>
      </c>
      <c r="AO63" s="131"/>
      <c r="AP63" s="117"/>
      <c r="AQ63" s="117"/>
      <c r="AR63" s="117"/>
      <c r="AS63" s="117"/>
      <c r="AT63" s="117"/>
      <c r="AU63" s="349">
        <f t="shared" si="10"/>
        <v>0</v>
      </c>
      <c r="AW63" s="117">
        <f t="shared" si="11"/>
        <v>0.15823999999999996</v>
      </c>
      <c r="AX63" s="117">
        <f t="shared" si="12"/>
        <v>0</v>
      </c>
      <c r="AY63" s="117">
        <f t="shared" si="13"/>
        <v>0</v>
      </c>
      <c r="AZ63" s="117">
        <f t="shared" si="14"/>
        <v>0</v>
      </c>
      <c r="BA63" s="117">
        <f t="shared" si="15"/>
        <v>4.4999999999999999E-4</v>
      </c>
      <c r="BB63" s="344">
        <f t="shared" si="16"/>
        <v>0.15868999999999997</v>
      </c>
    </row>
    <row r="64" spans="2:54" x14ac:dyDescent="0.2">
      <c r="B64" s="110">
        <f t="shared" si="17"/>
        <v>56</v>
      </c>
      <c r="C64" s="906"/>
      <c r="D64" s="906" t="s">
        <v>5</v>
      </c>
      <c r="E64" s="115">
        <v>20000</v>
      </c>
      <c r="F64" s="116">
        <f>'WA Volumes &amp; Revenues'!E70</f>
        <v>0</v>
      </c>
      <c r="G64" s="116"/>
      <c r="H64" s="912"/>
      <c r="I64" s="913"/>
      <c r="J64" s="628">
        <f>'Rates in Detail'!E68</f>
        <v>0.11997999999999999</v>
      </c>
      <c r="K64" s="630">
        <f>'Rates in Detail'!H68</f>
        <v>0</v>
      </c>
      <c r="L64" s="630">
        <f>'Rates in Detail'!F68</f>
        <v>0</v>
      </c>
      <c r="M64" s="630">
        <f>'Rates in Detail'!I68</f>
        <v>5.1000000000000004E-4</v>
      </c>
      <c r="N64" s="137">
        <f t="shared" si="1"/>
        <v>0.12048999999999999</v>
      </c>
      <c r="O64" s="628">
        <f>'Rates in Detail'!L68</f>
        <v>1.521E-2</v>
      </c>
      <c r="P64" s="630">
        <f>'Rates in Detail'!P68</f>
        <v>-1.1199999999999999E-3</v>
      </c>
      <c r="Q64" s="630">
        <f>'Rates in Detail'!Q68</f>
        <v>0</v>
      </c>
      <c r="R64" s="255">
        <f t="shared" si="2"/>
        <v>1.409E-2</v>
      </c>
      <c r="S64" s="628">
        <f>'Rates in Detail'!S68</f>
        <v>0</v>
      </c>
      <c r="T64" s="630">
        <f>'Rates in Detail'!T68</f>
        <v>-2.1299999999999999E-3</v>
      </c>
      <c r="U64" s="630">
        <f>'Rates in Detail'!U68</f>
        <v>0</v>
      </c>
      <c r="V64" s="261">
        <f t="shared" si="18"/>
        <v>1.196E-2</v>
      </c>
      <c r="W64" s="620"/>
      <c r="X64" s="117"/>
      <c r="Y64" s="117"/>
      <c r="Z64" s="117"/>
      <c r="AA64" s="117"/>
      <c r="AB64" s="117"/>
      <c r="AC64" s="349">
        <f t="shared" si="4"/>
        <v>0</v>
      </c>
      <c r="AE64" s="114">
        <f t="shared" si="5"/>
        <v>0.13406999999999999</v>
      </c>
      <c r="AF64" s="114"/>
      <c r="AG64" s="114">
        <f t="shared" si="19"/>
        <v>0</v>
      </c>
      <c r="AH64" s="114">
        <f t="shared" si="20"/>
        <v>0</v>
      </c>
      <c r="AI64" s="114">
        <f t="shared" si="7"/>
        <v>-1.6199999999999999E-3</v>
      </c>
      <c r="AJ64" s="343">
        <f t="shared" si="8"/>
        <v>0.13244999999999998</v>
      </c>
      <c r="AK64" s="131"/>
      <c r="AL64" s="117">
        <f>'Rates in Detail'!Y68</f>
        <v>7.5900000000000004E-3</v>
      </c>
      <c r="AM64" s="117">
        <f>'Rates in Detail'!Z68</f>
        <v>-1.1E-4</v>
      </c>
      <c r="AN64" s="987">
        <f t="shared" si="9"/>
        <v>7.4800000000000005E-3</v>
      </c>
      <c r="AO64" s="131"/>
      <c r="AP64" s="117"/>
      <c r="AQ64" s="117"/>
      <c r="AR64" s="117"/>
      <c r="AS64" s="117"/>
      <c r="AT64" s="117"/>
      <c r="AU64" s="349">
        <f t="shared" si="10"/>
        <v>0</v>
      </c>
      <c r="AW64" s="117">
        <f t="shared" si="11"/>
        <v>0.14166000000000001</v>
      </c>
      <c r="AX64" s="117">
        <f t="shared" si="12"/>
        <v>0</v>
      </c>
      <c r="AY64" s="117">
        <f t="shared" si="13"/>
        <v>0</v>
      </c>
      <c r="AZ64" s="117">
        <f t="shared" si="14"/>
        <v>0</v>
      </c>
      <c r="BA64" s="117">
        <f t="shared" si="15"/>
        <v>4.0000000000000002E-4</v>
      </c>
      <c r="BB64" s="344">
        <f t="shared" si="16"/>
        <v>0.14206000000000002</v>
      </c>
    </row>
    <row r="65" spans="2:54" x14ac:dyDescent="0.2">
      <c r="B65" s="110">
        <f t="shared" si="17"/>
        <v>57</v>
      </c>
      <c r="C65" s="906"/>
      <c r="D65" s="906" t="s">
        <v>6</v>
      </c>
      <c r="E65" s="115">
        <v>20000</v>
      </c>
      <c r="F65" s="116">
        <f>'WA Volumes &amp; Revenues'!E71</f>
        <v>0</v>
      </c>
      <c r="G65" s="116"/>
      <c r="H65" s="912"/>
      <c r="I65" s="913"/>
      <c r="J65" s="628">
        <f>'Rates in Detail'!E69</f>
        <v>9.1999999999999998E-2</v>
      </c>
      <c r="K65" s="630">
        <f>'Rates in Detail'!H69</f>
        <v>0</v>
      </c>
      <c r="L65" s="630">
        <f>'Rates in Detail'!F69</f>
        <v>0</v>
      </c>
      <c r="M65" s="630">
        <f>'Rates in Detail'!I69</f>
        <v>3.7999999999999997E-4</v>
      </c>
      <c r="N65" s="137">
        <f t="shared" si="1"/>
        <v>9.2380000000000004E-2</v>
      </c>
      <c r="O65" s="628">
        <f>'Rates in Detail'!L69</f>
        <v>1.166E-2</v>
      </c>
      <c r="P65" s="630">
        <f>'Rates in Detail'!P69</f>
        <v>-8.5999999999999998E-4</v>
      </c>
      <c r="Q65" s="630">
        <f>'Rates in Detail'!Q69</f>
        <v>0</v>
      </c>
      <c r="R65" s="255">
        <f t="shared" si="2"/>
        <v>1.0800000000000001E-2</v>
      </c>
      <c r="S65" s="628">
        <f>'Rates in Detail'!S69</f>
        <v>0</v>
      </c>
      <c r="T65" s="630">
        <f>'Rates in Detail'!T69</f>
        <v>-1.6299999999999999E-3</v>
      </c>
      <c r="U65" s="630">
        <f>'Rates in Detail'!U69</f>
        <v>0</v>
      </c>
      <c r="V65" s="261">
        <f t="shared" si="18"/>
        <v>9.1700000000000011E-3</v>
      </c>
      <c r="W65" s="620"/>
      <c r="X65" s="117"/>
      <c r="Y65" s="117"/>
      <c r="Z65" s="117"/>
      <c r="AA65" s="117"/>
      <c r="AB65" s="117"/>
      <c r="AC65" s="349">
        <f t="shared" si="4"/>
        <v>0</v>
      </c>
      <c r="AE65" s="114">
        <f t="shared" si="5"/>
        <v>0.1028</v>
      </c>
      <c r="AF65" s="114"/>
      <c r="AG65" s="114">
        <f t="shared" si="19"/>
        <v>0</v>
      </c>
      <c r="AH65" s="114">
        <f t="shared" si="20"/>
        <v>0</v>
      </c>
      <c r="AI65" s="114">
        <f t="shared" si="7"/>
        <v>-1.25E-3</v>
      </c>
      <c r="AJ65" s="343">
        <f t="shared" si="8"/>
        <v>0.10155</v>
      </c>
      <c r="AK65" s="131"/>
      <c r="AL65" s="117">
        <f>'Rates in Detail'!Y69</f>
        <v>5.8199999999999997E-3</v>
      </c>
      <c r="AM65" s="117">
        <f>'Rates in Detail'!Z69</f>
        <v>-8.0000000000000007E-5</v>
      </c>
      <c r="AN65" s="987">
        <f t="shared" si="9"/>
        <v>5.7399999999999994E-3</v>
      </c>
      <c r="AO65" s="131"/>
      <c r="AP65" s="117"/>
      <c r="AQ65" s="117"/>
      <c r="AR65" s="117"/>
      <c r="AS65" s="117"/>
      <c r="AT65" s="117"/>
      <c r="AU65" s="349">
        <f t="shared" si="10"/>
        <v>0</v>
      </c>
      <c r="AW65" s="117">
        <f t="shared" si="11"/>
        <v>0.10862000000000001</v>
      </c>
      <c r="AX65" s="117">
        <f t="shared" si="12"/>
        <v>0</v>
      </c>
      <c r="AY65" s="117">
        <f t="shared" si="13"/>
        <v>0</v>
      </c>
      <c r="AZ65" s="117">
        <f t="shared" si="14"/>
        <v>0</v>
      </c>
      <c r="BA65" s="117">
        <f t="shared" si="15"/>
        <v>2.9999999999999997E-4</v>
      </c>
      <c r="BB65" s="344">
        <f t="shared" si="16"/>
        <v>0.10892</v>
      </c>
    </row>
    <row r="66" spans="2:54" x14ac:dyDescent="0.2">
      <c r="B66" s="110">
        <f t="shared" si="17"/>
        <v>58</v>
      </c>
      <c r="C66" s="906"/>
      <c r="D66" s="906" t="s">
        <v>7</v>
      </c>
      <c r="E66" s="115">
        <v>100000</v>
      </c>
      <c r="F66" s="116">
        <f>'WA Volumes &amp; Revenues'!E72</f>
        <v>0</v>
      </c>
      <c r="G66" s="116"/>
      <c r="H66" s="912"/>
      <c r="I66" s="913"/>
      <c r="J66" s="628">
        <f>'Rates in Detail'!E70</f>
        <v>7.3609999999999995E-2</v>
      </c>
      <c r="K66" s="630">
        <f>'Rates in Detail'!H70</f>
        <v>0</v>
      </c>
      <c r="L66" s="630">
        <f>'Rates in Detail'!F70</f>
        <v>0</v>
      </c>
      <c r="M66" s="630">
        <f>'Rates in Detail'!I70</f>
        <v>3.0999999999999995E-4</v>
      </c>
      <c r="N66" s="137">
        <f t="shared" si="1"/>
        <v>7.392E-2</v>
      </c>
      <c r="O66" s="628">
        <f>'Rates in Detail'!L70</f>
        <v>9.3299999999999998E-3</v>
      </c>
      <c r="P66" s="630">
        <f>'Rates in Detail'!P70</f>
        <v>-6.8999999999999997E-4</v>
      </c>
      <c r="Q66" s="630">
        <f>'Rates in Detail'!Q70</f>
        <v>0</v>
      </c>
      <c r="R66" s="255">
        <f t="shared" si="2"/>
        <v>8.6400000000000001E-3</v>
      </c>
      <c r="S66" s="628">
        <f>'Rates in Detail'!S70</f>
        <v>0</v>
      </c>
      <c r="T66" s="630">
        <f>'Rates in Detail'!T70</f>
        <v>-1.31E-3</v>
      </c>
      <c r="U66" s="630">
        <f>'Rates in Detail'!U70</f>
        <v>0</v>
      </c>
      <c r="V66" s="261">
        <f t="shared" si="18"/>
        <v>7.3299999999999997E-3</v>
      </c>
      <c r="W66" s="620"/>
      <c r="X66" s="117"/>
      <c r="Y66" s="117"/>
      <c r="Z66" s="117"/>
      <c r="AA66" s="117"/>
      <c r="AB66" s="117"/>
      <c r="AC66" s="349">
        <f t="shared" si="4"/>
        <v>0</v>
      </c>
      <c r="AE66" s="114">
        <f t="shared" si="5"/>
        <v>8.224999999999999E-2</v>
      </c>
      <c r="AF66" s="114"/>
      <c r="AG66" s="114">
        <f t="shared" si="19"/>
        <v>0</v>
      </c>
      <c r="AH66" s="114">
        <f t="shared" si="20"/>
        <v>0</v>
      </c>
      <c r="AI66" s="114">
        <f t="shared" si="7"/>
        <v>-1E-3</v>
      </c>
      <c r="AJ66" s="343">
        <f t="shared" si="8"/>
        <v>8.1249999999999989E-2</v>
      </c>
      <c r="AK66" s="131"/>
      <c r="AL66" s="117">
        <f>'Rates in Detail'!Y70</f>
        <v>4.6600000000000001E-3</v>
      </c>
      <c r="AM66" s="117">
        <f>'Rates in Detail'!Z70</f>
        <v>-6.9999999999999994E-5</v>
      </c>
      <c r="AN66" s="987">
        <f t="shared" si="9"/>
        <v>4.5900000000000003E-3</v>
      </c>
      <c r="AO66" s="131"/>
      <c r="AP66" s="117"/>
      <c r="AQ66" s="117"/>
      <c r="AR66" s="117"/>
      <c r="AS66" s="117"/>
      <c r="AT66" s="117"/>
      <c r="AU66" s="349">
        <f t="shared" si="10"/>
        <v>0</v>
      </c>
      <c r="AW66" s="117">
        <f t="shared" si="11"/>
        <v>8.6909999999999987E-2</v>
      </c>
      <c r="AX66" s="117">
        <f t="shared" si="12"/>
        <v>0</v>
      </c>
      <c r="AY66" s="117">
        <f t="shared" si="13"/>
        <v>0</v>
      </c>
      <c r="AZ66" s="117">
        <f t="shared" si="14"/>
        <v>0</v>
      </c>
      <c r="BA66" s="117">
        <f t="shared" si="15"/>
        <v>2.3999999999999995E-4</v>
      </c>
      <c r="BB66" s="344">
        <f t="shared" si="16"/>
        <v>8.7149999999999991E-2</v>
      </c>
    </row>
    <row r="67" spans="2:54" x14ac:dyDescent="0.2">
      <c r="B67" s="110">
        <f t="shared" si="17"/>
        <v>59</v>
      </c>
      <c r="C67" s="906"/>
      <c r="D67" s="906" t="s">
        <v>8</v>
      </c>
      <c r="E67" s="115">
        <v>600000</v>
      </c>
      <c r="F67" s="116">
        <f>'WA Volumes &amp; Revenues'!E73</f>
        <v>0</v>
      </c>
      <c r="G67" s="116"/>
      <c r="H67" s="912"/>
      <c r="I67" s="913"/>
      <c r="J67" s="628">
        <f>'Rates in Detail'!E71</f>
        <v>4.9079999999999999E-2</v>
      </c>
      <c r="K67" s="630">
        <f>'Rates in Detail'!H71</f>
        <v>0</v>
      </c>
      <c r="L67" s="630">
        <f>'Rates in Detail'!F71</f>
        <v>0</v>
      </c>
      <c r="M67" s="630">
        <f>'Rates in Detail'!I71</f>
        <v>2.0999999999999998E-4</v>
      </c>
      <c r="N67" s="137">
        <f t="shared" si="1"/>
        <v>4.929E-2</v>
      </c>
      <c r="O67" s="628">
        <f>'Rates in Detail'!L71</f>
        <v>6.2199999999999998E-3</v>
      </c>
      <c r="P67" s="630">
        <f>'Rates in Detail'!P71</f>
        <v>-4.6000000000000001E-4</v>
      </c>
      <c r="Q67" s="630">
        <f>'Rates in Detail'!Q71</f>
        <v>0</v>
      </c>
      <c r="R67" s="255">
        <f t="shared" si="2"/>
        <v>5.7599999999999995E-3</v>
      </c>
      <c r="S67" s="628">
        <f>'Rates in Detail'!S71</f>
        <v>0</v>
      </c>
      <c r="T67" s="630">
        <f>'Rates in Detail'!T71</f>
        <v>-8.7000000000000001E-4</v>
      </c>
      <c r="U67" s="630">
        <f>'Rates in Detail'!U71</f>
        <v>0</v>
      </c>
      <c r="V67" s="261">
        <f t="shared" si="18"/>
        <v>4.8899999999999994E-3</v>
      </c>
      <c r="W67" s="620"/>
      <c r="X67" s="117"/>
      <c r="Y67" s="117"/>
      <c r="Z67" s="117"/>
      <c r="AA67" s="117"/>
      <c r="AB67" s="117"/>
      <c r="AC67" s="349">
        <f t="shared" si="4"/>
        <v>0</v>
      </c>
      <c r="AE67" s="114">
        <f t="shared" si="5"/>
        <v>5.484E-2</v>
      </c>
      <c r="AF67" s="114"/>
      <c r="AG67" s="114">
        <f t="shared" si="19"/>
        <v>0</v>
      </c>
      <c r="AH67" s="114">
        <f t="shared" si="20"/>
        <v>0</v>
      </c>
      <c r="AI67" s="114">
        <f t="shared" si="7"/>
        <v>-6.6E-4</v>
      </c>
      <c r="AJ67" s="343">
        <f t="shared" si="8"/>
        <v>5.4179999999999999E-2</v>
      </c>
      <c r="AK67" s="131"/>
      <c r="AL67" s="117">
        <f>'Rates in Detail'!Y71</f>
        <v>3.1099999999999999E-3</v>
      </c>
      <c r="AM67" s="117">
        <f>'Rates in Detail'!Z71</f>
        <v>-4.0000000000000003E-5</v>
      </c>
      <c r="AN67" s="987">
        <f t="shared" si="9"/>
        <v>3.0699999999999998E-3</v>
      </c>
      <c r="AO67" s="131"/>
      <c r="AP67" s="117"/>
      <c r="AQ67" s="117"/>
      <c r="AR67" s="117"/>
      <c r="AS67" s="117"/>
      <c r="AT67" s="117"/>
      <c r="AU67" s="349">
        <f t="shared" si="10"/>
        <v>0</v>
      </c>
      <c r="AW67" s="117">
        <f t="shared" si="11"/>
        <v>5.7950000000000002E-2</v>
      </c>
      <c r="AX67" s="117">
        <f t="shared" si="12"/>
        <v>0</v>
      </c>
      <c r="AY67" s="117">
        <f t="shared" si="13"/>
        <v>0</v>
      </c>
      <c r="AZ67" s="117">
        <f t="shared" si="14"/>
        <v>0</v>
      </c>
      <c r="BA67" s="117">
        <f t="shared" si="15"/>
        <v>1.6999999999999999E-4</v>
      </c>
      <c r="BB67" s="344">
        <f t="shared" si="16"/>
        <v>5.8119999999999998E-2</v>
      </c>
    </row>
    <row r="68" spans="2:54" x14ac:dyDescent="0.2">
      <c r="B68" s="110">
        <f t="shared" si="17"/>
        <v>60</v>
      </c>
      <c r="C68" s="904"/>
      <c r="D68" s="904" t="s">
        <v>9</v>
      </c>
      <c r="E68" s="112" t="s">
        <v>74</v>
      </c>
      <c r="F68" s="113">
        <f>'WA Volumes &amp; Revenues'!E74</f>
        <v>0</v>
      </c>
      <c r="G68" s="113"/>
      <c r="H68" s="907"/>
      <c r="I68" s="909"/>
      <c r="J68" s="627">
        <f>'Rates in Detail'!E72</f>
        <v>1.839E-2</v>
      </c>
      <c r="K68" s="631">
        <f>'Rates in Detail'!H72</f>
        <v>0</v>
      </c>
      <c r="L68" s="631">
        <f>'Rates in Detail'!F72</f>
        <v>0</v>
      </c>
      <c r="M68" s="631">
        <f>'Rates in Detail'!I72</f>
        <v>6.9999999999999994E-5</v>
      </c>
      <c r="N68" s="135">
        <f t="shared" si="1"/>
        <v>1.8460000000000001E-2</v>
      </c>
      <c r="O68" s="627">
        <f>'Rates in Detail'!L72</f>
        <v>2.33E-3</v>
      </c>
      <c r="P68" s="631">
        <f>'Rates in Detail'!P72</f>
        <v>-1.7000000000000001E-4</v>
      </c>
      <c r="Q68" s="631">
        <f>'Rates in Detail'!Q72</f>
        <v>0</v>
      </c>
      <c r="R68" s="254">
        <f t="shared" si="2"/>
        <v>2.16E-3</v>
      </c>
      <c r="S68" s="627">
        <f>'Rates in Detail'!S72</f>
        <v>0</v>
      </c>
      <c r="T68" s="631">
        <f>'Rates in Detail'!T72</f>
        <v>-3.3E-4</v>
      </c>
      <c r="U68" s="631">
        <f>'Rates in Detail'!U72</f>
        <v>0</v>
      </c>
      <c r="V68" s="260">
        <f t="shared" si="18"/>
        <v>1.83E-3</v>
      </c>
      <c r="W68" s="620"/>
      <c r="X68" s="114"/>
      <c r="Y68" s="114"/>
      <c r="Z68" s="114"/>
      <c r="AA68" s="114"/>
      <c r="AB68" s="114"/>
      <c r="AC68" s="348">
        <f t="shared" si="4"/>
        <v>0</v>
      </c>
      <c r="AE68" s="114">
        <f t="shared" si="5"/>
        <v>2.0549999999999999E-2</v>
      </c>
      <c r="AF68" s="114"/>
      <c r="AG68" s="114">
        <f t="shared" si="19"/>
        <v>0</v>
      </c>
      <c r="AH68" s="114">
        <f t="shared" si="20"/>
        <v>0</v>
      </c>
      <c r="AI68" s="114">
        <f t="shared" si="7"/>
        <v>-2.6000000000000003E-4</v>
      </c>
      <c r="AJ68" s="343">
        <f t="shared" si="8"/>
        <v>2.0289999999999999E-2</v>
      </c>
      <c r="AK68" s="131"/>
      <c r="AL68" s="114">
        <f>'Rates in Detail'!Y72</f>
        <v>1.16E-3</v>
      </c>
      <c r="AM68" s="114">
        <f>'Rates in Detail'!Z72</f>
        <v>-2.0000000000000002E-5</v>
      </c>
      <c r="AN68" s="986">
        <f t="shared" si="9"/>
        <v>1.14E-3</v>
      </c>
      <c r="AO68" s="131"/>
      <c r="AP68" s="114"/>
      <c r="AQ68" s="114"/>
      <c r="AR68" s="114"/>
      <c r="AS68" s="114"/>
      <c r="AT68" s="114"/>
      <c r="AU68" s="348">
        <f t="shared" si="10"/>
        <v>0</v>
      </c>
      <c r="AW68" s="114">
        <f t="shared" si="11"/>
        <v>2.171E-2</v>
      </c>
      <c r="AX68" s="114">
        <f t="shared" si="12"/>
        <v>0</v>
      </c>
      <c r="AY68" s="114">
        <f t="shared" si="13"/>
        <v>0</v>
      </c>
      <c r="AZ68" s="114">
        <f t="shared" si="14"/>
        <v>0</v>
      </c>
      <c r="BA68" s="114">
        <f t="shared" si="15"/>
        <v>4.9999999999999996E-5</v>
      </c>
      <c r="BB68" s="343">
        <f t="shared" si="16"/>
        <v>2.1760000000000002E-2</v>
      </c>
    </row>
    <row r="69" spans="2:54" x14ac:dyDescent="0.2">
      <c r="B69" s="110">
        <f t="shared" si="17"/>
        <v>61</v>
      </c>
      <c r="C69" s="906" t="str">
        <f>'WA Volumes &amp; Revenues'!B75</f>
        <v>42I Inter Transpt</v>
      </c>
      <c r="D69" s="906" t="s">
        <v>4</v>
      </c>
      <c r="E69" s="115">
        <v>10000</v>
      </c>
      <c r="F69" s="116">
        <f>'WA Volumes &amp; Revenues'!E75</f>
        <v>844078</v>
      </c>
      <c r="G69" s="116">
        <f>'WA Volumes &amp; Revenues'!H75</f>
        <v>7</v>
      </c>
      <c r="H69" s="912">
        <f>'WA Volumes &amp; Revenues'!O75</f>
        <v>1550</v>
      </c>
      <c r="I69" s="913">
        <f>'WA Volumes &amp; Revenues'!N75</f>
        <v>1550</v>
      </c>
      <c r="J69" s="628">
        <f>'Rates in Detail'!E73</f>
        <v>0.13402999999999998</v>
      </c>
      <c r="K69" s="630">
        <f>'Rates in Detail'!H73</f>
        <v>0</v>
      </c>
      <c r="L69" s="630">
        <f>'Rates in Detail'!F73</f>
        <v>0</v>
      </c>
      <c r="M69" s="630">
        <f>'Rates in Detail'!I73</f>
        <v>5.6999999999999998E-4</v>
      </c>
      <c r="N69" s="137">
        <f t="shared" si="1"/>
        <v>0.13459999999999997</v>
      </c>
      <c r="O69" s="628">
        <f>'Rates in Detail'!L73</f>
        <v>2.1659999999999999E-2</v>
      </c>
      <c r="P69" s="630">
        <f>'Rates in Detail'!P73</f>
        <v>-1.49E-3</v>
      </c>
      <c r="Q69" s="630">
        <f>'Rates in Detail'!Q73</f>
        <v>0</v>
      </c>
      <c r="R69" s="255">
        <f t="shared" si="2"/>
        <v>2.017E-2</v>
      </c>
      <c r="S69" s="628">
        <f>'Rates in Detail'!S73</f>
        <v>0</v>
      </c>
      <c r="T69" s="630">
        <f>'Rates in Detail'!T73</f>
        <v>-2.82E-3</v>
      </c>
      <c r="U69" s="630">
        <f>'Rates in Detail'!U73</f>
        <v>0</v>
      </c>
      <c r="V69" s="261">
        <f t="shared" si="18"/>
        <v>1.7350000000000001E-2</v>
      </c>
      <c r="W69" s="620"/>
      <c r="X69" s="117"/>
      <c r="Y69" s="117"/>
      <c r="Z69" s="117"/>
      <c r="AA69" s="117"/>
      <c r="AB69" s="117"/>
      <c r="AC69" s="349">
        <f t="shared" si="4"/>
        <v>0</v>
      </c>
      <c r="AE69" s="114">
        <f t="shared" si="5"/>
        <v>0.15419999999999998</v>
      </c>
      <c r="AF69" s="114"/>
      <c r="AG69" s="114">
        <f t="shared" si="19"/>
        <v>0</v>
      </c>
      <c r="AH69" s="114">
        <f t="shared" si="20"/>
        <v>0</v>
      </c>
      <c r="AI69" s="114">
        <f t="shared" si="7"/>
        <v>-2.2500000000000003E-3</v>
      </c>
      <c r="AJ69" s="343">
        <f t="shared" si="8"/>
        <v>0.15194999999999997</v>
      </c>
      <c r="AK69" s="131"/>
      <c r="AL69" s="117">
        <f>'Rates in Detail'!Y73</f>
        <v>1.0160000000000001E-2</v>
      </c>
      <c r="AM69" s="117">
        <f>'Rates in Detail'!Z73</f>
        <v>-1.3999999999999999E-4</v>
      </c>
      <c r="AN69" s="987">
        <f t="shared" si="9"/>
        <v>1.0020000000000001E-2</v>
      </c>
      <c r="AO69" s="131"/>
      <c r="AP69" s="117"/>
      <c r="AQ69" s="117"/>
      <c r="AR69" s="117"/>
      <c r="AS69" s="117"/>
      <c r="AT69" s="117"/>
      <c r="AU69" s="349">
        <f t="shared" si="10"/>
        <v>0</v>
      </c>
      <c r="AW69" s="117">
        <f t="shared" si="11"/>
        <v>0.16435999999999998</v>
      </c>
      <c r="AX69" s="117">
        <f t="shared" si="12"/>
        <v>0</v>
      </c>
      <c r="AY69" s="117">
        <f t="shared" si="13"/>
        <v>0</v>
      </c>
      <c r="AZ69" s="117">
        <f t="shared" si="14"/>
        <v>0</v>
      </c>
      <c r="BA69" s="117">
        <f t="shared" si="15"/>
        <v>4.2999999999999999E-4</v>
      </c>
      <c r="BB69" s="344">
        <f t="shared" si="16"/>
        <v>0.16478999999999999</v>
      </c>
    </row>
    <row r="70" spans="2:54" x14ac:dyDescent="0.2">
      <c r="B70" s="110">
        <f t="shared" si="17"/>
        <v>62</v>
      </c>
      <c r="C70" s="906"/>
      <c r="D70" s="906" t="s">
        <v>5</v>
      </c>
      <c r="E70" s="115">
        <v>20000</v>
      </c>
      <c r="F70" s="116">
        <f>'WA Volumes &amp; Revenues'!E76</f>
        <v>1445175</v>
      </c>
      <c r="G70" s="116"/>
      <c r="H70" s="912"/>
      <c r="I70" s="913"/>
      <c r="J70" s="628">
        <f>'Rates in Detail'!E74</f>
        <v>0.11997999999999999</v>
      </c>
      <c r="K70" s="630">
        <f>'Rates in Detail'!H74</f>
        <v>0</v>
      </c>
      <c r="L70" s="630">
        <f>'Rates in Detail'!F74</f>
        <v>0</v>
      </c>
      <c r="M70" s="630">
        <f>'Rates in Detail'!I74</f>
        <v>5.1000000000000004E-4</v>
      </c>
      <c r="N70" s="137">
        <f t="shared" si="1"/>
        <v>0.12048999999999999</v>
      </c>
      <c r="O70" s="628">
        <f>'Rates in Detail'!L74</f>
        <v>1.9390000000000001E-2</v>
      </c>
      <c r="P70" s="630">
        <f>'Rates in Detail'!P74</f>
        <v>-1.33E-3</v>
      </c>
      <c r="Q70" s="630">
        <f>'Rates in Detail'!Q74</f>
        <v>0</v>
      </c>
      <c r="R70" s="255">
        <f t="shared" si="2"/>
        <v>1.806E-2</v>
      </c>
      <c r="S70" s="628">
        <f>'Rates in Detail'!S74</f>
        <v>0</v>
      </c>
      <c r="T70" s="630">
        <f>'Rates in Detail'!T74</f>
        <v>-2.5300000000000001E-3</v>
      </c>
      <c r="U70" s="630">
        <f>'Rates in Detail'!U74</f>
        <v>0</v>
      </c>
      <c r="V70" s="261">
        <f t="shared" si="18"/>
        <v>1.5529999999999999E-2</v>
      </c>
      <c r="W70" s="620"/>
      <c r="X70" s="117"/>
      <c r="Y70" s="117"/>
      <c r="Z70" s="117"/>
      <c r="AA70" s="117"/>
      <c r="AB70" s="117"/>
      <c r="AC70" s="349">
        <f t="shared" si="4"/>
        <v>0</v>
      </c>
      <c r="AE70" s="114">
        <f t="shared" si="5"/>
        <v>0.13804</v>
      </c>
      <c r="AF70" s="114"/>
      <c r="AG70" s="114">
        <f t="shared" si="19"/>
        <v>0</v>
      </c>
      <c r="AH70" s="114">
        <f t="shared" si="20"/>
        <v>0</v>
      </c>
      <c r="AI70" s="114">
        <f t="shared" si="7"/>
        <v>-2.0200000000000001E-3</v>
      </c>
      <c r="AJ70" s="343">
        <f t="shared" si="8"/>
        <v>0.13602</v>
      </c>
      <c r="AK70" s="131"/>
      <c r="AL70" s="117">
        <f>'Rates in Detail'!Y74</f>
        <v>9.0900000000000009E-3</v>
      </c>
      <c r="AM70" s="117">
        <f>'Rates in Detail'!Z74</f>
        <v>-1.2999999999999999E-4</v>
      </c>
      <c r="AN70" s="987">
        <f t="shared" si="9"/>
        <v>8.9600000000000009E-3</v>
      </c>
      <c r="AO70" s="131"/>
      <c r="AP70" s="117"/>
      <c r="AQ70" s="117"/>
      <c r="AR70" s="117"/>
      <c r="AS70" s="117"/>
      <c r="AT70" s="117"/>
      <c r="AU70" s="349">
        <f t="shared" si="10"/>
        <v>0</v>
      </c>
      <c r="AW70" s="117">
        <f t="shared" si="11"/>
        <v>0.14712999999999998</v>
      </c>
      <c r="AX70" s="117">
        <f t="shared" si="12"/>
        <v>0</v>
      </c>
      <c r="AY70" s="117">
        <f t="shared" si="13"/>
        <v>0</v>
      </c>
      <c r="AZ70" s="117">
        <f t="shared" si="14"/>
        <v>0</v>
      </c>
      <c r="BA70" s="117">
        <f t="shared" si="15"/>
        <v>3.8000000000000002E-4</v>
      </c>
      <c r="BB70" s="344">
        <f t="shared" si="16"/>
        <v>0.14750999999999997</v>
      </c>
    </row>
    <row r="71" spans="2:54" x14ac:dyDescent="0.2">
      <c r="B71" s="110">
        <f t="shared" si="17"/>
        <v>63</v>
      </c>
      <c r="C71" s="906"/>
      <c r="D71" s="906" t="s">
        <v>6</v>
      </c>
      <c r="E71" s="115">
        <v>20000</v>
      </c>
      <c r="F71" s="116">
        <f>'WA Volumes &amp; Revenues'!E77</f>
        <v>1034978</v>
      </c>
      <c r="G71" s="116"/>
      <c r="H71" s="912"/>
      <c r="I71" s="913"/>
      <c r="J71" s="628">
        <f>'Rates in Detail'!E75</f>
        <v>9.1999999999999998E-2</v>
      </c>
      <c r="K71" s="630">
        <f>'Rates in Detail'!H75</f>
        <v>0</v>
      </c>
      <c r="L71" s="630">
        <f>'Rates in Detail'!F75</f>
        <v>0</v>
      </c>
      <c r="M71" s="630">
        <f>'Rates in Detail'!I75</f>
        <v>3.7999999999999997E-4</v>
      </c>
      <c r="N71" s="137">
        <f t="shared" si="1"/>
        <v>9.2380000000000004E-2</v>
      </c>
      <c r="O71" s="628">
        <f>'Rates in Detail'!L75</f>
        <v>1.487E-2</v>
      </c>
      <c r="P71" s="630">
        <f>'Rates in Detail'!P75</f>
        <v>-1.0200000000000001E-3</v>
      </c>
      <c r="Q71" s="630">
        <f>'Rates in Detail'!Q75</f>
        <v>0</v>
      </c>
      <c r="R71" s="255">
        <f t="shared" si="2"/>
        <v>1.3849999999999999E-2</v>
      </c>
      <c r="S71" s="628">
        <f>'Rates in Detail'!S75</f>
        <v>0</v>
      </c>
      <c r="T71" s="630">
        <f>'Rates in Detail'!T75</f>
        <v>-1.9400000000000001E-3</v>
      </c>
      <c r="U71" s="630">
        <f>'Rates in Detail'!U75</f>
        <v>0</v>
      </c>
      <c r="V71" s="261">
        <f t="shared" si="18"/>
        <v>1.1909999999999999E-2</v>
      </c>
      <c r="W71" s="620"/>
      <c r="X71" s="117"/>
      <c r="Y71" s="117"/>
      <c r="Z71" s="117"/>
      <c r="AA71" s="117"/>
      <c r="AB71" s="117"/>
      <c r="AC71" s="349">
        <f t="shared" si="4"/>
        <v>0</v>
      </c>
      <c r="AE71" s="114">
        <f t="shared" si="5"/>
        <v>0.10585</v>
      </c>
      <c r="AF71" s="114"/>
      <c r="AG71" s="114">
        <f t="shared" si="19"/>
        <v>0</v>
      </c>
      <c r="AH71" s="114">
        <f t="shared" si="20"/>
        <v>0</v>
      </c>
      <c r="AI71" s="114">
        <f t="shared" si="7"/>
        <v>-1.5600000000000002E-3</v>
      </c>
      <c r="AJ71" s="343">
        <f t="shared" si="8"/>
        <v>0.10428999999999999</v>
      </c>
      <c r="AK71" s="131"/>
      <c r="AL71" s="117">
        <f>'Rates in Detail'!Y75</f>
        <v>6.9699999999999996E-3</v>
      </c>
      <c r="AM71" s="117">
        <f>'Rates in Detail'!Z75</f>
        <v>-1E-4</v>
      </c>
      <c r="AN71" s="987">
        <f t="shared" si="9"/>
        <v>6.8699999999999994E-3</v>
      </c>
      <c r="AO71" s="131"/>
      <c r="AP71" s="117"/>
      <c r="AQ71" s="117"/>
      <c r="AR71" s="117"/>
      <c r="AS71" s="117"/>
      <c r="AT71" s="117"/>
      <c r="AU71" s="349">
        <f t="shared" si="10"/>
        <v>0</v>
      </c>
      <c r="AW71" s="117">
        <f t="shared" si="11"/>
        <v>0.11282</v>
      </c>
      <c r="AX71" s="117">
        <f t="shared" si="12"/>
        <v>0</v>
      </c>
      <c r="AY71" s="117">
        <f t="shared" si="13"/>
        <v>0</v>
      </c>
      <c r="AZ71" s="117">
        <f t="shared" si="14"/>
        <v>0</v>
      </c>
      <c r="BA71" s="117">
        <f t="shared" si="15"/>
        <v>2.7999999999999998E-4</v>
      </c>
      <c r="BB71" s="344">
        <f t="shared" si="16"/>
        <v>0.11310000000000001</v>
      </c>
    </row>
    <row r="72" spans="2:54" x14ac:dyDescent="0.2">
      <c r="B72" s="110">
        <f t="shared" si="17"/>
        <v>64</v>
      </c>
      <c r="C72" s="906"/>
      <c r="D72" s="906" t="s">
        <v>7</v>
      </c>
      <c r="E72" s="115">
        <v>100000</v>
      </c>
      <c r="F72" s="116">
        <f>'WA Volumes &amp; Revenues'!E78</f>
        <v>3359916</v>
      </c>
      <c r="G72" s="116"/>
      <c r="H72" s="912"/>
      <c r="I72" s="913"/>
      <c r="J72" s="628">
        <f>'Rates in Detail'!E76</f>
        <v>7.3609999999999995E-2</v>
      </c>
      <c r="K72" s="630">
        <f>'Rates in Detail'!H76</f>
        <v>0</v>
      </c>
      <c r="L72" s="630">
        <f>'Rates in Detail'!F76</f>
        <v>0</v>
      </c>
      <c r="M72" s="630">
        <f>'Rates in Detail'!I76</f>
        <v>3.0999999999999995E-4</v>
      </c>
      <c r="N72" s="137">
        <f t="shared" si="1"/>
        <v>7.392E-2</v>
      </c>
      <c r="O72" s="628">
        <f>'Rates in Detail'!L76</f>
        <v>1.189E-2</v>
      </c>
      <c r="P72" s="630">
        <f>'Rates in Detail'!P76</f>
        <v>-8.1999999999999998E-4</v>
      </c>
      <c r="Q72" s="630">
        <f>'Rates in Detail'!Q76</f>
        <v>0</v>
      </c>
      <c r="R72" s="255">
        <f t="shared" si="2"/>
        <v>1.107E-2</v>
      </c>
      <c r="S72" s="628">
        <f>'Rates in Detail'!S76</f>
        <v>0</v>
      </c>
      <c r="T72" s="630">
        <f>'Rates in Detail'!T76</f>
        <v>-1.5499999999999999E-3</v>
      </c>
      <c r="U72" s="630">
        <f>'Rates in Detail'!U76</f>
        <v>0</v>
      </c>
      <c r="V72" s="261">
        <f t="shared" si="18"/>
        <v>9.5200000000000007E-3</v>
      </c>
      <c r="W72" s="620"/>
      <c r="X72" s="117"/>
      <c r="Y72" s="117"/>
      <c r="Z72" s="117"/>
      <c r="AA72" s="117"/>
      <c r="AB72" s="117"/>
      <c r="AC72" s="349">
        <f t="shared" si="4"/>
        <v>0</v>
      </c>
      <c r="AE72" s="114">
        <f t="shared" si="5"/>
        <v>8.4679999999999991E-2</v>
      </c>
      <c r="AF72" s="114"/>
      <c r="AG72" s="114">
        <f t="shared" si="19"/>
        <v>0</v>
      </c>
      <c r="AH72" s="114">
        <f t="shared" si="20"/>
        <v>0</v>
      </c>
      <c r="AI72" s="114">
        <f t="shared" si="7"/>
        <v>-1.24E-3</v>
      </c>
      <c r="AJ72" s="343">
        <f t="shared" si="8"/>
        <v>8.3439999999999986E-2</v>
      </c>
      <c r="AK72" s="131"/>
      <c r="AL72" s="117">
        <f>'Rates in Detail'!Y76</f>
        <v>5.5799999999999999E-3</v>
      </c>
      <c r="AM72" s="117">
        <f>'Rates in Detail'!Z76</f>
        <v>-8.0000000000000007E-5</v>
      </c>
      <c r="AN72" s="987">
        <f t="shared" si="9"/>
        <v>5.4999999999999997E-3</v>
      </c>
      <c r="AO72" s="131"/>
      <c r="AP72" s="117"/>
      <c r="AQ72" s="117"/>
      <c r="AR72" s="117"/>
      <c r="AS72" s="117"/>
      <c r="AT72" s="117"/>
      <c r="AU72" s="349">
        <f t="shared" si="10"/>
        <v>0</v>
      </c>
      <c r="AW72" s="117">
        <f t="shared" si="11"/>
        <v>9.0259999999999993E-2</v>
      </c>
      <c r="AX72" s="117">
        <f t="shared" si="12"/>
        <v>0</v>
      </c>
      <c r="AY72" s="117">
        <f t="shared" si="13"/>
        <v>0</v>
      </c>
      <c r="AZ72" s="117">
        <f t="shared" si="14"/>
        <v>0</v>
      </c>
      <c r="BA72" s="117">
        <f t="shared" si="15"/>
        <v>2.2999999999999995E-4</v>
      </c>
      <c r="BB72" s="344">
        <f t="shared" si="16"/>
        <v>9.0489999999999987E-2</v>
      </c>
    </row>
    <row r="73" spans="2:54" x14ac:dyDescent="0.2">
      <c r="B73" s="110">
        <f t="shared" si="17"/>
        <v>65</v>
      </c>
      <c r="C73" s="906"/>
      <c r="D73" s="906" t="s">
        <v>8</v>
      </c>
      <c r="E73" s="115">
        <v>600000</v>
      </c>
      <c r="F73" s="116">
        <f>'WA Volumes &amp; Revenues'!E79</f>
        <v>1349120</v>
      </c>
      <c r="G73" s="116"/>
      <c r="H73" s="912"/>
      <c r="I73" s="913"/>
      <c r="J73" s="628">
        <f>'Rates in Detail'!E77</f>
        <v>4.9079999999999999E-2</v>
      </c>
      <c r="K73" s="630">
        <f>'Rates in Detail'!H77</f>
        <v>0</v>
      </c>
      <c r="L73" s="630">
        <f>'Rates in Detail'!F77</f>
        <v>0</v>
      </c>
      <c r="M73" s="630">
        <f>'Rates in Detail'!I77</f>
        <v>2.0999999999999998E-4</v>
      </c>
      <c r="N73" s="137">
        <f t="shared" si="1"/>
        <v>4.929E-2</v>
      </c>
      <c r="O73" s="628">
        <f>'Rates in Detail'!L77</f>
        <v>7.9299999999999995E-3</v>
      </c>
      <c r="P73" s="630">
        <f>'Rates in Detail'!P77</f>
        <v>-5.5000000000000003E-4</v>
      </c>
      <c r="Q73" s="630">
        <f>'Rates in Detail'!Q77</f>
        <v>0</v>
      </c>
      <c r="R73" s="255">
        <f t="shared" si="2"/>
        <v>7.3799999999999994E-3</v>
      </c>
      <c r="S73" s="628">
        <f>'Rates in Detail'!S77</f>
        <v>0</v>
      </c>
      <c r="T73" s="630">
        <f>'Rates in Detail'!T77</f>
        <v>-1.0300000000000001E-3</v>
      </c>
      <c r="U73" s="630">
        <f>'Rates in Detail'!U77</f>
        <v>0</v>
      </c>
      <c r="V73" s="261">
        <f t="shared" ref="V73:V77" si="21">SUM(R73:U73)</f>
        <v>6.3499999999999997E-3</v>
      </c>
      <c r="W73" s="620"/>
      <c r="X73" s="117"/>
      <c r="Y73" s="117"/>
      <c r="Z73" s="117"/>
      <c r="AA73" s="117"/>
      <c r="AB73" s="117"/>
      <c r="AC73" s="349">
        <f t="shared" si="4"/>
        <v>0</v>
      </c>
      <c r="AE73" s="114">
        <f t="shared" si="5"/>
        <v>5.6459999999999996E-2</v>
      </c>
      <c r="AF73" s="114"/>
      <c r="AG73" s="114">
        <f t="shared" si="19"/>
        <v>0</v>
      </c>
      <c r="AH73" s="114">
        <f t="shared" si="20"/>
        <v>0</v>
      </c>
      <c r="AI73" s="114">
        <f t="shared" si="7"/>
        <v>-8.2000000000000009E-4</v>
      </c>
      <c r="AJ73" s="343">
        <f t="shared" si="8"/>
        <v>5.5639999999999995E-2</v>
      </c>
      <c r="AK73" s="131"/>
      <c r="AL73" s="117">
        <f>'Rates in Detail'!Y77</f>
        <v>3.7200000000000002E-3</v>
      </c>
      <c r="AM73" s="117">
        <f>'Rates in Detail'!Z77</f>
        <v>-5.0000000000000002E-5</v>
      </c>
      <c r="AN73" s="987">
        <f t="shared" si="9"/>
        <v>3.6700000000000001E-3</v>
      </c>
      <c r="AO73" s="131"/>
      <c r="AP73" s="117"/>
      <c r="AQ73" s="117"/>
      <c r="AR73" s="117"/>
      <c r="AS73" s="117"/>
      <c r="AT73" s="117"/>
      <c r="AU73" s="349">
        <f t="shared" si="10"/>
        <v>0</v>
      </c>
      <c r="AW73" s="117">
        <f t="shared" si="11"/>
        <v>6.0179999999999997E-2</v>
      </c>
      <c r="AX73" s="117">
        <f t="shared" si="12"/>
        <v>0</v>
      </c>
      <c r="AY73" s="117">
        <f t="shared" si="13"/>
        <v>0</v>
      </c>
      <c r="AZ73" s="117">
        <f t="shared" si="14"/>
        <v>0</v>
      </c>
      <c r="BA73" s="117">
        <f t="shared" si="15"/>
        <v>1.5999999999999999E-4</v>
      </c>
      <c r="BB73" s="344">
        <f t="shared" si="16"/>
        <v>6.0339999999999998E-2</v>
      </c>
    </row>
    <row r="74" spans="2:54" x14ac:dyDescent="0.2">
      <c r="B74" s="110">
        <f t="shared" si="17"/>
        <v>66</v>
      </c>
      <c r="C74" s="904"/>
      <c r="D74" s="904" t="s">
        <v>9</v>
      </c>
      <c r="E74" s="112" t="s">
        <v>74</v>
      </c>
      <c r="F74" s="113">
        <f>'WA Volumes &amp; Revenues'!E80</f>
        <v>0</v>
      </c>
      <c r="G74" s="113"/>
      <c r="H74" s="907"/>
      <c r="I74" s="909"/>
      <c r="J74" s="628">
        <f>'Rates in Detail'!E78</f>
        <v>1.839E-2</v>
      </c>
      <c r="K74" s="630">
        <f>'Rates in Detail'!H78</f>
        <v>0</v>
      </c>
      <c r="L74" s="630">
        <f>'Rates in Detail'!F78</f>
        <v>0</v>
      </c>
      <c r="M74" s="630">
        <f>'Rates in Detail'!I78</f>
        <v>6.9999999999999994E-5</v>
      </c>
      <c r="N74" s="629">
        <f t="shared" ref="N74:N77" si="22">SUM(J74:M74)</f>
        <v>1.8460000000000001E-2</v>
      </c>
      <c r="O74" s="628">
        <f>'Rates in Detail'!L78</f>
        <v>2.97E-3</v>
      </c>
      <c r="P74" s="630">
        <f>'Rates in Detail'!P78</f>
        <v>-2.0000000000000001E-4</v>
      </c>
      <c r="Q74" s="630">
        <f>'Rates in Detail'!Q78</f>
        <v>0</v>
      </c>
      <c r="R74" s="255">
        <f t="shared" ref="R74:R77" si="23">SUM(O74:Q74)</f>
        <v>2.7699999999999999E-3</v>
      </c>
      <c r="S74" s="628">
        <f>'Rates in Detail'!S78</f>
        <v>0</v>
      </c>
      <c r="T74" s="630">
        <f>'Rates in Detail'!T78</f>
        <v>-3.8999999999999999E-4</v>
      </c>
      <c r="U74" s="630">
        <f>'Rates in Detail'!U78</f>
        <v>0</v>
      </c>
      <c r="V74" s="261">
        <f t="shared" si="21"/>
        <v>2.3799999999999997E-3</v>
      </c>
      <c r="W74" s="620"/>
      <c r="X74" s="117"/>
      <c r="Y74" s="117"/>
      <c r="Z74" s="117"/>
      <c r="AA74" s="117"/>
      <c r="AB74" s="117"/>
      <c r="AC74" s="349">
        <f t="shared" ref="AC74:AC77" si="24">SUM(X74:AB74)</f>
        <v>0</v>
      </c>
      <c r="AE74" s="114">
        <f t="shared" ref="AE74:AE77" si="25">X74+O74+P74+Q74+J74</f>
        <v>2.1159999999999998E-2</v>
      </c>
      <c r="AF74" s="114"/>
      <c r="AG74" s="114">
        <f t="shared" si="19"/>
        <v>0</v>
      </c>
      <c r="AH74" s="114">
        <f t="shared" si="20"/>
        <v>0</v>
      </c>
      <c r="AI74" s="114">
        <f t="shared" ref="AI74:AI77" si="26">AB74+S74+T74+U74+M74</f>
        <v>-3.1999999999999997E-4</v>
      </c>
      <c r="AJ74" s="343">
        <f t="shared" ref="AJ74:AJ77" si="27">SUM(AE74:AI74)</f>
        <v>2.0839999999999997E-2</v>
      </c>
      <c r="AK74" s="131"/>
      <c r="AL74" s="117">
        <f>'Rates in Detail'!Y78</f>
        <v>1.39E-3</v>
      </c>
      <c r="AM74" s="117">
        <f>'Rates in Detail'!Z78</f>
        <v>-2.0000000000000002E-5</v>
      </c>
      <c r="AN74" s="987">
        <f t="shared" ref="AN74:AN77" si="28">SUM(AL74:AM74)</f>
        <v>1.3699999999999999E-3</v>
      </c>
      <c r="AO74" s="131"/>
      <c r="AP74" s="117"/>
      <c r="AQ74" s="117"/>
      <c r="AR74" s="117"/>
      <c r="AS74" s="117"/>
      <c r="AT74" s="117"/>
      <c r="AU74" s="349">
        <f t="shared" ref="AU74:AU77" si="29">SUM(AP74:AT74)</f>
        <v>0</v>
      </c>
      <c r="AW74" s="117">
        <f t="shared" ref="AW74:AW77" si="30">AE74+AL74+AP74</f>
        <v>2.2549999999999997E-2</v>
      </c>
      <c r="AX74" s="117">
        <f t="shared" ref="AX74:AX77" si="31">AF74+AQ74</f>
        <v>0</v>
      </c>
      <c r="AY74" s="117">
        <f t="shared" ref="AY74:AY77" si="32">AG74+AR74</f>
        <v>0</v>
      </c>
      <c r="AZ74" s="117">
        <f t="shared" ref="AZ74:AZ77" si="33">AH74+AS74</f>
        <v>0</v>
      </c>
      <c r="BA74" s="117">
        <f t="shared" ref="BA74:BA77" si="34">M74+AM74+AT74</f>
        <v>4.9999999999999996E-5</v>
      </c>
      <c r="BB74" s="344">
        <f t="shared" ref="BB74:BB77" si="35">SUM(AW74:BA74)</f>
        <v>2.2599999999999999E-2</v>
      </c>
    </row>
    <row r="75" spans="2:54" x14ac:dyDescent="0.2">
      <c r="B75" s="110">
        <f t="shared" ref="B75:B77" si="36">B74+1</f>
        <v>67</v>
      </c>
      <c r="C75" s="905" t="str">
        <f>'WA Volumes &amp; Revenues'!B81</f>
        <v>43 Firm Transpt</v>
      </c>
      <c r="D75" s="904" t="s">
        <v>283</v>
      </c>
      <c r="E75" s="111" t="s">
        <v>283</v>
      </c>
      <c r="F75" s="113">
        <f>'WA Volumes &amp; Revenues'!E81</f>
        <v>0</v>
      </c>
      <c r="G75" s="113">
        <f>'WA Volumes &amp; Revenues'!H81</f>
        <v>0</v>
      </c>
      <c r="H75" s="907">
        <f>'WA Volumes &amp; Revenues'!O81</f>
        <v>38000</v>
      </c>
      <c r="I75" s="909">
        <f>'WA Volumes &amp; Revenues'!N81</f>
        <v>38000</v>
      </c>
      <c r="J75" s="625">
        <f>'Rates in Detail'!E79</f>
        <v>4.9099999999999994E-3</v>
      </c>
      <c r="K75" s="626">
        <f>'Rates in Detail'!H79</f>
        <v>0</v>
      </c>
      <c r="L75" s="626">
        <f>'Rates in Detail'!F79</f>
        <v>0</v>
      </c>
      <c r="M75" s="626">
        <f>'Rates in Detail'!I79</f>
        <v>1.0000000000000001E-5</v>
      </c>
      <c r="N75" s="135">
        <f t="shared" si="22"/>
        <v>4.919999999999999E-3</v>
      </c>
      <c r="O75" s="625">
        <f>'Rates in Detail'!L79</f>
        <v>0</v>
      </c>
      <c r="P75" s="626">
        <f>'Rates in Detail'!P79</f>
        <v>0</v>
      </c>
      <c r="Q75" s="626">
        <f>'Rates in Detail'!Q79</f>
        <v>0</v>
      </c>
      <c r="R75" s="914">
        <f t="shared" si="23"/>
        <v>0</v>
      </c>
      <c r="S75" s="625">
        <f>'Rates in Detail'!S79</f>
        <v>0</v>
      </c>
      <c r="T75" s="626">
        <f>'Rates in Detail'!T79</f>
        <v>0</v>
      </c>
      <c r="U75" s="626">
        <f>'Rates in Detail'!U79</f>
        <v>0</v>
      </c>
      <c r="V75" s="915">
        <f t="shared" si="21"/>
        <v>0</v>
      </c>
      <c r="W75" s="620"/>
      <c r="X75" s="119"/>
      <c r="Y75" s="119"/>
      <c r="Z75" s="119"/>
      <c r="AA75" s="119"/>
      <c r="AB75" s="119"/>
      <c r="AC75" s="350">
        <f t="shared" si="24"/>
        <v>0</v>
      </c>
      <c r="AE75" s="114">
        <f>X75+O75+P75+Q75+J75</f>
        <v>4.9099999999999994E-3</v>
      </c>
      <c r="AF75" s="114"/>
      <c r="AG75" s="114">
        <f t="shared" si="19"/>
        <v>0</v>
      </c>
      <c r="AH75" s="114">
        <f t="shared" si="20"/>
        <v>0</v>
      </c>
      <c r="AI75" s="114">
        <f t="shared" si="26"/>
        <v>1.0000000000000001E-5</v>
      </c>
      <c r="AJ75" s="343">
        <f t="shared" si="27"/>
        <v>4.919999999999999E-3</v>
      </c>
      <c r="AK75" s="131"/>
      <c r="AL75" s="119">
        <f>'Rates in Detail'!Y79</f>
        <v>0</v>
      </c>
      <c r="AM75" s="119">
        <f>'Rates in Detail'!Z79</f>
        <v>0</v>
      </c>
      <c r="AN75" s="988">
        <f t="shared" si="28"/>
        <v>0</v>
      </c>
      <c r="AO75" s="131"/>
      <c r="AP75" s="119"/>
      <c r="AQ75" s="119"/>
      <c r="AR75" s="119"/>
      <c r="AS75" s="119"/>
      <c r="AT75" s="119"/>
      <c r="AU75" s="350">
        <f t="shared" si="29"/>
        <v>0</v>
      </c>
      <c r="AW75" s="119">
        <f t="shared" si="30"/>
        <v>4.9099999999999994E-3</v>
      </c>
      <c r="AX75" s="119">
        <f t="shared" si="31"/>
        <v>0</v>
      </c>
      <c r="AY75" s="119">
        <f t="shared" si="32"/>
        <v>0</v>
      </c>
      <c r="AZ75" s="119">
        <f t="shared" si="33"/>
        <v>0</v>
      </c>
      <c r="BA75" s="119">
        <f t="shared" si="34"/>
        <v>1.0000000000000001E-5</v>
      </c>
      <c r="BB75" s="345">
        <f t="shared" si="35"/>
        <v>4.919999999999999E-3</v>
      </c>
    </row>
    <row r="76" spans="2:54" x14ac:dyDescent="0.2">
      <c r="B76" s="110">
        <f t="shared" si="36"/>
        <v>68</v>
      </c>
      <c r="C76" s="905" t="str">
        <f>'WA Volumes &amp; Revenues'!B82</f>
        <v>43 Interr Transpt</v>
      </c>
      <c r="D76" s="904" t="s">
        <v>283</v>
      </c>
      <c r="E76" s="111" t="s">
        <v>283</v>
      </c>
      <c r="F76" s="113">
        <f>'WA Volumes &amp; Revenues'!E82</f>
        <v>0</v>
      </c>
      <c r="G76" s="113">
        <f>'WA Volumes &amp; Revenues'!H82</f>
        <v>0</v>
      </c>
      <c r="H76" s="907">
        <f>'WA Volumes &amp; Revenues'!O82</f>
        <v>38000</v>
      </c>
      <c r="I76" s="909">
        <f>'WA Volumes &amp; Revenues'!N82</f>
        <v>38000</v>
      </c>
      <c r="J76" s="625">
        <f>'Rates in Detail'!E80</f>
        <v>4.9099999999999994E-3</v>
      </c>
      <c r="K76" s="626">
        <f>'Rates in Detail'!H80</f>
        <v>0</v>
      </c>
      <c r="L76" s="626">
        <f>'Rates in Detail'!F80</f>
        <v>0</v>
      </c>
      <c r="M76" s="626">
        <f>'Rates in Detail'!I80</f>
        <v>1.0000000000000001E-5</v>
      </c>
      <c r="N76" s="135">
        <f t="shared" si="22"/>
        <v>4.919999999999999E-3</v>
      </c>
      <c r="O76" s="625">
        <f>'Rates in Detail'!L80</f>
        <v>0</v>
      </c>
      <c r="P76" s="626">
        <f>'Rates in Detail'!P80</f>
        <v>0</v>
      </c>
      <c r="Q76" s="626">
        <f>'Rates in Detail'!Q80</f>
        <v>0</v>
      </c>
      <c r="R76" s="914">
        <f t="shared" si="23"/>
        <v>0</v>
      </c>
      <c r="S76" s="625">
        <f>'Rates in Detail'!S80</f>
        <v>0</v>
      </c>
      <c r="T76" s="626">
        <f>'Rates in Detail'!T80</f>
        <v>0</v>
      </c>
      <c r="U76" s="626">
        <f>'Rates in Detail'!U80</f>
        <v>0</v>
      </c>
      <c r="V76" s="915">
        <f t="shared" si="21"/>
        <v>0</v>
      </c>
      <c r="W76" s="620"/>
      <c r="X76" s="119"/>
      <c r="Y76" s="119"/>
      <c r="Z76" s="119"/>
      <c r="AA76" s="119"/>
      <c r="AB76" s="119"/>
      <c r="AC76" s="350">
        <f t="shared" si="24"/>
        <v>0</v>
      </c>
      <c r="AE76" s="114">
        <f t="shared" si="25"/>
        <v>4.9099999999999994E-3</v>
      </c>
      <c r="AF76" s="114"/>
      <c r="AG76" s="114">
        <f t="shared" si="19"/>
        <v>0</v>
      </c>
      <c r="AH76" s="114">
        <f t="shared" si="20"/>
        <v>0</v>
      </c>
      <c r="AI76" s="114">
        <f t="shared" si="26"/>
        <v>1.0000000000000001E-5</v>
      </c>
      <c r="AJ76" s="343">
        <f t="shared" si="27"/>
        <v>4.919999999999999E-3</v>
      </c>
      <c r="AK76" s="131"/>
      <c r="AL76" s="119">
        <f>'Rates in Detail'!Y80</f>
        <v>0</v>
      </c>
      <c r="AM76" s="119">
        <f>'Rates in Detail'!Z80</f>
        <v>0</v>
      </c>
      <c r="AN76" s="988">
        <f t="shared" si="28"/>
        <v>0</v>
      </c>
      <c r="AO76" s="131"/>
      <c r="AP76" s="119"/>
      <c r="AQ76" s="119"/>
      <c r="AR76" s="119"/>
      <c r="AS76" s="119"/>
      <c r="AT76" s="119"/>
      <c r="AU76" s="350">
        <f t="shared" si="29"/>
        <v>0</v>
      </c>
      <c r="AW76" s="119">
        <f t="shared" si="30"/>
        <v>4.9099999999999994E-3</v>
      </c>
      <c r="AX76" s="119">
        <f t="shared" si="31"/>
        <v>0</v>
      </c>
      <c r="AY76" s="119">
        <f t="shared" si="32"/>
        <v>0</v>
      </c>
      <c r="AZ76" s="119">
        <f t="shared" si="33"/>
        <v>0</v>
      </c>
      <c r="BA76" s="119">
        <f t="shared" si="34"/>
        <v>1.0000000000000001E-5</v>
      </c>
      <c r="BB76" s="345">
        <f t="shared" si="35"/>
        <v>4.919999999999999E-3</v>
      </c>
    </row>
    <row r="77" spans="2:54" ht="13.5" thickBot="1" x14ac:dyDescent="0.25">
      <c r="B77" s="110">
        <f t="shared" si="36"/>
        <v>69</v>
      </c>
      <c r="C77" s="905" t="str">
        <f>'WA Volumes &amp; Revenues'!B83</f>
        <v>Special Contract</v>
      </c>
      <c r="D77" s="904" t="s">
        <v>283</v>
      </c>
      <c r="E77" s="111" t="s">
        <v>283</v>
      </c>
      <c r="F77" s="113">
        <f>'WA Volumes &amp; Revenues'!E83</f>
        <v>2895114</v>
      </c>
      <c r="G77" s="113">
        <f>'WA Volumes &amp; Revenues'!H83</f>
        <v>1</v>
      </c>
      <c r="H77" s="907">
        <f>'WA Volumes &amp; Revenues'!O83</f>
        <v>0</v>
      </c>
      <c r="I77" s="909">
        <f>'WA Volumes &amp; Revenues'!N83</f>
        <v>0</v>
      </c>
      <c r="J77" s="625">
        <f>'Rates in Detail'!E81</f>
        <v>0</v>
      </c>
      <c r="K77" s="626">
        <f>'Rates in Detail'!H81</f>
        <v>0</v>
      </c>
      <c r="L77" s="626">
        <f>'Rates in Detail'!F81</f>
        <v>0</v>
      </c>
      <c r="M77" s="626">
        <f>'Rates in Detail'!I81</f>
        <v>0</v>
      </c>
      <c r="N77" s="135">
        <f t="shared" si="22"/>
        <v>0</v>
      </c>
      <c r="O77" s="118">
        <f>'Rates in Detail'!L81</f>
        <v>0</v>
      </c>
      <c r="P77" s="626">
        <f>'Rates in Detail'!P81</f>
        <v>0</v>
      </c>
      <c r="Q77" s="626">
        <f>'Rates in Detail'!Q81</f>
        <v>0</v>
      </c>
      <c r="R77" s="256">
        <f t="shared" si="23"/>
        <v>0</v>
      </c>
      <c r="S77" s="118">
        <f>'Rates in Detail'!S81</f>
        <v>0</v>
      </c>
      <c r="T77" s="626">
        <f>'Rates in Detail'!T81</f>
        <v>0</v>
      </c>
      <c r="U77" s="626">
        <f>'Rates in Detail'!U81</f>
        <v>0</v>
      </c>
      <c r="V77" s="262">
        <f t="shared" si="21"/>
        <v>0</v>
      </c>
      <c r="W77" s="620"/>
      <c r="X77" s="119"/>
      <c r="Y77" s="119"/>
      <c r="Z77" s="119"/>
      <c r="AA77" s="119"/>
      <c r="AB77" s="119"/>
      <c r="AC77" s="350">
        <f t="shared" si="24"/>
        <v>0</v>
      </c>
      <c r="AE77" s="114">
        <f t="shared" si="25"/>
        <v>0</v>
      </c>
      <c r="AF77" s="114"/>
      <c r="AG77" s="114">
        <f t="shared" si="19"/>
        <v>0</v>
      </c>
      <c r="AH77" s="114">
        <f t="shared" si="20"/>
        <v>0</v>
      </c>
      <c r="AI77" s="114">
        <f t="shared" si="26"/>
        <v>0</v>
      </c>
      <c r="AJ77" s="343">
        <f t="shared" si="27"/>
        <v>0</v>
      </c>
      <c r="AK77" s="131"/>
      <c r="AL77" s="119">
        <f>'Rates in Detail'!Y81</f>
        <v>0</v>
      </c>
      <c r="AM77" s="119">
        <f>'Rates in Detail'!Z81</f>
        <v>0</v>
      </c>
      <c r="AN77" s="988">
        <f t="shared" si="28"/>
        <v>0</v>
      </c>
      <c r="AO77" s="131"/>
      <c r="AP77" s="119"/>
      <c r="AQ77" s="119"/>
      <c r="AR77" s="119"/>
      <c r="AS77" s="119"/>
      <c r="AT77" s="119"/>
      <c r="AU77" s="350">
        <f t="shared" si="29"/>
        <v>0</v>
      </c>
      <c r="AW77" s="119">
        <f t="shared" si="30"/>
        <v>0</v>
      </c>
      <c r="AX77" s="119">
        <f t="shared" si="31"/>
        <v>0</v>
      </c>
      <c r="AY77" s="119">
        <f t="shared" si="32"/>
        <v>0</v>
      </c>
      <c r="AZ77" s="119">
        <f t="shared" si="33"/>
        <v>0</v>
      </c>
      <c r="BA77" s="119">
        <f t="shared" si="34"/>
        <v>0</v>
      </c>
      <c r="BB77" s="345">
        <f t="shared" si="35"/>
        <v>0</v>
      </c>
    </row>
  </sheetData>
  <customSheetViews>
    <customSheetView guid="{80646397-1CEF-4A79-B348-594AB32B8020}" fitToPage="1">
      <pane xSplit="5" ySplit="8" topLeftCell="M9" activePane="bottomRight" state="frozen"/>
      <selection pane="bottomRight" activeCell="B3" sqref="B3"/>
      <pageMargins left="0.5" right="0.5" top="0.5" bottom="0.5" header="0.25" footer="0.25"/>
      <printOptions verticalCentered="1"/>
      <pageSetup scale="60" orientation="landscape" r:id="rId1"/>
      <headerFooter alignWithMargins="0">
        <oddHeader>&amp;RUG 388 - NW Natural/2500
Wyman/WP02</oddHeader>
        <oddFooter xml:space="preserve">&amp;C&amp;F &amp;D &amp;T
&amp;A </oddFooter>
      </headerFooter>
    </customSheetView>
    <customSheetView guid="{37B35166-7378-4B00-BB4E-9E442A0D870E}" fitToPage="1">
      <pane xSplit="5" ySplit="8" topLeftCell="M9" activePane="bottomRight" state="frozen"/>
      <selection pane="bottomRight" activeCell="B3" sqref="B3"/>
      <pageMargins left="0.5" right="0.5" top="0.5" bottom="0.5" header="0.25" footer="0.25"/>
      <printOptions verticalCentered="1"/>
      <pageSetup scale="60" orientation="landscape" r:id="rId2"/>
      <headerFooter alignWithMargins="0">
        <oddHeader>&amp;RUG 388 - NW Natural/2500
Wyman/WP02</oddHeader>
        <oddFooter xml:space="preserve">&amp;C&amp;F &amp;D &amp;T
&amp;A </oddFooter>
      </headerFooter>
    </customSheetView>
  </customSheetViews>
  <mergeCells count="5">
    <mergeCell ref="X6:AC6"/>
    <mergeCell ref="AE6:AJ6"/>
    <mergeCell ref="J6:N6"/>
    <mergeCell ref="AP6:AU6"/>
    <mergeCell ref="AW6:BB6"/>
  </mergeCells>
  <printOptions verticalCentered="1"/>
  <pageMargins left="0.5" right="0.5" top="0.5" bottom="0.5" header="0.25" footer="0.25"/>
  <pageSetup scale="25" orientation="landscape" r:id="rId3"/>
  <headerFooter alignWithMargins="0">
    <oddHeader>&amp;RExh. RJW-3 Wyman WP1</oddHeader>
    <oddFooter xml:space="preserve">&amp;C&amp;F &amp;D &amp;T
&amp;A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06EA0-64A7-44C6-8E48-099DFDE60FF6}">
  <sheetPr>
    <tabColor rgb="FFFFFFCC"/>
    <pageSetUpPr fitToPage="1"/>
  </sheetPr>
  <dimension ref="B1:X54"/>
  <sheetViews>
    <sheetView zoomScale="90" zoomScaleNormal="90" workbookViewId="0">
      <pane xSplit="3" ySplit="15" topLeftCell="D16" activePane="bottomRight" state="frozen"/>
      <selection pane="topRight" activeCell="D1" sqref="D1"/>
      <selection pane="bottomLeft" activeCell="A14" sqref="A14"/>
      <selection pane="bottomRight" activeCell="H3" sqref="H3"/>
    </sheetView>
  </sheetViews>
  <sheetFormatPr defaultColWidth="9.33203125" defaultRowHeight="12.75" x14ac:dyDescent="0.2"/>
  <cols>
    <col min="1" max="1" width="3.1640625" style="56" customWidth="1"/>
    <col min="2" max="2" width="7.6640625" style="56" customWidth="1"/>
    <col min="3" max="3" width="11.33203125" style="56" bestFit="1" customWidth="1"/>
    <col min="4" max="5" width="18.1640625" style="56" customWidth="1"/>
    <col min="6" max="6" width="21.6640625" style="56" customWidth="1"/>
    <col min="7" max="7" width="21.1640625" style="56" customWidth="1"/>
    <col min="8" max="9" width="18.1640625" style="56" customWidth="1"/>
    <col min="10" max="12" width="11.1640625" style="56" customWidth="1"/>
    <col min="13" max="14" width="3.1640625" style="56" customWidth="1"/>
    <col min="15" max="15" width="7.6640625" style="56" customWidth="1"/>
    <col min="16" max="16" width="11.33203125" style="56" bestFit="1" customWidth="1"/>
    <col min="17" max="17" width="18" style="56" customWidth="1"/>
    <col min="18" max="18" width="15.83203125" style="56" customWidth="1"/>
    <col min="19" max="19" width="22.33203125" style="56" bestFit="1" customWidth="1"/>
    <col min="20" max="20" width="17.6640625" style="56" customWidth="1"/>
    <col min="21" max="21" width="17" style="56" customWidth="1"/>
    <col min="22" max="24" width="11.5" style="56" customWidth="1"/>
    <col min="25" max="25" width="3.1640625" style="56" customWidth="1"/>
    <col min="26" max="16384" width="9.33203125" style="56"/>
  </cols>
  <sheetData>
    <row r="1" spans="2:24" x14ac:dyDescent="0.2">
      <c r="B1" s="895" t="s">
        <v>0</v>
      </c>
      <c r="C1" s="896"/>
      <c r="D1" s="896"/>
      <c r="E1" s="896"/>
      <c r="F1" s="896"/>
      <c r="G1" s="896"/>
      <c r="H1" s="896"/>
      <c r="I1" s="896"/>
      <c r="O1" s="895" t="s">
        <v>0</v>
      </c>
      <c r="P1" s="896"/>
    </row>
    <row r="2" spans="2:24" x14ac:dyDescent="0.2">
      <c r="B2" s="895" t="s">
        <v>276</v>
      </c>
      <c r="C2" s="896"/>
      <c r="D2" s="896"/>
      <c r="E2" s="896"/>
      <c r="F2" s="896"/>
      <c r="G2" s="896"/>
      <c r="H2" s="896"/>
      <c r="I2" s="896"/>
      <c r="O2" s="895" t="s">
        <v>276</v>
      </c>
      <c r="P2" s="896"/>
    </row>
    <row r="3" spans="2:24" x14ac:dyDescent="0.2">
      <c r="B3" s="895" t="s">
        <v>277</v>
      </c>
      <c r="C3" s="896"/>
      <c r="D3" s="896"/>
      <c r="E3" s="896"/>
      <c r="F3" s="896"/>
      <c r="G3" s="896"/>
      <c r="H3" s="896"/>
      <c r="I3" s="896"/>
      <c r="O3" s="895" t="s">
        <v>277</v>
      </c>
      <c r="P3" s="896"/>
    </row>
    <row r="4" spans="2:24" x14ac:dyDescent="0.2">
      <c r="B4" s="895" t="s">
        <v>562</v>
      </c>
      <c r="C4" s="896"/>
      <c r="D4" s="896"/>
      <c r="E4" s="896"/>
      <c r="F4" s="896"/>
      <c r="G4" s="896"/>
      <c r="H4" s="896"/>
      <c r="I4" s="896"/>
      <c r="O4" s="895" t="s">
        <v>562</v>
      </c>
      <c r="P4" s="896"/>
    </row>
    <row r="5" spans="2:24" x14ac:dyDescent="0.2">
      <c r="B5" s="895" t="s">
        <v>621</v>
      </c>
      <c r="C5" s="896"/>
      <c r="D5" s="896"/>
      <c r="E5" s="896"/>
      <c r="F5" s="896"/>
      <c r="G5" s="896"/>
      <c r="H5" s="896"/>
      <c r="I5" s="896"/>
      <c r="O5" s="895" t="s">
        <v>621</v>
      </c>
      <c r="P5" s="896"/>
    </row>
    <row r="6" spans="2:24" x14ac:dyDescent="0.2">
      <c r="C6" s="896"/>
      <c r="D6" s="896"/>
      <c r="E6" s="896"/>
      <c r="F6" s="896"/>
      <c r="G6" s="896"/>
      <c r="H6" s="896"/>
      <c r="I6" s="896"/>
      <c r="P6" s="896"/>
    </row>
    <row r="7" spans="2:24" x14ac:dyDescent="0.2">
      <c r="B7" s="168" t="s">
        <v>563</v>
      </c>
      <c r="C7" s="896"/>
      <c r="D7" s="896"/>
      <c r="E7" s="896"/>
      <c r="F7" s="896"/>
      <c r="G7" s="896"/>
      <c r="H7" s="896"/>
      <c r="I7" s="896"/>
      <c r="O7" s="168" t="s">
        <v>564</v>
      </c>
      <c r="P7" s="896"/>
    </row>
    <row r="8" spans="2:24" x14ac:dyDescent="0.2">
      <c r="B8" s="601" t="s">
        <v>617</v>
      </c>
      <c r="C8" s="896"/>
      <c r="D8" s="896"/>
      <c r="E8" s="896"/>
      <c r="F8" s="896"/>
      <c r="G8" s="896"/>
      <c r="H8" s="896"/>
      <c r="I8" s="896"/>
      <c r="O8" s="601" t="s">
        <v>618</v>
      </c>
      <c r="P8" s="896"/>
    </row>
    <row r="9" spans="2:24" x14ac:dyDescent="0.2">
      <c r="B9" s="601" t="s">
        <v>561</v>
      </c>
      <c r="C9" s="896"/>
      <c r="D9" s="896"/>
      <c r="E9" s="896"/>
      <c r="F9" s="896"/>
      <c r="G9" s="896"/>
      <c r="H9" s="896"/>
      <c r="I9" s="896"/>
      <c r="P9" s="896"/>
    </row>
    <row r="10" spans="2:24" ht="13.5" thickBot="1" x14ac:dyDescent="0.25">
      <c r="C10" s="896"/>
      <c r="D10" s="896"/>
      <c r="E10" s="896"/>
      <c r="F10" s="896"/>
      <c r="G10" s="896"/>
      <c r="H10" s="896"/>
      <c r="I10" s="896"/>
      <c r="P10" s="896"/>
    </row>
    <row r="11" spans="2:24" ht="13.5" thickBot="1" x14ac:dyDescent="0.25">
      <c r="B11" s="897"/>
      <c r="C11" s="896"/>
      <c r="D11" s="1633" t="s">
        <v>565</v>
      </c>
      <c r="E11" s="1634"/>
      <c r="F11" s="1634"/>
      <c r="G11" s="1634"/>
      <c r="H11" s="1634"/>
      <c r="I11" s="1634"/>
      <c r="J11" s="1634"/>
      <c r="K11" s="1634"/>
      <c r="L11" s="1635"/>
      <c r="M11" s="1305"/>
      <c r="N11" s="1305"/>
      <c r="O11" s="897"/>
      <c r="P11" s="896"/>
      <c r="Q11" s="1630" t="s">
        <v>566</v>
      </c>
      <c r="R11" s="1631"/>
      <c r="S11" s="1631"/>
      <c r="T11" s="1631"/>
      <c r="U11" s="1631"/>
      <c r="V11" s="1631"/>
      <c r="W11" s="1631"/>
      <c r="X11" s="1632"/>
    </row>
    <row r="12" spans="2:24" ht="13.5" customHeight="1" thickBot="1" x14ac:dyDescent="0.25">
      <c r="B12" s="1011"/>
      <c r="C12" s="1454"/>
      <c r="D12" s="1012"/>
      <c r="E12" s="1012"/>
      <c r="F12" s="964" t="s">
        <v>178</v>
      </c>
      <c r="G12" s="964" t="s">
        <v>487</v>
      </c>
      <c r="H12" s="1012"/>
      <c r="I12" s="1012"/>
      <c r="J12" s="1580" t="s">
        <v>213</v>
      </c>
      <c r="K12" s="1581"/>
      <c r="L12" s="1582"/>
      <c r="M12" s="58"/>
      <c r="N12" s="58"/>
      <c r="O12" s="1011"/>
      <c r="P12" s="1012"/>
      <c r="Q12" s="1011"/>
      <c r="R12" s="1012"/>
      <c r="S12" s="964" t="s">
        <v>178</v>
      </c>
      <c r="T12" s="1012"/>
      <c r="U12" s="1012"/>
      <c r="V12" s="1580" t="s">
        <v>213</v>
      </c>
      <c r="W12" s="1581"/>
      <c r="X12" s="1582"/>
    </row>
    <row r="13" spans="2:24" ht="51" x14ac:dyDescent="0.2">
      <c r="B13" s="1404" t="s">
        <v>173</v>
      </c>
      <c r="C13" s="70" t="s">
        <v>158</v>
      </c>
      <c r="D13" s="69" t="s">
        <v>207</v>
      </c>
      <c r="E13" s="69" t="s">
        <v>208</v>
      </c>
      <c r="F13" s="67" t="s">
        <v>201</v>
      </c>
      <c r="G13" s="1187" t="s">
        <v>505</v>
      </c>
      <c r="H13" s="69" t="s">
        <v>202</v>
      </c>
      <c r="I13" s="69" t="s">
        <v>203</v>
      </c>
      <c r="J13" s="1310" t="s">
        <v>204</v>
      </c>
      <c r="K13" s="1311" t="s">
        <v>205</v>
      </c>
      <c r="L13" s="1312" t="s">
        <v>206</v>
      </c>
      <c r="M13" s="69"/>
      <c r="N13" s="69"/>
      <c r="O13" s="1404" t="s">
        <v>173</v>
      </c>
      <c r="P13" s="69" t="s">
        <v>158</v>
      </c>
      <c r="Q13" s="1025" t="s">
        <v>207</v>
      </c>
      <c r="R13" s="69" t="s">
        <v>208</v>
      </c>
      <c r="S13" s="67" t="s">
        <v>201</v>
      </c>
      <c r="T13" s="69" t="s">
        <v>202</v>
      </c>
      <c r="U13" s="69" t="s">
        <v>203</v>
      </c>
      <c r="V13" s="68" t="s">
        <v>204</v>
      </c>
      <c r="W13" s="69" t="s">
        <v>205</v>
      </c>
      <c r="X13" s="70" t="s">
        <v>206</v>
      </c>
    </row>
    <row r="14" spans="2:24" x14ac:dyDescent="0.2">
      <c r="B14" s="1318"/>
      <c r="C14" s="74"/>
      <c r="D14" s="72"/>
      <c r="E14" s="72"/>
      <c r="F14" s="1308" t="s">
        <v>197</v>
      </c>
      <c r="G14" s="1308" t="s">
        <v>198</v>
      </c>
      <c r="H14" s="72"/>
      <c r="I14" s="72"/>
      <c r="J14" s="73"/>
      <c r="K14" s="72"/>
      <c r="L14" s="74"/>
      <c r="M14" s="69"/>
      <c r="N14" s="69"/>
      <c r="O14" s="1318"/>
      <c r="P14" s="72"/>
      <c r="Q14" s="1023"/>
      <c r="R14" s="72"/>
      <c r="S14" s="1308" t="s">
        <v>197</v>
      </c>
      <c r="T14" s="72"/>
      <c r="U14" s="72"/>
      <c r="V14" s="73"/>
      <c r="W14" s="72"/>
      <c r="X14" s="74"/>
    </row>
    <row r="15" spans="2:24" ht="13.5" thickBot="1" x14ac:dyDescent="0.25">
      <c r="B15" s="1320"/>
      <c r="C15" s="1450"/>
      <c r="D15" s="109" t="s">
        <v>35</v>
      </c>
      <c r="E15" s="109" t="s">
        <v>36</v>
      </c>
      <c r="F15" s="129" t="s">
        <v>13</v>
      </c>
      <c r="G15" s="129" t="s">
        <v>37</v>
      </c>
      <c r="H15" s="109" t="s">
        <v>513</v>
      </c>
      <c r="I15" s="109" t="s">
        <v>489</v>
      </c>
      <c r="J15" s="125" t="s">
        <v>40</v>
      </c>
      <c r="K15" s="109" t="s">
        <v>41</v>
      </c>
      <c r="L15" s="126" t="s">
        <v>42</v>
      </c>
      <c r="M15" s="619"/>
      <c r="N15" s="619"/>
      <c r="O15" s="1320"/>
      <c r="P15" s="76"/>
      <c r="Q15" s="1024" t="s">
        <v>35</v>
      </c>
      <c r="R15" s="109" t="s">
        <v>36</v>
      </c>
      <c r="S15" s="129" t="s">
        <v>13</v>
      </c>
      <c r="T15" s="109" t="s">
        <v>215</v>
      </c>
      <c r="U15" s="109" t="s">
        <v>216</v>
      </c>
      <c r="V15" s="125" t="s">
        <v>39</v>
      </c>
      <c r="W15" s="109" t="s">
        <v>40</v>
      </c>
      <c r="X15" s="126" t="s">
        <v>41</v>
      </c>
    </row>
    <row r="16" spans="2:24" ht="12" customHeight="1" thickTop="1" x14ac:dyDescent="0.2">
      <c r="B16" s="284"/>
      <c r="C16" s="70"/>
      <c r="D16" s="69"/>
      <c r="E16" s="69"/>
      <c r="F16" s="67"/>
      <c r="G16" s="67"/>
      <c r="H16" s="69"/>
      <c r="I16" s="69"/>
      <c r="J16" s="68"/>
      <c r="K16" s="69"/>
      <c r="L16" s="70"/>
      <c r="M16" s="69"/>
      <c r="N16" s="69"/>
      <c r="O16" s="284"/>
      <c r="P16" s="69"/>
      <c r="Q16" s="1025"/>
      <c r="R16" s="69"/>
      <c r="S16" s="67"/>
      <c r="T16" s="69"/>
      <c r="U16" s="69"/>
      <c r="V16" s="68"/>
      <c r="W16" s="69"/>
      <c r="X16" s="70"/>
    </row>
    <row r="17" spans="2:24" x14ac:dyDescent="0.2">
      <c r="B17" s="284">
        <v>1</v>
      </c>
      <c r="C17" s="1451" t="s">
        <v>281</v>
      </c>
      <c r="D17" s="80">
        <f>'Rate Spread Proposal'!E$15</f>
        <v>208635.1321174161</v>
      </c>
      <c r="E17" s="81">
        <f>'Rate Spread Proposal'!E$14</f>
        <v>283691.13211741613</v>
      </c>
      <c r="F17" s="82">
        <f>SUM('Rev Req Proof Yr1'!AF14:AH14)</f>
        <v>28394.63053745855</v>
      </c>
      <c r="G17" s="82">
        <f>SUM('Rev Req Proof Yr1'!AM14:AO14)</f>
        <v>-1953.8082260179419</v>
      </c>
      <c r="H17" s="81">
        <f>D17+F17+G17</f>
        <v>235075.9544288567</v>
      </c>
      <c r="I17" s="81">
        <f>E17+F17+G17</f>
        <v>310131.95442885678</v>
      </c>
      <c r="J17" s="83">
        <f>IFERROR((F17+G17)/D17,0)</f>
        <v>0.12673235827109017</v>
      </c>
      <c r="K17" s="84">
        <f>IFERROR((F17+G17)/E17,0)</f>
        <v>9.3202850981246352E-2</v>
      </c>
      <c r="L17" s="1302">
        <f>'Avg Bill by RS'!S14</f>
        <v>8.5999999999999993E-2</v>
      </c>
      <c r="M17" s="1303"/>
      <c r="N17" s="1303"/>
      <c r="O17" s="284">
        <v>1</v>
      </c>
      <c r="P17" s="79" t="s">
        <v>281</v>
      </c>
      <c r="Q17" s="1190">
        <f t="shared" ref="Q17:Q39" si="0">H17</f>
        <v>235075.9544288567</v>
      </c>
      <c r="R17" s="81">
        <f t="shared" ref="R17:R39" si="1">I17</f>
        <v>310131.95442885678</v>
      </c>
      <c r="S17" s="82">
        <f>SUM('Rev Req Proof Yr2'!AF14:AH14)</f>
        <v>13313.807483007986</v>
      </c>
      <c r="T17" s="81">
        <f>Q17+S17</f>
        <v>248389.76191186468</v>
      </c>
      <c r="U17" s="81">
        <f>R17+S17</f>
        <v>323445.76191186474</v>
      </c>
      <c r="V17" s="83">
        <f>IFERROR((S17)/Q17,0)</f>
        <v>5.6636194524256507E-2</v>
      </c>
      <c r="W17" s="84">
        <f>IFERROR((S17)/R17,0)</f>
        <v>4.2929492730044136E-2</v>
      </c>
      <c r="X17" s="589">
        <f>'Avg Bill by RS'!AL14</f>
        <v>4.1000000000000002E-2</v>
      </c>
    </row>
    <row r="18" spans="2:24" x14ac:dyDescent="0.2">
      <c r="B18" s="284">
        <v>2</v>
      </c>
      <c r="C18" s="783" t="s">
        <v>282</v>
      </c>
      <c r="D18" s="80">
        <f>'Rate Spread Proposal'!F$15</f>
        <v>37604.380821902283</v>
      </c>
      <c r="E18" s="81">
        <f>'Rate Spread Proposal'!F$14</f>
        <v>53871.380821902283</v>
      </c>
      <c r="F18" s="82">
        <f>SUM('Rev Req Proof Yr1'!AF15:AH15)</f>
        <v>5117.9001141686094</v>
      </c>
      <c r="G18" s="82">
        <f>SUM('Rev Req Proof Yr1'!AM15:AO15)</f>
        <v>-351.83527201159131</v>
      </c>
      <c r="H18" s="81">
        <f t="shared" ref="H18:H39" si="2">D18+F18+G18</f>
        <v>42370.445664059298</v>
      </c>
      <c r="I18" s="81">
        <f t="shared" ref="I18:I39" si="3">E18+F18+G18</f>
        <v>58637.445664059298</v>
      </c>
      <c r="J18" s="83">
        <f t="shared" ref="J18:J39" si="4">IFERROR((F18+G18)/D18,0)</f>
        <v>0.12674227677699385</v>
      </c>
      <c r="K18" s="84">
        <f t="shared" ref="K18:K39" si="5">IFERROR((F18+G18)/E18,0)</f>
        <v>8.8471183946695828E-2</v>
      </c>
      <c r="L18" s="1302">
        <f>'Avg Bill by RS'!S15</f>
        <v>8.2000000000000003E-2</v>
      </c>
      <c r="M18" s="1303"/>
      <c r="N18" s="1303"/>
      <c r="O18" s="284">
        <v>2</v>
      </c>
      <c r="P18" s="86" t="s">
        <v>282</v>
      </c>
      <c r="Q18" s="1190">
        <f t="shared" si="0"/>
        <v>42370.445664059298</v>
      </c>
      <c r="R18" s="81">
        <f t="shared" si="1"/>
        <v>58637.445664059298</v>
      </c>
      <c r="S18" s="82">
        <f>SUM('Rev Req Proof Yr2'!AF15:AH15)</f>
        <v>2400.0191769362136</v>
      </c>
      <c r="T18" s="81">
        <f t="shared" ref="T18:T39" si="6">Q18+S18</f>
        <v>44770.464840995512</v>
      </c>
      <c r="U18" s="81">
        <f t="shared" ref="U18:U39" si="7">R18+S18</f>
        <v>61037.464840995512</v>
      </c>
      <c r="V18" s="83">
        <f t="shared" ref="V18:V38" si="8">IFERROR((S18)/Q18,0)</f>
        <v>5.6643708587942189E-2</v>
      </c>
      <c r="W18" s="84">
        <f>IFERROR((S18)/R18,0)</f>
        <v>4.0929804321392184E-2</v>
      </c>
      <c r="X18" s="589">
        <f>'Avg Bill by RS'!AL15</f>
        <v>3.9E-2</v>
      </c>
    </row>
    <row r="19" spans="2:24" x14ac:dyDescent="0.2">
      <c r="B19" s="284">
        <v>3</v>
      </c>
      <c r="C19" s="783" t="s">
        <v>12</v>
      </c>
      <c r="D19" s="80">
        <f>'Rate Spread Proposal'!G$15</f>
        <v>33798099.589697547</v>
      </c>
      <c r="E19" s="81">
        <f>'Rate Spread Proposal'!G$14</f>
        <v>53008197.589697547</v>
      </c>
      <c r="F19" s="82">
        <f>SUM('Rev Req Proof Yr1'!AF16:AH16)</f>
        <v>4599609.2712115422</v>
      </c>
      <c r="G19" s="82">
        <f>SUM('Rev Req Proof Yr1'!AM16:AO16)</f>
        <v>-316532.25092208461</v>
      </c>
      <c r="H19" s="81">
        <f t="shared" si="2"/>
        <v>38081176.609987006</v>
      </c>
      <c r="I19" s="81">
        <f t="shared" si="3"/>
        <v>57291274.609987006</v>
      </c>
      <c r="J19" s="83">
        <f t="shared" si="4"/>
        <v>0.1267253801925313</v>
      </c>
      <c r="K19" s="84">
        <f t="shared" si="5"/>
        <v>8.0800276467462809E-2</v>
      </c>
      <c r="L19" s="1302">
        <f>'Avg Bill by RS'!S16</f>
        <v>7.5999999999999998E-2</v>
      </c>
      <c r="M19" s="1303"/>
      <c r="N19" s="1303"/>
      <c r="O19" s="284">
        <v>3</v>
      </c>
      <c r="P19" s="86" t="s">
        <v>12</v>
      </c>
      <c r="Q19" s="1190">
        <f t="shared" si="0"/>
        <v>38081176.609987006</v>
      </c>
      <c r="R19" s="81">
        <f t="shared" si="1"/>
        <v>57291274.609987006</v>
      </c>
      <c r="S19" s="82">
        <f>SUM('Rev Req Proof Yr2'!AF16:AH16)</f>
        <v>2156925.4945645519</v>
      </c>
      <c r="T19" s="81">
        <f t="shared" si="6"/>
        <v>40238102.104551554</v>
      </c>
      <c r="U19" s="81">
        <f t="shared" si="7"/>
        <v>59448200.104551554</v>
      </c>
      <c r="V19" s="83">
        <f t="shared" si="8"/>
        <v>5.6640200922754208E-2</v>
      </c>
      <c r="W19" s="84">
        <f t="shared" ref="W19:W38" si="9">IFERROR((S19)/R19,0)</f>
        <v>3.7648411721469308E-2</v>
      </c>
      <c r="X19" s="589">
        <f>'Avg Bill by RS'!AL16</f>
        <v>3.5999999999999997E-2</v>
      </c>
    </row>
    <row r="20" spans="2:24" x14ac:dyDescent="0.2">
      <c r="B20" s="284">
        <v>4</v>
      </c>
      <c r="C20" s="783" t="s">
        <v>10</v>
      </c>
      <c r="D20" s="80">
        <f>'Rate Spread Proposal'!H$15</f>
        <v>9866168.0688334089</v>
      </c>
      <c r="E20" s="81">
        <f>'Rate Spread Proposal'!H$14</f>
        <v>16112007.068833409</v>
      </c>
      <c r="F20" s="82">
        <f>SUM('Rev Req Proof Yr1'!AF17:AH17)</f>
        <v>1342720.8770816317</v>
      </c>
      <c r="G20" s="82">
        <f>SUM('Rev Req Proof Yr1'!AM17:AO17)</f>
        <v>-92373.478835822199</v>
      </c>
      <c r="H20" s="81">
        <f t="shared" si="2"/>
        <v>11116515.467079217</v>
      </c>
      <c r="I20" s="81">
        <f t="shared" si="3"/>
        <v>17362354.467079218</v>
      </c>
      <c r="J20" s="83">
        <f t="shared" si="4"/>
        <v>0.12673080263000755</v>
      </c>
      <c r="K20" s="84">
        <f t="shared" si="5"/>
        <v>7.7603453927502591E-2</v>
      </c>
      <c r="L20" s="1302">
        <f>'Avg Bill by RS'!S17</f>
        <v>7.2999999999999995E-2</v>
      </c>
      <c r="M20" s="1303"/>
      <c r="N20" s="1303"/>
      <c r="O20" s="284">
        <v>4</v>
      </c>
      <c r="P20" s="86" t="s">
        <v>10</v>
      </c>
      <c r="Q20" s="1190">
        <f t="shared" si="0"/>
        <v>11116515.467079217</v>
      </c>
      <c r="R20" s="81">
        <f t="shared" si="1"/>
        <v>17362354.467079218</v>
      </c>
      <c r="S20" s="82">
        <f>SUM('Rev Req Proof Yr2'!AF17:AH17)</f>
        <v>629640.50177454017</v>
      </c>
      <c r="T20" s="81">
        <f t="shared" si="6"/>
        <v>11746155.968853757</v>
      </c>
      <c r="U20" s="81">
        <f t="shared" si="7"/>
        <v>17991994.968853757</v>
      </c>
      <c r="V20" s="83">
        <f t="shared" si="8"/>
        <v>5.6640095868096124E-2</v>
      </c>
      <c r="W20" s="84">
        <f t="shared" si="9"/>
        <v>3.6264695722484086E-2</v>
      </c>
      <c r="X20" s="589">
        <f>'Avg Bill by RS'!AL17</f>
        <v>3.5000000000000003E-2</v>
      </c>
    </row>
    <row r="21" spans="2:24" x14ac:dyDescent="0.2">
      <c r="B21" s="284">
        <v>5</v>
      </c>
      <c r="C21" s="783" t="s">
        <v>11</v>
      </c>
      <c r="D21" s="80">
        <f>'Rate Spread Proposal'!I$15</f>
        <v>141888.72505190157</v>
      </c>
      <c r="E21" s="81">
        <f>'Rate Spread Proposal'!I$14</f>
        <v>241043.72505190157</v>
      </c>
      <c r="F21" s="82">
        <f>SUM('Rev Req Proof Yr1'!AF18:AH18)</f>
        <v>19311.028159999987</v>
      </c>
      <c r="G21" s="82">
        <f>SUM('Rev Req Proof Yr1'!AM18:AO18)</f>
        <v>-1330.3278799999996</v>
      </c>
      <c r="H21" s="81">
        <f t="shared" si="2"/>
        <v>159869.42533190156</v>
      </c>
      <c r="I21" s="81">
        <f t="shared" si="3"/>
        <v>259024.42533190156</v>
      </c>
      <c r="J21" s="83">
        <f t="shared" si="4"/>
        <v>0.12672395409446954</v>
      </c>
      <c r="K21" s="84">
        <f t="shared" si="5"/>
        <v>7.4595180920508847E-2</v>
      </c>
      <c r="L21" s="1302">
        <f>'Avg Bill by RS'!S18</f>
        <v>7.4999999999999997E-2</v>
      </c>
      <c r="M21" s="1303"/>
      <c r="N21" s="1303"/>
      <c r="O21" s="284">
        <v>5</v>
      </c>
      <c r="P21" s="86" t="s">
        <v>11</v>
      </c>
      <c r="Q21" s="1190">
        <f t="shared" si="0"/>
        <v>159869.42533190156</v>
      </c>
      <c r="R21" s="81">
        <f t="shared" si="1"/>
        <v>259024.42533190156</v>
      </c>
      <c r="S21" s="82">
        <f>SUM('Rev Req Proof Yr2'!AF18:AH18)</f>
        <v>9054.1718399999954</v>
      </c>
      <c r="T21" s="81">
        <f t="shared" si="6"/>
        <v>168923.59717190155</v>
      </c>
      <c r="U21" s="81">
        <f t="shared" si="7"/>
        <v>268078.59717190155</v>
      </c>
      <c r="V21" s="83">
        <f t="shared" si="8"/>
        <v>5.6634793183267029E-2</v>
      </c>
      <c r="W21" s="84">
        <f t="shared" si="9"/>
        <v>3.4954895965499819E-2</v>
      </c>
      <c r="X21" s="589">
        <f>'Avg Bill by RS'!AL18</f>
        <v>3.5000000000000003E-2</v>
      </c>
    </row>
    <row r="22" spans="2:24" x14ac:dyDescent="0.2">
      <c r="B22" s="284">
        <v>6</v>
      </c>
      <c r="C22" s="783" t="s">
        <v>470</v>
      </c>
      <c r="D22" s="80">
        <f>'Rate Spread Proposal'!J$15</f>
        <v>201938.20437801833</v>
      </c>
      <c r="E22" s="81">
        <f>'Rate Spread Proposal'!J$14</f>
        <v>363218.20437801839</v>
      </c>
      <c r="F22" s="82">
        <f>SUM('Rev Req Proof Yr1'!AF19:AH19)</f>
        <v>27483.916299070072</v>
      </c>
      <c r="G22" s="82">
        <f>SUM('Rev Req Proof Yr1'!AM19:AO19)</f>
        <v>-1891.6242542586419</v>
      </c>
      <c r="H22" s="81">
        <f t="shared" si="2"/>
        <v>227530.49642282975</v>
      </c>
      <c r="I22" s="81">
        <f t="shared" si="3"/>
        <v>388810.4964228298</v>
      </c>
      <c r="J22" s="83">
        <f t="shared" si="4"/>
        <v>0.12673328518314408</v>
      </c>
      <c r="K22" s="84">
        <f t="shared" si="5"/>
        <v>7.0459827553622068E-2</v>
      </c>
      <c r="L22" s="1302">
        <f>'Avg Bill by RS'!S19</f>
        <v>6.7000000000000004E-2</v>
      </c>
      <c r="M22" s="1303"/>
      <c r="N22" s="1303"/>
      <c r="O22" s="284">
        <v>6</v>
      </c>
      <c r="P22" s="86" t="s">
        <v>470</v>
      </c>
      <c r="Q22" s="1190">
        <f t="shared" si="0"/>
        <v>227530.49642282975</v>
      </c>
      <c r="R22" s="81">
        <f t="shared" si="1"/>
        <v>388810.4964228298</v>
      </c>
      <c r="S22" s="82">
        <f>SUM('Rev Req Proof Yr2'!AF19:AH19)</f>
        <v>12886.113517425343</v>
      </c>
      <c r="T22" s="81">
        <f t="shared" si="6"/>
        <v>240416.60994025509</v>
      </c>
      <c r="U22" s="81">
        <f t="shared" si="7"/>
        <v>401696.60994025518</v>
      </c>
      <c r="V22" s="83">
        <f t="shared" si="8"/>
        <v>5.6634665330657571E-2</v>
      </c>
      <c r="W22" s="84">
        <f t="shared" si="9"/>
        <v>3.3142401339422041E-2</v>
      </c>
      <c r="X22" s="589">
        <f>'Avg Bill by RS'!AL19</f>
        <v>3.2000000000000001E-2</v>
      </c>
    </row>
    <row r="23" spans="2:24" x14ac:dyDescent="0.2">
      <c r="B23" s="284">
        <v>7</v>
      </c>
      <c r="C23" s="783" t="s">
        <v>352</v>
      </c>
      <c r="D23" s="80">
        <f>'Rate Spread Proposal'!K$15</f>
        <v>1542348.175315036</v>
      </c>
      <c r="E23" s="81">
        <f>'Rate Spread Proposal'!K$14</f>
        <v>2853836.1753150364</v>
      </c>
      <c r="F23" s="82">
        <f>SUM('Rev Req Proof Yr1'!AF22:AH22)</f>
        <v>209902.4317501164</v>
      </c>
      <c r="G23" s="82">
        <f>SUM('Rev Req Proof Yr1'!AM22:AO22)</f>
        <v>-14451.994176944718</v>
      </c>
      <c r="H23" s="81">
        <f t="shared" si="2"/>
        <v>1737798.6128882077</v>
      </c>
      <c r="I23" s="81">
        <f t="shared" si="3"/>
        <v>3049286.6128882081</v>
      </c>
      <c r="J23" s="83">
        <f t="shared" si="4"/>
        <v>0.12672264324055721</v>
      </c>
      <c r="K23" s="84">
        <f t="shared" si="5"/>
        <v>6.8486915704471296E-2</v>
      </c>
      <c r="L23" s="1302">
        <f>'Avg Bill by RS'!S22</f>
        <v>7.4999999999999997E-2</v>
      </c>
      <c r="M23" s="1303"/>
      <c r="N23" s="1303"/>
      <c r="O23" s="284">
        <v>7</v>
      </c>
      <c r="P23" s="86" t="s">
        <v>352</v>
      </c>
      <c r="Q23" s="1190">
        <f t="shared" si="0"/>
        <v>1737798.6128882077</v>
      </c>
      <c r="R23" s="81">
        <f t="shared" si="1"/>
        <v>3049286.6128882081</v>
      </c>
      <c r="S23" s="82">
        <f>SUM('Rev Req Proof Yr2'!AF22:AH22)</f>
        <v>98435.082024062751</v>
      </c>
      <c r="T23" s="81">
        <f t="shared" si="6"/>
        <v>1836233.6949122704</v>
      </c>
      <c r="U23" s="81">
        <f t="shared" si="7"/>
        <v>3147721.6949122706</v>
      </c>
      <c r="V23" s="83">
        <f t="shared" si="8"/>
        <v>5.6643549657612174E-2</v>
      </c>
      <c r="W23" s="84">
        <f t="shared" si="9"/>
        <v>3.2281347908725277E-2</v>
      </c>
      <c r="X23" s="589">
        <f>'Avg Bill by RS'!AL22</f>
        <v>3.5999999999999997E-2</v>
      </c>
    </row>
    <row r="24" spans="2:24" x14ac:dyDescent="0.2">
      <c r="B24" s="284">
        <v>8</v>
      </c>
      <c r="C24" s="783" t="s">
        <v>353</v>
      </c>
      <c r="D24" s="80">
        <f>'Rate Spread Proposal'!L$15</f>
        <v>392614.2804678994</v>
      </c>
      <c r="E24" s="81">
        <f>'Rate Spread Proposal'!L$14</f>
        <v>747266.28046789952</v>
      </c>
      <c r="F24" s="82">
        <f>SUM('Rev Req Proof Yr1'!AF25:AH25)</f>
        <v>53433.67476200001</v>
      </c>
      <c r="G24" s="82">
        <f>SUM('Rev Req Proof Yr1'!AM25:AO25)</f>
        <v>-3674.6766820000012</v>
      </c>
      <c r="H24" s="81">
        <f t="shared" si="2"/>
        <v>442373.27854789939</v>
      </c>
      <c r="I24" s="81">
        <f t="shared" si="3"/>
        <v>797025.27854789945</v>
      </c>
      <c r="J24" s="83">
        <f t="shared" si="4"/>
        <v>0.12673761642266182</v>
      </c>
      <c r="K24" s="84">
        <f t="shared" si="5"/>
        <v>6.6588041479462304E-2</v>
      </c>
      <c r="L24" s="1302">
        <f>'Avg Bill by RS'!S25</f>
        <v>7.8E-2</v>
      </c>
      <c r="M24" s="1303"/>
      <c r="N24" s="1303"/>
      <c r="O24" s="284">
        <v>8</v>
      </c>
      <c r="P24" s="86" t="s">
        <v>353</v>
      </c>
      <c r="Q24" s="1190">
        <f t="shared" si="0"/>
        <v>442373.27854789939</v>
      </c>
      <c r="R24" s="81">
        <f t="shared" si="1"/>
        <v>797025.27854789945</v>
      </c>
      <c r="S24" s="82">
        <f>SUM('Rev Req Proof Yr2'!AF25:AH25)</f>
        <v>25056.720428000001</v>
      </c>
      <c r="T24" s="81">
        <f t="shared" si="6"/>
        <v>467429.99897589942</v>
      </c>
      <c r="U24" s="81">
        <f t="shared" si="7"/>
        <v>822081.99897589942</v>
      </c>
      <c r="V24" s="83">
        <f t="shared" si="8"/>
        <v>5.6641577697118757E-2</v>
      </c>
      <c r="W24" s="84">
        <f t="shared" si="9"/>
        <v>3.1437798903506356E-2</v>
      </c>
      <c r="X24" s="589">
        <f>'Avg Bill by RS'!AL25</f>
        <v>3.6999999999999998E-2</v>
      </c>
    </row>
    <row r="25" spans="2:24" x14ac:dyDescent="0.2">
      <c r="B25" s="284">
        <v>9</v>
      </c>
      <c r="C25" s="783" t="s">
        <v>355</v>
      </c>
      <c r="D25" s="80">
        <f>'Rate Spread Proposal'!M$15</f>
        <v>0</v>
      </c>
      <c r="E25" s="81">
        <f>'Rate Spread Proposal'!M$14</f>
        <v>0</v>
      </c>
      <c r="F25" s="82">
        <f>SUM('Rev Req Proof Yr1'!AF28:AH28)</f>
        <v>0</v>
      </c>
      <c r="G25" s="82">
        <f>SUM('Rev Req Proof Yr1'!AM28:AO28)</f>
        <v>0</v>
      </c>
      <c r="H25" s="81">
        <f t="shared" si="2"/>
        <v>0</v>
      </c>
      <c r="I25" s="81">
        <f t="shared" si="3"/>
        <v>0</v>
      </c>
      <c r="J25" s="83">
        <f t="shared" si="4"/>
        <v>0</v>
      </c>
      <c r="K25" s="84">
        <f t="shared" si="5"/>
        <v>0</v>
      </c>
      <c r="L25" s="1302">
        <f>'Avg Bill by RS'!S28</f>
        <v>0</v>
      </c>
      <c r="M25" s="1303"/>
      <c r="N25" s="1303"/>
      <c r="O25" s="284">
        <v>9</v>
      </c>
      <c r="P25" s="86" t="s">
        <v>355</v>
      </c>
      <c r="Q25" s="1190">
        <f t="shared" si="0"/>
        <v>0</v>
      </c>
      <c r="R25" s="81">
        <f t="shared" si="1"/>
        <v>0</v>
      </c>
      <c r="S25" s="82">
        <f>SUM('Rev Req Proof Yr2'!AF28:AH28)</f>
        <v>0</v>
      </c>
      <c r="T25" s="81">
        <f t="shared" si="6"/>
        <v>0</v>
      </c>
      <c r="U25" s="81">
        <f t="shared" si="7"/>
        <v>0</v>
      </c>
      <c r="V25" s="83">
        <f t="shared" si="8"/>
        <v>0</v>
      </c>
      <c r="W25" s="84">
        <f t="shared" si="9"/>
        <v>0</v>
      </c>
      <c r="X25" s="589">
        <f>'Avg Bill by RS'!AL28</f>
        <v>0</v>
      </c>
    </row>
    <row r="26" spans="2:24" x14ac:dyDescent="0.2">
      <c r="B26" s="284">
        <v>10</v>
      </c>
      <c r="C26" s="783" t="s">
        <v>356</v>
      </c>
      <c r="D26" s="80">
        <f>'Rate Spread Proposal'!N$15</f>
        <v>0</v>
      </c>
      <c r="E26" s="81">
        <f>'Rate Spread Proposal'!N$14</f>
        <v>0</v>
      </c>
      <c r="F26" s="82">
        <f>SUM('Rev Req Proof Yr1'!AF31:AH31)</f>
        <v>0</v>
      </c>
      <c r="G26" s="82">
        <f>SUM('Rev Req Proof Yr1'!AM31:AO31)</f>
        <v>0</v>
      </c>
      <c r="H26" s="81">
        <f t="shared" si="2"/>
        <v>0</v>
      </c>
      <c r="I26" s="81">
        <f t="shared" si="3"/>
        <v>0</v>
      </c>
      <c r="J26" s="83">
        <f t="shared" si="4"/>
        <v>0</v>
      </c>
      <c r="K26" s="84">
        <f t="shared" si="5"/>
        <v>0</v>
      </c>
      <c r="L26" s="1302">
        <f>'Avg Bill by RS'!S31</f>
        <v>0</v>
      </c>
      <c r="M26" s="1303"/>
      <c r="N26" s="1303"/>
      <c r="O26" s="284">
        <v>10</v>
      </c>
      <c r="P26" s="86" t="s">
        <v>356</v>
      </c>
      <c r="Q26" s="1190">
        <f t="shared" si="0"/>
        <v>0</v>
      </c>
      <c r="R26" s="81">
        <f t="shared" si="1"/>
        <v>0</v>
      </c>
      <c r="S26" s="82">
        <f>SUM('Rev Req Proof Yr2'!AF31:AH31)</f>
        <v>0</v>
      </c>
      <c r="T26" s="81">
        <f t="shared" si="6"/>
        <v>0</v>
      </c>
      <c r="U26" s="81">
        <f t="shared" si="7"/>
        <v>0</v>
      </c>
      <c r="V26" s="83">
        <f t="shared" si="8"/>
        <v>0</v>
      </c>
      <c r="W26" s="84">
        <f t="shared" si="9"/>
        <v>0</v>
      </c>
      <c r="X26" s="589">
        <f>'Avg Bill by RS'!AL31</f>
        <v>0</v>
      </c>
    </row>
    <row r="27" spans="2:24" x14ac:dyDescent="0.2">
      <c r="B27" s="284">
        <v>11</v>
      </c>
      <c r="C27" s="783" t="s">
        <v>357</v>
      </c>
      <c r="D27" s="80">
        <f>'Rate Spread Proposal'!O$15</f>
        <v>189841.33809000003</v>
      </c>
      <c r="E27" s="81">
        <f>'Rate Spread Proposal'!O$14</f>
        <v>189841.33809000003</v>
      </c>
      <c r="F27" s="82">
        <f>SUM('Rev Req Proof Yr1'!AF34:AH34)</f>
        <v>25836.995390000004</v>
      </c>
      <c r="G27" s="82">
        <f>SUM('Rev Req Proof Yr1'!AM34:AO34)</f>
        <v>-1779.01313</v>
      </c>
      <c r="H27" s="81">
        <f t="shared" si="2"/>
        <v>213899.32035000002</v>
      </c>
      <c r="I27" s="81">
        <f t="shared" si="3"/>
        <v>213899.32035000002</v>
      </c>
      <c r="J27" s="83">
        <f t="shared" si="4"/>
        <v>0.1267267840716261</v>
      </c>
      <c r="K27" s="84">
        <f t="shared" si="5"/>
        <v>0.1267267840716261</v>
      </c>
      <c r="L27" s="1302">
        <f>'Avg Bill by RS'!S34</f>
        <v>0.127</v>
      </c>
      <c r="M27" s="1303"/>
      <c r="N27" s="1303"/>
      <c r="O27" s="284">
        <v>11</v>
      </c>
      <c r="P27" s="86" t="s">
        <v>357</v>
      </c>
      <c r="Q27" s="1190">
        <f t="shared" si="0"/>
        <v>213899.32035000002</v>
      </c>
      <c r="R27" s="81">
        <f t="shared" si="1"/>
        <v>213899.32035000002</v>
      </c>
      <c r="S27" s="82">
        <f>SUM('Rev Req Proof Yr2'!AF34:AH34)</f>
        <v>12114.902749999994</v>
      </c>
      <c r="T27" s="81">
        <f t="shared" si="6"/>
        <v>226014.2231</v>
      </c>
      <c r="U27" s="81">
        <f t="shared" si="7"/>
        <v>226014.2231</v>
      </c>
      <c r="V27" s="83">
        <f>IFERROR((S27)/Q27,0)</f>
        <v>5.6638341487839104E-2</v>
      </c>
      <c r="W27" s="84">
        <f t="shared" si="9"/>
        <v>5.6638341487839104E-2</v>
      </c>
      <c r="X27" s="589">
        <f>'Avg Bill by RS'!AL34</f>
        <v>5.7000000000000002E-2</v>
      </c>
    </row>
    <row r="28" spans="2:24" x14ac:dyDescent="0.2">
      <c r="B28" s="284">
        <v>12</v>
      </c>
      <c r="C28" s="783" t="s">
        <v>358</v>
      </c>
      <c r="D28" s="80">
        <f>'Rate Spread Proposal'!P$15</f>
        <v>0</v>
      </c>
      <c r="E28" s="81">
        <f>'Rate Spread Proposal'!P$14</f>
        <v>0</v>
      </c>
      <c r="F28" s="82">
        <f>SUM('Rev Req Proof Yr1'!AF37:AH37)</f>
        <v>0</v>
      </c>
      <c r="G28" s="82">
        <f>SUM('Rev Req Proof Yr1'!AM37:AO37)</f>
        <v>0</v>
      </c>
      <c r="H28" s="81">
        <f t="shared" si="2"/>
        <v>0</v>
      </c>
      <c r="I28" s="81">
        <f t="shared" si="3"/>
        <v>0</v>
      </c>
      <c r="J28" s="83">
        <f t="shared" si="4"/>
        <v>0</v>
      </c>
      <c r="K28" s="84">
        <f t="shared" si="5"/>
        <v>0</v>
      </c>
      <c r="L28" s="1302">
        <f>'Avg Bill by RS'!S37</f>
        <v>0</v>
      </c>
      <c r="M28" s="1303"/>
      <c r="N28" s="1303"/>
      <c r="O28" s="284">
        <v>12</v>
      </c>
      <c r="P28" s="86" t="s">
        <v>358</v>
      </c>
      <c r="Q28" s="1190">
        <f t="shared" si="0"/>
        <v>0</v>
      </c>
      <c r="R28" s="81">
        <f t="shared" si="1"/>
        <v>0</v>
      </c>
      <c r="S28" s="82">
        <f>SUM('Rev Req Proof Yr2'!AF37:AH37)</f>
        <v>0</v>
      </c>
      <c r="T28" s="81">
        <f t="shared" si="6"/>
        <v>0</v>
      </c>
      <c r="U28" s="81">
        <f t="shared" si="7"/>
        <v>0</v>
      </c>
      <c r="V28" s="83">
        <f t="shared" si="8"/>
        <v>0</v>
      </c>
      <c r="W28" s="84">
        <f t="shared" si="9"/>
        <v>0</v>
      </c>
      <c r="X28" s="589">
        <f>'Avg Bill by RS'!AL37</f>
        <v>0</v>
      </c>
    </row>
    <row r="29" spans="2:24" x14ac:dyDescent="0.2">
      <c r="B29" s="284">
        <v>13</v>
      </c>
      <c r="C29" s="783" t="s">
        <v>359</v>
      </c>
      <c r="D29" s="80">
        <f>'Rate Spread Proposal'!Q$15</f>
        <v>219574.60083981926</v>
      </c>
      <c r="E29" s="81">
        <f>'Rate Spread Proposal'!Q$14</f>
        <v>470188.60083981924</v>
      </c>
      <c r="F29" s="82">
        <f>SUM('Rev Req Proof Yr1'!AF44:AH44)</f>
        <v>29883.943719079431</v>
      </c>
      <c r="G29" s="82">
        <f>SUM('Rev Req Proof Yr1'!AM44:AO44)</f>
        <v>-2055.595853643305</v>
      </c>
      <c r="H29" s="81">
        <f t="shared" si="2"/>
        <v>247402.94870525537</v>
      </c>
      <c r="I29" s="81">
        <f t="shared" si="3"/>
        <v>498016.94870525534</v>
      </c>
      <c r="J29" s="83">
        <f t="shared" si="4"/>
        <v>0.12673755415699031</v>
      </c>
      <c r="K29" s="84">
        <f t="shared" si="5"/>
        <v>5.91855009154433E-2</v>
      </c>
      <c r="L29" s="1302">
        <f>'Avg Bill by RS'!S44</f>
        <v>7.5999999999999998E-2</v>
      </c>
      <c r="M29" s="1303"/>
      <c r="N29" s="1303"/>
      <c r="O29" s="284">
        <v>13</v>
      </c>
      <c r="P29" s="86" t="s">
        <v>359</v>
      </c>
      <c r="Q29" s="1190">
        <f t="shared" si="0"/>
        <v>247402.94870525537</v>
      </c>
      <c r="R29" s="81">
        <f t="shared" si="1"/>
        <v>498016.94870525534</v>
      </c>
      <c r="S29" s="82">
        <f>SUM('Rev Req Proof Yr2'!AF44:AH44)</f>
        <v>14012.424282822392</v>
      </c>
      <c r="T29" s="81">
        <f t="shared" si="6"/>
        <v>261415.37298807775</v>
      </c>
      <c r="U29" s="81">
        <f t="shared" si="7"/>
        <v>512029.37298807775</v>
      </c>
      <c r="V29" s="83">
        <f t="shared" si="8"/>
        <v>5.663806497115019E-2</v>
      </c>
      <c r="W29" s="84">
        <f t="shared" si="9"/>
        <v>2.813644057547017E-2</v>
      </c>
      <c r="X29" s="589">
        <f>'Avg Bill by RS'!AL44</f>
        <v>3.6999999999999998E-2</v>
      </c>
    </row>
    <row r="30" spans="2:24" x14ac:dyDescent="0.2">
      <c r="B30" s="284">
        <v>14</v>
      </c>
      <c r="C30" s="783" t="s">
        <v>360</v>
      </c>
      <c r="D30" s="80">
        <f>'Rate Spread Proposal'!R$15</f>
        <v>511672.37933789124</v>
      </c>
      <c r="E30" s="81">
        <f>'Rate Spread Proposal'!R$14</f>
        <v>1154958.3793378912</v>
      </c>
      <c r="F30" s="82">
        <f>SUM('Rev Req Proof Yr1'!AF51:AH51)</f>
        <v>69637.109626000005</v>
      </c>
      <c r="G30" s="82">
        <f>SUM('Rev Req Proof Yr1'!AM51:AO51)</f>
        <v>-4788.9728660000001</v>
      </c>
      <c r="H30" s="81">
        <f t="shared" si="2"/>
        <v>576520.51609789126</v>
      </c>
      <c r="I30" s="81">
        <f t="shared" si="3"/>
        <v>1219806.5160978914</v>
      </c>
      <c r="J30" s="83">
        <f t="shared" si="4"/>
        <v>0.12673761449448198</v>
      </c>
      <c r="K30" s="84">
        <f t="shared" si="5"/>
        <v>5.6147596242538039E-2</v>
      </c>
      <c r="L30" s="1302">
        <f>'Avg Bill by RS'!S51</f>
        <v>7.1999999999999995E-2</v>
      </c>
      <c r="M30" s="1303"/>
      <c r="N30" s="1303"/>
      <c r="O30" s="284">
        <v>14</v>
      </c>
      <c r="P30" s="86" t="s">
        <v>360</v>
      </c>
      <c r="Q30" s="1190">
        <f t="shared" si="0"/>
        <v>576520.51609789126</v>
      </c>
      <c r="R30" s="81">
        <f t="shared" si="1"/>
        <v>1219806.5160978914</v>
      </c>
      <c r="S30" s="82">
        <f>SUM('Rev Req Proof Yr2'!AF51:AH51)</f>
        <v>32655.57115500002</v>
      </c>
      <c r="T30" s="81">
        <f t="shared" si="6"/>
        <v>609176.08725289127</v>
      </c>
      <c r="U30" s="81">
        <f t="shared" si="7"/>
        <v>1252462.0872528914</v>
      </c>
      <c r="V30" s="83">
        <f t="shared" si="8"/>
        <v>5.6642513567470708E-2</v>
      </c>
      <c r="W30" s="84">
        <f t="shared" si="9"/>
        <v>2.6771107322384035E-2</v>
      </c>
      <c r="X30" s="589">
        <f>'Avg Bill by RS'!AL51</f>
        <v>3.4000000000000002E-2</v>
      </c>
    </row>
    <row r="31" spans="2:24" x14ac:dyDescent="0.2">
      <c r="B31" s="284">
        <v>15</v>
      </c>
      <c r="C31" s="783" t="s">
        <v>361</v>
      </c>
      <c r="D31" s="80">
        <f>'Rate Spread Proposal'!S$15</f>
        <v>360784.67333999998</v>
      </c>
      <c r="E31" s="81">
        <f>'Rate Spread Proposal'!S$14</f>
        <v>360784.67333999998</v>
      </c>
      <c r="F31" s="82">
        <f>SUM('Rev Req Proof Yr1'!AF58:AH58)</f>
        <v>49098.639150000003</v>
      </c>
      <c r="G31" s="82">
        <f>SUM('Rev Req Proof Yr1'!AM58:AO58)</f>
        <v>-3383.8287</v>
      </c>
      <c r="H31" s="81">
        <f t="shared" si="2"/>
        <v>406499.48378999997</v>
      </c>
      <c r="I31" s="81">
        <f t="shared" si="3"/>
        <v>406499.48378999997</v>
      </c>
      <c r="J31" s="83">
        <f t="shared" si="4"/>
        <v>0.12670940266611272</v>
      </c>
      <c r="K31" s="84">
        <f t="shared" si="5"/>
        <v>0.12670940266611272</v>
      </c>
      <c r="L31" s="1302">
        <f>'Avg Bill by RS'!S58</f>
        <v>0.13500000000000001</v>
      </c>
      <c r="M31" s="1303"/>
      <c r="N31" s="1303"/>
      <c r="O31" s="284">
        <v>15</v>
      </c>
      <c r="P31" s="86" t="s">
        <v>361</v>
      </c>
      <c r="Q31" s="1190">
        <f t="shared" si="0"/>
        <v>406499.48378999997</v>
      </c>
      <c r="R31" s="81">
        <f t="shared" si="1"/>
        <v>406499.48378999997</v>
      </c>
      <c r="S31" s="82">
        <f>SUM('Rev Req Proof Yr2'!AF58:AH58)</f>
        <v>23020.772400000023</v>
      </c>
      <c r="T31" s="81">
        <f t="shared" si="6"/>
        <v>429520.25618999999</v>
      </c>
      <c r="U31" s="81">
        <f t="shared" si="7"/>
        <v>429520.25618999999</v>
      </c>
      <c r="V31" s="83">
        <f t="shared" si="8"/>
        <v>5.6631738336702757E-2</v>
      </c>
      <c r="W31" s="84">
        <f t="shared" si="9"/>
        <v>5.6631738336702757E-2</v>
      </c>
      <c r="X31" s="589">
        <f>'Avg Bill by RS'!AL58</f>
        <v>6.0999999999999999E-2</v>
      </c>
    </row>
    <row r="32" spans="2:24" x14ac:dyDescent="0.2">
      <c r="B32" s="284">
        <v>16</v>
      </c>
      <c r="C32" s="783" t="s">
        <v>362</v>
      </c>
      <c r="D32" s="80">
        <f>'Rate Spread Proposal'!T$15</f>
        <v>823615.79209999996</v>
      </c>
      <c r="E32" s="81">
        <f>'Rate Spread Proposal'!T$14</f>
        <v>823615.79209999996</v>
      </c>
      <c r="F32" s="82">
        <f>SUM('Rev Req Proof Yr1'!AF65:AH65)</f>
        <v>112098.45365</v>
      </c>
      <c r="G32" s="82">
        <f>SUM('Rev Req Proof Yr1'!AM65:AO65)</f>
        <v>-7716.6626000000006</v>
      </c>
      <c r="H32" s="81">
        <f t="shared" si="2"/>
        <v>927997.58314999996</v>
      </c>
      <c r="I32" s="81">
        <f t="shared" si="3"/>
        <v>927997.58314999996</v>
      </c>
      <c r="J32" s="83">
        <f t="shared" si="4"/>
        <v>0.12673602431038186</v>
      </c>
      <c r="K32" s="84">
        <f t="shared" si="5"/>
        <v>0.12673602431038186</v>
      </c>
      <c r="L32" s="1302">
        <f>'Avg Bill by RS'!S65</f>
        <v>0.14000000000000001</v>
      </c>
      <c r="M32" s="1303"/>
      <c r="N32" s="1303"/>
      <c r="O32" s="284">
        <v>16</v>
      </c>
      <c r="P32" s="86" t="s">
        <v>362</v>
      </c>
      <c r="Q32" s="1190">
        <f t="shared" si="0"/>
        <v>927997.58314999996</v>
      </c>
      <c r="R32" s="81">
        <f t="shared" si="1"/>
        <v>927997.58314999996</v>
      </c>
      <c r="S32" s="82">
        <f>SUM('Rev Req Proof Yr2'!AF65:AH65)</f>
        <v>52558.568929999994</v>
      </c>
      <c r="T32" s="81">
        <f t="shared" si="6"/>
        <v>980556.15207999991</v>
      </c>
      <c r="U32" s="81">
        <f t="shared" si="7"/>
        <v>980556.15207999991</v>
      </c>
      <c r="V32" s="83">
        <f t="shared" si="8"/>
        <v>5.6636536435358924E-2</v>
      </c>
      <c r="W32" s="84">
        <f t="shared" si="9"/>
        <v>5.6636536435358924E-2</v>
      </c>
      <c r="X32" s="589">
        <f>'Avg Bill by RS'!AL65</f>
        <v>6.3E-2</v>
      </c>
    </row>
    <row r="33" spans="2:24" x14ac:dyDescent="0.2">
      <c r="B33" s="284">
        <v>17</v>
      </c>
      <c r="C33" s="783" t="s">
        <v>363</v>
      </c>
      <c r="D33" s="80">
        <f>'Rate Spread Proposal'!U$15</f>
        <v>160512.61187958997</v>
      </c>
      <c r="E33" s="81">
        <f>'Rate Spread Proposal'!U$14</f>
        <v>430728.61187958985</v>
      </c>
      <c r="F33" s="82">
        <f>SUM('Rev Req Proof Yr1'!AF72:AH72)</f>
        <v>21844.4555</v>
      </c>
      <c r="G33" s="82">
        <f>SUM('Rev Req Proof Yr1'!AM72:AO72)</f>
        <v>-1501.3931600000001</v>
      </c>
      <c r="H33" s="81">
        <f t="shared" si="2"/>
        <v>180855.67421958997</v>
      </c>
      <c r="I33" s="81">
        <f t="shared" si="3"/>
        <v>451071.67421958986</v>
      </c>
      <c r="J33" s="83">
        <f t="shared" si="4"/>
        <v>0.12673809304941433</v>
      </c>
      <c r="K33" s="84">
        <f t="shared" si="5"/>
        <v>4.7229419590279972E-2</v>
      </c>
      <c r="L33" s="1302">
        <f>'Avg Bill by RS'!S72</f>
        <v>0.05</v>
      </c>
      <c r="M33" s="1303"/>
      <c r="N33" s="1303"/>
      <c r="O33" s="284">
        <v>17</v>
      </c>
      <c r="P33" s="86" t="s">
        <v>363</v>
      </c>
      <c r="Q33" s="1190">
        <f t="shared" si="0"/>
        <v>180855.67421958997</v>
      </c>
      <c r="R33" s="81">
        <f t="shared" si="1"/>
        <v>451071.67421958986</v>
      </c>
      <c r="S33" s="82">
        <f>SUM('Rev Req Proof Yr2'!AF72:AH72)</f>
        <v>10243.523710000001</v>
      </c>
      <c r="T33" s="81">
        <f t="shared" si="6"/>
        <v>191099.19792958998</v>
      </c>
      <c r="U33" s="81">
        <f t="shared" si="7"/>
        <v>461315.19792958983</v>
      </c>
      <c r="V33" s="83">
        <f t="shared" si="8"/>
        <v>5.6639216625089667E-2</v>
      </c>
      <c r="W33" s="84">
        <f t="shared" si="9"/>
        <v>2.2709303854476282E-2</v>
      </c>
      <c r="X33" s="589">
        <f>'Avg Bill by RS'!AL72</f>
        <v>2.4E-2</v>
      </c>
    </row>
    <row r="34" spans="2:24" x14ac:dyDescent="0.2">
      <c r="B34" s="284">
        <v>18</v>
      </c>
      <c r="C34" s="783" t="s">
        <v>364</v>
      </c>
      <c r="D34" s="80">
        <f>'Rate Spread Proposal'!V$15</f>
        <v>81130.03459599179</v>
      </c>
      <c r="E34" s="81">
        <f>'Rate Spread Proposal'!V$14</f>
        <v>171731.03459599178</v>
      </c>
      <c r="F34" s="82">
        <f>SUM('Rev Req Proof Yr1'!AF79:AH79)</f>
        <v>11040.877800000002</v>
      </c>
      <c r="G34" s="82">
        <f>SUM('Rev Req Proof Yr1'!AM79:AO79)</f>
        <v>-760.61590000000001</v>
      </c>
      <c r="H34" s="81">
        <f t="shared" si="2"/>
        <v>91410.296495991788</v>
      </c>
      <c r="I34" s="81">
        <f t="shared" si="3"/>
        <v>182011.29649599179</v>
      </c>
      <c r="J34" s="83">
        <f t="shared" si="4"/>
        <v>0.1267133922867561</v>
      </c>
      <c r="K34" s="84">
        <f t="shared" si="5"/>
        <v>5.9862574776801257E-2</v>
      </c>
      <c r="L34" s="1302">
        <f>'Avg Bill by RS'!S79</f>
        <v>6.6000000000000003E-2</v>
      </c>
      <c r="M34" s="1303"/>
      <c r="N34" s="1303"/>
      <c r="O34" s="284">
        <v>18</v>
      </c>
      <c r="P34" s="86" t="s">
        <v>364</v>
      </c>
      <c r="Q34" s="1190">
        <f t="shared" si="0"/>
        <v>91410.296495991788</v>
      </c>
      <c r="R34" s="81">
        <f t="shared" si="1"/>
        <v>182011.29649599179</v>
      </c>
      <c r="S34" s="82">
        <f>SUM('Rev Req Proof Yr2'!AF79:AH79)</f>
        <v>5177.2746000000006</v>
      </c>
      <c r="T34" s="81">
        <f t="shared" si="6"/>
        <v>96587.571095991792</v>
      </c>
      <c r="U34" s="81">
        <f t="shared" si="7"/>
        <v>187188.57109599179</v>
      </c>
      <c r="V34" s="83">
        <f t="shared" si="8"/>
        <v>5.6637761810859201E-2</v>
      </c>
      <c r="W34" s="84">
        <f t="shared" si="9"/>
        <v>2.8444798205775175E-2</v>
      </c>
      <c r="X34" s="589">
        <f>'Avg Bill by RS'!AL79</f>
        <v>3.1E-2</v>
      </c>
    </row>
    <row r="35" spans="2:24" x14ac:dyDescent="0.2">
      <c r="B35" s="284">
        <v>19</v>
      </c>
      <c r="C35" s="783" t="s">
        <v>366</v>
      </c>
      <c r="D35" s="80">
        <f>'Rate Spread Proposal'!W$15</f>
        <v>0</v>
      </c>
      <c r="E35" s="81">
        <f>'Rate Spread Proposal'!W$14</f>
        <v>0</v>
      </c>
      <c r="F35" s="82">
        <f>SUM('Rev Req Proof Yr1'!AF86:AH86)</f>
        <v>0</v>
      </c>
      <c r="G35" s="82">
        <f>SUM('Rev Req Proof Yr1'!AM86:AO86)</f>
        <v>0</v>
      </c>
      <c r="H35" s="81">
        <f t="shared" si="2"/>
        <v>0</v>
      </c>
      <c r="I35" s="81">
        <f t="shared" si="3"/>
        <v>0</v>
      </c>
      <c r="J35" s="83">
        <f t="shared" si="4"/>
        <v>0</v>
      </c>
      <c r="K35" s="84">
        <f t="shared" si="5"/>
        <v>0</v>
      </c>
      <c r="L35" s="1302">
        <f>'Avg Bill by RS'!S86</f>
        <v>0</v>
      </c>
      <c r="M35" s="1303"/>
      <c r="N35" s="1303"/>
      <c r="O35" s="284">
        <v>19</v>
      </c>
      <c r="P35" s="86" t="s">
        <v>366</v>
      </c>
      <c r="Q35" s="1190">
        <f t="shared" si="0"/>
        <v>0</v>
      </c>
      <c r="R35" s="81">
        <f t="shared" si="1"/>
        <v>0</v>
      </c>
      <c r="S35" s="82">
        <f>SUM('Rev Req Proof Yr2'!AF86:AH86)</f>
        <v>0</v>
      </c>
      <c r="T35" s="81">
        <f t="shared" si="6"/>
        <v>0</v>
      </c>
      <c r="U35" s="81">
        <f t="shared" si="7"/>
        <v>0</v>
      </c>
      <c r="V35" s="83">
        <f t="shared" si="8"/>
        <v>0</v>
      </c>
      <c r="W35" s="84">
        <f t="shared" si="9"/>
        <v>0</v>
      </c>
      <c r="X35" s="589">
        <f>'Avg Bill by RS'!AL86</f>
        <v>0</v>
      </c>
    </row>
    <row r="36" spans="2:24" x14ac:dyDescent="0.2">
      <c r="B36" s="284">
        <v>20</v>
      </c>
      <c r="C36" s="783" t="s">
        <v>367</v>
      </c>
      <c r="D36" s="80">
        <f>'Rate Spread Proposal'!X$15</f>
        <v>825480.07319999998</v>
      </c>
      <c r="E36" s="81">
        <f>'Rate Spread Proposal'!X$14</f>
        <v>825480.07319999998</v>
      </c>
      <c r="F36" s="82">
        <f>SUM('Rev Req Proof Yr1'!AF93:AH93)</f>
        <v>112342.71842999995</v>
      </c>
      <c r="G36" s="82">
        <f>SUM('Rev Req Proof Yr1'!AM93:AO93)</f>
        <v>-7732.5836500000005</v>
      </c>
      <c r="H36" s="81">
        <f t="shared" si="2"/>
        <v>930090.20797999983</v>
      </c>
      <c r="I36" s="81">
        <f t="shared" si="3"/>
        <v>930090.20797999983</v>
      </c>
      <c r="J36" s="83">
        <f t="shared" si="4"/>
        <v>0.12672642039010754</v>
      </c>
      <c r="K36" s="84">
        <f t="shared" si="5"/>
        <v>0.12672642039010754</v>
      </c>
      <c r="L36" s="1302">
        <f>'Avg Bill by RS'!S93</f>
        <v>0.128</v>
      </c>
      <c r="M36" s="1303"/>
      <c r="N36" s="1303"/>
      <c r="O36" s="284">
        <v>20</v>
      </c>
      <c r="P36" s="86" t="s">
        <v>367</v>
      </c>
      <c r="Q36" s="1190">
        <f t="shared" si="0"/>
        <v>930090.20797999983</v>
      </c>
      <c r="R36" s="81">
        <f t="shared" si="1"/>
        <v>930090.20797999983</v>
      </c>
      <c r="S36" s="82">
        <f>SUM('Rev Req Proof Yr2'!AF93:AH93)</f>
        <v>52693.327570000052</v>
      </c>
      <c r="T36" s="81">
        <f t="shared" si="6"/>
        <v>982783.53554999991</v>
      </c>
      <c r="U36" s="81">
        <f t="shared" si="7"/>
        <v>982783.53554999991</v>
      </c>
      <c r="V36" s="83">
        <f t="shared" si="8"/>
        <v>5.6653996696128146E-2</v>
      </c>
      <c r="W36" s="84">
        <f t="shared" si="9"/>
        <v>5.6653996696128146E-2</v>
      </c>
      <c r="X36" s="589">
        <f>'Avg Bill by RS'!AL93</f>
        <v>5.8000000000000003E-2</v>
      </c>
    </row>
    <row r="37" spans="2:24" x14ac:dyDescent="0.2">
      <c r="B37" s="284">
        <v>21</v>
      </c>
      <c r="C37" s="783" t="s">
        <v>56</v>
      </c>
      <c r="D37" s="80">
        <f>'Rate Spread Proposal'!Y$15</f>
        <v>0</v>
      </c>
      <c r="E37" s="81">
        <f>'Rate Spread Proposal'!Y$14</f>
        <v>0</v>
      </c>
      <c r="F37" s="82">
        <f>SUM('Rev Req Proof Yr1'!AF94:AH94)</f>
        <v>0</v>
      </c>
      <c r="G37" s="82">
        <f>SUM('Rev Req Proof Yr1'!AM94:AO94)</f>
        <v>0</v>
      </c>
      <c r="H37" s="81">
        <f t="shared" si="2"/>
        <v>0</v>
      </c>
      <c r="I37" s="81">
        <f t="shared" si="3"/>
        <v>0</v>
      </c>
      <c r="J37" s="83">
        <f t="shared" si="4"/>
        <v>0</v>
      </c>
      <c r="K37" s="84">
        <f t="shared" si="5"/>
        <v>0</v>
      </c>
      <c r="L37" s="1302">
        <f>'Avg Bill by RS'!S94</f>
        <v>0</v>
      </c>
      <c r="M37" s="1303"/>
      <c r="N37" s="1303"/>
      <c r="O37" s="284">
        <v>21</v>
      </c>
      <c r="P37" s="86" t="s">
        <v>56</v>
      </c>
      <c r="Q37" s="1190">
        <f t="shared" si="0"/>
        <v>0</v>
      </c>
      <c r="R37" s="81">
        <f t="shared" si="1"/>
        <v>0</v>
      </c>
      <c r="S37" s="82">
        <f>SUM('Rev Req Proof Yr2'!AF94:AH94)</f>
        <v>0</v>
      </c>
      <c r="T37" s="81">
        <f t="shared" si="6"/>
        <v>0</v>
      </c>
      <c r="U37" s="81">
        <f t="shared" si="7"/>
        <v>0</v>
      </c>
      <c r="V37" s="83">
        <f t="shared" si="8"/>
        <v>0</v>
      </c>
      <c r="W37" s="84">
        <f t="shared" si="9"/>
        <v>0</v>
      </c>
      <c r="X37" s="589">
        <f>'Avg Bill by RS'!AL94</f>
        <v>0</v>
      </c>
    </row>
    <row r="38" spans="2:24" x14ac:dyDescent="0.2">
      <c r="B38" s="284">
        <v>22</v>
      </c>
      <c r="C38" s="783" t="s">
        <v>348</v>
      </c>
      <c r="D38" s="80">
        <f>'Rate Spread Proposal'!Z$15</f>
        <v>0</v>
      </c>
      <c r="E38" s="81">
        <f>'Rate Spread Proposal'!Z$14</f>
        <v>0</v>
      </c>
      <c r="F38" s="82">
        <f>SUM('Rev Req Proof Yr1'!AF95:AH95)</f>
        <v>0</v>
      </c>
      <c r="G38" s="82">
        <f>SUM('Rev Req Proof Yr1'!AM95:AO95)</f>
        <v>0</v>
      </c>
      <c r="H38" s="81">
        <f t="shared" si="2"/>
        <v>0</v>
      </c>
      <c r="I38" s="81">
        <f t="shared" si="3"/>
        <v>0</v>
      </c>
      <c r="J38" s="83">
        <f t="shared" si="4"/>
        <v>0</v>
      </c>
      <c r="K38" s="84">
        <f t="shared" si="5"/>
        <v>0</v>
      </c>
      <c r="L38" s="1302">
        <f>'Avg Bill by RS'!S95</f>
        <v>0</v>
      </c>
      <c r="M38" s="1303"/>
      <c r="N38" s="1303"/>
      <c r="O38" s="284">
        <v>22</v>
      </c>
      <c r="P38" s="86" t="s">
        <v>348</v>
      </c>
      <c r="Q38" s="1190">
        <f t="shared" si="0"/>
        <v>0</v>
      </c>
      <c r="R38" s="81">
        <f t="shared" si="1"/>
        <v>0</v>
      </c>
      <c r="S38" s="82">
        <f>SUM('Rev Req Proof Yr2'!AF95:AH95)</f>
        <v>0</v>
      </c>
      <c r="T38" s="81">
        <f t="shared" si="6"/>
        <v>0</v>
      </c>
      <c r="U38" s="81">
        <f t="shared" si="7"/>
        <v>0</v>
      </c>
      <c r="V38" s="83">
        <f t="shared" si="8"/>
        <v>0</v>
      </c>
      <c r="W38" s="84">
        <f t="shared" si="9"/>
        <v>0</v>
      </c>
      <c r="X38" s="589">
        <f>'Avg Bill by RS'!AL95</f>
        <v>0</v>
      </c>
    </row>
    <row r="39" spans="2:24" x14ac:dyDescent="0.2">
      <c r="B39" s="284">
        <v>23</v>
      </c>
      <c r="C39" s="783" t="s">
        <v>391</v>
      </c>
      <c r="D39" s="80">
        <f>'Rate Spread Proposal'!AA$15</f>
        <v>242994.60207180592</v>
      </c>
      <c r="E39" s="81">
        <f>'Rate Spread Proposal'!AA$14</f>
        <v>242994.60207180592</v>
      </c>
      <c r="F39" s="82">
        <f>SUM('Rev Req Proof Yr1'!AF96:AH96)</f>
        <v>0</v>
      </c>
      <c r="G39" s="82">
        <f>SUM('Rev Req Proof Yr1'!AM96:AO96)</f>
        <v>0</v>
      </c>
      <c r="H39" s="81">
        <f t="shared" si="2"/>
        <v>242994.60207180592</v>
      </c>
      <c r="I39" s="81">
        <f t="shared" si="3"/>
        <v>242994.60207180592</v>
      </c>
      <c r="J39" s="83">
        <f t="shared" si="4"/>
        <v>0</v>
      </c>
      <c r="K39" s="84">
        <f t="shared" si="5"/>
        <v>0</v>
      </c>
      <c r="L39" s="1302">
        <f>'Avg Bill by RS'!S96</f>
        <v>0</v>
      </c>
      <c r="M39" s="1303"/>
      <c r="N39" s="1303"/>
      <c r="O39" s="284">
        <v>23</v>
      </c>
      <c r="P39" s="86" t="s">
        <v>391</v>
      </c>
      <c r="Q39" s="1190">
        <f t="shared" si="0"/>
        <v>242994.60207180592</v>
      </c>
      <c r="R39" s="81">
        <f t="shared" si="1"/>
        <v>242994.60207180592</v>
      </c>
      <c r="S39" s="82">
        <f>SUM('Rev Req Proof Yr2'!AF96:AH96)</f>
        <v>0</v>
      </c>
      <c r="T39" s="81">
        <f t="shared" si="6"/>
        <v>242994.60207180592</v>
      </c>
      <c r="U39" s="81">
        <f t="shared" si="7"/>
        <v>242994.60207180592</v>
      </c>
      <c r="V39" s="83">
        <f>IFERROR((S39)/Q39,0)</f>
        <v>0</v>
      </c>
      <c r="W39" s="84">
        <f>IFERROR((S39)/R39,0)</f>
        <v>0</v>
      </c>
      <c r="X39" s="589">
        <f>'Avg Bill by RS'!AL96</f>
        <v>0</v>
      </c>
    </row>
    <row r="40" spans="2:24" ht="13.5" thickBot="1" x14ac:dyDescent="0.25">
      <c r="B40" s="273"/>
      <c r="C40" s="574"/>
      <c r="D40" s="55"/>
      <c r="E40" s="55"/>
      <c r="F40" s="859"/>
      <c r="G40" s="1188"/>
      <c r="H40" s="55"/>
      <c r="I40" s="55"/>
      <c r="J40" s="423"/>
      <c r="K40" s="86"/>
      <c r="L40" s="783"/>
      <c r="M40" s="86"/>
      <c r="N40" s="86"/>
      <c r="O40" s="273"/>
      <c r="P40" s="55"/>
      <c r="Q40" s="410"/>
      <c r="R40" s="55"/>
      <c r="S40" s="859"/>
      <c r="T40" s="55"/>
      <c r="U40" s="55"/>
      <c r="V40" s="423"/>
      <c r="W40" s="86"/>
      <c r="X40" s="783"/>
    </row>
    <row r="41" spans="2:24" s="60" customFormat="1" x14ac:dyDescent="0.2">
      <c r="B41" s="1033"/>
      <c r="C41" s="1452" t="s">
        <v>32</v>
      </c>
      <c r="D41" s="1026">
        <f t="shared" ref="D41:I41" si="10">SUM(D17:D39)</f>
        <v>49604902.662138224</v>
      </c>
      <c r="E41" s="1027">
        <f t="shared" si="10"/>
        <v>78333454.662138224</v>
      </c>
      <c r="F41" s="1028">
        <f>SUM(F17:F39)</f>
        <v>6717756.9231810682</v>
      </c>
      <c r="G41" s="1028">
        <f t="shared" si="10"/>
        <v>-462278.66210878297</v>
      </c>
      <c r="H41" s="1026">
        <f t="shared" si="10"/>
        <v>55860380.923210502</v>
      </c>
      <c r="I41" s="1027">
        <f t="shared" si="10"/>
        <v>84588932.923210517</v>
      </c>
      <c r="J41" s="1029">
        <f>(F41+G41)/(D41-D39)</f>
        <v>0.12672683263094811</v>
      </c>
      <c r="K41" s="1030">
        <f>(F41+G41)/(E41-E39)</f>
        <v>8.0105537299442628E-2</v>
      </c>
      <c r="L41" s="1031"/>
      <c r="M41" s="1304"/>
      <c r="N41" s="1304"/>
      <c r="O41" s="1033"/>
      <c r="P41" s="1272" t="s">
        <v>32</v>
      </c>
      <c r="Q41" s="1032">
        <f>SUM(Q17:Q39)</f>
        <v>55860380.923210502</v>
      </c>
      <c r="R41" s="1027">
        <f>SUM(R17:R39)</f>
        <v>84588932.923210517</v>
      </c>
      <c r="S41" s="1028">
        <f>SUM(S17:S39)</f>
        <v>3150188.2762063476</v>
      </c>
      <c r="T41" s="1026">
        <f>SUM(T17:T39)</f>
        <v>59010569.199416853</v>
      </c>
      <c r="U41" s="1027">
        <f>SUM(U17:U39)</f>
        <v>87739121.199416861</v>
      </c>
      <c r="V41" s="1029">
        <f>IFERROR((S41)/(Q41-Q39),0)</f>
        <v>5.6640350879074743E-2</v>
      </c>
      <c r="W41" s="1030">
        <f>IFERROR((S41)/(R41-R39),0)</f>
        <v>3.7348428850388991E-2</v>
      </c>
      <c r="X41" s="1031"/>
    </row>
    <row r="42" spans="2:24" ht="13.5" thickBot="1" x14ac:dyDescent="0.25">
      <c r="B42" s="1405"/>
      <c r="C42" s="1455"/>
      <c r="D42" s="276"/>
      <c r="E42" s="276"/>
      <c r="F42" s="1309" t="s">
        <v>488</v>
      </c>
      <c r="G42" s="1309" t="s">
        <v>488</v>
      </c>
      <c r="H42" s="276"/>
      <c r="I42" s="276"/>
      <c r="J42" s="275"/>
      <c r="K42" s="276"/>
      <c r="L42" s="1313" t="s">
        <v>500</v>
      </c>
      <c r="M42" s="1403"/>
      <c r="N42" s="55"/>
      <c r="O42" s="1405"/>
      <c r="P42" s="276"/>
      <c r="Q42" s="275"/>
      <c r="R42" s="276"/>
      <c r="S42" s="1309" t="s">
        <v>198</v>
      </c>
      <c r="T42" s="276"/>
      <c r="U42" s="276"/>
      <c r="V42" s="275"/>
      <c r="W42" s="276"/>
      <c r="X42" s="1313" t="s">
        <v>488</v>
      </c>
    </row>
    <row r="43" spans="2:24" ht="6.95" customHeight="1" x14ac:dyDescent="0.2">
      <c r="D43" s="474"/>
      <c r="E43" s="474"/>
      <c r="F43" s="474"/>
      <c r="G43" s="474"/>
      <c r="H43" s="474"/>
    </row>
    <row r="44" spans="2:24" ht="12" customHeight="1" x14ac:dyDescent="0.2">
      <c r="B44" s="902" t="s">
        <v>579</v>
      </c>
      <c r="C44" s="898"/>
      <c r="D44" s="1307"/>
      <c r="E44" s="895"/>
      <c r="O44" s="902" t="s">
        <v>579</v>
      </c>
      <c r="P44" s="898"/>
    </row>
    <row r="45" spans="2:24" ht="12" customHeight="1" x14ac:dyDescent="0.2">
      <c r="B45" s="902" t="s">
        <v>578</v>
      </c>
      <c r="C45" s="903"/>
      <c r="D45" s="1307"/>
      <c r="E45" s="895"/>
      <c r="F45" s="434"/>
      <c r="G45" s="434"/>
      <c r="O45" s="902" t="s">
        <v>571</v>
      </c>
      <c r="P45" s="898"/>
    </row>
    <row r="46" spans="2:24" ht="12" customHeight="1" x14ac:dyDescent="0.2">
      <c r="B46" s="902" t="s">
        <v>567</v>
      </c>
      <c r="C46" s="898"/>
      <c r="D46" s="1307"/>
      <c r="E46" s="895"/>
      <c r="O46" s="902" t="s">
        <v>569</v>
      </c>
      <c r="P46" s="903"/>
    </row>
    <row r="47" spans="2:24" ht="12" customHeight="1" x14ac:dyDescent="0.2">
      <c r="B47" s="902" t="s">
        <v>569</v>
      </c>
      <c r="C47" s="903"/>
      <c r="D47" s="1307"/>
      <c r="E47" s="895"/>
      <c r="O47" s="902" t="s">
        <v>572</v>
      </c>
      <c r="P47" s="903"/>
    </row>
    <row r="48" spans="2:24" x14ac:dyDescent="0.2">
      <c r="B48" s="902" t="s">
        <v>568</v>
      </c>
      <c r="C48" s="903"/>
      <c r="D48" s="1306"/>
      <c r="O48" s="902" t="s">
        <v>573</v>
      </c>
    </row>
    <row r="49" spans="2:16" ht="12.95" customHeight="1" x14ac:dyDescent="0.2">
      <c r="B49" s="902" t="s">
        <v>570</v>
      </c>
      <c r="D49" s="898"/>
    </row>
    <row r="50" spans="2:16" ht="12" customHeight="1" x14ac:dyDescent="0.2">
      <c r="D50" s="898"/>
      <c r="F50" s="899"/>
      <c r="G50" s="899"/>
    </row>
    <row r="51" spans="2:16" ht="12" customHeight="1" x14ac:dyDescent="0.2">
      <c r="B51" s="902"/>
      <c r="C51" s="903"/>
      <c r="F51" s="899"/>
      <c r="G51" s="899"/>
      <c r="O51" s="902"/>
      <c r="P51" s="903"/>
    </row>
    <row r="52" spans="2:16" x14ac:dyDescent="0.2">
      <c r="F52" s="899"/>
      <c r="G52" s="899"/>
    </row>
    <row r="53" spans="2:16" x14ac:dyDescent="0.2">
      <c r="F53" s="900"/>
      <c r="G53" s="900"/>
    </row>
    <row r="54" spans="2:16" x14ac:dyDescent="0.2">
      <c r="F54" s="901"/>
      <c r="G54" s="901"/>
    </row>
  </sheetData>
  <mergeCells count="4">
    <mergeCell ref="D11:L11"/>
    <mergeCell ref="Q11:X11"/>
    <mergeCell ref="J12:L12"/>
    <mergeCell ref="V12:X12"/>
  </mergeCells>
  <printOptions verticalCentered="1"/>
  <pageMargins left="0.5" right="0.5" top="0.5" bottom="0.5" header="0.25" footer="0.25"/>
  <pageSetup scale="82" orientation="landscape" r:id="rId1"/>
  <headerFooter alignWithMargins="0">
    <oddHeader>&amp;RExh. RJW-3 Wyman WP1</oddHeader>
    <oddFooter xml:space="preserve">&amp;C&amp;F &amp;D &amp;T
&amp;A </oddFooter>
  </headerFooter>
  <ignoredErrors>
    <ignoredError sqref="F14:L42 S14:X42"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97100-BA77-4455-81AD-F94809346A8C}">
  <sheetPr>
    <tabColor rgb="FFFFFFCC"/>
    <pageSetUpPr fitToPage="1"/>
  </sheetPr>
  <dimension ref="A1:AM73"/>
  <sheetViews>
    <sheetView zoomScale="80" zoomScaleNormal="80" workbookViewId="0">
      <pane xSplit="3" ySplit="15" topLeftCell="Q16" activePane="bottomRight" state="frozen"/>
      <selection activeCell="K47" sqref="K47"/>
      <selection pane="topRight" activeCell="K47" sqref="K47"/>
      <selection pane="bottomLeft" activeCell="K47" sqref="K47"/>
      <selection pane="bottomRight" activeCell="T6" sqref="T6"/>
    </sheetView>
  </sheetViews>
  <sheetFormatPr defaultColWidth="9.33203125" defaultRowHeight="12.75" x14ac:dyDescent="0.2"/>
  <cols>
    <col min="1" max="1" width="3.1640625" style="56" customWidth="1"/>
    <col min="2" max="2" width="7.6640625" style="52" customWidth="1"/>
    <col min="3" max="3" width="11.33203125" style="52" bestFit="1" customWidth="1"/>
    <col min="4" max="4" width="17.5" style="52" customWidth="1"/>
    <col min="5" max="6" width="16.33203125" style="52" customWidth="1"/>
    <col min="7" max="7" width="12.1640625" style="52" customWidth="1"/>
    <col min="8" max="8" width="16.33203125" style="52" customWidth="1"/>
    <col min="9" max="9" width="12.1640625" style="52" customWidth="1"/>
    <col min="10" max="10" width="14.83203125" style="52" customWidth="1"/>
    <col min="11" max="11" width="12.1640625" style="52" customWidth="1"/>
    <col min="12" max="12" width="15.33203125" style="52" customWidth="1"/>
    <col min="13" max="13" width="12.1640625" style="52" customWidth="1"/>
    <col min="14" max="14" width="17.33203125" style="52" customWidth="1"/>
    <col min="15" max="15" width="12.1640625" style="52" customWidth="1"/>
    <col min="16" max="16" width="15.83203125" style="52" customWidth="1"/>
    <col min="17" max="17" width="12.1640625" style="52" customWidth="1"/>
    <col min="18" max="18" width="17.5" style="52" customWidth="1"/>
    <col min="19" max="19" width="20.5" style="52" customWidth="1"/>
    <col min="20" max="20" width="17.5" style="52" bestFit="1" customWidth="1"/>
    <col min="21" max="21" width="12.6640625" style="52" customWidth="1"/>
    <col min="22" max="22" width="11.1640625" style="52" customWidth="1"/>
    <col min="23" max="24" width="3.1640625" style="52" customWidth="1"/>
    <col min="25" max="25" width="7.6640625" style="52" customWidth="1"/>
    <col min="26" max="26" width="11.33203125" style="52" bestFit="1" customWidth="1"/>
    <col min="27" max="27" width="17.1640625" style="52" customWidth="1"/>
    <col min="28" max="28" width="16.33203125" style="52" customWidth="1"/>
    <col min="29" max="29" width="17.33203125" style="52" customWidth="1"/>
    <col min="30" max="30" width="18.5" style="52" customWidth="1"/>
    <col min="31" max="31" width="14.1640625" style="52" customWidth="1"/>
    <col min="32" max="32" width="16.33203125" style="52" bestFit="1" customWidth="1"/>
    <col min="33" max="33" width="14.6640625" style="52" customWidth="1"/>
    <col min="34" max="34" width="13.1640625" style="52" customWidth="1"/>
    <col min="35" max="36" width="17.1640625" style="52" customWidth="1"/>
    <col min="37" max="37" width="12.6640625" style="52" customWidth="1"/>
    <col min="38" max="39" width="11" style="52" customWidth="1"/>
    <col min="40" max="40" width="3.1640625" style="52" customWidth="1"/>
    <col min="41" max="41" width="4.6640625" style="52" customWidth="1"/>
    <col min="42" max="16384" width="9.33203125" style="52"/>
  </cols>
  <sheetData>
    <row r="1" spans="2:39" x14ac:dyDescent="0.2">
      <c r="B1" s="895" t="s">
        <v>0</v>
      </c>
      <c r="C1" s="63"/>
      <c r="D1" s="63"/>
      <c r="E1" s="63"/>
      <c r="F1" s="63"/>
      <c r="G1" s="63"/>
      <c r="H1" s="63"/>
      <c r="I1" s="63"/>
      <c r="J1" s="63"/>
      <c r="K1" s="63"/>
      <c r="L1" s="63"/>
      <c r="M1" s="63"/>
      <c r="N1" s="63"/>
      <c r="O1" s="63"/>
      <c r="P1" s="63"/>
      <c r="Q1" s="63"/>
      <c r="R1" s="1314"/>
      <c r="S1" s="1664"/>
      <c r="T1" s="1664"/>
      <c r="U1" s="1664"/>
      <c r="Y1" s="895" t="s">
        <v>0</v>
      </c>
      <c r="Z1" s="63"/>
      <c r="AI1" s="1314"/>
      <c r="AJ1" s="1664"/>
      <c r="AK1" s="1664"/>
      <c r="AL1" s="1664"/>
      <c r="AM1" s="54"/>
    </row>
    <row r="2" spans="2:39" x14ac:dyDescent="0.2">
      <c r="B2" s="895" t="s">
        <v>276</v>
      </c>
      <c r="C2" s="63"/>
      <c r="D2" s="63"/>
      <c r="E2" s="63"/>
      <c r="F2" s="63"/>
      <c r="G2" s="63"/>
      <c r="H2" s="63"/>
      <c r="I2" s="63"/>
      <c r="J2" s="63"/>
      <c r="K2" s="63"/>
      <c r="L2" s="63"/>
      <c r="M2" s="63"/>
      <c r="N2" s="63"/>
      <c r="O2" s="63"/>
      <c r="P2" s="63"/>
      <c r="Q2" s="63"/>
      <c r="R2" s="338"/>
      <c r="S2" s="1665"/>
      <c r="T2" s="1665"/>
      <c r="U2" s="1665"/>
      <c r="V2" s="56"/>
      <c r="W2" s="56"/>
      <c r="X2" s="56"/>
      <c r="Y2" s="895" t="s">
        <v>276</v>
      </c>
      <c r="Z2" s="63"/>
      <c r="AA2" s="895"/>
      <c r="AI2" s="338"/>
      <c r="AJ2" s="1665"/>
      <c r="AK2" s="1665"/>
      <c r="AL2" s="1665"/>
      <c r="AM2" s="54"/>
    </row>
    <row r="3" spans="2:39" x14ac:dyDescent="0.2">
      <c r="B3" s="895" t="s">
        <v>277</v>
      </c>
      <c r="C3" s="63"/>
      <c r="D3" s="63"/>
      <c r="E3" s="63"/>
      <c r="F3" s="63"/>
      <c r="G3" s="63"/>
      <c r="H3" s="63"/>
      <c r="I3" s="63"/>
      <c r="J3" s="63"/>
      <c r="K3" s="63"/>
      <c r="L3" s="63"/>
      <c r="M3" s="63"/>
      <c r="N3" s="63"/>
      <c r="O3" s="63"/>
      <c r="P3" s="63"/>
      <c r="Q3" s="63"/>
      <c r="R3" s="55"/>
      <c r="S3" s="1665"/>
      <c r="T3" s="1665"/>
      <c r="U3" s="1665"/>
      <c r="V3" s="56"/>
      <c r="W3" s="56"/>
      <c r="X3" s="56"/>
      <c r="Y3" s="895" t="s">
        <v>277</v>
      </c>
      <c r="Z3" s="63"/>
      <c r="AA3" s="895"/>
      <c r="AI3" s="55"/>
      <c r="AJ3" s="1665"/>
      <c r="AK3" s="1665"/>
      <c r="AL3" s="1665"/>
      <c r="AM3" s="54"/>
    </row>
    <row r="4" spans="2:39" x14ac:dyDescent="0.2">
      <c r="B4" s="895" t="s">
        <v>562</v>
      </c>
      <c r="C4" s="63"/>
      <c r="D4" s="63"/>
      <c r="E4" s="63"/>
      <c r="F4" s="63"/>
      <c r="G4" s="63"/>
      <c r="H4" s="63"/>
      <c r="I4" s="63"/>
      <c r="J4" s="63"/>
      <c r="K4" s="63"/>
      <c r="L4" s="63"/>
      <c r="M4" s="63"/>
      <c r="N4" s="63"/>
      <c r="O4" s="63"/>
      <c r="P4" s="63"/>
      <c r="Q4" s="63"/>
      <c r="R4" s="55"/>
      <c r="S4" s="1315"/>
      <c r="T4" s="1273"/>
      <c r="U4" s="1315"/>
      <c r="V4" s="56"/>
      <c r="W4" s="56"/>
      <c r="X4" s="56"/>
      <c r="Y4" s="895" t="s">
        <v>562</v>
      </c>
      <c r="Z4" s="63"/>
      <c r="AA4" s="895"/>
      <c r="AI4" s="55"/>
      <c r="AJ4" s="1340"/>
      <c r="AK4" s="1273"/>
      <c r="AL4" s="1340"/>
      <c r="AM4" s="54"/>
    </row>
    <row r="5" spans="2:39" x14ac:dyDescent="0.2">
      <c r="B5" s="895" t="s">
        <v>574</v>
      </c>
      <c r="C5" s="63"/>
      <c r="D5" s="63"/>
      <c r="E5" s="63"/>
      <c r="F5" s="63"/>
      <c r="G5" s="63"/>
      <c r="H5" s="63"/>
      <c r="I5" s="63"/>
      <c r="J5" s="63"/>
      <c r="K5" s="63"/>
      <c r="L5" s="63"/>
      <c r="M5" s="63"/>
      <c r="N5" s="63"/>
      <c r="O5" s="63"/>
      <c r="P5" s="63"/>
      <c r="Q5" s="63"/>
      <c r="R5" s="55"/>
      <c r="S5" s="1315"/>
      <c r="T5" s="1273"/>
      <c r="U5" s="1315"/>
      <c r="V5" s="56"/>
      <c r="W5" s="56"/>
      <c r="X5" s="56"/>
      <c r="Y5" s="895" t="s">
        <v>574</v>
      </c>
      <c r="Z5" s="63"/>
      <c r="AA5" s="895"/>
      <c r="AI5" s="55"/>
      <c r="AJ5" s="1340"/>
      <c r="AK5" s="1273"/>
      <c r="AL5" s="1340"/>
      <c r="AM5" s="54"/>
    </row>
    <row r="6" spans="2:39" x14ac:dyDescent="0.2">
      <c r="C6" s="63"/>
      <c r="D6" s="63"/>
      <c r="E6" s="63"/>
      <c r="F6" s="63"/>
      <c r="G6" s="63"/>
      <c r="H6" s="63"/>
      <c r="I6" s="63"/>
      <c r="J6" s="63"/>
      <c r="K6" s="63"/>
      <c r="L6" s="63"/>
      <c r="M6" s="63"/>
      <c r="N6" s="63"/>
      <c r="O6" s="63"/>
      <c r="P6" s="63"/>
      <c r="Q6" s="63"/>
      <c r="R6" s="55"/>
      <c r="S6" s="1315"/>
      <c r="T6" s="1273"/>
      <c r="U6" s="1315"/>
      <c r="V6" s="56"/>
      <c r="W6" s="56"/>
      <c r="X6" s="56"/>
      <c r="Z6" s="63"/>
      <c r="AA6" s="895"/>
      <c r="AI6" s="55"/>
      <c r="AJ6" s="1340"/>
      <c r="AK6" s="1273"/>
      <c r="AL6" s="1340"/>
      <c r="AM6" s="54"/>
    </row>
    <row r="7" spans="2:39" x14ac:dyDescent="0.2">
      <c r="B7" s="168" t="s">
        <v>563</v>
      </c>
      <c r="C7" s="63"/>
      <c r="D7" s="63"/>
      <c r="E7" s="63"/>
      <c r="F7" s="63"/>
      <c r="G7" s="63"/>
      <c r="H7" s="63"/>
      <c r="I7" s="63"/>
      <c r="J7" s="63"/>
      <c r="K7" s="63"/>
      <c r="L7" s="63"/>
      <c r="M7" s="63"/>
      <c r="N7" s="63"/>
      <c r="O7" s="63"/>
      <c r="P7" s="63"/>
      <c r="Q7" s="63"/>
      <c r="R7" s="55"/>
      <c r="S7" s="1315"/>
      <c r="T7" s="1273"/>
      <c r="U7" s="1315"/>
      <c r="V7" s="56"/>
      <c r="W7" s="56"/>
      <c r="X7" s="56"/>
      <c r="Y7" s="168" t="s">
        <v>564</v>
      </c>
      <c r="Z7" s="63"/>
      <c r="AI7" s="55"/>
      <c r="AJ7" s="1341"/>
      <c r="AK7" s="1273"/>
      <c r="AL7" s="1340"/>
      <c r="AM7" s="54"/>
    </row>
    <row r="8" spans="2:39" x14ac:dyDescent="0.2">
      <c r="B8" s="601" t="s">
        <v>619</v>
      </c>
      <c r="C8" s="63"/>
      <c r="D8" s="63"/>
      <c r="E8" s="63"/>
      <c r="F8" s="63"/>
      <c r="G8" s="63"/>
      <c r="H8" s="63"/>
      <c r="I8" s="63"/>
      <c r="J8" s="63"/>
      <c r="K8" s="63"/>
      <c r="L8" s="63"/>
      <c r="M8" s="63"/>
      <c r="N8" s="63"/>
      <c r="O8" s="63"/>
      <c r="P8" s="63"/>
      <c r="Q8" s="63"/>
      <c r="R8" s="55"/>
      <c r="S8" s="1315"/>
      <c r="T8" s="1273"/>
      <c r="U8" s="1315"/>
      <c r="V8" s="56"/>
      <c r="W8" s="56"/>
      <c r="X8" s="56"/>
      <c r="Y8" s="601" t="s">
        <v>620</v>
      </c>
      <c r="Z8" s="63"/>
      <c r="AI8" s="55"/>
      <c r="AJ8" s="1341"/>
      <c r="AK8" s="1273"/>
      <c r="AL8" s="1340"/>
      <c r="AM8" s="54"/>
    </row>
    <row r="9" spans="2:39" x14ac:dyDescent="0.2">
      <c r="B9" s="601" t="s">
        <v>561</v>
      </c>
      <c r="C9" s="63"/>
      <c r="D9" s="63"/>
      <c r="E9" s="63"/>
      <c r="F9" s="63"/>
      <c r="G9" s="63"/>
      <c r="H9" s="63"/>
      <c r="I9" s="63"/>
      <c r="J9" s="63"/>
      <c r="K9" s="63"/>
      <c r="L9" s="63"/>
      <c r="M9" s="63"/>
      <c r="N9" s="63"/>
      <c r="O9" s="63"/>
      <c r="P9" s="63"/>
      <c r="Q9" s="63"/>
      <c r="R9" s="63"/>
      <c r="S9" s="63"/>
      <c r="T9" s="65"/>
      <c r="Y9" s="64"/>
      <c r="Z9" s="63"/>
    </row>
    <row r="10" spans="2:39" ht="13.5" thickBot="1" x14ac:dyDescent="0.25">
      <c r="B10" s="601"/>
      <c r="C10" s="63"/>
      <c r="D10" s="63"/>
      <c r="E10" s="63"/>
      <c r="F10" s="63"/>
      <c r="G10" s="63"/>
      <c r="H10" s="63"/>
      <c r="I10" s="63"/>
      <c r="J10" s="63"/>
      <c r="K10" s="63"/>
      <c r="L10" s="63"/>
      <c r="M10" s="63"/>
      <c r="N10" s="63"/>
      <c r="O10" s="63"/>
      <c r="P10" s="63"/>
      <c r="Q10" s="63"/>
      <c r="R10" s="63"/>
      <c r="S10" s="63"/>
      <c r="T10" s="65"/>
      <c r="Y10" s="64"/>
      <c r="Z10" s="63"/>
    </row>
    <row r="11" spans="2:39" ht="13.5" thickBot="1" x14ac:dyDescent="0.25">
      <c r="B11" s="64"/>
      <c r="C11" s="63"/>
      <c r="D11" s="1644" t="s">
        <v>565</v>
      </c>
      <c r="E11" s="1645"/>
      <c r="F11" s="1645"/>
      <c r="G11" s="1645"/>
      <c r="H11" s="1645"/>
      <c r="I11" s="1645"/>
      <c r="J11" s="1645"/>
      <c r="K11" s="1645"/>
      <c r="L11" s="1645"/>
      <c r="M11" s="1645"/>
      <c r="N11" s="1646"/>
      <c r="O11" s="1646"/>
      <c r="P11" s="1646"/>
      <c r="Q11" s="1646"/>
      <c r="R11" s="1645"/>
      <c r="S11" s="1645"/>
      <c r="T11" s="1645"/>
      <c r="U11" s="1645"/>
      <c r="V11" s="1647"/>
      <c r="W11" s="1346"/>
      <c r="X11" s="1347"/>
      <c r="Y11" s="64"/>
      <c r="Z11" s="63"/>
      <c r="AA11" s="1676" t="s">
        <v>566</v>
      </c>
      <c r="AB11" s="1677"/>
      <c r="AC11" s="1677"/>
      <c r="AD11" s="1677"/>
      <c r="AE11" s="1677"/>
      <c r="AF11" s="1677"/>
      <c r="AG11" s="1677"/>
      <c r="AH11" s="1677"/>
      <c r="AI11" s="1677"/>
      <c r="AJ11" s="1677"/>
      <c r="AK11" s="1677"/>
      <c r="AL11" s="1677"/>
      <c r="AM11" s="1678"/>
    </row>
    <row r="12" spans="2:39" ht="13.5" customHeight="1" thickBot="1" x14ac:dyDescent="0.25">
      <c r="D12" s="1079"/>
      <c r="E12" s="1080"/>
      <c r="F12" s="1655" t="s">
        <v>178</v>
      </c>
      <c r="G12" s="1656"/>
      <c r="H12" s="1679" t="s">
        <v>405</v>
      </c>
      <c r="I12" s="1683"/>
      <c r="J12" s="1679" t="s">
        <v>401</v>
      </c>
      <c r="K12" s="1683"/>
      <c r="L12" s="1679" t="s">
        <v>577</v>
      </c>
      <c r="M12" s="1683"/>
      <c r="N12" s="1684" t="s">
        <v>575</v>
      </c>
      <c r="O12" s="1685"/>
      <c r="P12" s="1685"/>
      <c r="Q12" s="1686"/>
      <c r="R12" s="1081"/>
      <c r="S12" s="1081"/>
      <c r="T12" s="1659" t="s">
        <v>199</v>
      </c>
      <c r="U12" s="1655"/>
      <c r="V12" s="1656"/>
      <c r="W12" s="1342"/>
      <c r="X12" s="1342"/>
      <c r="AA12" s="53"/>
      <c r="AB12" s="54"/>
      <c r="AC12" s="1660" t="s">
        <v>178</v>
      </c>
      <c r="AD12" s="1661"/>
      <c r="AE12" s="1679" t="s">
        <v>482</v>
      </c>
      <c r="AF12" s="1680"/>
      <c r="AG12" s="1681" t="s">
        <v>576</v>
      </c>
      <c r="AH12" s="1682"/>
      <c r="AI12" s="54"/>
      <c r="AJ12" s="54"/>
      <c r="AK12" s="1659" t="s">
        <v>199</v>
      </c>
      <c r="AL12" s="1655"/>
      <c r="AM12" s="1656"/>
    </row>
    <row r="13" spans="2:39" ht="51" x14ac:dyDescent="0.2">
      <c r="B13" s="1316" t="s">
        <v>173</v>
      </c>
      <c r="C13" s="1312" t="s">
        <v>158</v>
      </c>
      <c r="D13" s="69" t="s">
        <v>207</v>
      </c>
      <c r="E13" s="69" t="s">
        <v>208</v>
      </c>
      <c r="F13" s="68" t="s">
        <v>201</v>
      </c>
      <c r="G13" s="70" t="s">
        <v>200</v>
      </c>
      <c r="H13" s="68" t="s">
        <v>428</v>
      </c>
      <c r="I13" s="69" t="s">
        <v>429</v>
      </c>
      <c r="J13" s="68" t="s">
        <v>506</v>
      </c>
      <c r="K13" s="70" t="s">
        <v>507</v>
      </c>
      <c r="L13" s="68" t="s">
        <v>506</v>
      </c>
      <c r="M13" s="69" t="s">
        <v>507</v>
      </c>
      <c r="N13" s="1406" t="s">
        <v>431</v>
      </c>
      <c r="O13" s="1407" t="s">
        <v>431</v>
      </c>
      <c r="P13" s="1407" t="s">
        <v>514</v>
      </c>
      <c r="Q13" s="1408" t="s">
        <v>514</v>
      </c>
      <c r="R13" s="69" t="s">
        <v>202</v>
      </c>
      <c r="S13" s="69" t="s">
        <v>203</v>
      </c>
      <c r="T13" s="68" t="s">
        <v>204</v>
      </c>
      <c r="U13" s="69" t="s">
        <v>205</v>
      </c>
      <c r="V13" s="70" t="s">
        <v>206</v>
      </c>
      <c r="W13" s="69"/>
      <c r="X13" s="69"/>
      <c r="Y13" s="1316" t="s">
        <v>173</v>
      </c>
      <c r="Z13" s="1317" t="s">
        <v>158</v>
      </c>
      <c r="AA13" s="1092" t="s">
        <v>207</v>
      </c>
      <c r="AB13" s="66" t="s">
        <v>208</v>
      </c>
      <c r="AC13" s="68" t="s">
        <v>201</v>
      </c>
      <c r="AD13" s="70" t="s">
        <v>200</v>
      </c>
      <c r="AE13" s="68" t="s">
        <v>508</v>
      </c>
      <c r="AF13" s="70" t="s">
        <v>507</v>
      </c>
      <c r="AG13" s="1432" t="s">
        <v>514</v>
      </c>
      <c r="AH13" s="1433" t="s">
        <v>538</v>
      </c>
      <c r="AI13" s="66" t="s">
        <v>202</v>
      </c>
      <c r="AJ13" s="66" t="s">
        <v>203</v>
      </c>
      <c r="AK13" s="68" t="s">
        <v>204</v>
      </c>
      <c r="AL13" s="69" t="s">
        <v>205</v>
      </c>
      <c r="AM13" s="70" t="s">
        <v>206</v>
      </c>
    </row>
    <row r="14" spans="2:39" x14ac:dyDescent="0.2">
      <c r="B14" s="1318"/>
      <c r="C14" s="74"/>
      <c r="D14" s="72"/>
      <c r="E14" s="72"/>
      <c r="F14" s="1349" t="s">
        <v>197</v>
      </c>
      <c r="G14" s="74"/>
      <c r="H14" s="1349" t="s">
        <v>198</v>
      </c>
      <c r="I14" s="72"/>
      <c r="J14" s="1349" t="s">
        <v>488</v>
      </c>
      <c r="K14" s="93"/>
      <c r="L14" s="1349" t="s">
        <v>500</v>
      </c>
      <c r="M14" s="1203"/>
      <c r="N14" s="1409" t="s">
        <v>515</v>
      </c>
      <c r="O14" s="1410"/>
      <c r="P14" s="1410" t="s">
        <v>516</v>
      </c>
      <c r="Q14" s="1411"/>
      <c r="R14" s="594" t="s">
        <v>517</v>
      </c>
      <c r="S14" s="594" t="s">
        <v>518</v>
      </c>
      <c r="T14" s="595"/>
      <c r="U14" s="594"/>
      <c r="V14" s="74"/>
      <c r="W14" s="69"/>
      <c r="X14" s="69"/>
      <c r="Y14" s="1318"/>
      <c r="Z14" s="1319"/>
      <c r="AA14" s="73"/>
      <c r="AB14" s="72"/>
      <c r="AC14" s="1349" t="s">
        <v>197</v>
      </c>
      <c r="AD14" s="74"/>
      <c r="AE14" s="1349" t="s">
        <v>198</v>
      </c>
      <c r="AF14" s="74"/>
      <c r="AG14" s="1434" t="s">
        <v>501</v>
      </c>
      <c r="AH14" s="1435"/>
      <c r="AI14" s="594" t="s">
        <v>502</v>
      </c>
      <c r="AJ14" s="594" t="s">
        <v>503</v>
      </c>
      <c r="AK14" s="595"/>
      <c r="AL14" s="594"/>
      <c r="AM14" s="74"/>
    </row>
    <row r="15" spans="2:39" ht="13.5" thickBot="1" x14ac:dyDescent="0.25">
      <c r="B15" s="1320"/>
      <c r="C15" s="1450"/>
      <c r="D15" s="109" t="s">
        <v>35</v>
      </c>
      <c r="E15" s="109" t="s">
        <v>36</v>
      </c>
      <c r="F15" s="125" t="s">
        <v>13</v>
      </c>
      <c r="G15" s="126" t="s">
        <v>37</v>
      </c>
      <c r="H15" s="125" t="s">
        <v>38</v>
      </c>
      <c r="I15" s="109" t="s">
        <v>39</v>
      </c>
      <c r="J15" s="127" t="s">
        <v>40</v>
      </c>
      <c r="K15" s="128" t="s">
        <v>41</v>
      </c>
      <c r="L15" s="127" t="s">
        <v>42</v>
      </c>
      <c r="M15" s="1204" t="s">
        <v>129</v>
      </c>
      <c r="N15" s="1412" t="s">
        <v>130</v>
      </c>
      <c r="O15" s="1413" t="s">
        <v>43</v>
      </c>
      <c r="P15" s="1413" t="s">
        <v>131</v>
      </c>
      <c r="Q15" s="1414" t="s">
        <v>132</v>
      </c>
      <c r="R15" s="109" t="s">
        <v>135</v>
      </c>
      <c r="S15" s="109" t="s">
        <v>89</v>
      </c>
      <c r="T15" s="125" t="s">
        <v>92</v>
      </c>
      <c r="U15" s="109" t="s">
        <v>93</v>
      </c>
      <c r="V15" s="126" t="s">
        <v>94</v>
      </c>
      <c r="W15" s="619"/>
      <c r="X15" s="619"/>
      <c r="Y15" s="1320"/>
      <c r="Z15" s="1321"/>
      <c r="AA15" s="125" t="s">
        <v>35</v>
      </c>
      <c r="AB15" s="109" t="s">
        <v>36</v>
      </c>
      <c r="AC15" s="125" t="s">
        <v>13</v>
      </c>
      <c r="AD15" s="126" t="s">
        <v>37</v>
      </c>
      <c r="AE15" s="125" t="s">
        <v>38</v>
      </c>
      <c r="AF15" s="126" t="s">
        <v>39</v>
      </c>
      <c r="AG15" s="1436" t="s">
        <v>42</v>
      </c>
      <c r="AH15" s="1437" t="s">
        <v>129</v>
      </c>
      <c r="AI15" s="109" t="s">
        <v>131</v>
      </c>
      <c r="AJ15" s="109" t="s">
        <v>132</v>
      </c>
      <c r="AK15" s="125" t="s">
        <v>133</v>
      </c>
      <c r="AL15" s="109" t="s">
        <v>134</v>
      </c>
      <c r="AM15" s="126" t="s">
        <v>135</v>
      </c>
    </row>
    <row r="16" spans="2:39" ht="18" customHeight="1" thickTop="1" x14ac:dyDescent="0.2">
      <c r="B16" s="284"/>
      <c r="C16" s="70"/>
      <c r="D16" s="78"/>
      <c r="E16" s="78"/>
      <c r="F16" s="94"/>
      <c r="G16" s="70"/>
      <c r="H16" s="53"/>
      <c r="I16" s="69"/>
      <c r="J16" s="53"/>
      <c r="K16" s="87"/>
      <c r="L16" s="53"/>
      <c r="M16" s="54"/>
      <c r="N16" s="1415"/>
      <c r="O16" s="1416"/>
      <c r="P16" s="1416"/>
      <c r="Q16" s="1417"/>
      <c r="R16" s="78"/>
      <c r="S16" s="78"/>
      <c r="T16" s="68"/>
      <c r="U16" s="69"/>
      <c r="V16" s="70"/>
      <c r="W16" s="69"/>
      <c r="X16" s="69"/>
      <c r="Y16" s="284"/>
      <c r="Z16" s="1322"/>
      <c r="AA16" s="94"/>
      <c r="AB16" s="78"/>
      <c r="AC16" s="94"/>
      <c r="AD16" s="70"/>
      <c r="AE16" s="53"/>
      <c r="AF16" s="70"/>
      <c r="AG16" s="1438"/>
      <c r="AH16" s="1439"/>
      <c r="AI16" s="78"/>
      <c r="AJ16" s="78"/>
      <c r="AK16" s="68"/>
      <c r="AL16" s="69"/>
      <c r="AM16" s="70"/>
    </row>
    <row r="17" spans="2:39" x14ac:dyDescent="0.2">
      <c r="B17" s="284">
        <v>1</v>
      </c>
      <c r="C17" s="1451" t="s">
        <v>281</v>
      </c>
      <c r="D17" s="80">
        <f>'Rate Impacts - Rev Req ONLY'!D17</f>
        <v>208635.1321174161</v>
      </c>
      <c r="E17" s="81">
        <f>'Rate Impacts - Rev Req ONLY'!E17</f>
        <v>283691.13211741613</v>
      </c>
      <c r="F17" s="95">
        <f>SUM('Rev Req Proof Yr1'!AF14:AH14)</f>
        <v>28394.63053745855</v>
      </c>
      <c r="G17" s="85">
        <f>IFERROR((F17/D17),0)</f>
        <v>0.13609707171215327</v>
      </c>
      <c r="H17" s="95">
        <f>SUM('Rev Req Proof Yr1'!AM14:AO14)</f>
        <v>-1953.8082260179419</v>
      </c>
      <c r="I17" s="84">
        <f>IFERROR((H17/D17),0)</f>
        <v>-9.3647134410630994E-3</v>
      </c>
      <c r="J17" s="96">
        <f>SUM('Temps Proof'!T14:V14)</f>
        <v>-6696.6240186263303</v>
      </c>
      <c r="K17" s="85">
        <f>IFERROR((J17/E17),0)</f>
        <v>-2.3605334324848348E-2</v>
      </c>
      <c r="L17" s="96">
        <f>SUM('Temps Proof'!X14:Z14)</f>
        <v>-3701.5004194010235</v>
      </c>
      <c r="M17" s="84">
        <f>IFERROR((L17/E17),0)</f>
        <v>-1.3047642313574397E-2</v>
      </c>
      <c r="N17" s="1418">
        <f>SUM(F17,H17)</f>
        <v>26440.822311440606</v>
      </c>
      <c r="O17" s="1419">
        <f>IFERROR((N17/D17),0)</f>
        <v>0.12673235827109017</v>
      </c>
      <c r="P17" s="1420">
        <f>SUM(F17,H17,J17,L17)</f>
        <v>16042.697873413252</v>
      </c>
      <c r="Q17" s="1421">
        <f>IFERROR((P17/E17),0)</f>
        <v>5.6549874342823603E-2</v>
      </c>
      <c r="R17" s="81">
        <f>D17+N17</f>
        <v>235075.9544288567</v>
      </c>
      <c r="S17" s="81">
        <f>E17+P17</f>
        <v>299733.8299908294</v>
      </c>
      <c r="T17" s="83">
        <f t="shared" ref="T17:T39" si="0">IFERROR((R17-D17)/D17,0)</f>
        <v>0.12673235827109011</v>
      </c>
      <c r="U17" s="84">
        <f t="shared" ref="U17:U39" si="1">IFERROR((S17-E17)/E17,0)</f>
        <v>5.6549874342823672E-2</v>
      </c>
      <c r="V17" s="85">
        <f>'Avg Bill by RS'!AH14</f>
        <v>5.1999999999999998E-2</v>
      </c>
      <c r="W17" s="84"/>
      <c r="X17" s="84"/>
      <c r="Y17" s="284">
        <v>1</v>
      </c>
      <c r="Z17" s="1323" t="s">
        <v>281</v>
      </c>
      <c r="AA17" s="1093">
        <f>'Rate Impacts - Rev Req ONLY'!N17</f>
        <v>235075.9544288567</v>
      </c>
      <c r="AB17" s="81">
        <f>'Rate Impacts - Rev Req ONLY'!O17</f>
        <v>310131.95442885678</v>
      </c>
      <c r="AC17" s="95">
        <f>SUM('Rev Req Proof Yr2'!AF14:AH14)</f>
        <v>13313.807483007986</v>
      </c>
      <c r="AD17" s="85">
        <f>IFERROR((AC17/AA17),0)</f>
        <v>5.6636194524256507E-2</v>
      </c>
      <c r="AE17" s="95">
        <f>SUM('Temps Proof'!AB14:AD14)</f>
        <v>-188.93969658195482</v>
      </c>
      <c r="AF17" s="85">
        <f>IFERROR((AE17/AB17),0)</f>
        <v>-6.0922357043120151E-4</v>
      </c>
      <c r="AG17" s="1440">
        <f>AC17+AE17-(J17+L17)</f>
        <v>23522.992224453385</v>
      </c>
      <c r="AH17" s="1441">
        <f>IFERROR((AG17/AB17),0)</f>
        <v>7.5848334518684626E-2</v>
      </c>
      <c r="AI17" s="81">
        <f>AA17+AC17</f>
        <v>248389.76191186468</v>
      </c>
      <c r="AJ17" s="81">
        <f t="shared" ref="AJ17:AJ39" si="2">AB17+AG17</f>
        <v>333654.94665331015</v>
      </c>
      <c r="AK17" s="83">
        <f t="shared" ref="AK17:AK39" si="3">IFERROR((AI17-AA17)/AA17,0)</f>
        <v>5.6636194524256507E-2</v>
      </c>
      <c r="AL17" s="84">
        <f t="shared" ref="AL17:AL39" si="4">IFERROR((AJ17-AB17)/AB17,0)</f>
        <v>7.5848334518684571E-2</v>
      </c>
      <c r="AM17" s="85">
        <f>'Avg Bill by RS'!BM14</f>
        <v>7.2999999999999995E-2</v>
      </c>
    </row>
    <row r="18" spans="2:39" x14ac:dyDescent="0.2">
      <c r="B18" s="284">
        <v>2</v>
      </c>
      <c r="C18" s="783" t="s">
        <v>282</v>
      </c>
      <c r="D18" s="80">
        <f>'Rate Impacts - Rev Req ONLY'!D18</f>
        <v>37604.380821902283</v>
      </c>
      <c r="E18" s="81">
        <f>'Rate Impacts - Rev Req ONLY'!E18</f>
        <v>53871.380821902283</v>
      </c>
      <c r="F18" s="95">
        <f>SUM('Rev Req Proof Yr1'!AF15:AH15)</f>
        <v>5117.9001141686094</v>
      </c>
      <c r="G18" s="85">
        <f>IFERROR((F18/D18),0)</f>
        <v>0.13609850773524082</v>
      </c>
      <c r="H18" s="95">
        <f>SUM('Rev Req Proof Yr1'!AM15:AO15)</f>
        <v>-351.83527201159131</v>
      </c>
      <c r="I18" s="84">
        <f t="shared" ref="I18:I39" si="5">IFERROR((H18/D18),0)</f>
        <v>-9.3562309582469836E-3</v>
      </c>
      <c r="J18" s="96">
        <f>SUM('Temps Proof'!T15:V15)</f>
        <v>-1207.2231423254866</v>
      </c>
      <c r="K18" s="85">
        <f t="shared" ref="K18:K39" si="6">IFERROR((J18/E18),0)</f>
        <v>-2.2409359550603358E-2</v>
      </c>
      <c r="L18" s="96">
        <f>SUM('Temps Proof'!X15:Z15)</f>
        <v>-666.90468887911425</v>
      </c>
      <c r="M18" s="84">
        <f t="shared" ref="M18:M39" si="7">IFERROR((L18/E18),0)</f>
        <v>-1.2379572951432003E-2</v>
      </c>
      <c r="N18" s="1418">
        <f t="shared" ref="N18:N38" si="8">SUM(F18,H18)</f>
        <v>4766.0648421570186</v>
      </c>
      <c r="O18" s="1419">
        <f t="shared" ref="O18:O39" si="9">IFERROR((N18/D18),0)</f>
        <v>0.12674227677699385</v>
      </c>
      <c r="P18" s="1420">
        <f t="shared" ref="P18:P39" si="10">SUM(F18,H18,J18,L18)</f>
        <v>2891.9370109524179</v>
      </c>
      <c r="Q18" s="1421">
        <f t="shared" ref="Q18:Q39" si="11">IFERROR((P18/E18),0)</f>
        <v>5.3682251444660468E-2</v>
      </c>
      <c r="R18" s="81">
        <f t="shared" ref="R18:R39" si="12">D18+N18</f>
        <v>42370.445664059298</v>
      </c>
      <c r="S18" s="81">
        <f t="shared" ref="S18:S39" si="13">E18+P18</f>
        <v>56763.3178328547</v>
      </c>
      <c r="T18" s="83">
        <f t="shared" si="0"/>
        <v>0.12674227677699376</v>
      </c>
      <c r="U18" s="84">
        <f t="shared" si="1"/>
        <v>5.3682251444660448E-2</v>
      </c>
      <c r="V18" s="85">
        <f>'Avg Bill by RS'!AH15</f>
        <v>0.05</v>
      </c>
      <c r="W18" s="84"/>
      <c r="X18" s="84"/>
      <c r="Y18" s="284">
        <v>2</v>
      </c>
      <c r="Z18" s="1324" t="s">
        <v>282</v>
      </c>
      <c r="AA18" s="1093">
        <f>'Rate Impacts - Rev Req ONLY'!N18</f>
        <v>42370.445664059298</v>
      </c>
      <c r="AB18" s="81">
        <f>'Rate Impacts - Rev Req ONLY'!O18</f>
        <v>58637.445664059298</v>
      </c>
      <c r="AC18" s="95">
        <f>SUM('Rev Req Proof Yr2'!AF15:AH15)</f>
        <v>2400.0191769362136</v>
      </c>
      <c r="AD18" s="85">
        <f>IFERROR((AC18/AA18),0)</f>
        <v>5.6643708587942189E-2</v>
      </c>
      <c r="AE18" s="95">
        <f>SUM('Temps Proof'!AB15:AD15)</f>
        <v>-33.973511715404975</v>
      </c>
      <c r="AF18" s="85">
        <f t="shared" ref="AF18:AF39" si="14">IFERROR((AE18/AB18),0)</f>
        <v>-5.7938253160008278E-4</v>
      </c>
      <c r="AG18" s="1440">
        <f t="shared" ref="AG18:AG39" si="15">AC18+AE18-(J18+L18)</f>
        <v>4240.1734964254092</v>
      </c>
      <c r="AH18" s="1441">
        <f t="shared" ref="AH18:AH39" si="16">IFERROR((AG18/AB18),0)</f>
        <v>7.2311701991895294E-2</v>
      </c>
      <c r="AI18" s="81">
        <f t="shared" ref="AI18:AI39" si="17">AA18+AC18</f>
        <v>44770.464840995512</v>
      </c>
      <c r="AJ18" s="81">
        <f t="shared" si="2"/>
        <v>62877.619160484704</v>
      </c>
      <c r="AK18" s="83">
        <f t="shared" si="3"/>
        <v>5.6643708587942189E-2</v>
      </c>
      <c r="AL18" s="84">
        <f t="shared" si="4"/>
        <v>7.2311701991895252E-2</v>
      </c>
      <c r="AM18" s="85">
        <f>'Avg Bill by RS'!BM15</f>
        <v>6.9000000000000006E-2</v>
      </c>
    </row>
    <row r="19" spans="2:39" x14ac:dyDescent="0.2">
      <c r="B19" s="284">
        <v>3</v>
      </c>
      <c r="C19" s="783" t="s">
        <v>12</v>
      </c>
      <c r="D19" s="80">
        <f>'Rate Impacts - Rev Req ONLY'!D19</f>
        <v>33798099.589697547</v>
      </c>
      <c r="E19" s="81">
        <f>'Rate Impacts - Rev Req ONLY'!E19</f>
        <v>53008197.589697547</v>
      </c>
      <c r="F19" s="95">
        <f>SUM('Rev Req Proof Yr1'!AF16:AH16)</f>
        <v>4599609.2712115422</v>
      </c>
      <c r="G19" s="85">
        <f t="shared" ref="G19:G34" si="18">IFERROR((F19/D19),0)</f>
        <v>0.13609076625756825</v>
      </c>
      <c r="H19" s="95">
        <f>SUM('Rev Req Proof Yr1'!AM16:AO16)</f>
        <v>-316532.25092208461</v>
      </c>
      <c r="I19" s="84">
        <f t="shared" si="5"/>
        <v>-9.3653860650369548E-3</v>
      </c>
      <c r="J19" s="96">
        <f>SUM('Temps Proof'!T16:V16)</f>
        <v>-1084782.4015975606</v>
      </c>
      <c r="K19" s="85">
        <f t="shared" si="6"/>
        <v>-2.0464427219241924E-2</v>
      </c>
      <c r="L19" s="96">
        <f>SUM('Temps Proof'!X16:Z16)</f>
        <v>-599542.85721526784</v>
      </c>
      <c r="M19" s="84">
        <f t="shared" si="7"/>
        <v>-1.1310379987939686E-2</v>
      </c>
      <c r="N19" s="1418">
        <f>SUM(F19,H19)</f>
        <v>4283077.0202894574</v>
      </c>
      <c r="O19" s="1419">
        <f t="shared" si="9"/>
        <v>0.1267253801925313</v>
      </c>
      <c r="P19" s="1420">
        <f t="shared" si="10"/>
        <v>2598751.7614766294</v>
      </c>
      <c r="Q19" s="1421">
        <f t="shared" si="11"/>
        <v>4.9025469260281208E-2</v>
      </c>
      <c r="R19" s="81">
        <f t="shared" si="12"/>
        <v>38081176.609987006</v>
      </c>
      <c r="S19" s="81">
        <f t="shared" si="13"/>
        <v>55606949.351174176</v>
      </c>
      <c r="T19" s="83">
        <f t="shared" si="0"/>
        <v>0.12672538019253132</v>
      </c>
      <c r="U19" s="84">
        <f t="shared" si="1"/>
        <v>4.9025469260281188E-2</v>
      </c>
      <c r="V19" s="85">
        <f>'Avg Bill by RS'!AH16</f>
        <v>4.5999999999999999E-2</v>
      </c>
      <c r="W19" s="84"/>
      <c r="X19" s="84"/>
      <c r="Y19" s="284">
        <v>3</v>
      </c>
      <c r="Z19" s="1324" t="s">
        <v>12</v>
      </c>
      <c r="AA19" s="1093">
        <f>'Rate Impacts - Rev Req ONLY'!N19</f>
        <v>38081176.609987006</v>
      </c>
      <c r="AB19" s="81">
        <f>'Rate Impacts - Rev Req ONLY'!O19</f>
        <v>57291274.609987006</v>
      </c>
      <c r="AC19" s="95">
        <f>SUM('Rev Req Proof Yr2'!AF16:AH16)</f>
        <v>2156925.4945645519</v>
      </c>
      <c r="AD19" s="85">
        <f t="shared" ref="AD19:AD24" si="19">IFERROR((AC19/AA19),0)</f>
        <v>5.6640200922754208E-2</v>
      </c>
      <c r="AE19" s="95">
        <f>SUM('Temps Proof'!AB16:AD16)</f>
        <v>-30224.433681796272</v>
      </c>
      <c r="AF19" s="85">
        <f t="shared" si="14"/>
        <v>-5.2755736170211781E-4</v>
      </c>
      <c r="AG19" s="1440">
        <f t="shared" si="15"/>
        <v>3811026.319695584</v>
      </c>
      <c r="AH19" s="1441">
        <f t="shared" si="16"/>
        <v>6.6520187334621575E-2</v>
      </c>
      <c r="AI19" s="81">
        <f t="shared" si="17"/>
        <v>40238102.104551554</v>
      </c>
      <c r="AJ19" s="81">
        <f t="shared" si="2"/>
        <v>61102300.92968259</v>
      </c>
      <c r="AK19" s="83">
        <f t="shared" si="3"/>
        <v>5.6640200922754111E-2</v>
      </c>
      <c r="AL19" s="84">
        <f t="shared" si="4"/>
        <v>6.6520187334621575E-2</v>
      </c>
      <c r="AM19" s="85">
        <f>'Avg Bill by RS'!BM16</f>
        <v>6.4000000000000001E-2</v>
      </c>
    </row>
    <row r="20" spans="2:39" x14ac:dyDescent="0.2">
      <c r="B20" s="284">
        <v>4</v>
      </c>
      <c r="C20" s="783" t="s">
        <v>10</v>
      </c>
      <c r="D20" s="80">
        <f>'Rate Impacts - Rev Req ONLY'!D20</f>
        <v>9866168.0688334089</v>
      </c>
      <c r="E20" s="81">
        <f>'Rate Impacts - Rev Req ONLY'!E20</f>
        <v>16112007.068833409</v>
      </c>
      <c r="F20" s="95">
        <f>SUM('Rev Req Proof Yr1'!AF17:AH17)</f>
        <v>1342720.8770816317</v>
      </c>
      <c r="G20" s="85">
        <f t="shared" si="18"/>
        <v>0.13609345266712014</v>
      </c>
      <c r="H20" s="95">
        <f>SUM('Rev Req Proof Yr1'!AM17:AO17)</f>
        <v>-92373.478835822199</v>
      </c>
      <c r="I20" s="84">
        <f t="shared" si="5"/>
        <v>-9.3626500371125927E-3</v>
      </c>
      <c r="J20" s="96">
        <f>SUM('Temps Proof'!T17:V17)</f>
        <v>-316785.64405398985</v>
      </c>
      <c r="K20" s="85">
        <f t="shared" si="6"/>
        <v>-1.9661463820157495E-2</v>
      </c>
      <c r="L20" s="96">
        <f>SUM('Temps Proof'!X17:Z17)</f>
        <v>-175098.6639441117</v>
      </c>
      <c r="M20" s="84">
        <f t="shared" si="7"/>
        <v>-1.0867588575157554E-2</v>
      </c>
      <c r="N20" s="1418">
        <f t="shared" si="8"/>
        <v>1250347.3982458096</v>
      </c>
      <c r="O20" s="1419">
        <f t="shared" si="9"/>
        <v>0.12673080263000755</v>
      </c>
      <c r="P20" s="1420">
        <f t="shared" si="10"/>
        <v>758463.09024770814</v>
      </c>
      <c r="Q20" s="1421">
        <f t="shared" si="11"/>
        <v>4.7074401532187553E-2</v>
      </c>
      <c r="R20" s="81">
        <f t="shared" si="12"/>
        <v>11116515.467079218</v>
      </c>
      <c r="S20" s="81">
        <f t="shared" si="13"/>
        <v>16870470.159081116</v>
      </c>
      <c r="T20" s="83">
        <f t="shared" si="0"/>
        <v>0.12673080263000755</v>
      </c>
      <c r="U20" s="84">
        <f t="shared" si="1"/>
        <v>4.7074401532187511E-2</v>
      </c>
      <c r="V20" s="85">
        <f>'Avg Bill by RS'!AH17</f>
        <v>4.3999999999999997E-2</v>
      </c>
      <c r="W20" s="84"/>
      <c r="X20" s="84"/>
      <c r="Y20" s="284">
        <v>4</v>
      </c>
      <c r="Z20" s="1324" t="s">
        <v>10</v>
      </c>
      <c r="AA20" s="1093">
        <f>'Rate Impacts - Rev Req ONLY'!N20</f>
        <v>11116515.467079217</v>
      </c>
      <c r="AB20" s="81">
        <f>'Rate Impacts - Rev Req ONLY'!O20</f>
        <v>17362354.467079218</v>
      </c>
      <c r="AC20" s="95">
        <f>SUM('Rev Req Proof Yr2'!AF17:AH17)</f>
        <v>629640.50177454017</v>
      </c>
      <c r="AD20" s="85">
        <f t="shared" si="19"/>
        <v>5.6640095868096124E-2</v>
      </c>
      <c r="AE20" s="95">
        <f>SUM('Temps Proof'!AB17:AD17)</f>
        <v>-8933.6053032710042</v>
      </c>
      <c r="AF20" s="85">
        <f t="shared" si="14"/>
        <v>-5.145388155857562E-4</v>
      </c>
      <c r="AG20" s="1440">
        <f t="shared" si="15"/>
        <v>1112591.2044693707</v>
      </c>
      <c r="AH20" s="1441">
        <f t="shared" si="16"/>
        <v>6.4080664093050063E-2</v>
      </c>
      <c r="AI20" s="81">
        <f t="shared" si="17"/>
        <v>11746155.968853757</v>
      </c>
      <c r="AJ20" s="81">
        <f t="shared" si="2"/>
        <v>18474945.67154859</v>
      </c>
      <c r="AK20" s="83">
        <f t="shared" si="3"/>
        <v>5.6640095868096124E-2</v>
      </c>
      <c r="AL20" s="84">
        <f t="shared" si="4"/>
        <v>6.4080664093050119E-2</v>
      </c>
      <c r="AM20" s="85">
        <f>'Avg Bill by RS'!BM17</f>
        <v>6.2E-2</v>
      </c>
    </row>
    <row r="21" spans="2:39" x14ac:dyDescent="0.2">
      <c r="B21" s="284">
        <v>5</v>
      </c>
      <c r="C21" s="783" t="s">
        <v>11</v>
      </c>
      <c r="D21" s="80">
        <f>'Rate Impacts - Rev Req ONLY'!D21</f>
        <v>141888.72505190157</v>
      </c>
      <c r="E21" s="81">
        <f>'Rate Impacts - Rev Req ONLY'!E21</f>
        <v>241043.72505190157</v>
      </c>
      <c r="F21" s="95">
        <f>SUM('Rev Req Proof Yr1'!AF18:AH18)</f>
        <v>19311.028159999987</v>
      </c>
      <c r="G21" s="85">
        <f t="shared" si="18"/>
        <v>0.13609980745782438</v>
      </c>
      <c r="H21" s="95">
        <f>SUM('Rev Req Proof Yr1'!AM18:AO18)</f>
        <v>-1330.3278799999996</v>
      </c>
      <c r="I21" s="84">
        <f t="shared" si="5"/>
        <v>-9.3758533633548271E-3</v>
      </c>
      <c r="J21" s="96">
        <f>SUM('Temps Proof'!T18:V18)</f>
        <v>0</v>
      </c>
      <c r="K21" s="85">
        <f t="shared" si="6"/>
        <v>0</v>
      </c>
      <c r="L21" s="96">
        <f>SUM('Temps Proof'!X18:Z18)</f>
        <v>-2515.9932399999993</v>
      </c>
      <c r="M21" s="84">
        <f t="shared" si="7"/>
        <v>-1.043791220641921E-2</v>
      </c>
      <c r="N21" s="1418">
        <f t="shared" si="8"/>
        <v>17980.700279999986</v>
      </c>
      <c r="O21" s="1419">
        <f t="shared" si="9"/>
        <v>0.12672395409446954</v>
      </c>
      <c r="P21" s="1420">
        <f t="shared" si="10"/>
        <v>15464.707039999987</v>
      </c>
      <c r="Q21" s="1421">
        <f t="shared" si="11"/>
        <v>6.4157268714089624E-2</v>
      </c>
      <c r="R21" s="81">
        <f t="shared" si="12"/>
        <v>159869.42533190156</v>
      </c>
      <c r="S21" s="81">
        <f t="shared" si="13"/>
        <v>256508.43209190154</v>
      </c>
      <c r="T21" s="83">
        <f t="shared" si="0"/>
        <v>0.12672395409446957</v>
      </c>
      <c r="U21" s="84">
        <f t="shared" si="1"/>
        <v>6.4157268714089596E-2</v>
      </c>
      <c r="V21" s="85">
        <f>'Avg Bill by RS'!AH18</f>
        <v>6.4000000000000001E-2</v>
      </c>
      <c r="W21" s="84"/>
      <c r="X21" s="84"/>
      <c r="Y21" s="284">
        <v>5</v>
      </c>
      <c r="Z21" s="1324" t="s">
        <v>11</v>
      </c>
      <c r="AA21" s="1093">
        <f>'Rate Impacts - Rev Req ONLY'!N21</f>
        <v>159869.42533190156</v>
      </c>
      <c r="AB21" s="81">
        <f>'Rate Impacts - Rev Req ONLY'!O21</f>
        <v>259024.42533190156</v>
      </c>
      <c r="AC21" s="95">
        <f>SUM('Rev Req Proof Yr2'!AF18:AH18)</f>
        <v>9054.1718399999954</v>
      </c>
      <c r="AD21" s="85">
        <f t="shared" si="19"/>
        <v>5.6634793183267029E-2</v>
      </c>
      <c r="AE21" s="95">
        <f>SUM('Temps Proof'!AB18:AD18)</f>
        <v>-127.64339999999997</v>
      </c>
      <c r="AF21" s="85">
        <f t="shared" si="14"/>
        <v>-4.927851874835502E-4</v>
      </c>
      <c r="AG21" s="1440">
        <f t="shared" si="15"/>
        <v>11442.521679999994</v>
      </c>
      <c r="AH21" s="1441">
        <f t="shared" si="16"/>
        <v>4.4175454362414247E-2</v>
      </c>
      <c r="AI21" s="81">
        <f t="shared" si="17"/>
        <v>168923.59717190155</v>
      </c>
      <c r="AJ21" s="81">
        <f t="shared" si="2"/>
        <v>270466.94701190153</v>
      </c>
      <c r="AK21" s="83">
        <f t="shared" si="3"/>
        <v>5.6634793183267029E-2</v>
      </c>
      <c r="AL21" s="84">
        <f t="shared" si="4"/>
        <v>4.4175454362414178E-2</v>
      </c>
      <c r="AM21" s="85">
        <f>'Avg Bill by RS'!BM18</f>
        <v>4.4999999999999998E-2</v>
      </c>
    </row>
    <row r="22" spans="2:39" x14ac:dyDescent="0.2">
      <c r="B22" s="1325">
        <v>6</v>
      </c>
      <c r="C22" s="783">
        <v>27</v>
      </c>
      <c r="D22" s="80">
        <f>'Rate Impacts - Rev Req ONLY'!D22</f>
        <v>201938.20437801833</v>
      </c>
      <c r="E22" s="81">
        <f>'Rate Impacts - Rev Req ONLY'!E22</f>
        <v>363218.20437801839</v>
      </c>
      <c r="F22" s="95">
        <f>SUM('Rev Req Proof Yr1'!AF19:AH19)</f>
        <v>27483.916299070072</v>
      </c>
      <c r="G22" s="85">
        <f t="shared" si="18"/>
        <v>0.13610062733657638</v>
      </c>
      <c r="H22" s="95">
        <f>SUM('Rev Req Proof Yr1'!AM19:AO19)</f>
        <v>-1891.6242542586419</v>
      </c>
      <c r="I22" s="84">
        <f t="shared" si="5"/>
        <v>-9.3673421534323197E-3</v>
      </c>
      <c r="J22" s="96">
        <f>SUM('Temps Proof'!T19:V19)</f>
        <v>-6482.2733591058341</v>
      </c>
      <c r="K22" s="85">
        <f t="shared" si="6"/>
        <v>-1.7846774420919236E-2</v>
      </c>
      <c r="L22" s="96">
        <f>SUM('Temps Proof'!X19:Z19)</f>
        <v>-3584.858647704792</v>
      </c>
      <c r="M22" s="84">
        <f t="shared" si="7"/>
        <v>-9.8697108363375412E-3</v>
      </c>
      <c r="N22" s="1418">
        <f t="shared" si="8"/>
        <v>25592.292044811431</v>
      </c>
      <c r="O22" s="1419">
        <f t="shared" si="9"/>
        <v>0.12673328518314408</v>
      </c>
      <c r="P22" s="1420">
        <f t="shared" si="10"/>
        <v>15525.160038000804</v>
      </c>
      <c r="Q22" s="1421">
        <f t="shared" si="11"/>
        <v>4.2743342296365283E-2</v>
      </c>
      <c r="R22" s="81">
        <f t="shared" si="12"/>
        <v>227530.49642282975</v>
      </c>
      <c r="S22" s="81">
        <f t="shared" si="13"/>
        <v>378743.36441601918</v>
      </c>
      <c r="T22" s="83">
        <f t="shared" si="0"/>
        <v>0.126733285183144</v>
      </c>
      <c r="U22" s="84">
        <f t="shared" si="1"/>
        <v>4.2743342296365242E-2</v>
      </c>
      <c r="V22" s="85">
        <f>'Avg Bill by RS'!AH19</f>
        <v>4.1000000000000002E-2</v>
      </c>
      <c r="W22" s="84"/>
      <c r="X22" s="84"/>
      <c r="Y22" s="1325">
        <v>6</v>
      </c>
      <c r="Z22" s="1324">
        <v>27</v>
      </c>
      <c r="AA22" s="1093">
        <f>'Rate Impacts - Rev Req ONLY'!N22</f>
        <v>227530.49642282975</v>
      </c>
      <c r="AB22" s="81">
        <f>'Rate Impacts - Rev Req ONLY'!O22</f>
        <v>388810.4964228298</v>
      </c>
      <c r="AC22" s="95">
        <f>SUM('Rev Req Proof Yr2'!AF19:AH19)</f>
        <v>12886.113517425343</v>
      </c>
      <c r="AD22" s="85">
        <f t="shared" si="19"/>
        <v>5.6634665330657571E-2</v>
      </c>
      <c r="AE22" s="95">
        <f>SUM('Temps Proof'!AB19:AD19)</f>
        <v>-179.93499003923665</v>
      </c>
      <c r="AF22" s="85">
        <f t="shared" si="14"/>
        <v>-4.6278326252683797E-4</v>
      </c>
      <c r="AG22" s="1440">
        <f t="shared" si="15"/>
        <v>22773.310534196731</v>
      </c>
      <c r="AH22" s="1441">
        <f t="shared" si="16"/>
        <v>5.8571748303396752E-2</v>
      </c>
      <c r="AI22" s="81">
        <f t="shared" si="17"/>
        <v>240416.60994025509</v>
      </c>
      <c r="AJ22" s="81">
        <f t="shared" si="2"/>
        <v>411583.80695702654</v>
      </c>
      <c r="AK22" s="83">
        <f t="shared" si="3"/>
        <v>5.6634665330657571E-2</v>
      </c>
      <c r="AL22" s="84">
        <f t="shared" si="4"/>
        <v>5.8571748303396752E-2</v>
      </c>
      <c r="AM22" s="85">
        <f>'Avg Bill by RS'!BM19</f>
        <v>5.8000000000000003E-2</v>
      </c>
    </row>
    <row r="23" spans="2:39" x14ac:dyDescent="0.2">
      <c r="B23" s="284">
        <v>7</v>
      </c>
      <c r="C23" s="783" t="s">
        <v>352</v>
      </c>
      <c r="D23" s="80">
        <f>'Rate Impacts - Rev Req ONLY'!D23</f>
        <v>1542348.175315036</v>
      </c>
      <c r="E23" s="81">
        <f>'Rate Impacts - Rev Req ONLY'!E23</f>
        <v>2853836.1753150364</v>
      </c>
      <c r="F23" s="95">
        <f>SUM('Rev Req Proof Yr1'!AF22:AH22)</f>
        <v>209902.4317501164</v>
      </c>
      <c r="G23" s="85">
        <f t="shared" si="18"/>
        <v>0.13609276757969535</v>
      </c>
      <c r="H23" s="95">
        <f>SUM('Rev Req Proof Yr1'!AM22:AO22)</f>
        <v>-14451.994176944718</v>
      </c>
      <c r="I23" s="84">
        <f t="shared" si="5"/>
        <v>-9.37012433913814E-3</v>
      </c>
      <c r="J23" s="96">
        <f>SUM('Temps Proof'!T22:V22)</f>
        <v>-49506.817502475213</v>
      </c>
      <c r="K23" s="85">
        <f t="shared" si="6"/>
        <v>-1.7347463015115128E-2</v>
      </c>
      <c r="L23" s="96">
        <f>SUM('Temps Proof'!X22:Z22)</f>
        <v>-27371.710230430603</v>
      </c>
      <c r="M23" s="84">
        <f t="shared" si="7"/>
        <v>-9.5911988456762153E-3</v>
      </c>
      <c r="N23" s="1418">
        <f t="shared" si="8"/>
        <v>195450.43757317169</v>
      </c>
      <c r="O23" s="1419">
        <f t="shared" si="9"/>
        <v>0.12672264324055721</v>
      </c>
      <c r="P23" s="1420">
        <f t="shared" si="10"/>
        <v>118571.90984026586</v>
      </c>
      <c r="Q23" s="1421">
        <f t="shared" si="11"/>
        <v>4.1548253843679953E-2</v>
      </c>
      <c r="R23" s="81">
        <f t="shared" si="12"/>
        <v>1737798.6128882077</v>
      </c>
      <c r="S23" s="81">
        <f t="shared" si="13"/>
        <v>2972408.0851553022</v>
      </c>
      <c r="T23" s="83">
        <f t="shared" si="0"/>
        <v>0.12672264324055721</v>
      </c>
      <c r="U23" s="84">
        <f t="shared" si="1"/>
        <v>4.1548253843679918E-2</v>
      </c>
      <c r="V23" s="85">
        <f>'Avg Bill by RS'!AH22</f>
        <v>4.4999999999999998E-2</v>
      </c>
      <c r="W23" s="84"/>
      <c r="X23" s="84"/>
      <c r="Y23" s="284">
        <v>7</v>
      </c>
      <c r="Z23" s="1324" t="s">
        <v>352</v>
      </c>
      <c r="AA23" s="1093">
        <f>'Rate Impacts - Rev Req ONLY'!N23</f>
        <v>1737798.6128882077</v>
      </c>
      <c r="AB23" s="81">
        <f>'Rate Impacts - Rev Req ONLY'!O23</f>
        <v>3049286.6128882081</v>
      </c>
      <c r="AC23" s="95">
        <f>SUM('Rev Req Proof Yr2'!AF22:AH22)</f>
        <v>98435.082024062751</v>
      </c>
      <c r="AD23" s="85">
        <f t="shared" si="19"/>
        <v>5.6643549657612174E-2</v>
      </c>
      <c r="AE23" s="95">
        <f>SUM('Temps Proof'!AB22:AD22)</f>
        <v>-1401.9558234434951</v>
      </c>
      <c r="AF23" s="85">
        <f t="shared" si="14"/>
        <v>-4.5976518491831688E-4</v>
      </c>
      <c r="AG23" s="1440">
        <f t="shared" si="15"/>
        <v>173911.65393352509</v>
      </c>
      <c r="AH23" s="1441">
        <f t="shared" si="16"/>
        <v>5.7033554405304103E-2</v>
      </c>
      <c r="AI23" s="81">
        <f t="shared" si="17"/>
        <v>1836233.6949122704</v>
      </c>
      <c r="AJ23" s="81">
        <f t="shared" si="2"/>
        <v>3223198.2668217332</v>
      </c>
      <c r="AK23" s="83">
        <f t="shared" si="3"/>
        <v>5.6643549657612174E-2</v>
      </c>
      <c r="AL23" s="84">
        <f t="shared" si="4"/>
        <v>5.7033554405304103E-2</v>
      </c>
      <c r="AM23" s="85">
        <f>'Avg Bill by RS'!BM20</f>
        <v>6.4000000000000001E-2</v>
      </c>
    </row>
    <row r="24" spans="2:39" x14ac:dyDescent="0.2">
      <c r="B24" s="284">
        <v>8</v>
      </c>
      <c r="C24" s="783" t="s">
        <v>353</v>
      </c>
      <c r="D24" s="80">
        <f>'Rate Impacts - Rev Req ONLY'!D24</f>
        <v>392614.2804678994</v>
      </c>
      <c r="E24" s="81">
        <f>'Rate Impacts - Rev Req ONLY'!E24</f>
        <v>747266.28046789952</v>
      </c>
      <c r="F24" s="95">
        <f>SUM('Rev Req Proof Yr1'!AF25:AH25)</f>
        <v>53433.67476200001</v>
      </c>
      <c r="G24" s="85">
        <f t="shared" si="18"/>
        <v>0.13609712488888648</v>
      </c>
      <c r="H24" s="95">
        <f>SUM('Rev Req Proof Yr1'!AM25:AO25)</f>
        <v>-3674.6766820000012</v>
      </c>
      <c r="I24" s="84">
        <f t="shared" si="5"/>
        <v>-9.359508466224643E-3</v>
      </c>
      <c r="J24" s="96">
        <f>SUM('Temps Proof'!T25:V25)</f>
        <v>0</v>
      </c>
      <c r="K24" s="85">
        <f t="shared" si="6"/>
        <v>0</v>
      </c>
      <c r="L24" s="96">
        <f>SUM('Temps Proof'!X25:Z25)</f>
        <v>-6960.5454800000016</v>
      </c>
      <c r="M24" s="84">
        <f t="shared" si="7"/>
        <v>-9.3146789329791087E-3</v>
      </c>
      <c r="N24" s="1418">
        <f t="shared" si="8"/>
        <v>49758.998080000005</v>
      </c>
      <c r="O24" s="1419">
        <f t="shared" si="9"/>
        <v>0.12673761642266182</v>
      </c>
      <c r="P24" s="1420">
        <f t="shared" si="10"/>
        <v>42798.452600000004</v>
      </c>
      <c r="Q24" s="1421">
        <f t="shared" si="11"/>
        <v>5.72733625464832E-2</v>
      </c>
      <c r="R24" s="81">
        <f t="shared" si="12"/>
        <v>442373.27854789939</v>
      </c>
      <c r="S24" s="81">
        <f t="shared" si="13"/>
        <v>790064.73306789948</v>
      </c>
      <c r="T24" s="83">
        <f t="shared" si="0"/>
        <v>0.12673761642266179</v>
      </c>
      <c r="U24" s="84">
        <f t="shared" si="1"/>
        <v>5.7273362546483138E-2</v>
      </c>
      <c r="V24" s="85">
        <f>'Avg Bill by RS'!AH25</f>
        <v>6.7000000000000004E-2</v>
      </c>
      <c r="W24" s="84"/>
      <c r="X24" s="84"/>
      <c r="Y24" s="284">
        <v>8</v>
      </c>
      <c r="Z24" s="1324" t="s">
        <v>353</v>
      </c>
      <c r="AA24" s="1093">
        <f>'Rate Impacts - Rev Req ONLY'!N24</f>
        <v>442373.27854789939</v>
      </c>
      <c r="AB24" s="81">
        <f>'Rate Impacts - Rev Req ONLY'!O24</f>
        <v>797025.27854789945</v>
      </c>
      <c r="AC24" s="95">
        <f>SUM('Rev Req Proof Yr2'!AF25:AH25)</f>
        <v>25056.720428000001</v>
      </c>
      <c r="AD24" s="85">
        <f t="shared" si="19"/>
        <v>5.6641577697118757E-2</v>
      </c>
      <c r="AE24" s="95">
        <f>SUM('Temps Proof'!AB25:AD25)</f>
        <v>-354.44277600000009</v>
      </c>
      <c r="AF24" s="85">
        <f t="shared" si="14"/>
        <v>-4.4470706957470594E-4</v>
      </c>
      <c r="AG24" s="1440">
        <f t="shared" si="15"/>
        <v>31662.823132000001</v>
      </c>
      <c r="AH24" s="1441">
        <f t="shared" si="16"/>
        <v>3.9726247064191623E-2</v>
      </c>
      <c r="AI24" s="81">
        <f t="shared" si="17"/>
        <v>467429.99897589942</v>
      </c>
      <c r="AJ24" s="81">
        <f t="shared" si="2"/>
        <v>828688.1016798995</v>
      </c>
      <c r="AK24" s="83">
        <f t="shared" si="3"/>
        <v>5.664157769711882E-2</v>
      </c>
      <c r="AL24" s="84">
        <f t="shared" si="4"/>
        <v>3.9726247064191686E-2</v>
      </c>
      <c r="AM24" s="85">
        <f>'Avg Bill by RS'!BM21</f>
        <v>4.5999999999999999E-2</v>
      </c>
    </row>
    <row r="25" spans="2:39" x14ac:dyDescent="0.2">
      <c r="B25" s="284">
        <v>9</v>
      </c>
      <c r="C25" s="783" t="s">
        <v>355</v>
      </c>
      <c r="D25" s="80">
        <f>'Rate Impacts - Rev Req ONLY'!D25</f>
        <v>0</v>
      </c>
      <c r="E25" s="81">
        <f>'Rate Impacts - Rev Req ONLY'!E25</f>
        <v>0</v>
      </c>
      <c r="F25" s="95">
        <f>SUM('Rev Req Proof Yr1'!AF28:AH28)</f>
        <v>0</v>
      </c>
      <c r="G25" s="85">
        <f>IFERROR((F25/D25),0)</f>
        <v>0</v>
      </c>
      <c r="H25" s="95">
        <f>SUM('Rev Req Proof Yr1'!AM28:AO28)</f>
        <v>0</v>
      </c>
      <c r="I25" s="84">
        <f t="shared" si="5"/>
        <v>0</v>
      </c>
      <c r="J25" s="96">
        <f>SUM('Temps Proof'!T28:V28)</f>
        <v>0</v>
      </c>
      <c r="K25" s="85">
        <f t="shared" si="6"/>
        <v>0</v>
      </c>
      <c r="L25" s="96">
        <f>SUM('Temps Proof'!X28:Z28)</f>
        <v>0</v>
      </c>
      <c r="M25" s="84">
        <f t="shared" si="7"/>
        <v>0</v>
      </c>
      <c r="N25" s="1418">
        <f t="shared" si="8"/>
        <v>0</v>
      </c>
      <c r="O25" s="1419">
        <f t="shared" si="9"/>
        <v>0</v>
      </c>
      <c r="P25" s="1420">
        <f t="shared" si="10"/>
        <v>0</v>
      </c>
      <c r="Q25" s="1421">
        <f t="shared" si="11"/>
        <v>0</v>
      </c>
      <c r="R25" s="81">
        <f t="shared" si="12"/>
        <v>0</v>
      </c>
      <c r="S25" s="81">
        <f t="shared" si="13"/>
        <v>0</v>
      </c>
      <c r="T25" s="83">
        <f t="shared" si="0"/>
        <v>0</v>
      </c>
      <c r="U25" s="84">
        <f t="shared" si="1"/>
        <v>0</v>
      </c>
      <c r="V25" s="85">
        <f>'Avg Bill by RS'!AH28</f>
        <v>0</v>
      </c>
      <c r="W25" s="84"/>
      <c r="X25" s="84"/>
      <c r="Y25" s="284">
        <v>9</v>
      </c>
      <c r="Z25" s="1324" t="s">
        <v>355</v>
      </c>
      <c r="AA25" s="1093">
        <f>'Rate Impacts - Rev Req ONLY'!N25</f>
        <v>0</v>
      </c>
      <c r="AB25" s="81">
        <f>'Rate Impacts - Rev Req ONLY'!O25</f>
        <v>0</v>
      </c>
      <c r="AC25" s="95">
        <f>SUM('Rev Req Proof Yr2'!AF28:AH28)</f>
        <v>0</v>
      </c>
      <c r="AD25" s="85">
        <f>IFERROR((AC25/AA25),0)</f>
        <v>0</v>
      </c>
      <c r="AE25" s="95">
        <f>SUM('Temps Proof'!AB28:AD28)</f>
        <v>0</v>
      </c>
      <c r="AF25" s="85">
        <f t="shared" si="14"/>
        <v>0</v>
      </c>
      <c r="AG25" s="1440">
        <f t="shared" si="15"/>
        <v>0</v>
      </c>
      <c r="AH25" s="1441">
        <f t="shared" si="16"/>
        <v>0</v>
      </c>
      <c r="AI25" s="81">
        <f t="shared" si="17"/>
        <v>0</v>
      </c>
      <c r="AJ25" s="81">
        <f t="shared" si="2"/>
        <v>0</v>
      </c>
      <c r="AK25" s="83">
        <f t="shared" si="3"/>
        <v>0</v>
      </c>
      <c r="AL25" s="84">
        <f t="shared" si="4"/>
        <v>0</v>
      </c>
      <c r="AM25" s="85">
        <f>'Avg Bill by RS'!BM22</f>
        <v>0</v>
      </c>
    </row>
    <row r="26" spans="2:39" x14ac:dyDescent="0.2">
      <c r="B26" s="284">
        <v>10</v>
      </c>
      <c r="C26" s="783" t="s">
        <v>356</v>
      </c>
      <c r="D26" s="80">
        <f>'Rate Impacts - Rev Req ONLY'!D26</f>
        <v>0</v>
      </c>
      <c r="E26" s="81">
        <f>'Rate Impacts - Rev Req ONLY'!E26</f>
        <v>0</v>
      </c>
      <c r="F26" s="95">
        <f>SUM('Rev Req Proof Yr1'!AF31:AH31)</f>
        <v>0</v>
      </c>
      <c r="G26" s="85">
        <f t="shared" si="18"/>
        <v>0</v>
      </c>
      <c r="H26" s="95">
        <f>SUM('Rev Req Proof Yr1'!AM31:AO31)</f>
        <v>0</v>
      </c>
      <c r="I26" s="84">
        <f t="shared" si="5"/>
        <v>0</v>
      </c>
      <c r="J26" s="96">
        <f>SUM('Temps Proof'!T31:V31)</f>
        <v>0</v>
      </c>
      <c r="K26" s="85">
        <f t="shared" si="6"/>
        <v>0</v>
      </c>
      <c r="L26" s="96">
        <f>SUM('Temps Proof'!X31:Z31)</f>
        <v>0</v>
      </c>
      <c r="M26" s="84">
        <f t="shared" si="7"/>
        <v>0</v>
      </c>
      <c r="N26" s="1418">
        <f t="shared" si="8"/>
        <v>0</v>
      </c>
      <c r="O26" s="1419">
        <f t="shared" si="9"/>
        <v>0</v>
      </c>
      <c r="P26" s="1420">
        <f t="shared" si="10"/>
        <v>0</v>
      </c>
      <c r="Q26" s="1421">
        <f t="shared" si="11"/>
        <v>0</v>
      </c>
      <c r="R26" s="81">
        <f t="shared" si="12"/>
        <v>0</v>
      </c>
      <c r="S26" s="81">
        <f t="shared" si="13"/>
        <v>0</v>
      </c>
      <c r="T26" s="83">
        <f t="shared" si="0"/>
        <v>0</v>
      </c>
      <c r="U26" s="84">
        <f t="shared" si="1"/>
        <v>0</v>
      </c>
      <c r="V26" s="85">
        <f>'Avg Bill by RS'!AH31</f>
        <v>0</v>
      </c>
      <c r="W26" s="84"/>
      <c r="X26" s="84"/>
      <c r="Y26" s="284">
        <v>10</v>
      </c>
      <c r="Z26" s="1324" t="s">
        <v>356</v>
      </c>
      <c r="AA26" s="1093">
        <f>'Rate Impacts - Rev Req ONLY'!N26</f>
        <v>0</v>
      </c>
      <c r="AB26" s="81">
        <f>'Rate Impacts - Rev Req ONLY'!O26</f>
        <v>0</v>
      </c>
      <c r="AC26" s="95">
        <f>SUM('Rev Req Proof Yr2'!AF31:AH31)</f>
        <v>0</v>
      </c>
      <c r="AD26" s="85">
        <f t="shared" ref="AD26" si="20">IFERROR((AC26/AA26),0)</f>
        <v>0</v>
      </c>
      <c r="AE26" s="95">
        <f>SUM('Temps Proof'!AB31:AD31)</f>
        <v>0</v>
      </c>
      <c r="AF26" s="85">
        <f t="shared" si="14"/>
        <v>0</v>
      </c>
      <c r="AG26" s="1440">
        <f t="shared" si="15"/>
        <v>0</v>
      </c>
      <c r="AH26" s="1441">
        <f t="shared" si="16"/>
        <v>0</v>
      </c>
      <c r="AI26" s="81">
        <f t="shared" si="17"/>
        <v>0</v>
      </c>
      <c r="AJ26" s="81">
        <f t="shared" si="2"/>
        <v>0</v>
      </c>
      <c r="AK26" s="83">
        <f t="shared" si="3"/>
        <v>0</v>
      </c>
      <c r="AL26" s="84">
        <f t="shared" si="4"/>
        <v>0</v>
      </c>
      <c r="AM26" s="85">
        <f>'Avg Bill by RS'!BM23</f>
        <v>0</v>
      </c>
    </row>
    <row r="27" spans="2:39" x14ac:dyDescent="0.2">
      <c r="B27" s="284">
        <v>11</v>
      </c>
      <c r="C27" s="783" t="s">
        <v>357</v>
      </c>
      <c r="D27" s="80">
        <f>'Rate Impacts - Rev Req ONLY'!D27</f>
        <v>189841.33809000003</v>
      </c>
      <c r="E27" s="81">
        <f>'Rate Impacts - Rev Req ONLY'!E27</f>
        <v>189841.33809000003</v>
      </c>
      <c r="F27" s="95">
        <f>SUM('Rev Req Proof Yr1'!AF34:AH34)</f>
        <v>25836.995390000004</v>
      </c>
      <c r="G27" s="85">
        <f>IFERROR((F27/D27),0)</f>
        <v>0.13609783648781065</v>
      </c>
      <c r="H27" s="95">
        <f>SUM('Rev Req Proof Yr1'!AM34:AO34)</f>
        <v>-1779.01313</v>
      </c>
      <c r="I27" s="84">
        <f t="shared" si="5"/>
        <v>-9.371052416184536E-3</v>
      </c>
      <c r="J27" s="96">
        <f>SUM('Temps Proof'!T34:V34)</f>
        <v>0</v>
      </c>
      <c r="K27" s="85">
        <f t="shared" si="6"/>
        <v>0</v>
      </c>
      <c r="L27" s="96">
        <f>SUM('Temps Proof'!X34:Z34)</f>
        <v>-3366.8523299999997</v>
      </c>
      <c r="M27" s="84">
        <f t="shared" si="7"/>
        <v>-1.7735085329012173E-2</v>
      </c>
      <c r="N27" s="1418">
        <f t="shared" si="8"/>
        <v>24057.982260000004</v>
      </c>
      <c r="O27" s="1419">
        <f t="shared" si="9"/>
        <v>0.1267267840716261</v>
      </c>
      <c r="P27" s="1420">
        <f t="shared" si="10"/>
        <v>20691.129930000003</v>
      </c>
      <c r="Q27" s="1421">
        <f t="shared" si="11"/>
        <v>0.10899169874261393</v>
      </c>
      <c r="R27" s="81">
        <f t="shared" si="12"/>
        <v>213899.32035000005</v>
      </c>
      <c r="S27" s="81">
        <f t="shared" si="13"/>
        <v>210532.46802000003</v>
      </c>
      <c r="T27" s="83">
        <f t="shared" si="0"/>
        <v>0.12672678407162619</v>
      </c>
      <c r="U27" s="84">
        <f t="shared" si="1"/>
        <v>0.1089916987426139</v>
      </c>
      <c r="V27" s="85">
        <f>'Avg Bill by RS'!AH34</f>
        <v>0.109</v>
      </c>
      <c r="W27" s="84"/>
      <c r="X27" s="84"/>
      <c r="Y27" s="284">
        <v>11</v>
      </c>
      <c r="Z27" s="1324" t="s">
        <v>357</v>
      </c>
      <c r="AA27" s="1093">
        <f>'Rate Impacts - Rev Req ONLY'!N27</f>
        <v>213899.32035000002</v>
      </c>
      <c r="AB27" s="81">
        <f>'Rate Impacts - Rev Req ONLY'!O27</f>
        <v>213899.32035000002</v>
      </c>
      <c r="AC27" s="95">
        <f>SUM('Rev Req Proof Yr2'!AF34:AH34)</f>
        <v>12114.902749999994</v>
      </c>
      <c r="AD27" s="85">
        <f>IFERROR((AC27/AA27),0)</f>
        <v>5.6638341487839104E-2</v>
      </c>
      <c r="AE27" s="95">
        <f>SUM('Temps Proof'!AB34:AD34)</f>
        <v>-171.82324</v>
      </c>
      <c r="AF27" s="85">
        <f t="shared" si="14"/>
        <v>-8.0329025692483917E-4</v>
      </c>
      <c r="AG27" s="1440">
        <f t="shared" si="15"/>
        <v>15309.931839999994</v>
      </c>
      <c r="AH27" s="1441">
        <f t="shared" si="16"/>
        <v>7.1575411342815851E-2</v>
      </c>
      <c r="AI27" s="81">
        <f t="shared" si="17"/>
        <v>226014.2231</v>
      </c>
      <c r="AJ27" s="81">
        <f t="shared" si="2"/>
        <v>229209.25219000003</v>
      </c>
      <c r="AK27" s="83">
        <f t="shared" si="3"/>
        <v>5.6638341487839035E-2</v>
      </c>
      <c r="AL27" s="84">
        <f t="shared" si="4"/>
        <v>7.1575411342815906E-2</v>
      </c>
      <c r="AM27" s="85">
        <f>'Avg Bill by RS'!BM24</f>
        <v>7.2999999999999995E-2</v>
      </c>
    </row>
    <row r="28" spans="2:39" x14ac:dyDescent="0.2">
      <c r="B28" s="284">
        <v>12</v>
      </c>
      <c r="C28" s="783" t="s">
        <v>358</v>
      </c>
      <c r="D28" s="80">
        <f>'Rate Impacts - Rev Req ONLY'!D28</f>
        <v>0</v>
      </c>
      <c r="E28" s="81">
        <f>'Rate Impacts - Rev Req ONLY'!E28</f>
        <v>0</v>
      </c>
      <c r="F28" s="95">
        <f>SUM('Rev Req Proof Yr1'!AF37:AH37)</f>
        <v>0</v>
      </c>
      <c r="G28" s="85">
        <f>IFERROR((F28/D28),0)</f>
        <v>0</v>
      </c>
      <c r="H28" s="95">
        <f>SUM('Rev Req Proof Yr1'!AM37:AO37)</f>
        <v>0</v>
      </c>
      <c r="I28" s="84">
        <f t="shared" si="5"/>
        <v>0</v>
      </c>
      <c r="J28" s="96">
        <f>SUM('Temps Proof'!T37:V37)</f>
        <v>0</v>
      </c>
      <c r="K28" s="85">
        <f t="shared" si="6"/>
        <v>0</v>
      </c>
      <c r="L28" s="96">
        <f>SUM('Temps Proof'!X37:Z37)</f>
        <v>0</v>
      </c>
      <c r="M28" s="84">
        <f t="shared" si="7"/>
        <v>0</v>
      </c>
      <c r="N28" s="1418">
        <f t="shared" si="8"/>
        <v>0</v>
      </c>
      <c r="O28" s="1419">
        <f t="shared" si="9"/>
        <v>0</v>
      </c>
      <c r="P28" s="1420">
        <f t="shared" si="10"/>
        <v>0</v>
      </c>
      <c r="Q28" s="1421">
        <f t="shared" si="11"/>
        <v>0</v>
      </c>
      <c r="R28" s="81">
        <f t="shared" si="12"/>
        <v>0</v>
      </c>
      <c r="S28" s="81">
        <f t="shared" si="13"/>
        <v>0</v>
      </c>
      <c r="T28" s="83">
        <f t="shared" si="0"/>
        <v>0</v>
      </c>
      <c r="U28" s="84">
        <f t="shared" si="1"/>
        <v>0</v>
      </c>
      <c r="V28" s="85">
        <f>'Avg Bill by RS'!AH37</f>
        <v>0</v>
      </c>
      <c r="W28" s="84"/>
      <c r="X28" s="84"/>
      <c r="Y28" s="284">
        <v>12</v>
      </c>
      <c r="Z28" s="1324" t="s">
        <v>358</v>
      </c>
      <c r="AA28" s="1093">
        <f>'Rate Impacts - Rev Req ONLY'!N28</f>
        <v>0</v>
      </c>
      <c r="AB28" s="81">
        <f>'Rate Impacts - Rev Req ONLY'!O28</f>
        <v>0</v>
      </c>
      <c r="AC28" s="95">
        <f>SUM('Rev Req Proof Yr2'!AF37:AH37)</f>
        <v>0</v>
      </c>
      <c r="AD28" s="85">
        <f>IFERROR((AC28/AA28),0)</f>
        <v>0</v>
      </c>
      <c r="AE28" s="95">
        <f>SUM('Temps Proof'!AB37:AD37)</f>
        <v>0</v>
      </c>
      <c r="AF28" s="85">
        <f t="shared" si="14"/>
        <v>0</v>
      </c>
      <c r="AG28" s="1440">
        <f t="shared" si="15"/>
        <v>0</v>
      </c>
      <c r="AH28" s="1441">
        <f t="shared" si="16"/>
        <v>0</v>
      </c>
      <c r="AI28" s="81">
        <f t="shared" si="17"/>
        <v>0</v>
      </c>
      <c r="AJ28" s="81">
        <f t="shared" si="2"/>
        <v>0</v>
      </c>
      <c r="AK28" s="83">
        <f t="shared" si="3"/>
        <v>0</v>
      </c>
      <c r="AL28" s="84">
        <f t="shared" si="4"/>
        <v>0</v>
      </c>
      <c r="AM28" s="85">
        <f>'Avg Bill by RS'!BM25</f>
        <v>0</v>
      </c>
    </row>
    <row r="29" spans="2:39" x14ac:dyDescent="0.2">
      <c r="B29" s="284">
        <v>13</v>
      </c>
      <c r="C29" s="783" t="s">
        <v>359</v>
      </c>
      <c r="D29" s="80">
        <f>'Rate Impacts - Rev Req ONLY'!D29</f>
        <v>219574.60083981926</v>
      </c>
      <c r="E29" s="81">
        <f>'Rate Impacts - Rev Req ONLY'!E29</f>
        <v>470188.60083981924</v>
      </c>
      <c r="F29" s="95">
        <f>SUM('Rev Req Proof Yr1'!AF44:AH44)</f>
        <v>29883.943719079431</v>
      </c>
      <c r="G29" s="85">
        <f t="shared" si="18"/>
        <v>0.13609927379934036</v>
      </c>
      <c r="H29" s="95">
        <f>SUM('Rev Req Proof Yr1'!AM44:AO44)</f>
        <v>-2055.595853643305</v>
      </c>
      <c r="I29" s="84">
        <f t="shared" si="5"/>
        <v>-9.361719642350037E-3</v>
      </c>
      <c r="J29" s="96">
        <f>SUM('Temps Proof'!T44:V44)</f>
        <v>-7048.2450450192709</v>
      </c>
      <c r="K29" s="85">
        <f t="shared" si="6"/>
        <v>-1.4990250789640945E-2</v>
      </c>
      <c r="L29" s="96">
        <f>SUM('Temps Proof'!X44:Z44)</f>
        <v>-3897.3218202287053</v>
      </c>
      <c r="M29" s="84">
        <f t="shared" si="7"/>
        <v>-8.2888479500940072E-3</v>
      </c>
      <c r="N29" s="1418">
        <f t="shared" si="8"/>
        <v>27828.347865436124</v>
      </c>
      <c r="O29" s="1419">
        <f t="shared" si="9"/>
        <v>0.12673755415699031</v>
      </c>
      <c r="P29" s="1420">
        <f t="shared" si="10"/>
        <v>16882.781000188148</v>
      </c>
      <c r="Q29" s="1421">
        <f t="shared" si="11"/>
        <v>3.5906402175708348E-2</v>
      </c>
      <c r="R29" s="81">
        <f t="shared" si="12"/>
        <v>247402.9487052554</v>
      </c>
      <c r="S29" s="81">
        <f t="shared" si="13"/>
        <v>487071.38184000738</v>
      </c>
      <c r="T29" s="83">
        <f t="shared" si="0"/>
        <v>0.12673755415699037</v>
      </c>
      <c r="U29" s="84">
        <f t="shared" si="1"/>
        <v>3.5906402175708341E-2</v>
      </c>
      <c r="V29" s="85">
        <f>'Avg Bill by RS'!AH44</f>
        <v>4.5999999999999999E-2</v>
      </c>
      <c r="W29" s="84"/>
      <c r="X29" s="84"/>
      <c r="Y29" s="284">
        <v>13</v>
      </c>
      <c r="Z29" s="1324" t="s">
        <v>359</v>
      </c>
      <c r="AA29" s="1093">
        <f>'Rate Impacts - Rev Req ONLY'!N29</f>
        <v>247402.94870525537</v>
      </c>
      <c r="AB29" s="81">
        <f>'Rate Impacts - Rev Req ONLY'!O29</f>
        <v>498016.94870525534</v>
      </c>
      <c r="AC29" s="95">
        <f>SUM('Rev Req Proof Yr2'!AF44:AH44)</f>
        <v>14012.424282822392</v>
      </c>
      <c r="AD29" s="85">
        <f t="shared" ref="AD29:AD34" si="21">IFERROR((AC29/AA29),0)</f>
        <v>5.663806497115019E-2</v>
      </c>
      <c r="AE29" s="95">
        <f>SUM('Temps Proof'!AB44:AD44)</f>
        <v>-199.53158775131345</v>
      </c>
      <c r="AF29" s="85">
        <f t="shared" si="14"/>
        <v>-4.0065220324339513E-4</v>
      </c>
      <c r="AG29" s="1440">
        <f t="shared" si="15"/>
        <v>24758.459560319054</v>
      </c>
      <c r="AH29" s="1441">
        <f t="shared" si="16"/>
        <v>4.9714090302922634E-2</v>
      </c>
      <c r="AI29" s="81">
        <f t="shared" si="17"/>
        <v>261415.37298807775</v>
      </c>
      <c r="AJ29" s="81">
        <f t="shared" si="2"/>
        <v>522775.40826557437</v>
      </c>
      <c r="AK29" s="83">
        <f t="shared" si="3"/>
        <v>5.6638064971150141E-2</v>
      </c>
      <c r="AL29" s="84">
        <f t="shared" si="4"/>
        <v>4.9714090302922578E-2</v>
      </c>
      <c r="AM29" s="85">
        <f>'Avg Bill by RS'!BM26</f>
        <v>6.5000000000000002E-2</v>
      </c>
    </row>
    <row r="30" spans="2:39" x14ac:dyDescent="0.2">
      <c r="B30" s="284">
        <v>14</v>
      </c>
      <c r="C30" s="783" t="s">
        <v>360</v>
      </c>
      <c r="D30" s="80">
        <f>'Rate Impacts - Rev Req ONLY'!D30</f>
        <v>511672.37933789124</v>
      </c>
      <c r="E30" s="81">
        <f>'Rate Impacts - Rev Req ONLY'!E30</f>
        <v>1154958.3793378912</v>
      </c>
      <c r="F30" s="95">
        <f>SUM('Rev Req Proof Yr1'!AF51:AH51)</f>
        <v>69637.109626000005</v>
      </c>
      <c r="G30" s="85">
        <f t="shared" si="18"/>
        <v>0.13609706608770061</v>
      </c>
      <c r="H30" s="95">
        <f>SUM('Rev Req Proof Yr1'!AM51:AO51)</f>
        <v>-4788.9728660000001</v>
      </c>
      <c r="I30" s="84">
        <f t="shared" si="5"/>
        <v>-9.3594515932186439E-3</v>
      </c>
      <c r="J30" s="96">
        <f>SUM('Temps Proof'!T51:V51)</f>
        <v>0</v>
      </c>
      <c r="K30" s="85">
        <f t="shared" si="6"/>
        <v>0</v>
      </c>
      <c r="L30" s="96">
        <f>SUM('Temps Proof'!X51:Z51)</f>
        <v>-9079.0412880000022</v>
      </c>
      <c r="M30" s="84">
        <f t="shared" si="7"/>
        <v>-7.8609250778411514E-3</v>
      </c>
      <c r="N30" s="1418">
        <f t="shared" si="8"/>
        <v>64848.136760000009</v>
      </c>
      <c r="O30" s="1419">
        <f t="shared" si="9"/>
        <v>0.12673761449448198</v>
      </c>
      <c r="P30" s="1420">
        <f t="shared" si="10"/>
        <v>55769.095472000008</v>
      </c>
      <c r="Q30" s="1421">
        <f t="shared" si="11"/>
        <v>4.8286671164696891E-2</v>
      </c>
      <c r="R30" s="81">
        <f t="shared" si="12"/>
        <v>576520.51609789126</v>
      </c>
      <c r="S30" s="81">
        <f t="shared" si="13"/>
        <v>1210727.4748098913</v>
      </c>
      <c r="T30" s="83">
        <f t="shared" si="0"/>
        <v>0.12673761449448201</v>
      </c>
      <c r="U30" s="84">
        <f t="shared" si="1"/>
        <v>4.8286671164696947E-2</v>
      </c>
      <c r="V30" s="85">
        <f>'Avg Bill by RS'!AH51</f>
        <v>6.2E-2</v>
      </c>
      <c r="W30" s="84"/>
      <c r="X30" s="84"/>
      <c r="Y30" s="284">
        <v>14</v>
      </c>
      <c r="Z30" s="1324" t="s">
        <v>360</v>
      </c>
      <c r="AA30" s="1093">
        <f>'Rate Impacts - Rev Req ONLY'!N30</f>
        <v>576520.51609789126</v>
      </c>
      <c r="AB30" s="81">
        <f>'Rate Impacts - Rev Req ONLY'!O30</f>
        <v>1219806.5160978914</v>
      </c>
      <c r="AC30" s="95">
        <f>SUM('Rev Req Proof Yr2'!AF51:AH51)</f>
        <v>32655.57115500002</v>
      </c>
      <c r="AD30" s="85">
        <f t="shared" si="21"/>
        <v>5.6642513567470708E-2</v>
      </c>
      <c r="AE30" s="95">
        <f>SUM('Temps Proof'!AB51:AD51)</f>
        <v>-468.75253500000008</v>
      </c>
      <c r="AF30" s="85">
        <f t="shared" si="14"/>
        <v>-3.8428433428894877E-4</v>
      </c>
      <c r="AG30" s="1440">
        <f t="shared" si="15"/>
        <v>41265.85990800002</v>
      </c>
      <c r="AH30" s="1441">
        <f t="shared" si="16"/>
        <v>3.3829840522583643E-2</v>
      </c>
      <c r="AI30" s="81">
        <f t="shared" si="17"/>
        <v>609176.08725289127</v>
      </c>
      <c r="AJ30" s="81">
        <f t="shared" si="2"/>
        <v>1261072.3760058915</v>
      </c>
      <c r="AK30" s="83">
        <f t="shared" si="3"/>
        <v>5.6642513567470694E-2</v>
      </c>
      <c r="AL30" s="84">
        <f t="shared" si="4"/>
        <v>3.3829840522583705E-2</v>
      </c>
      <c r="AM30" s="85">
        <f>'Avg Bill by RS'!BM27</f>
        <v>4.2999999999999997E-2</v>
      </c>
    </row>
    <row r="31" spans="2:39" x14ac:dyDescent="0.2">
      <c r="B31" s="284">
        <v>15</v>
      </c>
      <c r="C31" s="783" t="s">
        <v>361</v>
      </c>
      <c r="D31" s="80">
        <f>'Rate Impacts - Rev Req ONLY'!D31</f>
        <v>360784.67333999998</v>
      </c>
      <c r="E31" s="81">
        <f>'Rate Impacts - Rev Req ONLY'!E31</f>
        <v>360784.67333999998</v>
      </c>
      <c r="F31" s="95">
        <f>SUM('Rev Req Proof Yr1'!AF58:AH58)</f>
        <v>49098.639150000003</v>
      </c>
      <c r="G31" s="85">
        <f t="shared" si="18"/>
        <v>0.13608848373592056</v>
      </c>
      <c r="H31" s="95">
        <f>SUM('Rev Req Proof Yr1'!AM58:AO58)</f>
        <v>-3383.8287</v>
      </c>
      <c r="I31" s="84">
        <f t="shared" si="5"/>
        <v>-9.3790810698078427E-3</v>
      </c>
      <c r="J31" s="96">
        <f>SUM('Temps Proof'!T58:V58)</f>
        <v>0</v>
      </c>
      <c r="K31" s="85">
        <f t="shared" si="6"/>
        <v>0</v>
      </c>
      <c r="L31" s="558">
        <f>SUM('Temps Proof'!X58:Z58)</f>
        <v>-6395.26055</v>
      </c>
      <c r="M31" s="84">
        <f t="shared" si="7"/>
        <v>-1.7725976247259176E-2</v>
      </c>
      <c r="N31" s="1418">
        <f t="shared" si="8"/>
        <v>45714.810450000004</v>
      </c>
      <c r="O31" s="1419">
        <f t="shared" si="9"/>
        <v>0.12670940266611272</v>
      </c>
      <c r="P31" s="1420">
        <f t="shared" si="10"/>
        <v>39319.549900000005</v>
      </c>
      <c r="Q31" s="1421">
        <f t="shared" si="11"/>
        <v>0.10898342641885356</v>
      </c>
      <c r="R31" s="81">
        <f t="shared" si="12"/>
        <v>406499.48378999997</v>
      </c>
      <c r="S31" s="81">
        <f t="shared" si="13"/>
        <v>400104.22323999996</v>
      </c>
      <c r="T31" s="83">
        <f t="shared" si="0"/>
        <v>0.12670940266611269</v>
      </c>
      <c r="U31" s="84">
        <f t="shared" si="1"/>
        <v>0.1089834264188535</v>
      </c>
      <c r="V31" s="85">
        <f>'Avg Bill by RS'!AH58</f>
        <v>0.11600000000000001</v>
      </c>
      <c r="W31" s="84"/>
      <c r="X31" s="84"/>
      <c r="Y31" s="284">
        <v>15</v>
      </c>
      <c r="Z31" s="1324" t="s">
        <v>361</v>
      </c>
      <c r="AA31" s="1093">
        <f>'Rate Impacts - Rev Req ONLY'!N31</f>
        <v>406499.48378999997</v>
      </c>
      <c r="AB31" s="81">
        <f>'Rate Impacts - Rev Req ONLY'!O31</f>
        <v>406499.48378999997</v>
      </c>
      <c r="AC31" s="95">
        <f>SUM('Rev Req Proof Yr2'!AF58:AH58)</f>
        <v>23020.772400000023</v>
      </c>
      <c r="AD31" s="85">
        <f t="shared" si="21"/>
        <v>5.6631738336702757E-2</v>
      </c>
      <c r="AE31" s="95">
        <f>SUM('Temps Proof'!AB58:AD58)</f>
        <v>-326.73435000000001</v>
      </c>
      <c r="AF31" s="85">
        <f t="shared" si="14"/>
        <v>-8.0377555945136919E-4</v>
      </c>
      <c r="AG31" s="1440">
        <f t="shared" si="15"/>
        <v>29089.298600000024</v>
      </c>
      <c r="AH31" s="1441">
        <f t="shared" si="16"/>
        <v>7.1560481033790757E-2</v>
      </c>
      <c r="AI31" s="81">
        <f t="shared" si="17"/>
        <v>429520.25618999999</v>
      </c>
      <c r="AJ31" s="81">
        <f t="shared" si="2"/>
        <v>435588.78239000001</v>
      </c>
      <c r="AK31" s="83">
        <f t="shared" si="3"/>
        <v>5.6631738336702743E-2</v>
      </c>
      <c r="AL31" s="84">
        <f t="shared" si="4"/>
        <v>7.1560481033790785E-2</v>
      </c>
      <c r="AM31" s="85">
        <f>'Avg Bill by RS'!BM28</f>
        <v>7.6999999999999999E-2</v>
      </c>
    </row>
    <row r="32" spans="2:39" x14ac:dyDescent="0.2">
      <c r="B32" s="284">
        <v>16</v>
      </c>
      <c r="C32" s="783" t="s">
        <v>362</v>
      </c>
      <c r="D32" s="80">
        <f>'Rate Impacts - Rev Req ONLY'!D32</f>
        <v>823615.79209999996</v>
      </c>
      <c r="E32" s="81">
        <f>'Rate Impacts - Rev Req ONLY'!E32</f>
        <v>823615.79209999996</v>
      </c>
      <c r="F32" s="95">
        <f>SUM('Rev Req Proof Yr1'!AF65:AH65)</f>
        <v>112098.45365</v>
      </c>
      <c r="G32" s="85">
        <f t="shared" si="18"/>
        <v>0.1361052747230343</v>
      </c>
      <c r="H32" s="95">
        <f>SUM('Rev Req Proof Yr1'!AM65:AO65)</f>
        <v>-7716.6626000000006</v>
      </c>
      <c r="I32" s="84">
        <f t="shared" si="5"/>
        <v>-9.3692504126524512E-3</v>
      </c>
      <c r="J32" s="96">
        <f>SUM('Temps Proof'!T65:V65)</f>
        <v>0</v>
      </c>
      <c r="K32" s="85">
        <f t="shared" si="6"/>
        <v>0</v>
      </c>
      <c r="L32" s="96">
        <f>SUM('Temps Proof'!X65:Z65)</f>
        <v>-14605.610930000001</v>
      </c>
      <c r="M32" s="84">
        <f t="shared" si="7"/>
        <v>-1.773352462409639E-2</v>
      </c>
      <c r="N32" s="1418">
        <f t="shared" si="8"/>
        <v>104381.79105</v>
      </c>
      <c r="O32" s="1419">
        <f t="shared" si="9"/>
        <v>0.12673602431038186</v>
      </c>
      <c r="P32" s="1420">
        <f t="shared" si="10"/>
        <v>89776.180120000005</v>
      </c>
      <c r="Q32" s="1421">
        <f t="shared" si="11"/>
        <v>0.10900249968628548</v>
      </c>
      <c r="R32" s="81">
        <f t="shared" si="12"/>
        <v>927997.58314999996</v>
      </c>
      <c r="S32" s="81">
        <f t="shared" si="13"/>
        <v>913391.97222</v>
      </c>
      <c r="T32" s="83">
        <f t="shared" si="0"/>
        <v>0.12673602431038186</v>
      </c>
      <c r="U32" s="84">
        <f t="shared" si="1"/>
        <v>0.1090024996862855</v>
      </c>
      <c r="V32" s="85">
        <f>'Avg Bill by RS'!AH65</f>
        <v>0.12</v>
      </c>
      <c r="W32" s="84"/>
      <c r="X32" s="84"/>
      <c r="Y32" s="284">
        <v>16</v>
      </c>
      <c r="Z32" s="1324" t="s">
        <v>362</v>
      </c>
      <c r="AA32" s="1093">
        <f>'Rate Impacts - Rev Req ONLY'!N32</f>
        <v>927997.58314999996</v>
      </c>
      <c r="AB32" s="81">
        <f>'Rate Impacts - Rev Req ONLY'!O32</f>
        <v>927997.58314999996</v>
      </c>
      <c r="AC32" s="95">
        <f>SUM('Rev Req Proof Yr2'!AF65:AH65)</f>
        <v>52558.568929999994</v>
      </c>
      <c r="AD32" s="85">
        <f t="shared" si="21"/>
        <v>5.6636536435358924E-2</v>
      </c>
      <c r="AE32" s="95">
        <f>SUM('Temps Proof'!AB65:AD65)</f>
        <v>-729.79639000000009</v>
      </c>
      <c r="AF32" s="85">
        <f t="shared" si="14"/>
        <v>-7.8642057183249913E-4</v>
      </c>
      <c r="AG32" s="1440">
        <f t="shared" si="15"/>
        <v>66434.383469999986</v>
      </c>
      <c r="AH32" s="1441">
        <f t="shared" si="16"/>
        <v>7.1588961734679046E-2</v>
      </c>
      <c r="AI32" s="81">
        <f t="shared" si="17"/>
        <v>980556.15207999991</v>
      </c>
      <c r="AJ32" s="81">
        <f t="shared" si="2"/>
        <v>994431.96661999996</v>
      </c>
      <c r="AK32" s="83">
        <f t="shared" si="3"/>
        <v>5.6636536435358875E-2</v>
      </c>
      <c r="AL32" s="84">
        <f t="shared" si="4"/>
        <v>7.158896173467906E-2</v>
      </c>
      <c r="AM32" s="85">
        <f>'Avg Bill by RS'!BM29</f>
        <v>7.9000000000000001E-2</v>
      </c>
    </row>
    <row r="33" spans="1:39" x14ac:dyDescent="0.2">
      <c r="B33" s="284">
        <v>17</v>
      </c>
      <c r="C33" s="783" t="s">
        <v>363</v>
      </c>
      <c r="D33" s="80">
        <f>'Rate Impacts - Rev Req ONLY'!D33</f>
        <v>160512.61187958997</v>
      </c>
      <c r="E33" s="81">
        <f>'Rate Impacts - Rev Req ONLY'!E33</f>
        <v>430728.61187958985</v>
      </c>
      <c r="F33" s="95">
        <f>SUM('Rev Req Proof Yr1'!AF72:AH72)</f>
        <v>21844.4555</v>
      </c>
      <c r="G33" s="85">
        <f t="shared" si="18"/>
        <v>0.13609183256195981</v>
      </c>
      <c r="H33" s="95">
        <f>SUM('Rev Req Proof Yr1'!AM72:AO72)</f>
        <v>-1501.3931600000001</v>
      </c>
      <c r="I33" s="84">
        <f t="shared" si="5"/>
        <v>-9.3537395125454954E-3</v>
      </c>
      <c r="J33" s="96">
        <f>SUM('Temps Proof'!T72:V72)</f>
        <v>-5153.5389999999998</v>
      </c>
      <c r="K33" s="85">
        <f t="shared" si="6"/>
        <v>-1.1964700876292544E-2</v>
      </c>
      <c r="L33" s="96">
        <f>SUM('Temps Proof'!X72:Z72)</f>
        <v>-2849.6411599999997</v>
      </c>
      <c r="M33" s="84">
        <f t="shared" si="7"/>
        <v>-6.6158622422710488E-3</v>
      </c>
      <c r="N33" s="1418">
        <f t="shared" si="8"/>
        <v>20343.06234</v>
      </c>
      <c r="O33" s="1419">
        <f t="shared" si="9"/>
        <v>0.12673809304941433</v>
      </c>
      <c r="P33" s="1420">
        <f t="shared" si="10"/>
        <v>12339.882180000001</v>
      </c>
      <c r="Q33" s="1421">
        <f t="shared" si="11"/>
        <v>2.8648856471716382E-2</v>
      </c>
      <c r="R33" s="81">
        <f t="shared" si="12"/>
        <v>180855.67421958997</v>
      </c>
      <c r="S33" s="81">
        <f t="shared" si="13"/>
        <v>443068.49405958987</v>
      </c>
      <c r="T33" s="83">
        <f t="shared" si="0"/>
        <v>0.12673809304941436</v>
      </c>
      <c r="U33" s="84">
        <f t="shared" si="1"/>
        <v>2.8648856471716413E-2</v>
      </c>
      <c r="V33" s="85">
        <f>'Avg Bill by RS'!AH72</f>
        <v>0.03</v>
      </c>
      <c r="W33" s="84"/>
      <c r="X33" s="84"/>
      <c r="Y33" s="284">
        <v>17</v>
      </c>
      <c r="Z33" s="1324" t="s">
        <v>363</v>
      </c>
      <c r="AA33" s="1093">
        <f>'Rate Impacts - Rev Req ONLY'!N33</f>
        <v>180855.67421958997</v>
      </c>
      <c r="AB33" s="81">
        <f>'Rate Impacts - Rev Req ONLY'!O33</f>
        <v>451071.67421958986</v>
      </c>
      <c r="AC33" s="95">
        <f>SUM('Rev Req Proof Yr2'!AF72:AH72)</f>
        <v>10243.523710000001</v>
      </c>
      <c r="AD33" s="85">
        <f t="shared" si="21"/>
        <v>5.6639216625089667E-2</v>
      </c>
      <c r="AE33" s="95">
        <f>SUM('Temps Proof'!AB72:AD72)</f>
        <v>-145.98303999999999</v>
      </c>
      <c r="AF33" s="85">
        <f t="shared" si="14"/>
        <v>-3.2363601694247111E-4</v>
      </c>
      <c r="AG33" s="1440">
        <f t="shared" si="15"/>
        <v>18100.720830000002</v>
      </c>
      <c r="AH33" s="1441">
        <f t="shared" si="16"/>
        <v>4.0128258688192961E-2</v>
      </c>
      <c r="AI33" s="81">
        <f t="shared" si="17"/>
        <v>191099.19792958998</v>
      </c>
      <c r="AJ33" s="81">
        <f t="shared" si="2"/>
        <v>469172.39504958986</v>
      </c>
      <c r="AK33" s="83">
        <f t="shared" si="3"/>
        <v>5.6639216625089708E-2</v>
      </c>
      <c r="AL33" s="84">
        <f t="shared" si="4"/>
        <v>4.0128258688192968E-2</v>
      </c>
      <c r="AM33" s="85">
        <f>'Avg Bill by RS'!BM30</f>
        <v>4.2999999999999997E-2</v>
      </c>
    </row>
    <row r="34" spans="1:39" x14ac:dyDescent="0.2">
      <c r="B34" s="284">
        <v>18</v>
      </c>
      <c r="C34" s="783" t="s">
        <v>364</v>
      </c>
      <c r="D34" s="80">
        <f>'Rate Impacts - Rev Req ONLY'!D34</f>
        <v>81130.03459599179</v>
      </c>
      <c r="E34" s="81">
        <f>'Rate Impacts - Rev Req ONLY'!E34</f>
        <v>171731.03459599178</v>
      </c>
      <c r="F34" s="95">
        <f>SUM('Rev Req Proof Yr1'!AF79:AH79)</f>
        <v>11040.877800000002</v>
      </c>
      <c r="G34" s="85">
        <f t="shared" si="18"/>
        <v>0.13608866130750391</v>
      </c>
      <c r="H34" s="95">
        <f>SUM('Rev Req Proof Yr1'!AM79:AO79)</f>
        <v>-760.61590000000001</v>
      </c>
      <c r="I34" s="84">
        <f t="shared" si="5"/>
        <v>-9.3752690207478118E-3</v>
      </c>
      <c r="J34" s="96">
        <f>SUM('Temps Proof'!T79:V79)</f>
        <v>0</v>
      </c>
      <c r="K34" s="85">
        <f t="shared" si="6"/>
        <v>0</v>
      </c>
      <c r="L34" s="96">
        <f>SUM('Temps Proof'!X79:Z79)</f>
        <v>-1439.019</v>
      </c>
      <c r="M34" s="84">
        <f t="shared" si="7"/>
        <v>-8.3794929867241769E-3</v>
      </c>
      <c r="N34" s="1418">
        <f t="shared" si="8"/>
        <v>10280.261900000001</v>
      </c>
      <c r="O34" s="1419">
        <f t="shared" si="9"/>
        <v>0.1267133922867561</v>
      </c>
      <c r="P34" s="1420">
        <f t="shared" si="10"/>
        <v>8841.2429000000011</v>
      </c>
      <c r="Q34" s="1421">
        <f t="shared" si="11"/>
        <v>5.148308179007708E-2</v>
      </c>
      <c r="R34" s="81">
        <f t="shared" si="12"/>
        <v>91410.296495991788</v>
      </c>
      <c r="S34" s="81">
        <f t="shared" si="13"/>
        <v>180572.27749599179</v>
      </c>
      <c r="T34" s="83">
        <f t="shared" si="0"/>
        <v>0.12671339228675604</v>
      </c>
      <c r="U34" s="84">
        <f t="shared" si="1"/>
        <v>5.1483081790077143E-2</v>
      </c>
      <c r="V34" s="85">
        <f>'Avg Bill by RS'!AH79</f>
        <v>5.7000000000000002E-2</v>
      </c>
      <c r="W34" s="84"/>
      <c r="X34" s="84"/>
      <c r="Y34" s="284">
        <v>18</v>
      </c>
      <c r="Z34" s="1324" t="s">
        <v>364</v>
      </c>
      <c r="AA34" s="1093">
        <f>'Rate Impacts - Rev Req ONLY'!N34</f>
        <v>91410.296495991788</v>
      </c>
      <c r="AB34" s="81">
        <f>'Rate Impacts - Rev Req ONLY'!O34</f>
        <v>182011.29649599179</v>
      </c>
      <c r="AC34" s="95">
        <f>SUM('Rev Req Proof Yr2'!AF79:AH79)</f>
        <v>5177.2746000000006</v>
      </c>
      <c r="AD34" s="85">
        <f t="shared" si="21"/>
        <v>5.6637761810859201E-2</v>
      </c>
      <c r="AE34" s="95">
        <f>SUM('Temps Proof'!AB79:AD79)</f>
        <v>-72.749400000000009</v>
      </c>
      <c r="AF34" s="85">
        <f t="shared" si="14"/>
        <v>-3.9969716935455199E-4</v>
      </c>
      <c r="AG34" s="1440">
        <f t="shared" si="15"/>
        <v>6543.5442000000012</v>
      </c>
      <c r="AH34" s="1441">
        <f t="shared" si="16"/>
        <v>3.5951308110945199E-2</v>
      </c>
      <c r="AI34" s="81">
        <f t="shared" si="17"/>
        <v>96587.571095991792</v>
      </c>
      <c r="AJ34" s="81">
        <f t="shared" si="2"/>
        <v>188554.84069599179</v>
      </c>
      <c r="AK34" s="83">
        <f t="shared" si="3"/>
        <v>5.6637761810859243E-2</v>
      </c>
      <c r="AL34" s="84">
        <f t="shared" si="4"/>
        <v>3.5951308110945213E-2</v>
      </c>
      <c r="AM34" s="85">
        <f>'Avg Bill by RS'!BM31</f>
        <v>0.04</v>
      </c>
    </row>
    <row r="35" spans="1:39" x14ac:dyDescent="0.2">
      <c r="B35" s="284">
        <v>19</v>
      </c>
      <c r="C35" s="783" t="s">
        <v>366</v>
      </c>
      <c r="D35" s="80">
        <f>'Rate Impacts - Rev Req ONLY'!D35</f>
        <v>0</v>
      </c>
      <c r="E35" s="81">
        <f>'Rate Impacts - Rev Req ONLY'!E35</f>
        <v>0</v>
      </c>
      <c r="F35" s="95">
        <f>SUM('Rev Req Proof Yr1'!AF86:AH86)</f>
        <v>0</v>
      </c>
      <c r="G35" s="85">
        <f>IFERROR((F35/D35),0)</f>
        <v>0</v>
      </c>
      <c r="H35" s="95">
        <f>SUM('Rev Req Proof Yr1'!AM86:AO86)</f>
        <v>0</v>
      </c>
      <c r="I35" s="84">
        <f t="shared" si="5"/>
        <v>0</v>
      </c>
      <c r="J35" s="96">
        <f>SUM('Temps Proof'!T86:V86)</f>
        <v>0</v>
      </c>
      <c r="K35" s="85">
        <f t="shared" si="6"/>
        <v>0</v>
      </c>
      <c r="L35" s="96">
        <f>SUM('Temps Proof'!X86:Z86)</f>
        <v>0</v>
      </c>
      <c r="M35" s="84">
        <f t="shared" si="7"/>
        <v>0</v>
      </c>
      <c r="N35" s="1418">
        <f t="shared" si="8"/>
        <v>0</v>
      </c>
      <c r="O35" s="1419">
        <f t="shared" si="9"/>
        <v>0</v>
      </c>
      <c r="P35" s="1420">
        <f t="shared" si="10"/>
        <v>0</v>
      </c>
      <c r="Q35" s="1421">
        <f t="shared" si="11"/>
        <v>0</v>
      </c>
      <c r="R35" s="81">
        <f t="shared" si="12"/>
        <v>0</v>
      </c>
      <c r="S35" s="81">
        <f t="shared" si="13"/>
        <v>0</v>
      </c>
      <c r="T35" s="83">
        <f t="shared" si="0"/>
        <v>0</v>
      </c>
      <c r="U35" s="84">
        <f t="shared" si="1"/>
        <v>0</v>
      </c>
      <c r="V35" s="85">
        <f>'Avg Bill by RS'!AH86</f>
        <v>0</v>
      </c>
      <c r="W35" s="84"/>
      <c r="X35" s="84"/>
      <c r="Y35" s="284">
        <v>19</v>
      </c>
      <c r="Z35" s="1324" t="s">
        <v>366</v>
      </c>
      <c r="AA35" s="1093">
        <f>'Rate Impacts - Rev Req ONLY'!N35</f>
        <v>0</v>
      </c>
      <c r="AB35" s="81">
        <f>'Rate Impacts - Rev Req ONLY'!O35</f>
        <v>0</v>
      </c>
      <c r="AC35" s="95">
        <f>SUM('Rev Req Proof Yr2'!AF86:AH86)</f>
        <v>0</v>
      </c>
      <c r="AD35" s="85">
        <f>IFERROR((AC35/AA35),0)</f>
        <v>0</v>
      </c>
      <c r="AE35" s="95">
        <f>SUM('Temps Proof'!AB86:AD86)</f>
        <v>0</v>
      </c>
      <c r="AF35" s="85">
        <f t="shared" si="14"/>
        <v>0</v>
      </c>
      <c r="AG35" s="1440">
        <f t="shared" si="15"/>
        <v>0</v>
      </c>
      <c r="AH35" s="1441">
        <f t="shared" si="16"/>
        <v>0</v>
      </c>
      <c r="AI35" s="81">
        <f t="shared" si="17"/>
        <v>0</v>
      </c>
      <c r="AJ35" s="81">
        <f t="shared" si="2"/>
        <v>0</v>
      </c>
      <c r="AK35" s="83">
        <f t="shared" si="3"/>
        <v>0</v>
      </c>
      <c r="AL35" s="84">
        <f t="shared" si="4"/>
        <v>0</v>
      </c>
      <c r="AM35" s="85">
        <f>'Avg Bill by RS'!BM32</f>
        <v>0</v>
      </c>
    </row>
    <row r="36" spans="1:39" x14ac:dyDescent="0.2">
      <c r="B36" s="284">
        <v>20</v>
      </c>
      <c r="C36" s="783" t="s">
        <v>367</v>
      </c>
      <c r="D36" s="80">
        <f>'Rate Impacts - Rev Req ONLY'!D36</f>
        <v>825480.07319999998</v>
      </c>
      <c r="E36" s="81">
        <f>'Rate Impacts - Rev Req ONLY'!E36</f>
        <v>825480.07319999998</v>
      </c>
      <c r="F36" s="95">
        <f>SUM('Rev Req Proof Yr1'!AF93:AH93)</f>
        <v>112342.71842999995</v>
      </c>
      <c r="G36" s="85">
        <f>IFERROR((F36/D36),0)</f>
        <v>0.13609379811495606</v>
      </c>
      <c r="H36" s="95">
        <f>SUM('Rev Req Proof Yr1'!AM93:AO93)</f>
        <v>-7732.5836500000005</v>
      </c>
      <c r="I36" s="84">
        <f t="shared" si="5"/>
        <v>-9.3673777248485142E-3</v>
      </c>
      <c r="J36" s="96">
        <f>SUM('Temps Proof'!T93:V93)</f>
        <v>0</v>
      </c>
      <c r="K36" s="85">
        <f t="shared" si="6"/>
        <v>0</v>
      </c>
      <c r="L36" s="96">
        <f>SUM('Temps Proof'!X93:Z93)</f>
        <v>-14641.913430000001</v>
      </c>
      <c r="M36" s="84">
        <f t="shared" si="7"/>
        <v>-1.7737452308497471E-2</v>
      </c>
      <c r="N36" s="1418">
        <f>SUM(F36,H36)</f>
        <v>104610.13477999995</v>
      </c>
      <c r="O36" s="1419">
        <f t="shared" si="9"/>
        <v>0.12672642039010754</v>
      </c>
      <c r="P36" s="1420">
        <f t="shared" si="10"/>
        <v>89968.221349999949</v>
      </c>
      <c r="Q36" s="1421">
        <f t="shared" si="11"/>
        <v>0.10898896808161007</v>
      </c>
      <c r="R36" s="81">
        <f t="shared" si="12"/>
        <v>930090.20797999995</v>
      </c>
      <c r="S36" s="81">
        <f>E36+P36</f>
        <v>915448.29454999999</v>
      </c>
      <c r="T36" s="83">
        <f t="shared" si="0"/>
        <v>0.12672642039010756</v>
      </c>
      <c r="U36" s="84">
        <f t="shared" si="1"/>
        <v>0.10898896808161015</v>
      </c>
      <c r="V36" s="85">
        <f>'Avg Bill by RS'!AH93</f>
        <v>0.11</v>
      </c>
      <c r="W36" s="84"/>
      <c r="X36" s="84"/>
      <c r="Y36" s="284">
        <v>20</v>
      </c>
      <c r="Z36" s="1324" t="s">
        <v>367</v>
      </c>
      <c r="AA36" s="1093">
        <f>'Rate Impacts - Rev Req ONLY'!N36</f>
        <v>930090.20797999983</v>
      </c>
      <c r="AB36" s="81">
        <f>'Rate Impacts - Rev Req ONLY'!O36</f>
        <v>930090.20797999983</v>
      </c>
      <c r="AC36" s="95">
        <f>SUM('Rev Req Proof Yr2'!AF93:AH93)</f>
        <v>52693.327570000052</v>
      </c>
      <c r="AD36" s="85">
        <f>IFERROR((AC36/AA36),0)</f>
        <v>5.6653996696128146E-2</v>
      </c>
      <c r="AE36" s="95">
        <f>SUM('Temps Proof'!AB93:AD93)</f>
        <v>-745.79075</v>
      </c>
      <c r="AF36" s="85">
        <f t="shared" si="14"/>
        <v>-8.018477601433227E-4</v>
      </c>
      <c r="AG36" s="1440">
        <f t="shared" si="15"/>
        <v>66589.450250000053</v>
      </c>
      <c r="AH36" s="1441">
        <f t="shared" si="16"/>
        <v>7.1594614886464819E-2</v>
      </c>
      <c r="AI36" s="81">
        <f t="shared" si="17"/>
        <v>982783.53554999991</v>
      </c>
      <c r="AJ36" s="81">
        <f t="shared" si="2"/>
        <v>996679.65822999994</v>
      </c>
      <c r="AK36" s="83">
        <f t="shared" si="3"/>
        <v>5.6653996696128181E-2</v>
      </c>
      <c r="AL36" s="84">
        <f t="shared" si="4"/>
        <v>7.1594614886464875E-2</v>
      </c>
      <c r="AM36" s="85">
        <f>'Avg Bill by RS'!BM33</f>
        <v>7.2999999999999995E-2</v>
      </c>
    </row>
    <row r="37" spans="1:39" x14ac:dyDescent="0.2">
      <c r="B37" s="284">
        <v>21</v>
      </c>
      <c r="C37" s="783" t="s">
        <v>56</v>
      </c>
      <c r="D37" s="80">
        <f>'Rate Impacts - Rev Req ONLY'!D37</f>
        <v>0</v>
      </c>
      <c r="E37" s="81">
        <f>'Rate Impacts - Rev Req ONLY'!E37</f>
        <v>0</v>
      </c>
      <c r="F37" s="95">
        <f>SUM('Rev Req Proof Yr1'!AF94:AH94)</f>
        <v>0</v>
      </c>
      <c r="G37" s="85">
        <f>IFERROR((F37/D37),0)</f>
        <v>0</v>
      </c>
      <c r="H37" s="95">
        <f>SUM('Rev Req Proof Yr1'!AM94:AO94)</f>
        <v>0</v>
      </c>
      <c r="I37" s="84">
        <f t="shared" si="5"/>
        <v>0</v>
      </c>
      <c r="J37" s="96">
        <f>SUM('Temps Proof'!T94:V94)</f>
        <v>0</v>
      </c>
      <c r="K37" s="85">
        <f t="shared" si="6"/>
        <v>0</v>
      </c>
      <c r="L37" s="96">
        <f>SUM('Temps Proof'!X94:Z94)</f>
        <v>0</v>
      </c>
      <c r="M37" s="84">
        <f t="shared" si="7"/>
        <v>0</v>
      </c>
      <c r="N37" s="1418">
        <f t="shared" si="8"/>
        <v>0</v>
      </c>
      <c r="O37" s="1419">
        <f t="shared" si="9"/>
        <v>0</v>
      </c>
      <c r="P37" s="1420">
        <f t="shared" si="10"/>
        <v>0</v>
      </c>
      <c r="Q37" s="1421">
        <f t="shared" si="11"/>
        <v>0</v>
      </c>
      <c r="R37" s="81">
        <f t="shared" si="12"/>
        <v>0</v>
      </c>
      <c r="S37" s="81">
        <f t="shared" si="13"/>
        <v>0</v>
      </c>
      <c r="T37" s="83">
        <f t="shared" si="0"/>
        <v>0</v>
      </c>
      <c r="U37" s="84">
        <f t="shared" si="1"/>
        <v>0</v>
      </c>
      <c r="V37" s="85">
        <f>'Avg Bill by RS'!AH94</f>
        <v>0</v>
      </c>
      <c r="W37" s="84"/>
      <c r="X37" s="84"/>
      <c r="Y37" s="284">
        <v>21</v>
      </c>
      <c r="Z37" s="1324" t="s">
        <v>56</v>
      </c>
      <c r="AA37" s="1093">
        <f>'Rate Impacts - Rev Req ONLY'!N37</f>
        <v>0</v>
      </c>
      <c r="AB37" s="81">
        <f>'Rate Impacts - Rev Req ONLY'!O37</f>
        <v>0</v>
      </c>
      <c r="AC37" s="95">
        <f>SUM('Rev Req Proof Yr2'!AF94:AH94)</f>
        <v>0</v>
      </c>
      <c r="AD37" s="85">
        <f>IFERROR((AC37/AA37),0)</f>
        <v>0</v>
      </c>
      <c r="AE37" s="95">
        <f>SUM('Temps Proof'!AB94:AD94)</f>
        <v>0</v>
      </c>
      <c r="AF37" s="85">
        <f t="shared" si="14"/>
        <v>0</v>
      </c>
      <c r="AG37" s="1440">
        <f t="shared" si="15"/>
        <v>0</v>
      </c>
      <c r="AH37" s="1441">
        <f t="shared" si="16"/>
        <v>0</v>
      </c>
      <c r="AI37" s="81">
        <f t="shared" si="17"/>
        <v>0</v>
      </c>
      <c r="AJ37" s="81">
        <f t="shared" si="2"/>
        <v>0</v>
      </c>
      <c r="AK37" s="83">
        <f t="shared" si="3"/>
        <v>0</v>
      </c>
      <c r="AL37" s="84">
        <f t="shared" si="4"/>
        <v>0</v>
      </c>
      <c r="AM37" s="85">
        <f>'Avg Bill by RS'!BM34</f>
        <v>0</v>
      </c>
    </row>
    <row r="38" spans="1:39" x14ac:dyDescent="0.2">
      <c r="B38" s="284">
        <v>22</v>
      </c>
      <c r="C38" s="783" t="s">
        <v>348</v>
      </c>
      <c r="D38" s="80">
        <f>'Rate Impacts - Rev Req ONLY'!D38</f>
        <v>0</v>
      </c>
      <c r="E38" s="81">
        <f>'Rate Impacts - Rev Req ONLY'!E38</f>
        <v>0</v>
      </c>
      <c r="F38" s="95">
        <f>SUM('Rev Req Proof Yr1'!AF95:AH95)</f>
        <v>0</v>
      </c>
      <c r="G38" s="85">
        <f>IFERROR((F38/D38),0)</f>
        <v>0</v>
      </c>
      <c r="H38" s="95">
        <f>SUM('Rev Req Proof Yr1'!AM95:AO95)</f>
        <v>0</v>
      </c>
      <c r="I38" s="84">
        <f t="shared" si="5"/>
        <v>0</v>
      </c>
      <c r="J38" s="96">
        <f>SUM('Temps Proof'!T95:V95)</f>
        <v>0</v>
      </c>
      <c r="K38" s="85">
        <f t="shared" si="6"/>
        <v>0</v>
      </c>
      <c r="L38" s="96">
        <f>SUM('Temps Proof'!X95:Z95)</f>
        <v>0</v>
      </c>
      <c r="M38" s="84">
        <f t="shared" si="7"/>
        <v>0</v>
      </c>
      <c r="N38" s="1418">
        <f t="shared" si="8"/>
        <v>0</v>
      </c>
      <c r="O38" s="1419">
        <f t="shared" si="9"/>
        <v>0</v>
      </c>
      <c r="P38" s="1420">
        <f t="shared" si="10"/>
        <v>0</v>
      </c>
      <c r="Q38" s="1421">
        <f t="shared" si="11"/>
        <v>0</v>
      </c>
      <c r="R38" s="81">
        <f t="shared" si="12"/>
        <v>0</v>
      </c>
      <c r="S38" s="81">
        <f t="shared" si="13"/>
        <v>0</v>
      </c>
      <c r="T38" s="83">
        <f t="shared" si="0"/>
        <v>0</v>
      </c>
      <c r="U38" s="84">
        <f t="shared" si="1"/>
        <v>0</v>
      </c>
      <c r="V38" s="85">
        <f>'Avg Bill by RS'!AH95</f>
        <v>0</v>
      </c>
      <c r="W38" s="84"/>
      <c r="X38" s="84"/>
      <c r="Y38" s="284">
        <v>22</v>
      </c>
      <c r="Z38" s="1324" t="s">
        <v>348</v>
      </c>
      <c r="AA38" s="1093">
        <f>'Rate Impacts - Rev Req ONLY'!N38</f>
        <v>0</v>
      </c>
      <c r="AB38" s="81">
        <f>'Rate Impacts - Rev Req ONLY'!O38</f>
        <v>0</v>
      </c>
      <c r="AC38" s="95">
        <f>SUM('Rev Req Proof Yr2'!AF95:AH95)</f>
        <v>0</v>
      </c>
      <c r="AD38" s="85">
        <f>IFERROR((AC38/AA38),0)</f>
        <v>0</v>
      </c>
      <c r="AE38" s="95">
        <f>SUM('Temps Proof'!AB95:AD95)</f>
        <v>0</v>
      </c>
      <c r="AF38" s="85">
        <f t="shared" si="14"/>
        <v>0</v>
      </c>
      <c r="AG38" s="1440">
        <f t="shared" si="15"/>
        <v>0</v>
      </c>
      <c r="AH38" s="1441">
        <f t="shared" si="16"/>
        <v>0</v>
      </c>
      <c r="AI38" s="81">
        <f t="shared" si="17"/>
        <v>0</v>
      </c>
      <c r="AJ38" s="81">
        <f t="shared" si="2"/>
        <v>0</v>
      </c>
      <c r="AK38" s="83">
        <f t="shared" si="3"/>
        <v>0</v>
      </c>
      <c r="AL38" s="84">
        <f t="shared" si="4"/>
        <v>0</v>
      </c>
      <c r="AM38" s="85">
        <f>'Avg Bill by RS'!BM35</f>
        <v>0</v>
      </c>
    </row>
    <row r="39" spans="1:39" x14ac:dyDescent="0.2">
      <c r="B39" s="284">
        <v>23</v>
      </c>
      <c r="C39" s="783" t="s">
        <v>391</v>
      </c>
      <c r="D39" s="80">
        <f>'Rate Impacts - Rev Req ONLY'!D39</f>
        <v>242994.60207180592</v>
      </c>
      <c r="E39" s="81">
        <f>'Rate Impacts - Rev Req ONLY'!E39</f>
        <v>242994.60207180592</v>
      </c>
      <c r="F39" s="95">
        <f>SUM('Rev Req Proof Yr1'!AF96:AH96)</f>
        <v>0</v>
      </c>
      <c r="G39" s="85">
        <f>IFERROR((F39/D39),0)</f>
        <v>0</v>
      </c>
      <c r="H39" s="95">
        <f>SUM('Rev Req Proof Yr1'!AM96:AO96)</f>
        <v>0</v>
      </c>
      <c r="I39" s="84">
        <f t="shared" si="5"/>
        <v>0</v>
      </c>
      <c r="J39" s="96">
        <f>SUM('Temps Proof'!T96:V96)</f>
        <v>0</v>
      </c>
      <c r="K39" s="85">
        <f t="shared" si="6"/>
        <v>0</v>
      </c>
      <c r="L39" s="96">
        <f>SUM('Temps Proof'!X96:Z96)</f>
        <v>0</v>
      </c>
      <c r="M39" s="84">
        <f t="shared" si="7"/>
        <v>0</v>
      </c>
      <c r="N39" s="1418">
        <f>SUM(F39,H39)</f>
        <v>0</v>
      </c>
      <c r="O39" s="1419">
        <f t="shared" si="9"/>
        <v>0</v>
      </c>
      <c r="P39" s="1420">
        <f t="shared" si="10"/>
        <v>0</v>
      </c>
      <c r="Q39" s="1421">
        <f t="shared" si="11"/>
        <v>0</v>
      </c>
      <c r="R39" s="81">
        <f t="shared" si="12"/>
        <v>242994.60207180592</v>
      </c>
      <c r="S39" s="81">
        <f t="shared" si="13"/>
        <v>242994.60207180592</v>
      </c>
      <c r="T39" s="83">
        <f t="shared" si="0"/>
        <v>0</v>
      </c>
      <c r="U39" s="84">
        <f t="shared" si="1"/>
        <v>0</v>
      </c>
      <c r="V39" s="85">
        <f>'Avg Bill by RS'!AH96</f>
        <v>0</v>
      </c>
      <c r="W39" s="84"/>
      <c r="X39" s="84"/>
      <c r="Y39" s="284">
        <v>23</v>
      </c>
      <c r="Z39" s="1324" t="s">
        <v>391</v>
      </c>
      <c r="AA39" s="1093">
        <f>'Rate Impacts - Rev Req ONLY'!N39</f>
        <v>242994.60207180592</v>
      </c>
      <c r="AB39" s="81">
        <f>'Rate Impacts - Rev Req ONLY'!O39</f>
        <v>242994.60207180592</v>
      </c>
      <c r="AC39" s="95">
        <f>SUM('Rev Req Proof Yr2'!AF96:AH96)</f>
        <v>0</v>
      </c>
      <c r="AD39" s="85">
        <f>IFERROR((AC39/AA39),0)</f>
        <v>0</v>
      </c>
      <c r="AE39" s="95">
        <f>SUM('Temps Proof'!AB96:AD96)</f>
        <v>0</v>
      </c>
      <c r="AF39" s="85">
        <f t="shared" si="14"/>
        <v>0</v>
      </c>
      <c r="AG39" s="1440">
        <f t="shared" si="15"/>
        <v>0</v>
      </c>
      <c r="AH39" s="1441">
        <f t="shared" si="16"/>
        <v>0</v>
      </c>
      <c r="AI39" s="81">
        <f t="shared" si="17"/>
        <v>242994.60207180592</v>
      </c>
      <c r="AJ39" s="81">
        <f t="shared" si="2"/>
        <v>242994.60207180592</v>
      </c>
      <c r="AK39" s="83">
        <f t="shared" si="3"/>
        <v>0</v>
      </c>
      <c r="AL39" s="84">
        <f t="shared" si="4"/>
        <v>0</v>
      </c>
      <c r="AM39" s="85">
        <f>'Avg Bill by RS'!BM36</f>
        <v>0</v>
      </c>
    </row>
    <row r="40" spans="1:39" ht="13.5" thickBot="1" x14ac:dyDescent="0.25">
      <c r="B40" s="53"/>
      <c r="C40" s="87"/>
      <c r="D40" s="54"/>
      <c r="E40" s="54"/>
      <c r="F40" s="53"/>
      <c r="G40" s="1038"/>
      <c r="H40" s="53"/>
      <c r="I40" s="1039"/>
      <c r="J40" s="1040"/>
      <c r="K40" s="1041"/>
      <c r="L40" s="1040"/>
      <c r="M40" s="1229"/>
      <c r="N40" s="1422"/>
      <c r="O40" s="1423"/>
      <c r="P40" s="1423"/>
      <c r="Q40" s="1424"/>
      <c r="R40" s="54"/>
      <c r="S40" s="54"/>
      <c r="T40" s="1052"/>
      <c r="U40" s="1053"/>
      <c r="V40" s="1054"/>
      <c r="W40" s="1343"/>
      <c r="X40" s="1343"/>
      <c r="Y40" s="53"/>
      <c r="Z40" s="1326"/>
      <c r="AA40" s="53"/>
      <c r="AB40" s="54"/>
      <c r="AC40" s="53"/>
      <c r="AD40" s="1038"/>
      <c r="AE40" s="53"/>
      <c r="AF40" s="1038"/>
      <c r="AG40" s="1442"/>
      <c r="AH40" s="1443"/>
      <c r="AI40" s="54"/>
      <c r="AJ40" s="54"/>
      <c r="AK40" s="1052"/>
      <c r="AL40" s="1053"/>
      <c r="AM40" s="1054"/>
    </row>
    <row r="41" spans="1:39" s="92" customFormat="1" x14ac:dyDescent="0.2">
      <c r="A41" s="56"/>
      <c r="B41" s="1033"/>
      <c r="C41" s="1452" t="s">
        <v>32</v>
      </c>
      <c r="D41" s="1026">
        <f>SUM(D17:D39)</f>
        <v>49604902.662138224</v>
      </c>
      <c r="E41" s="1027">
        <f>SUM(E17:E39)</f>
        <v>78333454.662138224</v>
      </c>
      <c r="F41" s="1191">
        <f>SUM(F17:F39)</f>
        <v>6717756.9231810682</v>
      </c>
      <c r="G41" s="1031">
        <f>IFERROR((F41/(D41-D39)),0)</f>
        <v>0.13609192162925537</v>
      </c>
      <c r="H41" s="1027">
        <f>SUM(H17:H39)</f>
        <v>-462278.66210878297</v>
      </c>
      <c r="I41" s="1481">
        <f>IFERROR((H41/(D41-D39)),0)</f>
        <v>-9.3650889983072708E-3</v>
      </c>
      <c r="J41" s="1045">
        <f>SUM(J17:J39)</f>
        <v>-1477662.7677191028</v>
      </c>
      <c r="K41" s="1031">
        <f>IFERROR((J41/(E41-E39)),0)</f>
        <v>-1.8922449254140633E-2</v>
      </c>
      <c r="L41" s="1045">
        <f>SUM(L17:L39)</f>
        <v>-875717.69437402359</v>
      </c>
      <c r="M41" s="1031">
        <f>IFERROR((L41/(E41-E39)),0)</f>
        <v>-1.1214144387168806E-2</v>
      </c>
      <c r="N41" s="1425">
        <f>SUM(N17:N39)</f>
        <v>6255478.2610722845</v>
      </c>
      <c r="O41" s="1426">
        <f>IFERROR((N41)/(D41-D39),0)</f>
        <v>0.12672683263094808</v>
      </c>
      <c r="P41" s="1427">
        <f>SUM(P17:P39)</f>
        <v>3902097.798979158</v>
      </c>
      <c r="Q41" s="1428">
        <f>IFERROR((P41)/(E41-E39),0)</f>
        <v>4.9968943658133182E-2</v>
      </c>
      <c r="R41" s="1032">
        <f>SUM(R17:R39)</f>
        <v>55860380.923210509</v>
      </c>
      <c r="S41" s="1090">
        <f>SUM(S17:S39)</f>
        <v>82235552.461117402</v>
      </c>
      <c r="T41" s="1029">
        <f>IFERROR(SUM((R41-R39)-SUM(D41-D39))/SUM(D41-D39),0)</f>
        <v>0.12672683263094811</v>
      </c>
      <c r="U41" s="1030">
        <f>IFERROR(SUM((S41-S39)-SUM(E41-E39))/SUM(E41-E39),0)</f>
        <v>4.9968943658133431E-2</v>
      </c>
      <c r="V41" s="1031"/>
      <c r="W41" s="1304"/>
      <c r="X41" s="1304"/>
      <c r="Y41" s="1033"/>
      <c r="Z41" s="1272" t="s">
        <v>32</v>
      </c>
      <c r="AA41" s="1094">
        <f>SUM(AA17:AA39)</f>
        <v>55860380.923210502</v>
      </c>
      <c r="AB41" s="1056">
        <f>SUM(AB17:AB39)</f>
        <v>84588932.923210517</v>
      </c>
      <c r="AC41" s="1193">
        <f>SUM(AC17:AC39)</f>
        <v>3150188.2762063476</v>
      </c>
      <c r="AD41" s="1057">
        <f>IFERROR((AC41/(AA41-AA39)),0)</f>
        <v>5.6640350879074743E-2</v>
      </c>
      <c r="AE41" s="1193">
        <f>SUM(AE17:AE39)</f>
        <v>-44306.090475598678</v>
      </c>
      <c r="AF41" s="1057">
        <f>IFERROR((AE41/(AB41-AB39)),0)</f>
        <v>-5.2529014861281973E-4</v>
      </c>
      <c r="AG41" s="1444">
        <f>SUM(AG17:AG39)</f>
        <v>5459262.6478238739</v>
      </c>
      <c r="AH41" s="1445">
        <f>IFERROR((AG41/(AB41-AB39)),0)</f>
        <v>6.4724665543920784E-2</v>
      </c>
      <c r="AI41" s="1055">
        <f>SUM(AI17:AI39)</f>
        <v>59010569.199416853</v>
      </c>
      <c r="AJ41" s="1056">
        <f>SUM(AJ17:AJ39)</f>
        <v>90048195.571034372</v>
      </c>
      <c r="AK41" s="1063">
        <f>IFERROR(SUM((AI41-AI39)-SUM(AA41-AA39))/SUM(AA41-AA39),0)</f>
        <v>5.6640350879074819E-2</v>
      </c>
      <c r="AL41" s="1058">
        <f>IFERROR(SUM((AJ41-AJ39)-SUM(AB41-AB39))/SUM(AB41-AB39),0)</f>
        <v>6.4724665543920562E-2</v>
      </c>
      <c r="AM41" s="1057"/>
    </row>
    <row r="42" spans="1:39" ht="15.75" thickBot="1" x14ac:dyDescent="0.3">
      <c r="A42" s="60"/>
      <c r="B42" s="1453"/>
      <c r="C42" s="1210"/>
      <c r="D42" s="1280"/>
      <c r="E42" s="1350"/>
      <c r="F42" s="1351" t="s">
        <v>582</v>
      </c>
      <c r="G42" s="1210"/>
      <c r="H42" s="1351" t="s">
        <v>582</v>
      </c>
      <c r="I42" s="1350"/>
      <c r="J42" s="1351" t="s">
        <v>582</v>
      </c>
      <c r="K42" s="1352"/>
      <c r="L42" s="1351" t="s">
        <v>582</v>
      </c>
      <c r="M42" s="1352"/>
      <c r="N42" s="1429" t="s">
        <v>582</v>
      </c>
      <c r="O42" s="1430"/>
      <c r="P42" s="1430" t="s">
        <v>582</v>
      </c>
      <c r="Q42" s="1431"/>
      <c r="R42" s="1279"/>
      <c r="S42" s="1091"/>
      <c r="T42" s="1353"/>
      <c r="U42" s="1209"/>
      <c r="V42" s="1313" t="s">
        <v>583</v>
      </c>
      <c r="W42" s="1403"/>
      <c r="X42" s="1344"/>
      <c r="Y42" s="1327"/>
      <c r="Z42" s="1328"/>
      <c r="AA42" s="1047"/>
      <c r="AB42" s="1046"/>
      <c r="AC42" s="1351" t="s">
        <v>488</v>
      </c>
      <c r="AD42" s="1048"/>
      <c r="AE42" s="1351" t="s">
        <v>488</v>
      </c>
      <c r="AF42" s="1210"/>
      <c r="AG42" s="1446" t="s">
        <v>488</v>
      </c>
      <c r="AH42" s="1447"/>
      <c r="AI42" s="1046"/>
      <c r="AJ42" s="1089"/>
      <c r="AK42" s="1281"/>
      <c r="AL42" s="89"/>
      <c r="AM42" s="1313" t="s">
        <v>500</v>
      </c>
    </row>
    <row r="43" spans="1:39" ht="6.95" customHeight="1" x14ac:dyDescent="0.2">
      <c r="D43" s="88"/>
      <c r="E43" s="88"/>
      <c r="F43" s="88"/>
      <c r="G43" s="88"/>
      <c r="H43" s="88"/>
      <c r="I43" s="88"/>
      <c r="J43" s="88"/>
      <c r="K43" s="88"/>
      <c r="L43" s="88"/>
      <c r="M43" s="88"/>
      <c r="N43" s="88"/>
      <c r="O43" s="1282" t="s">
        <v>555</v>
      </c>
      <c r="P43" s="88"/>
      <c r="Q43" s="88"/>
      <c r="R43" s="88"/>
    </row>
    <row r="44" spans="1:39" ht="12" customHeight="1" x14ac:dyDescent="0.2">
      <c r="B44" s="902" t="s">
        <v>579</v>
      </c>
      <c r="C44" s="898"/>
      <c r="D44" s="98"/>
      <c r="E44" s="99"/>
      <c r="F44" s="62"/>
      <c r="G44" s="62"/>
      <c r="H44" s="99"/>
      <c r="I44" s="62"/>
      <c r="J44" s="99"/>
      <c r="K44" s="99"/>
      <c r="L44" s="99"/>
      <c r="M44" s="99"/>
      <c r="N44" s="99"/>
      <c r="O44" s="99"/>
      <c r="P44" s="99"/>
      <c r="Q44" s="99"/>
      <c r="R44" s="62"/>
      <c r="S44" s="100"/>
      <c r="T44" s="580"/>
      <c r="U44" s="62"/>
      <c r="V44" s="62"/>
      <c r="W44" s="62"/>
      <c r="X44" s="62"/>
      <c r="Y44" s="902" t="s">
        <v>579</v>
      </c>
      <c r="Z44" s="898"/>
      <c r="AB44" s="967"/>
    </row>
    <row r="45" spans="1:39" ht="12" customHeight="1" x14ac:dyDescent="0.2">
      <c r="B45" s="902" t="s">
        <v>578</v>
      </c>
      <c r="C45" s="903"/>
      <c r="D45" s="98"/>
      <c r="E45" s="99"/>
      <c r="F45" s="100"/>
      <c r="G45" s="100"/>
      <c r="H45" s="99"/>
      <c r="I45" s="100"/>
      <c r="J45" s="99"/>
      <c r="K45" s="99"/>
      <c r="L45" s="99"/>
      <c r="M45" s="99"/>
      <c r="N45" s="99"/>
      <c r="O45" s="99"/>
      <c r="P45" s="99"/>
      <c r="Q45" s="99"/>
      <c r="R45" s="62"/>
      <c r="S45" s="1278"/>
      <c r="T45" s="580"/>
      <c r="U45" s="62"/>
      <c r="V45" s="62"/>
      <c r="W45" s="62"/>
      <c r="X45" s="62"/>
      <c r="Y45" s="902" t="s">
        <v>586</v>
      </c>
    </row>
    <row r="46" spans="1:39" ht="12" customHeight="1" x14ac:dyDescent="0.2">
      <c r="B46" s="902" t="s">
        <v>580</v>
      </c>
      <c r="D46" s="98"/>
      <c r="E46" s="99"/>
      <c r="F46" s="100"/>
      <c r="G46" s="100"/>
      <c r="H46" s="99"/>
      <c r="I46" s="100"/>
      <c r="J46" s="99"/>
      <c r="K46" s="99"/>
      <c r="L46" s="99"/>
      <c r="M46" s="99"/>
      <c r="N46" s="99"/>
      <c r="O46" s="99"/>
      <c r="P46" s="99"/>
      <c r="Q46" s="99"/>
      <c r="R46" s="62"/>
      <c r="S46" s="62"/>
      <c r="T46" s="62"/>
      <c r="U46" s="62"/>
      <c r="V46" s="62"/>
      <c r="W46" s="62"/>
      <c r="X46" s="62"/>
      <c r="Y46" s="902" t="s">
        <v>588</v>
      </c>
      <c r="Z46" s="898"/>
    </row>
    <row r="47" spans="1:39" ht="12" customHeight="1" x14ac:dyDescent="0.2">
      <c r="B47" s="902" t="s">
        <v>581</v>
      </c>
      <c r="D47" s="98"/>
      <c r="E47" s="99"/>
      <c r="F47" s="62"/>
      <c r="G47" s="62"/>
      <c r="H47" s="99"/>
      <c r="I47" s="62"/>
      <c r="J47" s="99"/>
      <c r="K47" s="99"/>
      <c r="L47" s="99"/>
      <c r="M47" s="99"/>
      <c r="N47" s="99"/>
      <c r="O47" s="99"/>
      <c r="P47" s="99"/>
      <c r="Q47" s="99"/>
      <c r="R47" s="62"/>
      <c r="S47" s="62"/>
      <c r="T47" s="62"/>
      <c r="U47" s="62"/>
      <c r="V47" s="62"/>
      <c r="W47" s="62"/>
      <c r="X47" s="62"/>
      <c r="Y47" s="902" t="s">
        <v>589</v>
      </c>
      <c r="Z47" s="903"/>
    </row>
    <row r="48" spans="1:39" ht="12" customHeight="1" x14ac:dyDescent="0.2">
      <c r="B48" s="902" t="s">
        <v>584</v>
      </c>
      <c r="C48" s="898"/>
      <c r="D48" s="98"/>
      <c r="E48" s="99"/>
      <c r="F48" s="62"/>
      <c r="G48" s="62"/>
      <c r="H48" s="99"/>
      <c r="I48" s="62"/>
      <c r="J48" s="99"/>
      <c r="K48" s="99"/>
      <c r="L48" s="99"/>
      <c r="M48" s="99"/>
      <c r="N48" s="99"/>
      <c r="O48" s="99"/>
      <c r="P48" s="99"/>
      <c r="Q48" s="99"/>
      <c r="R48" s="62"/>
      <c r="S48" s="62"/>
      <c r="T48" s="62"/>
      <c r="U48" s="62"/>
      <c r="V48" s="62"/>
      <c r="W48" s="62"/>
      <c r="X48" s="62"/>
      <c r="Y48" s="902" t="s">
        <v>587</v>
      </c>
    </row>
    <row r="49" spans="2:36" x14ac:dyDescent="0.2">
      <c r="B49" s="902" t="s">
        <v>585</v>
      </c>
      <c r="C49" s="903"/>
      <c r="D49" s="97"/>
      <c r="E49" s="62"/>
      <c r="F49" s="62"/>
      <c r="G49" s="62"/>
      <c r="H49" s="62"/>
      <c r="I49" s="62"/>
      <c r="J49" s="62"/>
      <c r="K49" s="62"/>
      <c r="L49" s="62"/>
      <c r="M49" s="62"/>
      <c r="N49" s="62"/>
      <c r="O49" s="62"/>
      <c r="P49" s="62"/>
      <c r="Q49" s="62"/>
      <c r="R49" s="62"/>
      <c r="S49" s="62"/>
      <c r="T49" s="62"/>
      <c r="U49" s="62"/>
      <c r="V49" s="62"/>
      <c r="W49" s="62"/>
      <c r="X49" s="62"/>
    </row>
    <row r="50" spans="2:36" ht="12.95" customHeight="1" x14ac:dyDescent="0.2">
      <c r="B50" s="902"/>
      <c r="C50" s="56"/>
      <c r="D50" s="97"/>
      <c r="E50" s="62"/>
      <c r="F50" s="62"/>
      <c r="G50" s="62"/>
      <c r="H50" s="62"/>
      <c r="I50" s="62"/>
      <c r="J50" s="62"/>
      <c r="K50" s="62"/>
      <c r="L50" s="62"/>
      <c r="M50" s="62"/>
      <c r="N50" s="62"/>
      <c r="O50" s="62"/>
      <c r="P50" s="62"/>
      <c r="Q50" s="62"/>
      <c r="R50" s="1329"/>
      <c r="S50" s="1329"/>
      <c r="T50" s="1329"/>
      <c r="U50" s="1329"/>
      <c r="V50" s="1329"/>
      <c r="W50" s="1329"/>
      <c r="X50" s="1329"/>
      <c r="Y50" s="1348"/>
      <c r="Z50" s="97"/>
      <c r="AA50" s="54"/>
      <c r="AB50" s="54"/>
      <c r="AC50" s="54"/>
      <c r="AD50" s="54"/>
      <c r="AE50" s="54"/>
      <c r="AF50" s="54"/>
      <c r="AG50" s="54"/>
      <c r="AH50" s="54"/>
      <c r="AI50" s="54"/>
      <c r="AJ50" s="54"/>
    </row>
    <row r="51" spans="2:36" ht="12" customHeight="1" x14ac:dyDescent="0.2">
      <c r="D51" s="97"/>
      <c r="E51" s="62"/>
      <c r="F51" s="62"/>
      <c r="G51" s="62"/>
      <c r="H51" s="62"/>
      <c r="I51" s="62"/>
      <c r="J51" s="62"/>
      <c r="K51" s="62"/>
      <c r="L51" s="62"/>
      <c r="M51" s="62"/>
      <c r="N51" s="62"/>
      <c r="O51" s="62"/>
      <c r="P51" s="62"/>
      <c r="Q51" s="62"/>
      <c r="R51" s="1329"/>
      <c r="S51" s="1329"/>
      <c r="T51" s="1329"/>
      <c r="U51" s="1329"/>
      <c r="V51" s="1329"/>
      <c r="W51" s="1329"/>
      <c r="X51" s="1329"/>
      <c r="Y51" s="1348"/>
      <c r="Z51" s="98"/>
      <c r="AA51" s="54"/>
      <c r="AB51" s="54"/>
      <c r="AC51" s="54"/>
      <c r="AD51" s="54"/>
      <c r="AE51" s="54"/>
      <c r="AF51" s="54"/>
      <c r="AG51" s="54"/>
      <c r="AH51" s="54"/>
      <c r="AI51" s="54"/>
      <c r="AJ51" s="54"/>
    </row>
    <row r="52" spans="2:36" ht="12" customHeight="1" x14ac:dyDescent="0.2">
      <c r="B52" s="1348"/>
      <c r="C52" s="98"/>
      <c r="D52" s="62"/>
      <c r="E52" s="62"/>
      <c r="F52" s="62"/>
      <c r="G52" s="62"/>
      <c r="H52" s="62"/>
      <c r="I52" s="62"/>
      <c r="J52" s="62"/>
      <c r="K52" s="62"/>
      <c r="L52" s="62"/>
      <c r="M52" s="62"/>
      <c r="N52" s="62"/>
      <c r="O52" s="62"/>
      <c r="P52" s="62"/>
      <c r="Q52" s="62"/>
      <c r="R52" s="1330"/>
      <c r="S52" s="1675"/>
      <c r="T52" s="1675"/>
      <c r="U52" s="1675"/>
      <c r="V52" s="1675"/>
      <c r="W52" s="1345"/>
      <c r="X52" s="1345"/>
      <c r="Y52" s="1348"/>
      <c r="Z52" s="98"/>
      <c r="AA52" s="1675"/>
      <c r="AB52" s="1675"/>
      <c r="AC52" s="1675"/>
      <c r="AD52" s="1675"/>
      <c r="AE52" s="54"/>
      <c r="AF52" s="1675"/>
      <c r="AG52" s="1675"/>
      <c r="AH52" s="54"/>
      <c r="AI52" s="1295"/>
      <c r="AJ52" s="1295"/>
    </row>
    <row r="53" spans="2:36" x14ac:dyDescent="0.2">
      <c r="R53" s="54"/>
      <c r="S53" s="1295"/>
      <c r="T53" s="1295"/>
      <c r="U53" s="1295"/>
      <c r="V53" s="1295"/>
      <c r="W53" s="1295"/>
      <c r="X53" s="1295"/>
      <c r="AA53" s="1295"/>
      <c r="AB53" s="1295"/>
      <c r="AC53" s="1295"/>
      <c r="AD53" s="1295"/>
      <c r="AE53" s="54"/>
      <c r="AF53" s="1295"/>
      <c r="AG53" s="1295"/>
      <c r="AH53" s="54"/>
      <c r="AI53" s="1295"/>
      <c r="AJ53" s="1295"/>
    </row>
    <row r="54" spans="2:36" x14ac:dyDescent="0.2">
      <c r="R54" s="54"/>
      <c r="S54" s="1331"/>
      <c r="T54" s="1331"/>
      <c r="U54" s="1331"/>
      <c r="V54" s="1332"/>
      <c r="W54" s="1332"/>
      <c r="X54" s="1332"/>
      <c r="AA54" s="1331"/>
      <c r="AB54" s="1331"/>
      <c r="AC54" s="1331"/>
      <c r="AD54" s="1332"/>
      <c r="AE54" s="54"/>
      <c r="AF54" s="1331"/>
      <c r="AG54" s="1332"/>
      <c r="AH54" s="54"/>
      <c r="AI54" s="1333"/>
      <c r="AJ54" s="1334"/>
    </row>
    <row r="55" spans="2:36" x14ac:dyDescent="0.2">
      <c r="F55" s="967"/>
      <c r="R55" s="54"/>
      <c r="S55" s="1331"/>
      <c r="T55" s="1331"/>
      <c r="U55" s="1331"/>
      <c r="V55" s="1332"/>
      <c r="W55" s="1332"/>
      <c r="X55" s="1332"/>
      <c r="AA55" s="1331"/>
      <c r="AB55" s="1331"/>
      <c r="AC55" s="1331"/>
      <c r="AD55" s="1332"/>
      <c r="AE55" s="54"/>
      <c r="AF55" s="1331"/>
      <c r="AG55" s="1332"/>
      <c r="AH55" s="54"/>
      <c r="AI55" s="1333"/>
      <c r="AJ55" s="1334"/>
    </row>
    <row r="56" spans="2:36" x14ac:dyDescent="0.2">
      <c r="R56" s="54"/>
      <c r="S56" s="1331"/>
      <c r="T56" s="1331"/>
      <c r="U56" s="1331"/>
      <c r="V56" s="1332"/>
      <c r="W56" s="1332"/>
      <c r="X56" s="1332"/>
      <c r="AA56" s="1331"/>
      <c r="AB56" s="1331"/>
      <c r="AC56" s="1331"/>
      <c r="AD56" s="1332"/>
      <c r="AE56" s="54"/>
      <c r="AF56" s="1331"/>
      <c r="AG56" s="1332"/>
      <c r="AH56" s="54"/>
      <c r="AI56" s="1333"/>
      <c r="AJ56" s="1334"/>
    </row>
    <row r="57" spans="2:36" x14ac:dyDescent="0.2">
      <c r="R57" s="54"/>
      <c r="S57" s="1331"/>
      <c r="T57" s="1331"/>
      <c r="U57" s="1331"/>
      <c r="V57" s="1332"/>
      <c r="W57" s="1332"/>
      <c r="X57" s="1332"/>
      <c r="AA57" s="1331"/>
      <c r="AB57" s="1331"/>
      <c r="AC57" s="1331"/>
      <c r="AD57" s="1332"/>
      <c r="AE57" s="54"/>
      <c r="AF57" s="1331"/>
      <c r="AG57" s="1332"/>
      <c r="AH57" s="54"/>
      <c r="AI57" s="1333"/>
      <c r="AJ57" s="1334"/>
    </row>
    <row r="58" spans="2:36" x14ac:dyDescent="0.2">
      <c r="R58" s="1335"/>
      <c r="S58" s="1331"/>
      <c r="T58" s="1331"/>
      <c r="U58" s="1331"/>
      <c r="V58" s="1332"/>
      <c r="W58" s="1332"/>
      <c r="X58" s="1332"/>
      <c r="AA58" s="1331"/>
      <c r="AB58" s="1331"/>
      <c r="AC58" s="1331"/>
      <c r="AD58" s="1332"/>
      <c r="AE58" s="54"/>
      <c r="AF58" s="1331"/>
      <c r="AG58" s="1332"/>
      <c r="AH58" s="54"/>
      <c r="AI58" s="1333"/>
      <c r="AJ58" s="1334"/>
    </row>
    <row r="59" spans="2:36" x14ac:dyDescent="0.2">
      <c r="R59" s="54"/>
      <c r="S59" s="1331"/>
      <c r="T59" s="1331"/>
      <c r="U59" s="1331"/>
      <c r="V59" s="1332"/>
      <c r="W59" s="1332"/>
      <c r="X59" s="1332"/>
      <c r="AA59" s="1331"/>
      <c r="AB59" s="1331"/>
      <c r="AC59" s="1331"/>
      <c r="AD59" s="1332"/>
      <c r="AE59" s="54"/>
      <c r="AF59" s="1331"/>
      <c r="AG59" s="1332"/>
      <c r="AH59" s="54"/>
      <c r="AI59" s="1336"/>
      <c r="AJ59" s="1337"/>
    </row>
    <row r="60" spans="2:36" x14ac:dyDescent="0.2">
      <c r="R60" s="54"/>
      <c r="S60" s="54"/>
      <c r="T60" s="54"/>
      <c r="U60" s="54"/>
      <c r="V60" s="54"/>
      <c r="W60" s="54"/>
      <c r="X60" s="54"/>
      <c r="AA60" s="54"/>
      <c r="AB60" s="54"/>
      <c r="AC60" s="54"/>
      <c r="AD60" s="54"/>
      <c r="AE60" s="54"/>
      <c r="AF60" s="54"/>
      <c r="AG60" s="54"/>
      <c r="AH60" s="54"/>
      <c r="AI60" s="54"/>
      <c r="AJ60" s="54"/>
    </row>
    <row r="61" spans="2:36" x14ac:dyDescent="0.2">
      <c r="R61" s="1335"/>
      <c r="S61" s="54"/>
      <c r="T61" s="54"/>
      <c r="U61" s="1338"/>
      <c r="V61" s="54"/>
      <c r="W61" s="54"/>
      <c r="X61" s="54"/>
      <c r="AA61" s="54"/>
      <c r="AB61" s="54"/>
      <c r="AC61" s="54"/>
      <c r="AD61" s="54"/>
      <c r="AE61" s="54"/>
      <c r="AF61" s="54"/>
      <c r="AG61" s="54"/>
      <c r="AH61" s="54"/>
      <c r="AI61" s="54"/>
      <c r="AJ61" s="54"/>
    </row>
    <row r="62" spans="2:36" x14ac:dyDescent="0.2">
      <c r="R62" s="54"/>
      <c r="S62" s="54"/>
      <c r="T62" s="54"/>
      <c r="U62" s="1338"/>
      <c r="V62" s="54"/>
      <c r="W62" s="54"/>
      <c r="X62" s="54"/>
      <c r="AA62" s="54"/>
      <c r="AB62" s="54"/>
      <c r="AC62" s="54"/>
      <c r="AD62" s="54"/>
      <c r="AE62" s="54"/>
      <c r="AF62" s="54"/>
      <c r="AG62" s="54"/>
      <c r="AH62" s="54"/>
      <c r="AI62" s="54"/>
      <c r="AJ62" s="54"/>
    </row>
    <row r="63" spans="2:36" x14ac:dyDescent="0.2">
      <c r="R63" s="1330"/>
      <c r="S63" s="1675"/>
      <c r="T63" s="1675"/>
      <c r="U63" s="1675"/>
      <c r="V63" s="1675"/>
      <c r="W63" s="1345"/>
      <c r="X63" s="1345"/>
      <c r="AA63" s="1675"/>
      <c r="AB63" s="1675"/>
      <c r="AC63" s="1675"/>
      <c r="AD63" s="1675"/>
      <c r="AE63" s="54"/>
      <c r="AF63" s="1675"/>
      <c r="AG63" s="1675"/>
      <c r="AH63" s="54"/>
      <c r="AI63" s="1295"/>
      <c r="AJ63" s="1295"/>
    </row>
    <row r="64" spans="2:36" x14ac:dyDescent="0.2">
      <c r="R64" s="54"/>
      <c r="S64" s="1295"/>
      <c r="T64" s="1295"/>
      <c r="U64" s="1295"/>
      <c r="V64" s="1295"/>
      <c r="W64" s="1295"/>
      <c r="X64" s="1295"/>
      <c r="AA64" s="1295"/>
      <c r="AB64" s="1295"/>
      <c r="AC64" s="1295"/>
      <c r="AD64" s="1295"/>
      <c r="AE64" s="54"/>
      <c r="AF64" s="1295"/>
      <c r="AG64" s="1295"/>
      <c r="AH64" s="54"/>
      <c r="AI64" s="1295"/>
      <c r="AJ64" s="1295"/>
    </row>
    <row r="65" spans="18:36" x14ac:dyDescent="0.2">
      <c r="R65" s="54"/>
      <c r="S65" s="1331"/>
      <c r="T65" s="1331"/>
      <c r="U65" s="1331"/>
      <c r="V65" s="1332"/>
      <c r="W65" s="1332"/>
      <c r="X65" s="1332"/>
      <c r="AA65" s="1331"/>
      <c r="AB65" s="1331"/>
      <c r="AC65" s="1331"/>
      <c r="AD65" s="1332"/>
      <c r="AE65" s="54"/>
      <c r="AF65" s="1331"/>
      <c r="AG65" s="1332"/>
      <c r="AH65" s="54"/>
      <c r="AI65" s="1339"/>
      <c r="AJ65" s="1334"/>
    </row>
    <row r="66" spans="18:36" x14ac:dyDescent="0.2">
      <c r="R66" s="54"/>
      <c r="S66" s="1331"/>
      <c r="T66" s="1331"/>
      <c r="U66" s="1331"/>
      <c r="V66" s="1332"/>
      <c r="W66" s="1332"/>
      <c r="X66" s="1332"/>
      <c r="AA66" s="1331"/>
      <c r="AB66" s="1331"/>
      <c r="AC66" s="1331"/>
      <c r="AD66" s="1332"/>
      <c r="AE66" s="54"/>
      <c r="AF66" s="1331"/>
      <c r="AG66" s="1332"/>
      <c r="AH66" s="54"/>
      <c r="AI66" s="1339"/>
      <c r="AJ66" s="1334"/>
    </row>
    <row r="67" spans="18:36" x14ac:dyDescent="0.2">
      <c r="R67" s="54"/>
      <c r="S67" s="1331"/>
      <c r="T67" s="1331"/>
      <c r="U67" s="1331"/>
      <c r="V67" s="1332"/>
      <c r="W67" s="1332"/>
      <c r="X67" s="1332"/>
      <c r="AA67" s="1331"/>
      <c r="AB67" s="1331"/>
      <c r="AC67" s="1331"/>
      <c r="AD67" s="1332"/>
      <c r="AE67" s="54"/>
      <c r="AF67" s="1331"/>
      <c r="AG67" s="1332"/>
      <c r="AH67" s="54"/>
      <c r="AI67" s="1339"/>
      <c r="AJ67" s="1334"/>
    </row>
    <row r="68" spans="18:36" x14ac:dyDescent="0.2">
      <c r="R68" s="54"/>
      <c r="S68" s="1331"/>
      <c r="T68" s="1331"/>
      <c r="U68" s="1331"/>
      <c r="V68" s="1332"/>
      <c r="W68" s="1332"/>
      <c r="X68" s="1332"/>
      <c r="AA68" s="1331"/>
      <c r="AB68" s="1331"/>
      <c r="AC68" s="1331"/>
      <c r="AD68" s="1332"/>
      <c r="AE68" s="54"/>
      <c r="AF68" s="1331"/>
      <c r="AG68" s="1332"/>
      <c r="AH68" s="54"/>
      <c r="AI68" s="1339"/>
      <c r="AJ68" s="1334"/>
    </row>
    <row r="69" spans="18:36" x14ac:dyDescent="0.2">
      <c r="R69" s="1335"/>
      <c r="S69" s="1331"/>
      <c r="T69" s="1331"/>
      <c r="U69" s="1331"/>
      <c r="V69" s="1332"/>
      <c r="W69" s="1332"/>
      <c r="X69" s="1332"/>
      <c r="AA69" s="1331"/>
      <c r="AB69" s="1331"/>
      <c r="AC69" s="1331"/>
      <c r="AD69" s="1332"/>
      <c r="AE69" s="54"/>
      <c r="AF69" s="1331"/>
      <c r="AG69" s="1332"/>
      <c r="AH69" s="54"/>
      <c r="AI69" s="1339"/>
      <c r="AJ69" s="1334"/>
    </row>
    <row r="70" spans="18:36" x14ac:dyDescent="0.2">
      <c r="R70" s="54"/>
      <c r="S70" s="1331"/>
      <c r="T70" s="1331"/>
      <c r="U70" s="1331"/>
      <c r="V70" s="1332"/>
      <c r="W70" s="1332"/>
      <c r="X70" s="1332"/>
      <c r="AA70" s="1331"/>
      <c r="AB70" s="1331"/>
      <c r="AC70" s="1331"/>
      <c r="AD70" s="1332"/>
      <c r="AE70" s="54"/>
      <c r="AF70" s="1331"/>
      <c r="AG70" s="1332"/>
      <c r="AH70" s="54"/>
      <c r="AI70" s="1339"/>
      <c r="AJ70" s="1337"/>
    </row>
    <row r="71" spans="18:36" x14ac:dyDescent="0.2">
      <c r="R71" s="54"/>
      <c r="S71" s="54"/>
      <c r="T71" s="54"/>
      <c r="U71" s="1338"/>
      <c r="V71" s="54"/>
      <c r="W71" s="54"/>
      <c r="X71" s="54"/>
      <c r="AA71" s="54"/>
      <c r="AB71" s="1338"/>
      <c r="AC71" s="1338"/>
      <c r="AD71" s="54"/>
      <c r="AE71" s="54"/>
      <c r="AF71" s="54"/>
      <c r="AG71" s="54"/>
      <c r="AH71" s="54"/>
      <c r="AI71" s="54"/>
      <c r="AJ71" s="54"/>
    </row>
    <row r="72" spans="18:36" x14ac:dyDescent="0.2">
      <c r="R72" s="1335"/>
      <c r="S72" s="54"/>
      <c r="T72" s="54"/>
      <c r="U72" s="1338"/>
      <c r="V72" s="54"/>
      <c r="W72" s="54"/>
      <c r="X72" s="54"/>
      <c r="AA72" s="54"/>
      <c r="AB72" s="54"/>
      <c r="AC72" s="1338"/>
      <c r="AD72" s="54"/>
      <c r="AE72" s="54"/>
      <c r="AF72" s="54"/>
      <c r="AG72" s="54"/>
      <c r="AH72" s="54"/>
      <c r="AI72" s="54"/>
      <c r="AJ72" s="54"/>
    </row>
    <row r="73" spans="18:36" x14ac:dyDescent="0.2">
      <c r="R73" s="54"/>
      <c r="S73" s="54"/>
      <c r="T73" s="54"/>
      <c r="U73" s="54"/>
      <c r="V73" s="54"/>
      <c r="W73" s="54"/>
      <c r="X73" s="54"/>
      <c r="AA73" s="54"/>
      <c r="AB73" s="54"/>
      <c r="AC73" s="54"/>
      <c r="AD73" s="54"/>
      <c r="AE73" s="54"/>
      <c r="AF73" s="54"/>
      <c r="AG73" s="54"/>
      <c r="AH73" s="54"/>
      <c r="AI73" s="54"/>
      <c r="AJ73" s="54"/>
    </row>
  </sheetData>
  <mergeCells count="26">
    <mergeCell ref="S63:V63"/>
    <mergeCell ref="AA63:AD63"/>
    <mergeCell ref="AF63:AG63"/>
    <mergeCell ref="AA11:AM11"/>
    <mergeCell ref="AE12:AF12"/>
    <mergeCell ref="AG12:AH12"/>
    <mergeCell ref="AK12:AM12"/>
    <mergeCell ref="S52:V52"/>
    <mergeCell ref="AA52:AD52"/>
    <mergeCell ref="AF52:AG52"/>
    <mergeCell ref="D11:V11"/>
    <mergeCell ref="F12:G12"/>
    <mergeCell ref="H12:I12"/>
    <mergeCell ref="J12:K12"/>
    <mergeCell ref="L12:M12"/>
    <mergeCell ref="N12:Q12"/>
    <mergeCell ref="T12:V12"/>
    <mergeCell ref="AC12:AD12"/>
    <mergeCell ref="S1:U1"/>
    <mergeCell ref="AJ1:AL1"/>
    <mergeCell ref="S2:S3"/>
    <mergeCell ref="T2:T3"/>
    <mergeCell ref="U2:U3"/>
    <mergeCell ref="AJ2:AJ3"/>
    <mergeCell ref="AK2:AK3"/>
    <mergeCell ref="AL2:AL3"/>
  </mergeCells>
  <printOptions verticalCentered="1"/>
  <pageMargins left="0.25" right="0.25" top="0.5" bottom="0.5" header="0.25" footer="0.25"/>
  <pageSetup scale="49" orientation="landscape" r:id="rId1"/>
  <headerFooter alignWithMargins="0">
    <oddHeader>&amp;RExh. RJW-3 Wyman WP1</oddHeader>
    <oddFooter xml:space="preserve">&amp;C&amp;F &amp;D &amp;T
&amp;A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AC106"/>
  <sheetViews>
    <sheetView workbookViewId="0">
      <pane xSplit="4" ySplit="14" topLeftCell="E15" activePane="bottomRight" state="frozen"/>
      <selection pane="topRight" activeCell="E1" sqref="E1"/>
      <selection pane="bottomLeft" activeCell="A16" sqref="A16"/>
      <selection pane="bottomRight" activeCell="Q21" sqref="Q21"/>
    </sheetView>
  </sheetViews>
  <sheetFormatPr defaultColWidth="9.33203125" defaultRowHeight="12.75" x14ac:dyDescent="0.2"/>
  <cols>
    <col min="1" max="1" width="5.83203125" style="56" customWidth="1"/>
    <col min="2" max="2" width="17.83203125" style="86" customWidth="1"/>
    <col min="3" max="3" width="11.83203125" style="86" customWidth="1"/>
    <col min="4" max="4" width="14.5" style="86" bestFit="1" customWidth="1"/>
    <col min="5" max="5" width="19.83203125" style="56" customWidth="1"/>
    <col min="6" max="6" width="19.83203125" style="56" hidden="1" customWidth="1"/>
    <col min="7" max="7" width="3.6640625" style="55" customWidth="1"/>
    <col min="8" max="8" width="14.6640625" style="56" customWidth="1"/>
    <col min="9" max="9" width="15.83203125" style="56" customWidth="1"/>
    <col min="10" max="10" width="3.6640625" style="55" customWidth="1"/>
    <col min="11" max="11" width="14.6640625" style="56" hidden="1" customWidth="1"/>
    <col min="12" max="12" width="15.83203125" style="56" hidden="1" customWidth="1"/>
    <col min="13" max="13" width="3.6640625" style="55" customWidth="1"/>
    <col min="14" max="14" width="14.6640625" style="56" customWidth="1"/>
    <col min="15" max="15" width="14.6640625" style="56" hidden="1" customWidth="1"/>
    <col min="16" max="16" width="3.6640625" style="55" customWidth="1"/>
    <col min="17" max="18" width="19.6640625" style="56" customWidth="1"/>
    <col min="19" max="19" width="3.6640625" style="55" customWidth="1"/>
    <col min="20" max="20" width="12.1640625" style="56" bestFit="1" customWidth="1"/>
    <col min="21" max="24" width="9.33203125" style="56"/>
    <col min="25" max="25" width="11.6640625" style="56" bestFit="1" customWidth="1"/>
    <col min="26" max="26" width="9.33203125" style="56"/>
    <col min="27" max="27" width="11" style="56" customWidth="1"/>
    <col min="28" max="28" width="14.1640625" style="56" bestFit="1" customWidth="1"/>
    <col min="29" max="29" width="15.33203125" style="56" customWidth="1"/>
    <col min="30" max="16384" width="9.33203125" style="56"/>
  </cols>
  <sheetData>
    <row r="1" spans="1:25" ht="15" x14ac:dyDescent="0.2">
      <c r="A1" s="1483" t="s">
        <v>0</v>
      </c>
    </row>
    <row r="2" spans="1:25" ht="15" x14ac:dyDescent="0.2">
      <c r="A2" s="1483" t="s">
        <v>1</v>
      </c>
    </row>
    <row r="3" spans="1:25" ht="15" x14ac:dyDescent="0.2">
      <c r="A3" s="1484" t="s">
        <v>273</v>
      </c>
    </row>
    <row r="4" spans="1:25" ht="15" x14ac:dyDescent="0.2">
      <c r="A4" s="1484" t="s">
        <v>622</v>
      </c>
    </row>
    <row r="5" spans="1:25" ht="15" x14ac:dyDescent="0.2">
      <c r="A5" s="1484" t="s">
        <v>623</v>
      </c>
    </row>
    <row r="6" spans="1:25" ht="15" x14ac:dyDescent="0.25">
      <c r="A6" s="415" t="s">
        <v>275</v>
      </c>
    </row>
    <row r="7" spans="1:25" ht="15" x14ac:dyDescent="0.25">
      <c r="A7" s="665"/>
    </row>
    <row r="8" spans="1:25" x14ac:dyDescent="0.2">
      <c r="A8" s="681"/>
      <c r="O8" s="59" t="str">
        <f>K9</f>
        <v>2020-21</v>
      </c>
    </row>
    <row r="9" spans="1:25" x14ac:dyDescent="0.2">
      <c r="A9" s="86">
        <v>1</v>
      </c>
      <c r="B9" s="610"/>
      <c r="F9" s="59" t="s">
        <v>243</v>
      </c>
      <c r="H9" s="59" t="str">
        <f>E10</f>
        <v>Test</v>
      </c>
      <c r="I9" s="442" t="s">
        <v>557</v>
      </c>
      <c r="K9" s="59" t="str">
        <f>F9</f>
        <v>2020-21</v>
      </c>
      <c r="L9" s="59" t="s">
        <v>236</v>
      </c>
      <c r="N9" s="442" t="str">
        <f>I9</f>
        <v>UG-20XXXX</v>
      </c>
      <c r="O9" s="59" t="s">
        <v>236</v>
      </c>
      <c r="Q9" s="61"/>
      <c r="R9" s="61"/>
      <c r="S9" s="86"/>
    </row>
    <row r="10" spans="1:25" x14ac:dyDescent="0.2">
      <c r="A10" s="86">
        <f>+A9+1</f>
        <v>2</v>
      </c>
      <c r="B10" s="610"/>
      <c r="E10" s="59" t="s">
        <v>97</v>
      </c>
      <c r="F10" s="59" t="s">
        <v>236</v>
      </c>
      <c r="H10" s="59" t="str">
        <f>E11</f>
        <v>Year Ended</v>
      </c>
      <c r="I10" s="59" t="s">
        <v>81</v>
      </c>
      <c r="K10" s="59" t="s">
        <v>236</v>
      </c>
      <c r="L10" s="59" t="s">
        <v>81</v>
      </c>
      <c r="M10" s="58"/>
      <c r="N10" s="59" t="s">
        <v>69</v>
      </c>
      <c r="O10" s="59" t="s">
        <v>69</v>
      </c>
      <c r="P10" s="58"/>
      <c r="Q10" s="518" t="s">
        <v>18</v>
      </c>
      <c r="R10" s="518" t="str">
        <f>Q10</f>
        <v>Current</v>
      </c>
      <c r="S10" s="497"/>
    </row>
    <row r="11" spans="1:25" x14ac:dyDescent="0.2">
      <c r="A11" s="86">
        <f t="shared" ref="A11:A74" si="0">+A10+1</f>
        <v>3</v>
      </c>
      <c r="B11" s="682"/>
      <c r="E11" s="59" t="s">
        <v>88</v>
      </c>
      <c r="F11" s="59" t="s">
        <v>248</v>
      </c>
      <c r="H11" s="59" t="str">
        <f>E12</f>
        <v>Sep. 30, 2020</v>
      </c>
      <c r="I11" s="59" t="s">
        <v>70</v>
      </c>
      <c r="K11" s="701">
        <f>F12</f>
        <v>44002</v>
      </c>
      <c r="L11" s="59" t="s">
        <v>70</v>
      </c>
      <c r="M11" s="58"/>
      <c r="N11" s="701" t="s">
        <v>70</v>
      </c>
      <c r="O11" s="701" t="s">
        <v>70</v>
      </c>
      <c r="P11" s="58"/>
      <c r="Q11" s="58" t="s">
        <v>86</v>
      </c>
      <c r="R11" s="59" t="s">
        <v>32</v>
      </c>
      <c r="S11" s="58"/>
    </row>
    <row r="12" spans="1:25" ht="13.5" thickBot="1" x14ac:dyDescent="0.25">
      <c r="A12" s="86">
        <f t="shared" si="0"/>
        <v>4</v>
      </c>
      <c r="E12" s="683" t="s">
        <v>274</v>
      </c>
      <c r="F12" s="703">
        <v>44002</v>
      </c>
      <c r="G12" s="58"/>
      <c r="H12" s="172" t="s">
        <v>510</v>
      </c>
      <c r="I12" s="172" t="s">
        <v>76</v>
      </c>
      <c r="J12" s="58"/>
      <c r="K12" s="172" t="s">
        <v>75</v>
      </c>
      <c r="L12" s="172" t="s">
        <v>76</v>
      </c>
      <c r="M12" s="58"/>
      <c r="N12" s="172" t="s">
        <v>71</v>
      </c>
      <c r="O12" s="172" t="s">
        <v>71</v>
      </c>
      <c r="P12" s="58"/>
      <c r="Q12" s="172" t="s">
        <v>31</v>
      </c>
      <c r="R12" s="172" t="s">
        <v>31</v>
      </c>
      <c r="S12" s="58"/>
      <c r="T12" s="172" t="s">
        <v>284</v>
      </c>
    </row>
    <row r="13" spans="1:25" x14ac:dyDescent="0.2">
      <c r="A13" s="86">
        <f t="shared" si="0"/>
        <v>5</v>
      </c>
      <c r="G13" s="58"/>
      <c r="I13" s="670" t="s">
        <v>351</v>
      </c>
      <c r="J13" s="58"/>
      <c r="L13" s="670" t="s">
        <v>350</v>
      </c>
      <c r="M13" s="700"/>
      <c r="P13" s="700"/>
      <c r="Q13" s="670"/>
    </row>
    <row r="14" spans="1:25" x14ac:dyDescent="0.2">
      <c r="A14" s="86">
        <f t="shared" si="0"/>
        <v>6</v>
      </c>
      <c r="B14" s="501" t="s">
        <v>2</v>
      </c>
      <c r="C14" s="501" t="s">
        <v>3</v>
      </c>
      <c r="D14" s="501" t="s">
        <v>57</v>
      </c>
      <c r="E14" s="501" t="s">
        <v>35</v>
      </c>
      <c r="F14" s="501" t="s">
        <v>36</v>
      </c>
      <c r="G14" s="58"/>
      <c r="H14" s="501" t="s">
        <v>13</v>
      </c>
      <c r="I14" s="501" t="s">
        <v>37</v>
      </c>
      <c r="J14" s="58"/>
      <c r="K14" s="501" t="s">
        <v>38</v>
      </c>
      <c r="L14" s="501" t="s">
        <v>39</v>
      </c>
      <c r="M14" s="58"/>
      <c r="N14" s="501" t="s">
        <v>38</v>
      </c>
      <c r="O14" s="501" t="s">
        <v>38</v>
      </c>
      <c r="P14" s="58"/>
      <c r="Q14" s="501" t="s">
        <v>40</v>
      </c>
      <c r="R14" s="501" t="s">
        <v>41</v>
      </c>
      <c r="S14" s="58"/>
      <c r="T14" s="501" t="s">
        <v>42</v>
      </c>
      <c r="W14" s="168" t="s">
        <v>521</v>
      </c>
    </row>
    <row r="15" spans="1:25" x14ac:dyDescent="0.2">
      <c r="A15" s="86">
        <f t="shared" si="0"/>
        <v>7</v>
      </c>
      <c r="B15" s="161" t="s">
        <v>281</v>
      </c>
      <c r="C15" s="161" t="s">
        <v>283</v>
      </c>
      <c r="D15" s="161" t="s">
        <v>281</v>
      </c>
      <c r="E15" s="1110">
        <v>214704.20066131229</v>
      </c>
      <c r="F15" s="691">
        <v>218577.4</v>
      </c>
      <c r="G15" s="385"/>
      <c r="H15" s="692">
        <v>911</v>
      </c>
      <c r="I15" s="391">
        <f t="shared" ref="I15:I20" si="1">IF(H15&lt;&gt;0,ROUND(+E15/H15/12,5),0)</f>
        <v>19.639970000000002</v>
      </c>
      <c r="J15" s="385"/>
      <c r="K15" s="692">
        <v>909</v>
      </c>
      <c r="L15" s="391">
        <f t="shared" ref="L15:L20" si="2">IF(K15&lt;&gt;0,ROUND(+F15/K15/12,0),0)</f>
        <v>20</v>
      </c>
      <c r="M15" s="385"/>
      <c r="N15" s="746">
        <v>5.5</v>
      </c>
      <c r="O15" s="748">
        <v>5.5</v>
      </c>
      <c r="P15" s="385"/>
      <c r="Q15" s="272">
        <f>ROUND(E15*'Rates in Detail'!E13,0)</f>
        <v>145254</v>
      </c>
      <c r="R15" s="272">
        <f>'Rate Spread Proposal'!E$15</f>
        <v>208635.1321174161</v>
      </c>
      <c r="T15" s="56" t="s">
        <v>264</v>
      </c>
      <c r="W15" s="56" t="s">
        <v>264</v>
      </c>
      <c r="Y15" s="1244">
        <f>SUMIF($T$15:$T$83,W15,$H$15:$H$83)</f>
        <v>82030</v>
      </c>
    </row>
    <row r="16" spans="1:25" x14ac:dyDescent="0.2">
      <c r="A16" s="86">
        <f t="shared" si="0"/>
        <v>8</v>
      </c>
      <c r="B16" s="161" t="s">
        <v>282</v>
      </c>
      <c r="C16" s="161" t="s">
        <v>283</v>
      </c>
      <c r="D16" s="161" t="s">
        <v>282</v>
      </c>
      <c r="E16" s="1110">
        <v>46539.057144390383</v>
      </c>
      <c r="F16" s="691">
        <v>38726</v>
      </c>
      <c r="G16" s="385"/>
      <c r="H16" s="692">
        <v>34</v>
      </c>
      <c r="I16" s="391">
        <f t="shared" si="1"/>
        <v>114.06632</v>
      </c>
      <c r="J16" s="385"/>
      <c r="K16" s="692">
        <v>35</v>
      </c>
      <c r="L16" s="391">
        <f t="shared" si="2"/>
        <v>92</v>
      </c>
      <c r="M16" s="385"/>
      <c r="N16" s="746">
        <v>7</v>
      </c>
      <c r="O16" s="748">
        <v>7</v>
      </c>
      <c r="P16" s="385"/>
      <c r="Q16" s="695">
        <f>ROUND(E16*'Rates in Detail'!E14,0)</f>
        <v>34043</v>
      </c>
      <c r="R16" s="695">
        <f>'Rate Spread Proposal'!F$15</f>
        <v>37604.380821902283</v>
      </c>
      <c r="T16" s="56" t="s">
        <v>26</v>
      </c>
      <c r="W16" s="56" t="s">
        <v>26</v>
      </c>
      <c r="Y16" s="1244">
        <f t="shared" ref="Y16:Y17" si="3">SUMIF($T$15:$T$83,W16,$H$15:$H$83)</f>
        <v>7237.916666666667</v>
      </c>
    </row>
    <row r="17" spans="1:28" x14ac:dyDescent="0.2">
      <c r="A17" s="86">
        <f t="shared" si="0"/>
        <v>9</v>
      </c>
      <c r="B17" s="1001" t="s">
        <v>12</v>
      </c>
      <c r="C17" s="1001" t="s">
        <v>283</v>
      </c>
      <c r="D17" s="1001" t="s">
        <v>12</v>
      </c>
      <c r="E17" s="1111">
        <v>54953515.785084128</v>
      </c>
      <c r="F17" s="693">
        <v>55009539.100000001</v>
      </c>
      <c r="G17" s="385"/>
      <c r="H17" s="694">
        <v>81119</v>
      </c>
      <c r="I17" s="391">
        <f t="shared" si="1"/>
        <v>56.453600000000002</v>
      </c>
      <c r="J17" s="385"/>
      <c r="K17" s="694">
        <v>80451</v>
      </c>
      <c r="L17" s="391">
        <f t="shared" si="2"/>
        <v>57</v>
      </c>
      <c r="M17" s="385"/>
      <c r="N17" s="747">
        <v>8</v>
      </c>
      <c r="O17" s="749">
        <v>8</v>
      </c>
      <c r="P17" s="385"/>
      <c r="Q17" s="695">
        <f>ROUND(E17*'Rates in Detail'!E15,0)</f>
        <v>25177503</v>
      </c>
      <c r="R17" s="695">
        <f>'Rate Spread Proposal'!G$15</f>
        <v>33798099.589697547</v>
      </c>
      <c r="S17" s="702"/>
      <c r="T17" s="56" t="s">
        <v>264</v>
      </c>
      <c r="W17" s="56" t="s">
        <v>145</v>
      </c>
      <c r="Y17" s="466">
        <f t="shared" si="3"/>
        <v>72.833333333333329</v>
      </c>
    </row>
    <row r="18" spans="1:28" x14ac:dyDescent="0.2">
      <c r="A18" s="86">
        <f t="shared" si="0"/>
        <v>10</v>
      </c>
      <c r="B18" s="1001" t="s">
        <v>10</v>
      </c>
      <c r="C18" s="1001" t="s">
        <v>283</v>
      </c>
      <c r="D18" s="1001" t="s">
        <v>10</v>
      </c>
      <c r="E18" s="1111">
        <v>17867210.60654201</v>
      </c>
      <c r="F18" s="693">
        <v>18385904.899999999</v>
      </c>
      <c r="G18" s="385"/>
      <c r="H18" s="694">
        <v>6318</v>
      </c>
      <c r="I18" s="391">
        <f t="shared" si="1"/>
        <v>235.66542999999999</v>
      </c>
      <c r="J18" s="385"/>
      <c r="K18" s="694">
        <v>6333</v>
      </c>
      <c r="L18" s="391">
        <f t="shared" si="2"/>
        <v>242</v>
      </c>
      <c r="M18" s="385"/>
      <c r="N18" s="747">
        <v>22</v>
      </c>
      <c r="O18" s="749">
        <v>22</v>
      </c>
      <c r="P18" s="385"/>
      <c r="Q18" s="695">
        <f>ROUND(E18*'Rates in Detail'!E16,0)</f>
        <v>7927324</v>
      </c>
      <c r="R18" s="695">
        <f>'Rate Spread Proposal'!H$15</f>
        <v>9866168.0688334089</v>
      </c>
      <c r="S18" s="702"/>
      <c r="T18" s="56" t="s">
        <v>26</v>
      </c>
      <c r="Y18" s="1245">
        <f>SUM(Y15:Y17)</f>
        <v>89340.75</v>
      </c>
    </row>
    <row r="19" spans="1:28" x14ac:dyDescent="0.2">
      <c r="A19" s="86">
        <f t="shared" si="0"/>
        <v>11</v>
      </c>
      <c r="B19" s="1001" t="s">
        <v>11</v>
      </c>
      <c r="C19" s="1001" t="s">
        <v>283</v>
      </c>
      <c r="D19" s="1001" t="s">
        <v>11</v>
      </c>
      <c r="E19" s="1111">
        <v>283651.99999999994</v>
      </c>
      <c r="F19" s="693">
        <v>263842</v>
      </c>
      <c r="G19" s="385"/>
      <c r="H19" s="694">
        <f>I90</f>
        <v>24.25</v>
      </c>
      <c r="I19" s="391">
        <f t="shared" si="1"/>
        <v>974.74914000000001</v>
      </c>
      <c r="J19" s="385"/>
      <c r="K19" s="694">
        <v>24</v>
      </c>
      <c r="L19" s="391">
        <f t="shared" si="2"/>
        <v>916</v>
      </c>
      <c r="M19" s="385"/>
      <c r="N19" s="747">
        <v>22</v>
      </c>
      <c r="O19" s="749">
        <v>22</v>
      </c>
      <c r="P19" s="385"/>
      <c r="Q19" s="695">
        <f>ROUND(E19*'Rates in Detail'!E17,0)</f>
        <v>131186</v>
      </c>
      <c r="R19" s="695">
        <f>'Rate Spread Proposal'!I$15</f>
        <v>141888.72505190157</v>
      </c>
      <c r="S19" s="702"/>
      <c r="T19" s="56" t="s">
        <v>145</v>
      </c>
    </row>
    <row r="20" spans="1:28" x14ac:dyDescent="0.2">
      <c r="A20" s="86">
        <f t="shared" si="0"/>
        <v>12</v>
      </c>
      <c r="B20" s="161" t="s">
        <v>470</v>
      </c>
      <c r="C20" s="161" t="s">
        <v>283</v>
      </c>
      <c r="D20" s="161" t="s">
        <v>470</v>
      </c>
      <c r="E20" s="1111">
        <v>461371.76933137607</v>
      </c>
      <c r="F20" s="693">
        <v>591910</v>
      </c>
      <c r="G20" s="385"/>
      <c r="H20" s="692">
        <v>776</v>
      </c>
      <c r="I20" s="391">
        <f t="shared" si="1"/>
        <v>49.545940000000002</v>
      </c>
      <c r="J20" s="385"/>
      <c r="K20" s="692">
        <v>755</v>
      </c>
      <c r="L20" s="391">
        <f t="shared" si="2"/>
        <v>65</v>
      </c>
      <c r="M20" s="385"/>
      <c r="N20" s="746">
        <v>9</v>
      </c>
      <c r="O20" s="749">
        <v>9</v>
      </c>
      <c r="P20" s="385"/>
      <c r="Q20" s="695">
        <f>ROUND(E20*'Rates in Detail'!E18,0)</f>
        <v>111135</v>
      </c>
      <c r="R20" s="695">
        <f>'Rate Spread Proposal'!J$15</f>
        <v>201938.20437801833</v>
      </c>
      <c r="S20" s="702"/>
      <c r="T20" s="56" t="s">
        <v>26</v>
      </c>
    </row>
    <row r="21" spans="1:28" x14ac:dyDescent="0.2">
      <c r="A21" s="86">
        <f t="shared" si="0"/>
        <v>13</v>
      </c>
      <c r="B21" s="86" t="s">
        <v>285</v>
      </c>
      <c r="C21" s="1490" t="s">
        <v>4</v>
      </c>
      <c r="D21" s="86" t="s">
        <v>289</v>
      </c>
      <c r="E21" s="696">
        <v>1777065.1510316674</v>
      </c>
      <c r="F21" s="696">
        <v>1992236.2</v>
      </c>
      <c r="G21" s="385"/>
      <c r="H21" s="690">
        <v>91</v>
      </c>
      <c r="I21" s="697">
        <f>IF(H21&lt;&gt;0,ROUND(SUM(E21:E22)/H21/12,0))</f>
        <v>3436</v>
      </c>
      <c r="J21" s="385"/>
      <c r="K21" s="690">
        <v>92</v>
      </c>
      <c r="L21" s="697">
        <f>IF(K21&lt;&gt;0,ROUND(SUM(F21:F22)/K21/12,0))</f>
        <v>3745</v>
      </c>
      <c r="M21" s="385"/>
      <c r="N21" s="751">
        <v>250</v>
      </c>
      <c r="O21" s="750">
        <v>250</v>
      </c>
      <c r="P21" s="385"/>
      <c r="Q21" s="698">
        <f>ROUND((E21*'Rates in Detail'!E19)+(E22*'Rates in Detail'!E20),0)</f>
        <v>1212467</v>
      </c>
      <c r="R21" s="698">
        <f>'Rate Spread Proposal'!K15</f>
        <v>1542348.175315036</v>
      </c>
      <c r="S21" s="702"/>
      <c r="T21" s="56" t="s">
        <v>26</v>
      </c>
    </row>
    <row r="22" spans="1:28" x14ac:dyDescent="0.2">
      <c r="A22" s="86">
        <f t="shared" si="0"/>
        <v>14</v>
      </c>
      <c r="B22" s="161"/>
      <c r="C22" s="1491" t="s">
        <v>5</v>
      </c>
      <c r="D22" s="161" t="s">
        <v>290</v>
      </c>
      <c r="E22" s="691">
        <v>1974656.4658023661</v>
      </c>
      <c r="F22" s="691">
        <v>2142067.7000000002</v>
      </c>
      <c r="G22" s="385"/>
      <c r="H22" s="692"/>
      <c r="I22" s="397"/>
      <c r="J22" s="385"/>
      <c r="K22" s="692"/>
      <c r="L22" s="397"/>
      <c r="M22" s="385"/>
      <c r="N22" s="746"/>
      <c r="O22" s="692"/>
      <c r="P22" s="385"/>
      <c r="Q22" s="658"/>
      <c r="R22" s="699"/>
      <c r="S22" s="659"/>
      <c r="W22" s="56" t="s">
        <v>264</v>
      </c>
      <c r="Y22" s="493">
        <f>H15+H17</f>
        <v>82030</v>
      </c>
    </row>
    <row r="23" spans="1:28" x14ac:dyDescent="0.2">
      <c r="A23" s="86">
        <f t="shared" si="0"/>
        <v>15</v>
      </c>
      <c r="B23" s="86" t="s">
        <v>293</v>
      </c>
      <c r="C23" s="1490" t="s">
        <v>4</v>
      </c>
      <c r="D23" s="86" t="s">
        <v>295</v>
      </c>
      <c r="E23" s="696">
        <v>392890.20000000007</v>
      </c>
      <c r="F23" s="696">
        <v>399967</v>
      </c>
      <c r="G23" s="385"/>
      <c r="H23" s="690">
        <f>I91</f>
        <v>17.833333333333332</v>
      </c>
      <c r="I23" s="697">
        <f>IF(H23&lt;&gt;0,ROUND(SUM(E23:E24)/H23/12,0))</f>
        <v>4741</v>
      </c>
      <c r="J23" s="385"/>
      <c r="K23" s="690">
        <v>18</v>
      </c>
      <c r="L23" s="697">
        <f>IF(K23&lt;&gt;0,ROUND(SUM(F23:F24)/K23/12,0),0)</f>
        <v>4770</v>
      </c>
      <c r="M23" s="385"/>
      <c r="N23" s="751">
        <v>250</v>
      </c>
      <c r="O23" s="751">
        <v>250</v>
      </c>
      <c r="P23" s="385"/>
      <c r="Q23" s="698">
        <f>ROUND((E23*'Rates in Detail'!E21)+(E24*'Rates in Detail'!E22),0)</f>
        <v>323732</v>
      </c>
      <c r="R23" s="698">
        <f>'Rate Spread Proposal'!L15</f>
        <v>392614.2804678994</v>
      </c>
      <c r="S23" s="702"/>
      <c r="T23" s="56" t="s">
        <v>145</v>
      </c>
      <c r="W23" s="56" t="s">
        <v>26</v>
      </c>
      <c r="X23" s="1213"/>
      <c r="Y23" s="493">
        <f>H16+H18+H21+H20+H33</f>
        <v>7224</v>
      </c>
    </row>
    <row r="24" spans="1:28" x14ac:dyDescent="0.2">
      <c r="A24" s="86">
        <f t="shared" si="0"/>
        <v>16</v>
      </c>
      <c r="B24" s="161"/>
      <c r="C24" s="1491" t="s">
        <v>5</v>
      </c>
      <c r="D24" s="161" t="s">
        <v>294</v>
      </c>
      <c r="E24" s="691">
        <v>621650.00000000012</v>
      </c>
      <c r="F24" s="691">
        <v>630361</v>
      </c>
      <c r="G24" s="385"/>
      <c r="H24" s="692"/>
      <c r="I24" s="397"/>
      <c r="J24" s="385"/>
      <c r="K24" s="692"/>
      <c r="L24" s="397"/>
      <c r="M24" s="385"/>
      <c r="N24" s="746"/>
      <c r="O24" s="692"/>
      <c r="P24" s="385"/>
      <c r="Q24" s="658"/>
      <c r="R24" s="699"/>
      <c r="S24" s="659"/>
      <c r="W24" s="56" t="s">
        <v>540</v>
      </c>
      <c r="Y24" s="493">
        <f>H19+H23+H39</f>
        <v>53.999999999999993</v>
      </c>
    </row>
    <row r="25" spans="1:28" x14ac:dyDescent="0.2">
      <c r="A25" s="86">
        <f t="shared" si="0"/>
        <v>17</v>
      </c>
      <c r="B25" s="86" t="s">
        <v>287</v>
      </c>
      <c r="C25" s="1490" t="s">
        <v>4</v>
      </c>
      <c r="D25" s="86" t="s">
        <v>291</v>
      </c>
      <c r="E25" s="696">
        <v>0</v>
      </c>
      <c r="F25" s="696">
        <v>0</v>
      </c>
      <c r="G25" s="385"/>
      <c r="H25" s="690">
        <v>0</v>
      </c>
      <c r="I25" s="697">
        <f>IF(H25&lt;&gt;0,ROUND(SUM(E25:E26)/H25/12,0),0)</f>
        <v>0</v>
      </c>
      <c r="J25" s="385"/>
      <c r="K25" s="690">
        <v>0</v>
      </c>
      <c r="L25" s="697">
        <f>IF(K25&lt;&gt;0,ROUND(SUM(F25:F26)/K25/12,0),0)</f>
        <v>0</v>
      </c>
      <c r="M25" s="385"/>
      <c r="N25" s="751">
        <v>250</v>
      </c>
      <c r="O25" s="751">
        <v>250</v>
      </c>
      <c r="P25" s="385"/>
      <c r="Q25" s="698">
        <f>ROUND((E25*'Rates in Detail'!E23)+(E26*'Rates in Detail'!E24),0)</f>
        <v>0</v>
      </c>
      <c r="R25" s="698">
        <f>'Rate Spread Proposal'!M15</f>
        <v>0</v>
      </c>
      <c r="S25" s="702"/>
      <c r="T25" s="56" t="s">
        <v>26</v>
      </c>
      <c r="W25" s="56" t="s">
        <v>541</v>
      </c>
      <c r="Y25" s="493">
        <f>H25+H27+H57+H63+H83</f>
        <v>4.9166666666666696</v>
      </c>
    </row>
    <row r="26" spans="1:28" x14ac:dyDescent="0.2">
      <c r="A26" s="86">
        <f t="shared" si="0"/>
        <v>18</v>
      </c>
      <c r="B26" s="161"/>
      <c r="C26" s="1491" t="s">
        <v>5</v>
      </c>
      <c r="D26" s="161" t="s">
        <v>292</v>
      </c>
      <c r="E26" s="691">
        <v>0</v>
      </c>
      <c r="F26" s="691">
        <v>0</v>
      </c>
      <c r="G26" s="385"/>
      <c r="H26" s="692"/>
      <c r="I26" s="397"/>
      <c r="J26" s="385"/>
      <c r="K26" s="692"/>
      <c r="L26" s="397"/>
      <c r="M26" s="385"/>
      <c r="N26" s="746"/>
      <c r="O26" s="692"/>
      <c r="P26" s="385"/>
      <c r="Q26" s="658"/>
      <c r="R26" s="699"/>
      <c r="S26" s="659"/>
      <c r="W26" s="56" t="s">
        <v>137</v>
      </c>
      <c r="Y26" s="366">
        <f>H29+H31+H45+H51+H69+H75+H81+H82</f>
        <v>27.833333333333336</v>
      </c>
    </row>
    <row r="27" spans="1:28" x14ac:dyDescent="0.2">
      <c r="A27" s="86">
        <f t="shared" si="0"/>
        <v>19</v>
      </c>
      <c r="B27" s="86" t="s">
        <v>299</v>
      </c>
      <c r="C27" s="1490" t="s">
        <v>4</v>
      </c>
      <c r="D27" s="86" t="s">
        <v>301</v>
      </c>
      <c r="E27" s="696">
        <v>0</v>
      </c>
      <c r="F27" s="696">
        <v>0</v>
      </c>
      <c r="G27" s="385"/>
      <c r="H27" s="690">
        <v>0</v>
      </c>
      <c r="I27" s="697">
        <f>IF(H27&lt;&gt;0,ROUND(SUM(E27:E28)/H27/12,0),0)</f>
        <v>0</v>
      </c>
      <c r="J27" s="385"/>
      <c r="K27" s="690">
        <v>0</v>
      </c>
      <c r="L27" s="697">
        <f>IF(K27&lt;&gt;0,ROUND(SUM(F27:F28)/K27/12,0),0)</f>
        <v>0</v>
      </c>
      <c r="M27" s="385"/>
      <c r="N27" s="751">
        <v>250</v>
      </c>
      <c r="O27" s="751">
        <v>250</v>
      </c>
      <c r="P27" s="385"/>
      <c r="Q27" s="698">
        <f>ROUND((E27*'Rates in Detail'!E25)+(E28*'Rates in Detail'!E26),0)</f>
        <v>0</v>
      </c>
      <c r="R27" s="698">
        <f>'Rate Spread Proposal'!N15</f>
        <v>0</v>
      </c>
      <c r="S27" s="702"/>
      <c r="T27" s="56" t="s">
        <v>145</v>
      </c>
      <c r="Y27" s="493">
        <f>SUM(Y22:Y26)</f>
        <v>89340.75</v>
      </c>
    </row>
    <row r="28" spans="1:28" x14ac:dyDescent="0.2">
      <c r="A28" s="86">
        <f t="shared" si="0"/>
        <v>20</v>
      </c>
      <c r="B28" s="161"/>
      <c r="C28" s="1491" t="s">
        <v>5</v>
      </c>
      <c r="D28" s="161" t="s">
        <v>302</v>
      </c>
      <c r="E28" s="691">
        <v>0</v>
      </c>
      <c r="F28" s="691">
        <v>0</v>
      </c>
      <c r="G28" s="385"/>
      <c r="H28" s="692"/>
      <c r="I28" s="397"/>
      <c r="J28" s="385"/>
      <c r="K28" s="692"/>
      <c r="L28" s="397"/>
      <c r="M28" s="385"/>
      <c r="N28" s="746"/>
      <c r="O28" s="692"/>
      <c r="P28" s="385"/>
      <c r="Q28" s="658"/>
      <c r="R28" s="699"/>
      <c r="S28" s="659"/>
      <c r="Y28" s="56" t="b">
        <f>Y18=Y27</f>
        <v>1</v>
      </c>
    </row>
    <row r="29" spans="1:28" x14ac:dyDescent="0.2">
      <c r="A29" s="86">
        <f t="shared" si="0"/>
        <v>21</v>
      </c>
      <c r="B29" s="86" t="s">
        <v>306</v>
      </c>
      <c r="C29" s="1490" t="s">
        <v>4</v>
      </c>
      <c r="D29" s="86" t="s">
        <v>307</v>
      </c>
      <c r="E29" s="696">
        <v>168721</v>
      </c>
      <c r="F29" s="696">
        <v>169264</v>
      </c>
      <c r="G29" s="385"/>
      <c r="H29" s="690">
        <f>I94</f>
        <v>7.916666666666667</v>
      </c>
      <c r="I29" s="697">
        <f>IF(H29&lt;&gt;0,ROUND(SUM(E29:E30)/H29/12,0),0)</f>
        <v>4648</v>
      </c>
      <c r="J29" s="385"/>
      <c r="K29" s="690">
        <v>8</v>
      </c>
      <c r="L29" s="697">
        <f>IF(K29&lt;&gt;0,ROUND(SUM(F29:F30)/K29/12,0),0)</f>
        <v>4482</v>
      </c>
      <c r="M29" s="385"/>
      <c r="N29" s="751">
        <v>500</v>
      </c>
      <c r="O29" s="751">
        <v>500</v>
      </c>
      <c r="P29" s="385"/>
      <c r="Q29" s="698">
        <f>ROUND((E29*'Rates in Detail'!E27)+(E30*'Rates in Detail'!E28),0)</f>
        <v>142341</v>
      </c>
      <c r="R29" s="698">
        <f>'Rate Spread Proposal'!O15</f>
        <v>189841.33809000003</v>
      </c>
      <c r="S29" s="702"/>
      <c r="T29" s="56" t="s">
        <v>26</v>
      </c>
    </row>
    <row r="30" spans="1:28" x14ac:dyDescent="0.2">
      <c r="A30" s="86">
        <f t="shared" si="0"/>
        <v>22</v>
      </c>
      <c r="B30" s="161"/>
      <c r="C30" s="1491" t="s">
        <v>5</v>
      </c>
      <c r="D30" s="161" t="s">
        <v>308</v>
      </c>
      <c r="E30" s="691">
        <v>272866</v>
      </c>
      <c r="F30" s="691">
        <v>260994</v>
      </c>
      <c r="G30" s="385"/>
      <c r="H30" s="692"/>
      <c r="I30" s="397"/>
      <c r="J30" s="385"/>
      <c r="K30" s="692"/>
      <c r="L30" s="397"/>
      <c r="M30" s="385"/>
      <c r="N30" s="746"/>
      <c r="O30" s="692"/>
      <c r="P30" s="385"/>
      <c r="Q30" s="658"/>
      <c r="R30" s="699"/>
      <c r="S30" s="659"/>
      <c r="W30" s="55"/>
      <c r="X30" s="58"/>
      <c r="Y30" s="58"/>
      <c r="Z30" s="55"/>
      <c r="AA30" s="55"/>
      <c r="AB30" s="55"/>
    </row>
    <row r="31" spans="1:28" x14ac:dyDescent="0.2">
      <c r="A31" s="86">
        <f t="shared" si="0"/>
        <v>23</v>
      </c>
      <c r="B31" s="86" t="s">
        <v>296</v>
      </c>
      <c r="C31" s="1490" t="s">
        <v>4</v>
      </c>
      <c r="D31" s="86" t="s">
        <v>303</v>
      </c>
      <c r="E31" s="696">
        <v>0</v>
      </c>
      <c r="F31" s="696">
        <v>0</v>
      </c>
      <c r="G31" s="385"/>
      <c r="H31" s="690">
        <v>0</v>
      </c>
      <c r="I31" s="697">
        <f>IF(H31&lt;&gt;0,ROUND(SUM(E31:E32)/H31/12,0),0)</f>
        <v>0</v>
      </c>
      <c r="J31" s="385"/>
      <c r="K31" s="690">
        <v>0</v>
      </c>
      <c r="L31" s="697">
        <f>IF(K31&lt;&gt;0,ROUND(SUM(F31:F32)/K31/12,0),0)</f>
        <v>0</v>
      </c>
      <c r="M31" s="385"/>
      <c r="N31" s="751">
        <v>500</v>
      </c>
      <c r="O31" s="751">
        <v>500</v>
      </c>
      <c r="P31" s="385"/>
      <c r="Q31" s="698">
        <f>ROUND((E31*'Rates in Detail'!E29)+(E32*'Rates in Detail'!E30),0)</f>
        <v>0</v>
      </c>
      <c r="R31" s="698">
        <f>'Rate Spread Proposal'!P15</f>
        <v>0</v>
      </c>
      <c r="S31" s="702"/>
      <c r="T31" s="56" t="s">
        <v>145</v>
      </c>
      <c r="W31" s="55"/>
      <c r="X31" s="1300"/>
      <c r="Y31" s="1300"/>
      <c r="Z31" s="55"/>
      <c r="AA31" s="55"/>
      <c r="AB31" s="55"/>
    </row>
    <row r="32" spans="1:28" x14ac:dyDescent="0.2">
      <c r="A32" s="86">
        <f t="shared" si="0"/>
        <v>24</v>
      </c>
      <c r="B32" s="161"/>
      <c r="C32" s="1491" t="s">
        <v>5</v>
      </c>
      <c r="D32" s="161" t="s">
        <v>304</v>
      </c>
      <c r="E32" s="691">
        <v>0</v>
      </c>
      <c r="F32" s="691">
        <v>0</v>
      </c>
      <c r="G32" s="385"/>
      <c r="H32" s="692"/>
      <c r="I32" s="397"/>
      <c r="J32" s="385"/>
      <c r="K32" s="692"/>
      <c r="L32" s="397"/>
      <c r="M32" s="385"/>
      <c r="N32" s="746"/>
      <c r="O32" s="692"/>
      <c r="P32" s="385"/>
      <c r="Q32" s="658"/>
      <c r="R32" s="699"/>
      <c r="S32" s="659"/>
      <c r="W32" s="55"/>
      <c r="X32" s="1300"/>
      <c r="Y32" s="1300"/>
      <c r="Z32" s="55"/>
      <c r="AA32" s="55"/>
      <c r="AB32" s="55"/>
    </row>
    <row r="33" spans="1:29" x14ac:dyDescent="0.2">
      <c r="A33" s="86">
        <f t="shared" si="0"/>
        <v>25</v>
      </c>
      <c r="B33" s="86" t="s">
        <v>286</v>
      </c>
      <c r="C33" s="1490" t="s">
        <v>4</v>
      </c>
      <c r="D33" s="86" t="s">
        <v>44</v>
      </c>
      <c r="E33" s="696">
        <v>350769.66174469434</v>
      </c>
      <c r="F33" s="696">
        <v>542975.5</v>
      </c>
      <c r="G33" s="385"/>
      <c r="H33" s="690">
        <v>5</v>
      </c>
      <c r="I33" s="697">
        <f>IF(H33&lt;&gt;0,ROUND(SUM(E33:E38)/H33/12,0))</f>
        <v>11949</v>
      </c>
      <c r="J33" s="385"/>
      <c r="K33" s="690">
        <v>5</v>
      </c>
      <c r="L33" s="697">
        <f>IF(K33&lt;&gt;0,ROUND(SUM(F33:F38)/K33/12,0))</f>
        <v>18685</v>
      </c>
      <c r="M33" s="385"/>
      <c r="N33" s="751">
        <v>1300</v>
      </c>
      <c r="O33" s="751">
        <v>1300</v>
      </c>
      <c r="P33" s="385"/>
      <c r="Q33" s="698">
        <f>ROUND((E33*'Rates in Detail'!E31)+(E34*'Rates in Detail'!E32)+(E35*'Rates in Detail'!E33)+(E36*'Rates in Detail'!E34)+(E37*'Rates in Detail'!E35)+(E38*'Rates in Detail'!E36),0)</f>
        <v>101365</v>
      </c>
      <c r="R33" s="698">
        <f>'Rate Spread Proposal'!Q15</f>
        <v>219574.60083981926</v>
      </c>
      <c r="S33" s="702"/>
      <c r="T33" s="56" t="s">
        <v>26</v>
      </c>
      <c r="W33" s="55"/>
      <c r="X33" s="1300"/>
      <c r="Y33" s="1300"/>
      <c r="Z33" s="55"/>
      <c r="AA33" s="86"/>
      <c r="AB33" s="86"/>
    </row>
    <row r="34" spans="1:29" x14ac:dyDescent="0.2">
      <c r="A34" s="86">
        <f t="shared" si="0"/>
        <v>26</v>
      </c>
      <c r="C34" s="1490" t="s">
        <v>5</v>
      </c>
      <c r="D34" s="86" t="s">
        <v>45</v>
      </c>
      <c r="E34" s="696">
        <v>303088.75426472601</v>
      </c>
      <c r="F34" s="696">
        <v>474167</v>
      </c>
      <c r="G34" s="385"/>
      <c r="H34" s="690"/>
      <c r="I34" s="385"/>
      <c r="J34" s="385"/>
      <c r="K34" s="690"/>
      <c r="L34" s="385"/>
      <c r="M34" s="385"/>
      <c r="N34" s="751"/>
      <c r="O34" s="690"/>
      <c r="P34" s="385"/>
      <c r="Q34" s="659"/>
      <c r="R34" s="702"/>
      <c r="S34" s="659"/>
      <c r="W34" s="55"/>
      <c r="X34" s="1300"/>
      <c r="Y34" s="1300"/>
      <c r="Z34" s="425"/>
      <c r="AA34" s="86"/>
      <c r="AB34" s="86"/>
      <c r="AC34" s="55"/>
    </row>
    <row r="35" spans="1:29" x14ac:dyDescent="0.2">
      <c r="A35" s="86">
        <f t="shared" si="0"/>
        <v>27</v>
      </c>
      <c r="C35" s="1490" t="s">
        <v>6</v>
      </c>
      <c r="D35" s="86" t="s">
        <v>46</v>
      </c>
      <c r="E35" s="696">
        <v>59441.942130257296</v>
      </c>
      <c r="F35" s="696">
        <v>97890.5</v>
      </c>
      <c r="G35" s="385"/>
      <c r="H35" s="690"/>
      <c r="I35" s="385"/>
      <c r="J35" s="385"/>
      <c r="K35" s="690"/>
      <c r="L35" s="385"/>
      <c r="M35" s="385"/>
      <c r="N35" s="751"/>
      <c r="O35" s="690"/>
      <c r="P35" s="385"/>
      <c r="Q35" s="659"/>
      <c r="R35" s="702"/>
      <c r="S35" s="659"/>
      <c r="W35" s="55"/>
      <c r="X35" s="55"/>
      <c r="Y35" s="55"/>
      <c r="Z35" s="1301"/>
      <c r="AA35" s="300"/>
      <c r="AB35" s="474"/>
      <c r="AC35" s="154"/>
    </row>
    <row r="36" spans="1:29" x14ac:dyDescent="0.2">
      <c r="A36" s="86">
        <f t="shared" si="0"/>
        <v>28</v>
      </c>
      <c r="C36" s="1490" t="s">
        <v>7</v>
      </c>
      <c r="D36" s="86" t="s">
        <v>47</v>
      </c>
      <c r="E36" s="696">
        <v>3614.6071898605187</v>
      </c>
      <c r="F36" s="696">
        <v>6094</v>
      </c>
      <c r="G36" s="385"/>
      <c r="H36" s="690"/>
      <c r="I36" s="385"/>
      <c r="J36" s="385"/>
      <c r="K36" s="690"/>
      <c r="L36" s="385"/>
      <c r="M36" s="385"/>
      <c r="N36" s="751"/>
      <c r="O36" s="690"/>
      <c r="P36" s="385"/>
      <c r="Q36" s="659"/>
      <c r="R36" s="702"/>
      <c r="S36" s="659"/>
      <c r="W36" s="55"/>
      <c r="X36" s="55"/>
      <c r="Y36" s="55"/>
      <c r="Z36" s="1301"/>
      <c r="AA36" s="300"/>
      <c r="AB36" s="474"/>
      <c r="AC36" s="154"/>
    </row>
    <row r="37" spans="1:29" x14ac:dyDescent="0.2">
      <c r="A37" s="86">
        <f t="shared" si="0"/>
        <v>29</v>
      </c>
      <c r="C37" s="1490" t="s">
        <v>8</v>
      </c>
      <c r="D37" s="86" t="s">
        <v>48</v>
      </c>
      <c r="E37" s="696">
        <v>0</v>
      </c>
      <c r="F37" s="696">
        <v>0</v>
      </c>
      <c r="G37" s="385"/>
      <c r="H37" s="690"/>
      <c r="I37" s="385"/>
      <c r="J37" s="385"/>
      <c r="K37" s="690"/>
      <c r="L37" s="385"/>
      <c r="M37" s="385"/>
      <c r="N37" s="751"/>
      <c r="O37" s="690"/>
      <c r="P37" s="385"/>
      <c r="Q37" s="659"/>
      <c r="R37" s="702"/>
      <c r="S37" s="659"/>
      <c r="W37" s="55"/>
      <c r="X37" s="55"/>
      <c r="Y37" s="55"/>
      <c r="Z37" s="1301"/>
      <c r="AA37" s="300"/>
      <c r="AB37" s="474"/>
      <c r="AC37" s="154"/>
    </row>
    <row r="38" spans="1:29" x14ac:dyDescent="0.2">
      <c r="A38" s="86">
        <f t="shared" si="0"/>
        <v>30</v>
      </c>
      <c r="B38" s="161"/>
      <c r="C38" s="1491" t="s">
        <v>9</v>
      </c>
      <c r="D38" s="161" t="s">
        <v>49</v>
      </c>
      <c r="E38" s="691">
        <v>0</v>
      </c>
      <c r="F38" s="691">
        <v>0</v>
      </c>
      <c r="G38" s="385"/>
      <c r="H38" s="692"/>
      <c r="I38" s="397"/>
      <c r="J38" s="385"/>
      <c r="K38" s="692"/>
      <c r="L38" s="397"/>
      <c r="M38" s="385"/>
      <c r="N38" s="746"/>
      <c r="O38" s="692"/>
      <c r="P38" s="385"/>
      <c r="Q38" s="658"/>
      <c r="R38" s="699"/>
      <c r="S38" s="659"/>
      <c r="W38" s="55"/>
      <c r="X38" s="55"/>
      <c r="Y38" s="55"/>
      <c r="Z38" s="1301"/>
      <c r="AA38" s="300"/>
      <c r="AB38" s="474"/>
      <c r="AC38" s="154"/>
    </row>
    <row r="39" spans="1:29" x14ac:dyDescent="0.2">
      <c r="A39" s="86">
        <f t="shared" si="0"/>
        <v>31</v>
      </c>
      <c r="B39" s="86" t="s">
        <v>305</v>
      </c>
      <c r="C39" s="1490" t="s">
        <v>4</v>
      </c>
      <c r="D39" s="86" t="s">
        <v>50</v>
      </c>
      <c r="E39" s="696">
        <v>1093724.2000000002</v>
      </c>
      <c r="F39" s="696">
        <v>1086353</v>
      </c>
      <c r="G39" s="385"/>
      <c r="H39" s="690">
        <f>I96</f>
        <v>11.916666666666666</v>
      </c>
      <c r="I39" s="697">
        <f>IF(H39&lt;&gt;0,ROUND(SUM(E39:E44)/H39/12,0))</f>
        <v>12869</v>
      </c>
      <c r="J39" s="385"/>
      <c r="K39" s="690">
        <v>11</v>
      </c>
      <c r="L39" s="697">
        <f>IF(K39&lt;&gt;0,ROUND(SUM(F39:F44)/K39/12,0))</f>
        <v>13593</v>
      </c>
      <c r="M39" s="385"/>
      <c r="N39" s="751">
        <v>1300</v>
      </c>
      <c r="O39" s="751">
        <v>1300</v>
      </c>
      <c r="P39" s="385"/>
      <c r="Q39" s="698">
        <f>ROUND((E39*'Rates in Detail'!E37)+(E40*'Rates in Detail'!E38)+(E41*'Rates in Detail'!E39)+(E42*'Rates in Detail'!E40)+(E43*'Rates in Detail'!E41)+(E44*'Rates in Detail'!E42),0)</f>
        <v>256403</v>
      </c>
      <c r="R39" s="698">
        <f>'Rate Spread Proposal'!R15</f>
        <v>511672.37933789124</v>
      </c>
      <c r="S39" s="702"/>
      <c r="T39" s="56" t="s">
        <v>145</v>
      </c>
      <c r="W39" s="55"/>
      <c r="X39" s="55"/>
      <c r="Y39" s="55"/>
      <c r="Z39" s="1301"/>
      <c r="AA39" s="300"/>
      <c r="AB39" s="474"/>
      <c r="AC39" s="154"/>
    </row>
    <row r="40" spans="1:29" x14ac:dyDescent="0.2">
      <c r="A40" s="86">
        <f t="shared" si="0"/>
        <v>32</v>
      </c>
      <c r="C40" s="1490" t="s">
        <v>5</v>
      </c>
      <c r="D40" s="86" t="s">
        <v>51</v>
      </c>
      <c r="E40" s="696">
        <v>655939.80000000005</v>
      </c>
      <c r="F40" s="696">
        <v>638955</v>
      </c>
      <c r="G40" s="385"/>
      <c r="H40" s="690"/>
      <c r="I40" s="385"/>
      <c r="J40" s="385"/>
      <c r="K40" s="690"/>
      <c r="L40" s="385"/>
      <c r="M40" s="385"/>
      <c r="N40" s="751"/>
      <c r="O40" s="690"/>
      <c r="P40" s="385"/>
      <c r="Q40" s="659"/>
      <c r="R40" s="702"/>
      <c r="S40" s="659"/>
      <c r="W40" s="293"/>
      <c r="X40" s="55"/>
      <c r="Y40" s="55"/>
      <c r="Z40" s="1301"/>
      <c r="AA40" s="300"/>
      <c r="AB40" s="474"/>
      <c r="AC40" s="154"/>
    </row>
    <row r="41" spans="1:29" x14ac:dyDescent="0.2">
      <c r="A41" s="86">
        <f t="shared" si="0"/>
        <v>33</v>
      </c>
      <c r="C41" s="1490" t="s">
        <v>6</v>
      </c>
      <c r="D41" s="86" t="s">
        <v>52</v>
      </c>
      <c r="E41" s="696">
        <v>81241.3</v>
      </c>
      <c r="F41" s="696">
        <v>68923</v>
      </c>
      <c r="G41" s="385"/>
      <c r="H41" s="690"/>
      <c r="I41" s="385"/>
      <c r="J41" s="385"/>
      <c r="K41" s="690"/>
      <c r="L41" s="385"/>
      <c r="M41" s="385"/>
      <c r="N41" s="751"/>
      <c r="O41" s="690"/>
      <c r="P41" s="385"/>
      <c r="Q41" s="659"/>
      <c r="R41" s="702"/>
      <c r="S41" s="659"/>
      <c r="W41" s="55"/>
      <c r="X41" s="55"/>
      <c r="Y41" s="55"/>
      <c r="Z41" s="55"/>
      <c r="AA41" s="55"/>
      <c r="AB41" s="474"/>
      <c r="AC41" s="55"/>
    </row>
    <row r="42" spans="1:29" x14ac:dyDescent="0.2">
      <c r="A42" s="86">
        <f t="shared" si="0"/>
        <v>34</v>
      </c>
      <c r="C42" s="1490" t="s">
        <v>7</v>
      </c>
      <c r="D42" s="86" t="s">
        <v>53</v>
      </c>
      <c r="E42" s="696">
        <v>9320.1</v>
      </c>
      <c r="F42" s="696">
        <v>0</v>
      </c>
      <c r="G42" s="385"/>
      <c r="H42" s="690"/>
      <c r="I42" s="385"/>
      <c r="J42" s="385"/>
      <c r="K42" s="690"/>
      <c r="L42" s="385"/>
      <c r="M42" s="385"/>
      <c r="N42" s="751"/>
      <c r="O42" s="690"/>
      <c r="P42" s="385"/>
      <c r="Q42" s="659"/>
      <c r="R42" s="702"/>
      <c r="S42" s="659"/>
      <c r="W42" s="55"/>
      <c r="X42" s="55"/>
      <c r="Y42" s="55"/>
      <c r="Z42" s="55"/>
      <c r="AA42" s="55"/>
      <c r="AB42" s="55"/>
    </row>
    <row r="43" spans="1:29" x14ac:dyDescent="0.2">
      <c r="A43" s="86">
        <f t="shared" si="0"/>
        <v>35</v>
      </c>
      <c r="C43" s="1490" t="s">
        <v>8</v>
      </c>
      <c r="D43" s="86" t="s">
        <v>54</v>
      </c>
      <c r="E43" s="696">
        <v>0</v>
      </c>
      <c r="F43" s="696">
        <v>0</v>
      </c>
      <c r="G43" s="385"/>
      <c r="H43" s="690"/>
      <c r="I43" s="385"/>
      <c r="J43" s="385"/>
      <c r="K43" s="690"/>
      <c r="L43" s="385"/>
      <c r="M43" s="385"/>
      <c r="N43" s="751"/>
      <c r="O43" s="690"/>
      <c r="P43" s="385"/>
      <c r="Q43" s="659"/>
      <c r="R43" s="702"/>
      <c r="S43" s="659"/>
    </row>
    <row r="44" spans="1:29" x14ac:dyDescent="0.2">
      <c r="A44" s="86">
        <f t="shared" si="0"/>
        <v>36</v>
      </c>
      <c r="B44" s="161"/>
      <c r="C44" s="1491" t="s">
        <v>9</v>
      </c>
      <c r="D44" s="161" t="s">
        <v>55</v>
      </c>
      <c r="E44" s="691">
        <v>0</v>
      </c>
      <c r="F44" s="691">
        <v>0</v>
      </c>
      <c r="G44" s="385"/>
      <c r="H44" s="692"/>
      <c r="I44" s="397"/>
      <c r="J44" s="385"/>
      <c r="K44" s="692"/>
      <c r="L44" s="397"/>
      <c r="M44" s="385"/>
      <c r="N44" s="746"/>
      <c r="O44" s="692"/>
      <c r="P44" s="385"/>
      <c r="Q44" s="658"/>
      <c r="R44" s="699"/>
      <c r="S44" s="659"/>
    </row>
    <row r="45" spans="1:29" x14ac:dyDescent="0.2">
      <c r="A45" s="86">
        <f t="shared" si="0"/>
        <v>37</v>
      </c>
      <c r="B45" s="86" t="s">
        <v>297</v>
      </c>
      <c r="C45" s="1490" t="s">
        <v>4</v>
      </c>
      <c r="D45" s="86" t="s">
        <v>309</v>
      </c>
      <c r="E45" s="696">
        <v>480000</v>
      </c>
      <c r="F45" s="696">
        <v>479847</v>
      </c>
      <c r="G45" s="385"/>
      <c r="H45" s="690">
        <f>I97</f>
        <v>4</v>
      </c>
      <c r="I45" s="697">
        <f>IF(H45&lt;&gt;0,ROUND(SUM(E45:E50)/H45/12,0))</f>
        <v>51470</v>
      </c>
      <c r="J45" s="385"/>
      <c r="K45" s="690">
        <v>4</v>
      </c>
      <c r="L45" s="697">
        <f>IF(K45&lt;&gt;0,ROUND(SUM(F45:F50)/K45/12,0))</f>
        <v>48994</v>
      </c>
      <c r="M45" s="385"/>
      <c r="N45" s="751">
        <v>1550</v>
      </c>
      <c r="O45" s="751">
        <v>1550</v>
      </c>
      <c r="P45" s="385"/>
      <c r="Q45" s="698">
        <f>ROUND((E45*'Rates in Detail'!E43)+(E46*'Rates in Detail'!E44)+(E47*'Rates in Detail'!E45)+(E48*'Rates in Detail'!E46)+(E49*'Rates in Detail'!E47)+(E50*'Rates in Detail'!E48),0)</f>
        <v>266582</v>
      </c>
      <c r="R45" s="698">
        <f>'Rate Spread Proposal'!S15</f>
        <v>360784.67333999998</v>
      </c>
      <c r="S45" s="702"/>
      <c r="T45" s="56" t="s">
        <v>26</v>
      </c>
    </row>
    <row r="46" spans="1:29" x14ac:dyDescent="0.2">
      <c r="A46" s="86">
        <f t="shared" si="0"/>
        <v>38</v>
      </c>
      <c r="C46" s="1490" t="s">
        <v>5</v>
      </c>
      <c r="D46" s="86" t="s">
        <v>310</v>
      </c>
      <c r="E46" s="696">
        <v>807846</v>
      </c>
      <c r="F46" s="696">
        <v>792463</v>
      </c>
      <c r="G46" s="385"/>
      <c r="H46" s="690"/>
      <c r="I46" s="385"/>
      <c r="J46" s="385"/>
      <c r="K46" s="690"/>
      <c r="L46" s="385"/>
      <c r="M46" s="385"/>
      <c r="N46" s="751"/>
      <c r="O46" s="690"/>
      <c r="P46" s="385"/>
      <c r="Q46" s="659"/>
      <c r="R46" s="702"/>
      <c r="S46" s="659"/>
    </row>
    <row r="47" spans="1:29" x14ac:dyDescent="0.2">
      <c r="A47" s="86">
        <f t="shared" si="0"/>
        <v>39</v>
      </c>
      <c r="C47" s="1490" t="s">
        <v>6</v>
      </c>
      <c r="D47" s="86" t="s">
        <v>311</v>
      </c>
      <c r="E47" s="696">
        <v>583779</v>
      </c>
      <c r="F47" s="696">
        <v>542281</v>
      </c>
      <c r="G47" s="385"/>
      <c r="H47" s="690"/>
      <c r="I47" s="385"/>
      <c r="J47" s="385"/>
      <c r="K47" s="690"/>
      <c r="L47" s="385"/>
      <c r="M47" s="385"/>
      <c r="N47" s="751"/>
      <c r="O47" s="690"/>
      <c r="P47" s="385"/>
      <c r="Q47" s="659"/>
      <c r="R47" s="702"/>
      <c r="S47" s="659"/>
    </row>
    <row r="48" spans="1:29" x14ac:dyDescent="0.2">
      <c r="A48" s="86">
        <f t="shared" si="0"/>
        <v>40</v>
      </c>
      <c r="C48" s="1490" t="s">
        <v>7</v>
      </c>
      <c r="D48" s="86" t="s">
        <v>312</v>
      </c>
      <c r="E48" s="696">
        <v>598933</v>
      </c>
      <c r="F48" s="696">
        <v>537117</v>
      </c>
      <c r="G48" s="385"/>
      <c r="H48" s="690"/>
      <c r="I48" s="385"/>
      <c r="J48" s="385"/>
      <c r="K48" s="690"/>
      <c r="L48" s="385"/>
      <c r="M48" s="385"/>
      <c r="N48" s="751"/>
      <c r="O48" s="690"/>
      <c r="P48" s="385"/>
      <c r="Q48" s="659"/>
      <c r="R48" s="702"/>
      <c r="S48" s="659"/>
    </row>
    <row r="49" spans="1:20" x14ac:dyDescent="0.2">
      <c r="A49" s="86">
        <f t="shared" si="0"/>
        <v>41</v>
      </c>
      <c r="C49" s="1490" t="s">
        <v>8</v>
      </c>
      <c r="D49" s="86" t="s">
        <v>313</v>
      </c>
      <c r="E49" s="696">
        <v>0</v>
      </c>
      <c r="F49" s="696">
        <v>0</v>
      </c>
      <c r="G49" s="385"/>
      <c r="H49" s="690"/>
      <c r="I49" s="385"/>
      <c r="J49" s="385"/>
      <c r="K49" s="690"/>
      <c r="L49" s="385"/>
      <c r="M49" s="385"/>
      <c r="N49" s="751"/>
      <c r="O49" s="690"/>
      <c r="P49" s="385"/>
      <c r="Q49" s="659"/>
      <c r="R49" s="702"/>
      <c r="S49" s="659"/>
    </row>
    <row r="50" spans="1:20" x14ac:dyDescent="0.2">
      <c r="A50" s="86">
        <f t="shared" si="0"/>
        <v>42</v>
      </c>
      <c r="B50" s="161"/>
      <c r="C50" s="1491" t="s">
        <v>9</v>
      </c>
      <c r="D50" s="161" t="s">
        <v>314</v>
      </c>
      <c r="E50" s="691">
        <v>0</v>
      </c>
      <c r="F50" s="691">
        <v>0</v>
      </c>
      <c r="G50" s="385"/>
      <c r="H50" s="692"/>
      <c r="I50" s="397"/>
      <c r="J50" s="385"/>
      <c r="K50" s="692"/>
      <c r="L50" s="397"/>
      <c r="M50" s="385"/>
      <c r="N50" s="746"/>
      <c r="O50" s="692"/>
      <c r="P50" s="385"/>
      <c r="Q50" s="658"/>
      <c r="R50" s="699"/>
      <c r="S50" s="659"/>
    </row>
    <row r="51" spans="1:20" x14ac:dyDescent="0.2">
      <c r="A51" s="86">
        <f t="shared" si="0"/>
        <v>43</v>
      </c>
      <c r="B51" s="86" t="s">
        <v>298</v>
      </c>
      <c r="C51" s="1490" t="s">
        <v>4</v>
      </c>
      <c r="D51" s="86" t="s">
        <v>315</v>
      </c>
      <c r="E51" s="696">
        <v>924395</v>
      </c>
      <c r="F51" s="696">
        <v>901597</v>
      </c>
      <c r="G51" s="385"/>
      <c r="H51" s="690">
        <f>I98</f>
        <v>8.9166666666666661</v>
      </c>
      <c r="I51" s="697">
        <f>IF(H51&lt;&gt;0,ROUND(SUM(E51:E56)/H51/12,0))</f>
        <v>63374</v>
      </c>
      <c r="J51" s="385"/>
      <c r="K51" s="690">
        <v>9</v>
      </c>
      <c r="L51" s="697">
        <f>IF(K51&lt;&gt;0,ROUND(SUM(F51:F56)/K51/12,0))</f>
        <v>63120</v>
      </c>
      <c r="M51" s="385"/>
      <c r="N51" s="751">
        <v>1550</v>
      </c>
      <c r="O51" s="751">
        <v>1550</v>
      </c>
      <c r="P51" s="385"/>
      <c r="Q51" s="698">
        <f>ROUND((E51*'Rates in Detail'!E49)+(E52*'Rates in Detail'!E50)+(E53*'Rates in Detail'!E51)+(E54*'Rates in Detail'!E52)+(E55*'Rates in Detail'!E53)+(E56*'Rates in Detail'!E54),0)</f>
        <v>607101</v>
      </c>
      <c r="R51" s="698">
        <f>'Rate Spread Proposal'!T15</f>
        <v>823615.79209999996</v>
      </c>
      <c r="S51" s="702"/>
      <c r="T51" s="56" t="s">
        <v>145</v>
      </c>
    </row>
    <row r="52" spans="1:20" x14ac:dyDescent="0.2">
      <c r="A52" s="86">
        <f t="shared" si="0"/>
        <v>44</v>
      </c>
      <c r="C52" s="1490" t="s">
        <v>5</v>
      </c>
      <c r="D52" s="86" t="s">
        <v>316</v>
      </c>
      <c r="E52" s="696">
        <v>1036796</v>
      </c>
      <c r="F52" s="696">
        <v>1041722</v>
      </c>
      <c r="G52" s="385"/>
      <c r="H52" s="690"/>
      <c r="I52" s="385"/>
      <c r="J52" s="385"/>
      <c r="K52" s="690"/>
      <c r="L52" s="385"/>
      <c r="M52" s="385"/>
      <c r="N52" s="751"/>
      <c r="O52" s="690"/>
      <c r="P52" s="385"/>
      <c r="Q52" s="659"/>
      <c r="R52" s="702"/>
      <c r="S52" s="659"/>
    </row>
    <row r="53" spans="1:20" x14ac:dyDescent="0.2">
      <c r="A53" s="86">
        <f t="shared" si="0"/>
        <v>45</v>
      </c>
      <c r="C53" s="1490" t="s">
        <v>6</v>
      </c>
      <c r="D53" s="86" t="s">
        <v>317</v>
      </c>
      <c r="E53" s="696">
        <v>937215</v>
      </c>
      <c r="F53" s="696">
        <v>957215</v>
      </c>
      <c r="G53" s="385"/>
      <c r="H53" s="690"/>
      <c r="I53" s="385"/>
      <c r="J53" s="385"/>
      <c r="K53" s="690"/>
      <c r="L53" s="385"/>
      <c r="M53" s="385"/>
      <c r="N53" s="751"/>
      <c r="O53" s="690"/>
      <c r="P53" s="385"/>
      <c r="Q53" s="659"/>
      <c r="R53" s="702"/>
      <c r="S53" s="659"/>
    </row>
    <row r="54" spans="1:20" x14ac:dyDescent="0.2">
      <c r="A54" s="86">
        <f t="shared" si="0"/>
        <v>46</v>
      </c>
      <c r="C54" s="1490" t="s">
        <v>7</v>
      </c>
      <c r="D54" s="86" t="s">
        <v>318</v>
      </c>
      <c r="E54" s="696">
        <v>2390318</v>
      </c>
      <c r="F54" s="696">
        <v>2490044</v>
      </c>
      <c r="G54" s="385"/>
      <c r="H54" s="690"/>
      <c r="I54" s="385"/>
      <c r="J54" s="385"/>
      <c r="K54" s="690"/>
      <c r="L54" s="385"/>
      <c r="M54" s="385"/>
      <c r="N54" s="751"/>
      <c r="O54" s="690"/>
      <c r="P54" s="385"/>
      <c r="Q54" s="659"/>
      <c r="R54" s="702"/>
      <c r="S54" s="659"/>
    </row>
    <row r="55" spans="1:20" x14ac:dyDescent="0.2">
      <c r="A55" s="86">
        <f t="shared" si="0"/>
        <v>47</v>
      </c>
      <c r="C55" s="1490" t="s">
        <v>8</v>
      </c>
      <c r="D55" s="86" t="s">
        <v>319</v>
      </c>
      <c r="E55" s="696">
        <v>1492257</v>
      </c>
      <c r="F55" s="696">
        <v>1426372</v>
      </c>
      <c r="G55" s="385"/>
      <c r="H55" s="690"/>
      <c r="I55" s="385"/>
      <c r="J55" s="385"/>
      <c r="K55" s="690"/>
      <c r="L55" s="385"/>
      <c r="M55" s="385"/>
      <c r="N55" s="751"/>
      <c r="O55" s="690"/>
      <c r="P55" s="385"/>
      <c r="Q55" s="659"/>
      <c r="R55" s="702"/>
      <c r="S55" s="659"/>
    </row>
    <row r="56" spans="1:20" x14ac:dyDescent="0.2">
      <c r="A56" s="86">
        <f t="shared" si="0"/>
        <v>48</v>
      </c>
      <c r="B56" s="161"/>
      <c r="C56" s="1491" t="s">
        <v>9</v>
      </c>
      <c r="D56" s="161" t="s">
        <v>320</v>
      </c>
      <c r="E56" s="691">
        <v>0</v>
      </c>
      <c r="F56" s="691">
        <v>0</v>
      </c>
      <c r="G56" s="385"/>
      <c r="H56" s="692"/>
      <c r="I56" s="397"/>
      <c r="J56" s="385"/>
      <c r="K56" s="692"/>
      <c r="L56" s="397"/>
      <c r="M56" s="385"/>
      <c r="N56" s="746"/>
      <c r="O56" s="692"/>
      <c r="P56" s="385"/>
      <c r="Q56" s="658"/>
      <c r="R56" s="699"/>
      <c r="S56" s="659"/>
    </row>
    <row r="57" spans="1:20" x14ac:dyDescent="0.2">
      <c r="A57" s="86">
        <f t="shared" si="0"/>
        <v>49</v>
      </c>
      <c r="B57" s="86" t="s">
        <v>288</v>
      </c>
      <c r="C57" s="1490" t="s">
        <v>4</v>
      </c>
      <c r="D57" s="86" t="s">
        <v>327</v>
      </c>
      <c r="E57" s="696">
        <v>240000</v>
      </c>
      <c r="F57" s="696">
        <v>239999</v>
      </c>
      <c r="G57" s="385"/>
      <c r="H57" s="690">
        <f>I99</f>
        <v>2</v>
      </c>
      <c r="I57" s="697">
        <f>IF(H57&lt;&gt;0,ROUND(SUM(E57:E62)/H57/12,0),0)</f>
        <v>39322</v>
      </c>
      <c r="J57" s="385"/>
      <c r="K57" s="690">
        <v>2</v>
      </c>
      <c r="L57" s="697">
        <f>IF(K57&lt;&gt;0,ROUND(SUM(F57:F62)/K57/12,0))</f>
        <v>39641</v>
      </c>
      <c r="M57" s="385"/>
      <c r="N57" s="751">
        <v>1300</v>
      </c>
      <c r="O57" s="751">
        <v>1300</v>
      </c>
      <c r="P57" s="385"/>
      <c r="Q57" s="698">
        <f>ROUND((E57*'Rates in Detail'!E55)+(E58*'Rates in Detail'!E56)+(E59*'Rates in Detail'!E57)+(E60*'Rates in Detail'!E58)+(E61*'Rates in Detail'!E59)+(E62*'Rates in Detail'!E60),0)</f>
        <v>111934</v>
      </c>
      <c r="R57" s="698">
        <f>'Rate Spread Proposal'!U15</f>
        <v>160512.61187958997</v>
      </c>
      <c r="S57" s="702"/>
      <c r="T57" s="56" t="s">
        <v>26</v>
      </c>
    </row>
    <row r="58" spans="1:20" x14ac:dyDescent="0.2">
      <c r="A58" s="86">
        <f t="shared" si="0"/>
        <v>50</v>
      </c>
      <c r="C58" s="1490" t="s">
        <v>5</v>
      </c>
      <c r="D58" s="86" t="s">
        <v>328</v>
      </c>
      <c r="E58" s="696">
        <v>467511</v>
      </c>
      <c r="F58" s="696">
        <v>454151</v>
      </c>
      <c r="G58" s="385"/>
      <c r="H58" s="690"/>
      <c r="I58" s="385"/>
      <c r="J58" s="385"/>
      <c r="K58" s="690"/>
      <c r="L58" s="385"/>
      <c r="M58" s="385"/>
      <c r="N58" s="751"/>
      <c r="O58" s="690"/>
      <c r="P58" s="385"/>
      <c r="Q58" s="659"/>
      <c r="R58" s="702"/>
      <c r="S58" s="659"/>
    </row>
    <row r="59" spans="1:20" x14ac:dyDescent="0.2">
      <c r="A59" s="86">
        <f t="shared" si="0"/>
        <v>51</v>
      </c>
      <c r="C59" s="1490" t="s">
        <v>6</v>
      </c>
      <c r="D59" s="86" t="s">
        <v>329</v>
      </c>
      <c r="E59" s="696">
        <v>218004</v>
      </c>
      <c r="F59" s="696">
        <v>230285</v>
      </c>
      <c r="G59" s="385"/>
      <c r="H59" s="690"/>
      <c r="I59" s="385"/>
      <c r="J59" s="385"/>
      <c r="K59" s="690"/>
      <c r="L59" s="385"/>
      <c r="M59" s="385"/>
      <c r="N59" s="751"/>
      <c r="O59" s="690"/>
      <c r="P59" s="385"/>
      <c r="Q59" s="659"/>
      <c r="R59" s="702"/>
      <c r="S59" s="659"/>
      <c r="T59" s="130"/>
    </row>
    <row r="60" spans="1:20" x14ac:dyDescent="0.2">
      <c r="A60" s="86">
        <f t="shared" si="0"/>
        <v>52</v>
      </c>
      <c r="C60" s="1490" t="s">
        <v>7</v>
      </c>
      <c r="D60" s="86" t="s">
        <v>330</v>
      </c>
      <c r="E60" s="696">
        <v>18208</v>
      </c>
      <c r="F60" s="696">
        <v>26942</v>
      </c>
      <c r="G60" s="385"/>
      <c r="H60" s="690"/>
      <c r="I60" s="385"/>
      <c r="J60" s="385"/>
      <c r="K60" s="690"/>
      <c r="L60" s="385"/>
      <c r="M60" s="385"/>
      <c r="N60" s="751"/>
      <c r="O60" s="690"/>
      <c r="P60" s="385"/>
      <c r="Q60" s="659"/>
      <c r="R60" s="702"/>
      <c r="S60" s="659"/>
    </row>
    <row r="61" spans="1:20" x14ac:dyDescent="0.2">
      <c r="A61" s="86">
        <f t="shared" si="0"/>
        <v>53</v>
      </c>
      <c r="C61" s="1490" t="s">
        <v>8</v>
      </c>
      <c r="D61" s="86" t="s">
        <v>331</v>
      </c>
      <c r="E61" s="696">
        <v>0</v>
      </c>
      <c r="F61" s="696">
        <v>0</v>
      </c>
      <c r="G61" s="385"/>
      <c r="H61" s="690"/>
      <c r="I61" s="385"/>
      <c r="J61" s="385"/>
      <c r="K61" s="690"/>
      <c r="L61" s="385"/>
      <c r="M61" s="385"/>
      <c r="N61" s="751"/>
      <c r="O61" s="690"/>
      <c r="P61" s="385"/>
      <c r="Q61" s="659"/>
      <c r="R61" s="702"/>
      <c r="S61" s="659"/>
    </row>
    <row r="62" spans="1:20" x14ac:dyDescent="0.2">
      <c r="A62" s="86">
        <f t="shared" si="0"/>
        <v>54</v>
      </c>
      <c r="B62" s="161"/>
      <c r="C62" s="1491" t="s">
        <v>9</v>
      </c>
      <c r="D62" s="161" t="s">
        <v>332</v>
      </c>
      <c r="E62" s="691">
        <v>0</v>
      </c>
      <c r="F62" s="691">
        <v>0</v>
      </c>
      <c r="G62" s="385"/>
      <c r="H62" s="692"/>
      <c r="I62" s="397"/>
      <c r="J62" s="385"/>
      <c r="K62" s="692"/>
      <c r="L62" s="397"/>
      <c r="M62" s="385"/>
      <c r="N62" s="746"/>
      <c r="O62" s="692"/>
      <c r="P62" s="385"/>
      <c r="Q62" s="658"/>
      <c r="R62" s="699"/>
      <c r="S62" s="659"/>
    </row>
    <row r="63" spans="1:20" x14ac:dyDescent="0.2">
      <c r="A63" s="86">
        <f t="shared" si="0"/>
        <v>55</v>
      </c>
      <c r="B63" s="86" t="s">
        <v>300</v>
      </c>
      <c r="C63" s="1490" t="s">
        <v>4</v>
      </c>
      <c r="D63" s="86" t="s">
        <v>321</v>
      </c>
      <c r="E63" s="696">
        <v>156740</v>
      </c>
      <c r="F63" s="696">
        <v>160966</v>
      </c>
      <c r="G63" s="385"/>
      <c r="H63" s="690">
        <f>I100</f>
        <v>1.9166666666666701</v>
      </c>
      <c r="I63" s="697">
        <f>IF(H63&lt;&gt;0,ROUND(SUM(E63:E68)/H63/12,0))</f>
        <v>13758</v>
      </c>
      <c r="J63" s="385"/>
      <c r="K63" s="721">
        <v>3</v>
      </c>
      <c r="L63" s="697">
        <f>IF(K63&lt;&gt;0,ROUND(SUM(F63:F68)/K63/12,0))</f>
        <v>8520</v>
      </c>
      <c r="M63" s="385"/>
      <c r="N63" s="751">
        <v>1300</v>
      </c>
      <c r="O63" s="751">
        <v>1300</v>
      </c>
      <c r="P63" s="385"/>
      <c r="Q63" s="698">
        <f>ROUND((E63*'Rates in Detail'!E61)+(E64*'Rates in Detail'!E62)+(E65*'Rates in Detail'!E63)+(E66*'Rates in Detail'!E64)+(E67*'Rates in Detail'!E65)+(E68*'Rates in Detail'!E66),0)</f>
        <v>43706</v>
      </c>
      <c r="R63" s="698">
        <f>'Rate Spread Proposal'!V15</f>
        <v>81130.03459599179</v>
      </c>
      <c r="S63" s="702"/>
      <c r="T63" s="56" t="s">
        <v>145</v>
      </c>
    </row>
    <row r="64" spans="1:20" x14ac:dyDescent="0.2">
      <c r="A64" s="86">
        <f t="shared" si="0"/>
        <v>56</v>
      </c>
      <c r="C64" s="1490" t="s">
        <v>5</v>
      </c>
      <c r="D64" s="86" t="s">
        <v>326</v>
      </c>
      <c r="E64" s="696">
        <v>159690</v>
      </c>
      <c r="F64" s="696">
        <v>145741</v>
      </c>
      <c r="G64" s="385"/>
      <c r="H64" s="690"/>
      <c r="I64" s="385"/>
      <c r="J64" s="385"/>
      <c r="K64" s="690"/>
      <c r="L64" s="385"/>
      <c r="M64" s="385"/>
      <c r="N64" s="751"/>
      <c r="O64" s="690"/>
      <c r="P64" s="385"/>
      <c r="Q64" s="659"/>
      <c r="R64" s="702"/>
      <c r="S64" s="659"/>
    </row>
    <row r="65" spans="1:21" x14ac:dyDescent="0.2">
      <c r="A65" s="86">
        <f t="shared" si="0"/>
        <v>57</v>
      </c>
      <c r="C65" s="1490" t="s">
        <v>6</v>
      </c>
      <c r="D65" s="86" t="s">
        <v>322</v>
      </c>
      <c r="E65" s="696">
        <v>0</v>
      </c>
      <c r="F65" s="696">
        <v>0</v>
      </c>
      <c r="G65" s="385"/>
      <c r="H65" s="690"/>
      <c r="I65" s="385"/>
      <c r="J65" s="385"/>
      <c r="K65" s="690"/>
      <c r="L65" s="385"/>
      <c r="M65" s="385"/>
      <c r="N65" s="751"/>
      <c r="O65" s="690"/>
      <c r="P65" s="385"/>
      <c r="Q65" s="659"/>
      <c r="R65" s="702"/>
      <c r="S65" s="659"/>
    </row>
    <row r="66" spans="1:21" x14ac:dyDescent="0.2">
      <c r="A66" s="86">
        <f t="shared" si="0"/>
        <v>58</v>
      </c>
      <c r="C66" s="1490" t="s">
        <v>7</v>
      </c>
      <c r="D66" s="86" t="s">
        <v>323</v>
      </c>
      <c r="E66" s="696">
        <v>0</v>
      </c>
      <c r="F66" s="696">
        <v>0</v>
      </c>
      <c r="G66" s="385"/>
      <c r="H66" s="690"/>
      <c r="I66" s="385"/>
      <c r="J66" s="385"/>
      <c r="K66" s="690"/>
      <c r="L66" s="385"/>
      <c r="M66" s="385"/>
      <c r="N66" s="751"/>
      <c r="O66" s="690"/>
      <c r="P66" s="385"/>
      <c r="Q66" s="659"/>
      <c r="R66" s="702"/>
      <c r="S66" s="659"/>
    </row>
    <row r="67" spans="1:21" x14ac:dyDescent="0.2">
      <c r="A67" s="86">
        <f t="shared" si="0"/>
        <v>59</v>
      </c>
      <c r="C67" s="1490" t="s">
        <v>8</v>
      </c>
      <c r="D67" s="86" t="s">
        <v>324</v>
      </c>
      <c r="E67" s="696">
        <v>0</v>
      </c>
      <c r="F67" s="696">
        <v>0</v>
      </c>
      <c r="G67" s="385"/>
      <c r="H67" s="690"/>
      <c r="I67" s="385"/>
      <c r="J67" s="385"/>
      <c r="K67" s="690"/>
      <c r="L67" s="385"/>
      <c r="M67" s="385"/>
      <c r="N67" s="751"/>
      <c r="O67" s="690"/>
      <c r="P67" s="385"/>
      <c r="Q67" s="659"/>
      <c r="R67" s="702"/>
      <c r="S67" s="659"/>
    </row>
    <row r="68" spans="1:21" x14ac:dyDescent="0.2">
      <c r="A68" s="86">
        <f t="shared" si="0"/>
        <v>60</v>
      </c>
      <c r="B68" s="161"/>
      <c r="C68" s="1491" t="s">
        <v>9</v>
      </c>
      <c r="D68" s="161" t="s">
        <v>325</v>
      </c>
      <c r="E68" s="691">
        <v>0</v>
      </c>
      <c r="F68" s="691">
        <v>0</v>
      </c>
      <c r="G68" s="385"/>
      <c r="H68" s="692"/>
      <c r="I68" s="397"/>
      <c r="J68" s="385"/>
      <c r="K68" s="692"/>
      <c r="L68" s="397"/>
      <c r="M68" s="385"/>
      <c r="N68" s="746"/>
      <c r="O68" s="692"/>
      <c r="P68" s="385"/>
      <c r="Q68" s="658"/>
      <c r="R68" s="699"/>
      <c r="S68" s="659"/>
    </row>
    <row r="69" spans="1:21" x14ac:dyDescent="0.2">
      <c r="A69" s="86">
        <f t="shared" si="0"/>
        <v>61</v>
      </c>
      <c r="B69" s="86" t="s">
        <v>333</v>
      </c>
      <c r="C69" s="1490" t="s">
        <v>4</v>
      </c>
      <c r="D69" s="86" t="s">
        <v>334</v>
      </c>
      <c r="E69" s="696">
        <v>0</v>
      </c>
      <c r="F69" s="696">
        <v>0</v>
      </c>
      <c r="G69" s="385"/>
      <c r="H69" s="690">
        <v>0</v>
      </c>
      <c r="I69" s="697">
        <f>IF(H69&lt;&gt;0,ROUND(SUM(E69:E74)/H69/12,0),0)</f>
        <v>0</v>
      </c>
      <c r="J69" s="385"/>
      <c r="K69" s="690">
        <v>0</v>
      </c>
      <c r="L69" s="697">
        <f>IF(K69&lt;&gt;0,ROUND(SUM(F69:F74)/K69/12,0),0)</f>
        <v>0</v>
      </c>
      <c r="M69" s="385"/>
      <c r="N69" s="917">
        <v>1550</v>
      </c>
      <c r="O69" s="917">
        <v>1550</v>
      </c>
      <c r="P69" s="385"/>
      <c r="Q69" s="698">
        <f>ROUND((E69*'Rates in Detail'!E67)+(E70*'Rates in Detail'!E68)+(E71*'Rates in Detail'!E69)+(E72*'Rates in Detail'!E70)+(E73*'Rates in Detail'!E71)+(E74*'Rates in Detail'!E72),0)</f>
        <v>0</v>
      </c>
      <c r="R69" s="698">
        <f>'Rate Spread Proposal'!W15</f>
        <v>0</v>
      </c>
      <c r="S69" s="702"/>
      <c r="T69" s="56" t="s">
        <v>26</v>
      </c>
    </row>
    <row r="70" spans="1:21" x14ac:dyDescent="0.2">
      <c r="A70" s="86">
        <f t="shared" si="0"/>
        <v>62</v>
      </c>
      <c r="C70" s="1490" t="s">
        <v>5</v>
      </c>
      <c r="D70" s="86" t="s">
        <v>339</v>
      </c>
      <c r="E70" s="696">
        <v>0</v>
      </c>
      <c r="F70" s="696">
        <v>0</v>
      </c>
      <c r="G70" s="385"/>
      <c r="H70" s="690"/>
      <c r="I70" s="385"/>
      <c r="J70" s="385"/>
      <c r="K70" s="690"/>
      <c r="L70" s="385"/>
      <c r="M70" s="385"/>
      <c r="N70" s="751"/>
      <c r="O70" s="690"/>
      <c r="P70" s="385"/>
      <c r="Q70" s="659"/>
      <c r="R70" s="702"/>
      <c r="S70" s="659"/>
    </row>
    <row r="71" spans="1:21" x14ac:dyDescent="0.2">
      <c r="A71" s="86">
        <f t="shared" si="0"/>
        <v>63</v>
      </c>
      <c r="C71" s="1490" t="s">
        <v>6</v>
      </c>
      <c r="D71" s="86" t="s">
        <v>335</v>
      </c>
      <c r="E71" s="696">
        <v>0</v>
      </c>
      <c r="F71" s="696">
        <v>0</v>
      </c>
      <c r="G71" s="385"/>
      <c r="H71" s="690"/>
      <c r="I71" s="385"/>
      <c r="J71" s="385"/>
      <c r="K71" s="690"/>
      <c r="L71" s="385"/>
      <c r="M71" s="385"/>
      <c r="N71" s="751"/>
      <c r="O71" s="690"/>
      <c r="P71" s="385"/>
      <c r="Q71" s="659"/>
      <c r="R71" s="702"/>
      <c r="S71" s="659"/>
      <c r="T71" s="130"/>
    </row>
    <row r="72" spans="1:21" x14ac:dyDescent="0.2">
      <c r="A72" s="86">
        <f t="shared" si="0"/>
        <v>64</v>
      </c>
      <c r="C72" s="1490" t="s">
        <v>7</v>
      </c>
      <c r="D72" s="86" t="s">
        <v>336</v>
      </c>
      <c r="E72" s="696">
        <v>0</v>
      </c>
      <c r="F72" s="696">
        <v>0</v>
      </c>
      <c r="G72" s="385"/>
      <c r="H72" s="690"/>
      <c r="I72" s="385"/>
      <c r="J72" s="385"/>
      <c r="K72" s="690"/>
      <c r="L72" s="385"/>
      <c r="M72" s="385"/>
      <c r="N72" s="751"/>
      <c r="O72" s="690"/>
      <c r="P72" s="385"/>
      <c r="Q72" s="659"/>
      <c r="R72" s="702"/>
      <c r="S72" s="659"/>
    </row>
    <row r="73" spans="1:21" x14ac:dyDescent="0.2">
      <c r="A73" s="86">
        <f t="shared" si="0"/>
        <v>65</v>
      </c>
      <c r="C73" s="1490" t="s">
        <v>8</v>
      </c>
      <c r="D73" s="86" t="s">
        <v>337</v>
      </c>
      <c r="E73" s="696">
        <v>0</v>
      </c>
      <c r="F73" s="696">
        <v>0</v>
      </c>
      <c r="G73" s="385"/>
      <c r="H73" s="690"/>
      <c r="I73" s="385"/>
      <c r="J73" s="385"/>
      <c r="K73" s="690"/>
      <c r="L73" s="385"/>
      <c r="M73" s="385"/>
      <c r="N73" s="751"/>
      <c r="O73" s="690"/>
      <c r="P73" s="385"/>
      <c r="Q73" s="659"/>
      <c r="R73" s="702"/>
      <c r="S73" s="659"/>
    </row>
    <row r="74" spans="1:21" x14ac:dyDescent="0.2">
      <c r="A74" s="86">
        <f t="shared" si="0"/>
        <v>66</v>
      </c>
      <c r="B74" s="161"/>
      <c r="C74" s="1491" t="s">
        <v>9</v>
      </c>
      <c r="D74" s="161" t="s">
        <v>338</v>
      </c>
      <c r="E74" s="691">
        <v>0</v>
      </c>
      <c r="F74" s="691">
        <v>0</v>
      </c>
      <c r="G74" s="385"/>
      <c r="H74" s="692"/>
      <c r="I74" s="397"/>
      <c r="J74" s="385"/>
      <c r="K74" s="692"/>
      <c r="L74" s="397"/>
      <c r="M74" s="385"/>
      <c r="N74" s="746"/>
      <c r="O74" s="692"/>
      <c r="P74" s="385"/>
      <c r="Q74" s="658"/>
      <c r="R74" s="699"/>
      <c r="S74" s="659"/>
    </row>
    <row r="75" spans="1:21" x14ac:dyDescent="0.2">
      <c r="A75" s="86">
        <f t="shared" ref="A75:A83" si="4">+A74+1</f>
        <v>67</v>
      </c>
      <c r="B75" s="86" t="s">
        <v>340</v>
      </c>
      <c r="C75" s="1490" t="s">
        <v>4</v>
      </c>
      <c r="D75" s="86" t="s">
        <v>341</v>
      </c>
      <c r="E75" s="696">
        <v>844078</v>
      </c>
      <c r="F75" s="696">
        <v>861932</v>
      </c>
      <c r="G75" s="385"/>
      <c r="H75" s="690">
        <f>I102</f>
        <v>7</v>
      </c>
      <c r="I75" s="697">
        <f>IF(H75&lt;&gt;0,ROUND(SUM(E75:E80)/H75/12,0),0)</f>
        <v>95634</v>
      </c>
      <c r="J75" s="385"/>
      <c r="K75" s="721">
        <v>10</v>
      </c>
      <c r="L75" s="697">
        <f>IF(K75&lt;&gt;0,ROUND(SUM(F75:F80)/K75/12,0),0)</f>
        <v>63670</v>
      </c>
      <c r="M75" s="385"/>
      <c r="N75" s="917">
        <v>1550</v>
      </c>
      <c r="O75" s="917">
        <v>1550</v>
      </c>
      <c r="P75" s="385"/>
      <c r="Q75" s="698">
        <f>ROUND((E75*'Rates in Detail'!E73)+(E76*'Rates in Detail'!E74)+(E77*'Rates in Detail'!E75)+(E78*'Rates in Detail'!E76)+(E79*'Rates in Detail'!E77)+(E80*'Rates in Detail'!E78),0)</f>
        <v>695280</v>
      </c>
      <c r="R75" s="698">
        <f>'Rate Spread Proposal'!X15</f>
        <v>825480.07319999998</v>
      </c>
      <c r="S75" s="702"/>
      <c r="T75" s="56" t="s">
        <v>145</v>
      </c>
    </row>
    <row r="76" spans="1:21" x14ac:dyDescent="0.2">
      <c r="A76" s="86">
        <f t="shared" si="4"/>
        <v>68</v>
      </c>
      <c r="C76" s="1490" t="s">
        <v>5</v>
      </c>
      <c r="D76" s="86" t="s">
        <v>342</v>
      </c>
      <c r="E76" s="696">
        <v>1445175</v>
      </c>
      <c r="F76" s="696">
        <v>1453508</v>
      </c>
      <c r="G76" s="385"/>
      <c r="H76" s="690"/>
      <c r="I76" s="385"/>
      <c r="J76" s="385"/>
      <c r="K76" s="690"/>
      <c r="L76" s="385"/>
      <c r="M76" s="385"/>
      <c r="N76" s="751"/>
      <c r="O76" s="690"/>
      <c r="P76" s="385"/>
      <c r="Q76" s="659"/>
      <c r="R76" s="702"/>
      <c r="S76" s="659"/>
    </row>
    <row r="77" spans="1:21" x14ac:dyDescent="0.2">
      <c r="A77" s="86">
        <f t="shared" si="4"/>
        <v>69</v>
      </c>
      <c r="C77" s="1490" t="s">
        <v>6</v>
      </c>
      <c r="D77" s="86" t="s">
        <v>343</v>
      </c>
      <c r="E77" s="696">
        <v>1034978</v>
      </c>
      <c r="F77" s="696">
        <v>976710</v>
      </c>
      <c r="G77" s="385"/>
      <c r="H77" s="690"/>
      <c r="I77" s="385"/>
      <c r="J77" s="385"/>
      <c r="K77" s="690"/>
      <c r="L77" s="385"/>
      <c r="M77" s="385"/>
      <c r="N77" s="751"/>
      <c r="O77" s="690"/>
      <c r="P77" s="385"/>
      <c r="Q77" s="659"/>
      <c r="R77" s="702"/>
      <c r="S77" s="659"/>
    </row>
    <row r="78" spans="1:21" x14ac:dyDescent="0.2">
      <c r="A78" s="86">
        <f t="shared" si="4"/>
        <v>70</v>
      </c>
      <c r="C78" s="1490" t="s">
        <v>7</v>
      </c>
      <c r="D78" s="86" t="s">
        <v>344</v>
      </c>
      <c r="E78" s="696">
        <v>3359916</v>
      </c>
      <c r="F78" s="696">
        <v>3078834</v>
      </c>
      <c r="G78" s="385"/>
      <c r="H78" s="690"/>
      <c r="I78" s="385"/>
      <c r="J78" s="385"/>
      <c r="K78" s="690"/>
      <c r="L78" s="385"/>
      <c r="M78" s="385"/>
      <c r="N78" s="751"/>
      <c r="O78" s="690"/>
      <c r="P78" s="385"/>
      <c r="Q78" s="659"/>
      <c r="R78" s="702"/>
      <c r="S78" s="659"/>
    </row>
    <row r="79" spans="1:21" x14ac:dyDescent="0.2">
      <c r="A79" s="86">
        <f t="shared" si="4"/>
        <v>71</v>
      </c>
      <c r="C79" s="1490" t="s">
        <v>8</v>
      </c>
      <c r="D79" s="86" t="s">
        <v>345</v>
      </c>
      <c r="E79" s="696">
        <v>1349120</v>
      </c>
      <c r="F79" s="696">
        <v>1269411</v>
      </c>
      <c r="G79" s="385"/>
      <c r="H79" s="690"/>
      <c r="I79" s="385"/>
      <c r="J79" s="385"/>
      <c r="K79" s="690"/>
      <c r="L79" s="385"/>
      <c r="M79" s="385"/>
      <c r="N79" s="751"/>
      <c r="O79" s="690"/>
      <c r="P79" s="385"/>
      <c r="Q79" s="659"/>
      <c r="R79" s="702"/>
      <c r="S79" s="659"/>
      <c r="U79" s="55"/>
    </row>
    <row r="80" spans="1:21" x14ac:dyDescent="0.2">
      <c r="A80" s="86">
        <f t="shared" si="4"/>
        <v>72</v>
      </c>
      <c r="B80" s="161"/>
      <c r="C80" s="1491" t="s">
        <v>9</v>
      </c>
      <c r="D80" s="161" t="s">
        <v>346</v>
      </c>
      <c r="E80" s="691">
        <v>0</v>
      </c>
      <c r="F80" s="691">
        <v>0</v>
      </c>
      <c r="G80" s="385"/>
      <c r="H80" s="692"/>
      <c r="I80" s="397"/>
      <c r="J80" s="385"/>
      <c r="K80" s="692"/>
      <c r="L80" s="397"/>
      <c r="M80" s="385"/>
      <c r="N80" s="746"/>
      <c r="O80" s="692"/>
      <c r="P80" s="385"/>
      <c r="Q80" s="658"/>
      <c r="R80" s="699"/>
      <c r="S80" s="659"/>
    </row>
    <row r="81" spans="1:21" x14ac:dyDescent="0.2">
      <c r="A81" s="86">
        <f t="shared" si="4"/>
        <v>73</v>
      </c>
      <c r="B81" s="161" t="s">
        <v>347</v>
      </c>
      <c r="C81" s="161" t="s">
        <v>283</v>
      </c>
      <c r="D81" s="161" t="s">
        <v>56</v>
      </c>
      <c r="E81" s="691">
        <v>0</v>
      </c>
      <c r="F81" s="691">
        <v>0</v>
      </c>
      <c r="G81" s="385"/>
      <c r="H81" s="692">
        <v>0</v>
      </c>
      <c r="I81" s="397">
        <f>IF(H81&lt;&gt;0,ROUND(+E81/H81/12,5),0)</f>
        <v>0</v>
      </c>
      <c r="J81" s="385"/>
      <c r="K81" s="692">
        <v>0</v>
      </c>
      <c r="L81" s="397">
        <f>IF(K81&lt;&gt;0,ROUND(+F81/K81/12,5),0)</f>
        <v>0</v>
      </c>
      <c r="M81" s="385"/>
      <c r="N81" s="746">
        <v>38000</v>
      </c>
      <c r="O81" s="746">
        <v>38000</v>
      </c>
      <c r="P81" s="385"/>
      <c r="Q81" s="698">
        <f>ROUND(E81*'Rates in Detail'!E79,0)</f>
        <v>0</v>
      </c>
      <c r="R81" s="699">
        <f>'Rate Spread Proposal'!Y15</f>
        <v>0</v>
      </c>
      <c r="S81" s="702"/>
      <c r="T81" s="56" t="s">
        <v>145</v>
      </c>
    </row>
    <row r="82" spans="1:21" x14ac:dyDescent="0.2">
      <c r="A82" s="86">
        <f t="shared" si="4"/>
        <v>74</v>
      </c>
      <c r="B82" s="161" t="s">
        <v>349</v>
      </c>
      <c r="C82" s="1001" t="s">
        <v>283</v>
      </c>
      <c r="D82" s="161" t="s">
        <v>348</v>
      </c>
      <c r="E82" s="693">
        <v>0</v>
      </c>
      <c r="F82" s="693">
        <v>0</v>
      </c>
      <c r="G82" s="385"/>
      <c r="H82" s="694">
        <v>0</v>
      </c>
      <c r="I82" s="397">
        <f t="shared" ref="I82" si="5">IF(H82&lt;&gt;0,ROUND(+E82/H82/12,5),0)</f>
        <v>0</v>
      </c>
      <c r="J82" s="385"/>
      <c r="K82" s="694">
        <v>0</v>
      </c>
      <c r="L82" s="397">
        <f>IF(K82&lt;&gt;0,ROUND(+F82/K82/12,5),0)</f>
        <v>0</v>
      </c>
      <c r="M82" s="385"/>
      <c r="N82" s="747">
        <v>38000</v>
      </c>
      <c r="O82" s="747">
        <v>38000</v>
      </c>
      <c r="P82" s="385"/>
      <c r="Q82" s="698">
        <f>ROUND(E82*'Rates in Detail'!E80,0)</f>
        <v>0</v>
      </c>
      <c r="R82" s="695">
        <f>'Rate Spread Proposal'!Z15</f>
        <v>0</v>
      </c>
      <c r="S82" s="385"/>
      <c r="T82" s="56" t="s">
        <v>145</v>
      </c>
    </row>
    <row r="83" spans="1:21" x14ac:dyDescent="0.2">
      <c r="A83" s="86">
        <f t="shared" si="4"/>
        <v>75</v>
      </c>
      <c r="B83" s="1001" t="s">
        <v>368</v>
      </c>
      <c r="C83" s="1001" t="s">
        <v>283</v>
      </c>
      <c r="D83" s="1001" t="s">
        <v>368</v>
      </c>
      <c r="E83" s="1111">
        <v>2895114</v>
      </c>
      <c r="F83" s="693"/>
      <c r="G83" s="397"/>
      <c r="H83" s="694">
        <f>I103</f>
        <v>1</v>
      </c>
      <c r="I83" s="397">
        <f>IF(H83&lt;&gt;0,ROUND(+E83/H83/12,5),0)</f>
        <v>241259.5</v>
      </c>
      <c r="J83" s="397"/>
      <c r="K83" s="694">
        <v>0</v>
      </c>
      <c r="L83" s="397">
        <f>IF(K83&lt;&gt;0,ROUND(+F83/K83/12,5),0)</f>
        <v>0</v>
      </c>
      <c r="M83" s="397"/>
      <c r="N83" s="747">
        <v>0</v>
      </c>
      <c r="O83" s="747">
        <v>0</v>
      </c>
      <c r="P83" s="397"/>
      <c r="Q83" s="695">
        <f>ROUND(E83*'Rates in Detail'!E81,0)</f>
        <v>0</v>
      </c>
      <c r="R83" s="695">
        <f>'Rate Spread Proposal'!AA15</f>
        <v>242994.60207180592</v>
      </c>
      <c r="S83" s="385"/>
      <c r="T83" s="56" t="s">
        <v>145</v>
      </c>
    </row>
    <row r="84" spans="1:21" x14ac:dyDescent="0.2">
      <c r="A84" s="86">
        <f t="shared" ref="A84" si="6">+A83+1</f>
        <v>76</v>
      </c>
      <c r="B84" s="58" t="s">
        <v>78</v>
      </c>
      <c r="C84" s="58"/>
      <c r="D84" s="58"/>
      <c r="E84" s="704">
        <f>SUM(E15:E83)</f>
        <v>103032055.6009268</v>
      </c>
      <c r="F84" s="704">
        <f>SUM(F15:F83)</f>
        <v>101085884.30000001</v>
      </c>
      <c r="G84" s="383"/>
      <c r="H84" s="704">
        <f>SUM(H15:H83)</f>
        <v>89340.750000000015</v>
      </c>
      <c r="I84" s="704">
        <f>SUM(I15:I83)</f>
        <v>543910.62040000001</v>
      </c>
      <c r="J84" s="383"/>
      <c r="K84" s="704">
        <f>SUM(K15:K83)</f>
        <v>88669</v>
      </c>
      <c r="L84" s="704">
        <f>SUM(L15:L83)</f>
        <v>270612</v>
      </c>
      <c r="M84" s="704"/>
      <c r="N84" s="752">
        <v>89473.5</v>
      </c>
      <c r="O84" s="752">
        <f>SUM(O15:O83)</f>
        <v>89473.5</v>
      </c>
      <c r="P84" s="704"/>
      <c r="Q84" s="671">
        <f>SUM(Q15:Q83)</f>
        <v>37287356</v>
      </c>
      <c r="R84" s="671">
        <f>SUM(R15:R83)</f>
        <v>49604902.662138224</v>
      </c>
      <c r="S84" s="474"/>
    </row>
    <row r="85" spans="1:21" x14ac:dyDescent="0.2">
      <c r="A85" s="86"/>
      <c r="E85" s="493"/>
      <c r="F85" s="493"/>
      <c r="G85" s="300"/>
      <c r="H85" s="429"/>
      <c r="J85" s="300"/>
      <c r="K85" s="716"/>
      <c r="N85" s="716"/>
      <c r="O85" s="716"/>
      <c r="U85" s="1100"/>
    </row>
    <row r="86" spans="1:21" x14ac:dyDescent="0.2">
      <c r="A86" s="86"/>
      <c r="B86" s="293" t="s">
        <v>512</v>
      </c>
      <c r="E86" s="655"/>
      <c r="F86" s="684"/>
      <c r="G86" s="685"/>
      <c r="H86" s="686"/>
      <c r="J86" s="685"/>
      <c r="K86" s="686"/>
      <c r="N86" s="686"/>
      <c r="O86" s="686"/>
      <c r="Q86" s="434"/>
    </row>
    <row r="87" spans="1:21" x14ac:dyDescent="0.2">
      <c r="A87" s="86"/>
      <c r="B87" s="705"/>
      <c r="C87" s="58"/>
      <c r="D87" s="58"/>
      <c r="E87" s="139"/>
      <c r="F87" s="139"/>
      <c r="G87" s="685"/>
      <c r="H87" s="687"/>
      <c r="J87" s="685"/>
      <c r="K87" s="687"/>
      <c r="N87" s="687"/>
      <c r="O87" s="687"/>
    </row>
    <row r="88" spans="1:21" x14ac:dyDescent="0.2">
      <c r="A88" s="86"/>
      <c r="E88" s="655"/>
      <c r="G88" s="56"/>
      <c r="H88" s="1546" t="s">
        <v>626</v>
      </c>
      <c r="I88" s="1547"/>
      <c r="K88" s="55"/>
      <c r="L88" s="1215"/>
      <c r="M88" s="56"/>
      <c r="O88" s="429"/>
    </row>
    <row r="89" spans="1:21" x14ac:dyDescent="0.2">
      <c r="A89" s="86"/>
      <c r="E89" s="493"/>
      <c r="G89" s="56"/>
      <c r="H89" s="1216" t="s">
        <v>158</v>
      </c>
      <c r="I89" s="1486" t="s">
        <v>511</v>
      </c>
      <c r="K89" s="55"/>
      <c r="L89" s="1217"/>
      <c r="M89" s="56"/>
      <c r="O89" s="429"/>
    </row>
    <row r="90" spans="1:21" x14ac:dyDescent="0.2">
      <c r="E90" s="688"/>
      <c r="G90" s="56"/>
      <c r="H90" s="1218" t="s">
        <v>11</v>
      </c>
      <c r="I90" s="1487">
        <v>24.25</v>
      </c>
      <c r="K90" s="55"/>
      <c r="L90" s="1219"/>
      <c r="M90" s="56"/>
      <c r="O90" s="55"/>
    </row>
    <row r="91" spans="1:21" x14ac:dyDescent="0.2">
      <c r="E91" s="689"/>
      <c r="G91" s="56"/>
      <c r="H91" s="1218" t="s">
        <v>353</v>
      </c>
      <c r="I91" s="1487">
        <v>17.833333333333332</v>
      </c>
      <c r="K91" s="55"/>
      <c r="L91" s="1219"/>
      <c r="M91" s="56"/>
      <c r="O91" s="55"/>
    </row>
    <row r="92" spans="1:21" x14ac:dyDescent="0.2">
      <c r="C92" s="55"/>
      <c r="D92" s="55"/>
      <c r="E92" s="685"/>
      <c r="G92" s="56"/>
      <c r="H92" s="1218" t="s">
        <v>355</v>
      </c>
      <c r="I92" s="1487" t="s">
        <v>283</v>
      </c>
      <c r="K92" s="55"/>
      <c r="L92" s="1219"/>
      <c r="M92" s="56"/>
      <c r="O92" s="55"/>
    </row>
    <row r="93" spans="1:21" x14ac:dyDescent="0.2">
      <c r="C93" s="55"/>
      <c r="D93" s="55"/>
      <c r="E93" s="685"/>
      <c r="G93" s="56"/>
      <c r="H93" s="1218" t="s">
        <v>356</v>
      </c>
      <c r="I93" s="1487" t="s">
        <v>283</v>
      </c>
      <c r="K93" s="55"/>
      <c r="L93" s="1219"/>
      <c r="M93" s="56"/>
      <c r="O93" s="55"/>
    </row>
    <row r="94" spans="1:21" x14ac:dyDescent="0.2">
      <c r="C94" s="55"/>
      <c r="D94" s="55"/>
      <c r="E94" s="685"/>
      <c r="G94" s="56"/>
      <c r="H94" s="1218" t="s">
        <v>357</v>
      </c>
      <c r="I94" s="1487">
        <v>7.916666666666667</v>
      </c>
      <c r="K94" s="55"/>
      <c r="L94" s="1219"/>
      <c r="M94" s="56"/>
      <c r="O94" s="55"/>
    </row>
    <row r="95" spans="1:21" x14ac:dyDescent="0.2">
      <c r="C95" s="55"/>
      <c r="D95" s="55"/>
      <c r="E95" s="685"/>
      <c r="G95" s="56"/>
      <c r="H95" s="1218" t="s">
        <v>358</v>
      </c>
      <c r="I95" s="1487" t="s">
        <v>283</v>
      </c>
      <c r="K95" s="55"/>
      <c r="L95" s="1219"/>
      <c r="M95" s="56"/>
      <c r="O95" s="55"/>
    </row>
    <row r="96" spans="1:21" x14ac:dyDescent="0.2">
      <c r="E96" s="685"/>
      <c r="G96" s="56"/>
      <c r="H96" s="1218" t="s">
        <v>360</v>
      </c>
      <c r="I96" s="1487">
        <v>11.916666666666666</v>
      </c>
      <c r="K96" s="55"/>
      <c r="L96" s="1219"/>
      <c r="M96" s="56"/>
      <c r="O96" s="55"/>
    </row>
    <row r="97" spans="5:15" x14ac:dyDescent="0.2">
      <c r="E97" s="688"/>
      <c r="G97" s="56"/>
      <c r="H97" s="1218" t="s">
        <v>361</v>
      </c>
      <c r="I97" s="1487">
        <v>4</v>
      </c>
      <c r="K97" s="55"/>
      <c r="L97" s="1219"/>
      <c r="M97" s="56"/>
      <c r="O97" s="55"/>
    </row>
    <row r="98" spans="5:15" x14ac:dyDescent="0.2">
      <c r="E98" s="688"/>
      <c r="G98" s="56"/>
      <c r="H98" s="1218" t="s">
        <v>362</v>
      </c>
      <c r="I98" s="1487">
        <v>8.9166666666666661</v>
      </c>
      <c r="K98" s="55"/>
      <c r="L98" s="1219"/>
      <c r="M98" s="56"/>
      <c r="O98" s="55"/>
    </row>
    <row r="99" spans="5:15" x14ac:dyDescent="0.2">
      <c r="E99" s="55"/>
      <c r="G99" s="56"/>
      <c r="H99" s="1218" t="s">
        <v>363</v>
      </c>
      <c r="I99" s="1487">
        <v>2</v>
      </c>
      <c r="K99" s="55"/>
      <c r="L99" s="1219"/>
      <c r="M99" s="56"/>
      <c r="O99" s="55"/>
    </row>
    <row r="100" spans="5:15" x14ac:dyDescent="0.2">
      <c r="E100" s="55"/>
      <c r="G100" s="56"/>
      <c r="H100" s="1218" t="s">
        <v>364</v>
      </c>
      <c r="I100" s="1487">
        <f>2.91666666666667-1</f>
        <v>1.9166666666666701</v>
      </c>
      <c r="J100" s="1485" t="s">
        <v>624</v>
      </c>
      <c r="K100" s="1485"/>
      <c r="L100" s="1219"/>
      <c r="M100" s="56"/>
      <c r="O100" s="55"/>
    </row>
    <row r="101" spans="5:15" x14ac:dyDescent="0.2">
      <c r="G101" s="56"/>
      <c r="H101" s="1218" t="s">
        <v>366</v>
      </c>
      <c r="I101" s="1487" t="s">
        <v>283</v>
      </c>
      <c r="J101" s="1485"/>
      <c r="K101" s="1485"/>
      <c r="L101" s="1219"/>
      <c r="M101" s="56"/>
    </row>
    <row r="102" spans="5:15" x14ac:dyDescent="0.2">
      <c r="G102" s="56"/>
      <c r="H102" s="1218" t="s">
        <v>367</v>
      </c>
      <c r="I102" s="1487">
        <f>10-3</f>
        <v>7</v>
      </c>
      <c r="J102" s="1485" t="s">
        <v>625</v>
      </c>
      <c r="K102" s="1485"/>
      <c r="L102" s="1219"/>
      <c r="M102" s="56"/>
    </row>
    <row r="103" spans="5:15" x14ac:dyDescent="0.2">
      <c r="G103" s="56"/>
      <c r="H103" s="1220" t="s">
        <v>391</v>
      </c>
      <c r="I103" s="1488">
        <v>1</v>
      </c>
      <c r="K103" s="55"/>
      <c r="L103" s="1221"/>
      <c r="M103" s="56"/>
    </row>
    <row r="105" spans="5:15" x14ac:dyDescent="0.2">
      <c r="H105" s="1489" t="s">
        <v>627</v>
      </c>
    </row>
    <row r="106" spans="5:15" x14ac:dyDescent="0.2">
      <c r="H106" s="1489" t="s">
        <v>628</v>
      </c>
    </row>
  </sheetData>
  <customSheetViews>
    <customSheetView guid="{80646397-1CEF-4A79-B348-594AB32B8020}" showGridLines="0" hiddenColumns="1" topLeftCell="A55">
      <selection activeCell="J81" sqref="J81"/>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howGridLines="0" hiddenColumns="1" topLeftCell="A55">
      <selection activeCell="J81" sqref="J81"/>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
    <mergeCell ref="H88:I88"/>
  </mergeCells>
  <phoneticPr fontId="10" type="noConversion"/>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8D499-EE66-4919-89F0-8377F417459E}">
  <sheetPr>
    <tabColor rgb="FFFFFFCC"/>
    <pageSetUpPr fitToPage="1"/>
  </sheetPr>
  <dimension ref="B1:T78"/>
  <sheetViews>
    <sheetView zoomScale="90" zoomScaleNormal="90" workbookViewId="0">
      <pane xSplit="4" ySplit="9" topLeftCell="E12" activePane="bottomRight" state="frozen"/>
      <selection activeCell="K47" sqref="K47"/>
      <selection pane="topRight" activeCell="K47" sqref="K47"/>
      <selection pane="bottomLeft" activeCell="K47" sqref="K47"/>
      <selection pane="bottomRight" activeCell="R59" sqref="R59"/>
    </sheetView>
  </sheetViews>
  <sheetFormatPr defaultColWidth="9.33203125" defaultRowHeight="12.75" outlineLevelCol="1" x14ac:dyDescent="0.2"/>
  <cols>
    <col min="1" max="1" width="3.1640625" style="52" customWidth="1"/>
    <col min="2" max="2" width="8.6640625" style="52" customWidth="1"/>
    <col min="3" max="3" width="16.33203125" style="52" customWidth="1"/>
    <col min="4" max="5" width="14" style="52" customWidth="1"/>
    <col min="6" max="6" width="15" style="52" customWidth="1"/>
    <col min="7" max="9" width="14" style="52" customWidth="1"/>
    <col min="10" max="10" width="14" style="622" customWidth="1" outlineLevel="1"/>
    <col min="11" max="11" width="15.1640625" style="622" customWidth="1" outlineLevel="1"/>
    <col min="12" max="12" width="14" style="622" customWidth="1" outlineLevel="1"/>
    <col min="13" max="13" width="14.33203125" style="622" customWidth="1" outlineLevel="1"/>
    <col min="14" max="14" width="14.33203125" style="52" customWidth="1"/>
    <col min="15" max="15" width="16" style="52" customWidth="1" outlineLevel="1"/>
    <col min="16" max="16" width="15.83203125" style="52" customWidth="1" outlineLevel="1"/>
    <col min="17" max="17" width="16.5" style="92" customWidth="1" outlineLevel="1"/>
    <col min="18" max="18" width="15.83203125" style="130" customWidth="1" outlineLevel="1"/>
    <col min="19" max="19" width="16.5" style="130" customWidth="1" outlineLevel="1"/>
    <col min="20" max="20" width="3.1640625" style="130" customWidth="1"/>
    <col min="21" max="16384" width="9.33203125" style="52"/>
  </cols>
  <sheetData>
    <row r="1" spans="2:20" x14ac:dyDescent="0.2">
      <c r="B1" s="91" t="s">
        <v>0</v>
      </c>
    </row>
    <row r="2" spans="2:20" x14ac:dyDescent="0.2">
      <c r="B2" s="91" t="s">
        <v>276</v>
      </c>
    </row>
    <row r="3" spans="2:20" x14ac:dyDescent="0.2">
      <c r="B3" s="91" t="s">
        <v>277</v>
      </c>
      <c r="P3" s="101"/>
      <c r="Q3" s="138"/>
    </row>
    <row r="4" spans="2:20" x14ac:dyDescent="0.2">
      <c r="B4" s="91" t="s">
        <v>599</v>
      </c>
      <c r="N4" s="656"/>
      <c r="O4" s="59"/>
      <c r="P4" s="59"/>
      <c r="Q4" s="58"/>
      <c r="R4" s="131"/>
      <c r="S4" s="131"/>
      <c r="T4" s="131"/>
    </row>
    <row r="5" spans="2:20" ht="13.5" thickBot="1" x14ac:dyDescent="0.25">
      <c r="B5" s="1358" t="s">
        <v>600</v>
      </c>
      <c r="N5" s="656"/>
      <c r="O5" s="59"/>
      <c r="P5" s="59"/>
      <c r="Q5" s="58"/>
      <c r="R5" s="131"/>
      <c r="S5" s="131"/>
      <c r="T5" s="131"/>
    </row>
    <row r="6" spans="2:20" ht="13.5" thickBot="1" x14ac:dyDescent="0.25">
      <c r="O6" s="1689" t="s">
        <v>604</v>
      </c>
      <c r="P6" s="1690"/>
      <c r="Q6" s="1691"/>
      <c r="R6" s="1687" t="s">
        <v>603</v>
      </c>
      <c r="S6" s="1688"/>
    </row>
    <row r="7" spans="2:20" ht="13.5" thickBot="1" x14ac:dyDescent="0.25">
      <c r="B7" s="103"/>
      <c r="C7" s="103"/>
      <c r="D7" s="103"/>
      <c r="E7" s="103"/>
      <c r="F7" s="103"/>
      <c r="G7" s="103"/>
      <c r="H7" s="632" t="s">
        <v>18</v>
      </c>
      <c r="I7" s="104" t="s">
        <v>595</v>
      </c>
      <c r="J7" s="1672" t="s">
        <v>596</v>
      </c>
      <c r="K7" s="1673"/>
      <c r="L7" s="1673"/>
      <c r="M7" s="1673"/>
      <c r="N7" s="1673"/>
      <c r="O7" s="1394" t="s">
        <v>179</v>
      </c>
      <c r="P7" s="1402" t="str">
        <f>'Rates in Detail'!P9</f>
        <v>EDIT Amort Cr</v>
      </c>
      <c r="Q7" s="1371" t="s">
        <v>32</v>
      </c>
      <c r="R7" s="1365" t="s">
        <v>179</v>
      </c>
      <c r="S7" s="1369" t="s">
        <v>32</v>
      </c>
    </row>
    <row r="8" spans="2:20" ht="51" x14ac:dyDescent="0.2">
      <c r="B8" s="105" t="s">
        <v>150</v>
      </c>
      <c r="C8" s="66" t="s">
        <v>2</v>
      </c>
      <c r="D8" s="66" t="s">
        <v>3</v>
      </c>
      <c r="E8" s="66" t="s">
        <v>164</v>
      </c>
      <c r="F8" s="66" t="s">
        <v>162</v>
      </c>
      <c r="G8" s="66" t="s">
        <v>163</v>
      </c>
      <c r="H8" s="106" t="s">
        <v>160</v>
      </c>
      <c r="I8" s="66" t="s">
        <v>161</v>
      </c>
      <c r="J8" s="623" t="s">
        <v>590</v>
      </c>
      <c r="K8" s="624" t="s">
        <v>591</v>
      </c>
      <c r="L8" s="624" t="s">
        <v>592</v>
      </c>
      <c r="M8" s="624" t="s">
        <v>594</v>
      </c>
      <c r="N8" s="66" t="s">
        <v>593</v>
      </c>
      <c r="O8" s="1395" t="s">
        <v>159</v>
      </c>
      <c r="P8" s="1392" t="s">
        <v>433</v>
      </c>
      <c r="Q8" s="1361" t="s">
        <v>598</v>
      </c>
      <c r="R8" s="1366" t="s">
        <v>159</v>
      </c>
      <c r="S8" s="1363" t="s">
        <v>601</v>
      </c>
      <c r="T8" s="1368"/>
    </row>
    <row r="9" spans="2:20" ht="13.5" thickBot="1" x14ac:dyDescent="0.25">
      <c r="B9" s="640"/>
      <c r="C9" s="641" t="s">
        <v>35</v>
      </c>
      <c r="D9" s="641" t="s">
        <v>36</v>
      </c>
      <c r="E9" s="641" t="s">
        <v>13</v>
      </c>
      <c r="F9" s="641" t="s">
        <v>37</v>
      </c>
      <c r="G9" s="641" t="s">
        <v>38</v>
      </c>
      <c r="H9" s="642" t="s">
        <v>39</v>
      </c>
      <c r="I9" s="643" t="s">
        <v>40</v>
      </c>
      <c r="J9" s="642" t="s">
        <v>41</v>
      </c>
      <c r="K9" s="641" t="s">
        <v>42</v>
      </c>
      <c r="L9" s="641" t="s">
        <v>129</v>
      </c>
      <c r="M9" s="641" t="s">
        <v>130</v>
      </c>
      <c r="N9" s="641" t="s">
        <v>259</v>
      </c>
      <c r="O9" s="1396" t="s">
        <v>131</v>
      </c>
      <c r="P9" s="1393" t="s">
        <v>132</v>
      </c>
      <c r="Q9" s="1360" t="s">
        <v>597</v>
      </c>
      <c r="R9" s="1364" t="s">
        <v>134</v>
      </c>
      <c r="S9" s="1370" t="s">
        <v>602</v>
      </c>
      <c r="T9" s="1356"/>
    </row>
    <row r="10" spans="2:20" x14ac:dyDescent="0.2">
      <c r="B10" s="110">
        <v>1</v>
      </c>
      <c r="C10" s="111" t="str">
        <f>'WA Volumes &amp; Revenues'!B15</f>
        <v>1R</v>
      </c>
      <c r="D10" s="111" t="s">
        <v>283</v>
      </c>
      <c r="E10" s="111" t="s">
        <v>283</v>
      </c>
      <c r="F10" s="113">
        <f>'WA Volumes &amp; Revenues'!E15</f>
        <v>214704.20066131229</v>
      </c>
      <c r="G10" s="113">
        <f>'WA Volumes &amp; Revenues'!H15</f>
        <v>911</v>
      </c>
      <c r="H10" s="907">
        <f>'WA Volumes &amp; Revenues'!O15</f>
        <v>5.5</v>
      </c>
      <c r="I10" s="908">
        <f>'WA Volumes &amp; Revenues'!N15</f>
        <v>5.5</v>
      </c>
      <c r="J10" s="627">
        <f>'Rates in Detail'!E13</f>
        <v>0.67652999999999996</v>
      </c>
      <c r="K10" s="631">
        <f>'Rates in Detail'!H13</f>
        <v>0.10141</v>
      </c>
      <c r="L10" s="631">
        <f>'Rates in Detail'!F13</f>
        <v>0.26333000000000001</v>
      </c>
      <c r="M10" s="631">
        <f>'Rates in Detail'!I13</f>
        <v>0.11125999999999998</v>
      </c>
      <c r="N10" s="135">
        <f>SUM(J10:M10)</f>
        <v>1.1525299999999998</v>
      </c>
      <c r="O10" s="1372">
        <f>'Rates in Detail'!L13</f>
        <v>0.13225000000000001</v>
      </c>
      <c r="P10" s="1367">
        <f>'Rates in Detail'!P13</f>
        <v>-9.1000000000000004E-3</v>
      </c>
      <c r="Q10" s="1382">
        <f>SUM(N10:P10)</f>
        <v>1.2756799999999997</v>
      </c>
      <c r="R10" s="1367">
        <f>'Rates in Detail'!Y13</f>
        <v>6.2010000000000003E-2</v>
      </c>
      <c r="S10" s="1386">
        <f>Q10+R10</f>
        <v>1.3376899999999996</v>
      </c>
      <c r="T10" s="131"/>
    </row>
    <row r="11" spans="2:20" x14ac:dyDescent="0.2">
      <c r="B11" s="110">
        <f>B10+1</f>
        <v>2</v>
      </c>
      <c r="C11" s="111" t="str">
        <f>'WA Volumes &amp; Revenues'!B16</f>
        <v>1C</v>
      </c>
      <c r="D11" s="111" t="s">
        <v>283</v>
      </c>
      <c r="E11" s="111" t="s">
        <v>283</v>
      </c>
      <c r="F11" s="113">
        <f>'WA Volumes &amp; Revenues'!E16</f>
        <v>46539.057144390383</v>
      </c>
      <c r="G11" s="113">
        <f>'WA Volumes &amp; Revenues'!H16</f>
        <v>34</v>
      </c>
      <c r="H11" s="907">
        <f>'WA Volumes &amp; Revenues'!O16</f>
        <v>7</v>
      </c>
      <c r="I11" s="908">
        <f>'WA Volumes &amp; Revenues'!N16</f>
        <v>7</v>
      </c>
      <c r="J11" s="627">
        <f>'Rates in Detail'!E14</f>
        <v>0.73148999999999997</v>
      </c>
      <c r="K11" s="631">
        <f>'Rates in Detail'!H14</f>
        <v>0.10141</v>
      </c>
      <c r="L11" s="631">
        <f>'Rates in Detail'!F14</f>
        <v>0.26333000000000001</v>
      </c>
      <c r="M11" s="631">
        <f>'Rates in Detail'!I14</f>
        <v>9.3060000000000004E-2</v>
      </c>
      <c r="N11" s="135">
        <f t="shared" ref="N11:N74" si="0">SUM(J11:M11)</f>
        <v>1.18929</v>
      </c>
      <c r="O11" s="1372">
        <f>'Rates in Detail'!L14</f>
        <v>0.10997</v>
      </c>
      <c r="P11" s="1367">
        <f>'Rates in Detail'!P14</f>
        <v>-7.5599999999999999E-3</v>
      </c>
      <c r="Q11" s="1382">
        <f t="shared" ref="Q11:Q74" si="1">SUM(N11:P11)</f>
        <v>1.2916999999999998</v>
      </c>
      <c r="R11" s="1367">
        <f>'Rates in Detail'!Y14</f>
        <v>5.1569999999999998E-2</v>
      </c>
      <c r="S11" s="1386">
        <f t="shared" ref="S11:S74" si="2">Q11+R11</f>
        <v>1.3432699999999997</v>
      </c>
      <c r="T11" s="131"/>
    </row>
    <row r="12" spans="2:20" x14ac:dyDescent="0.2">
      <c r="B12" s="110">
        <f t="shared" ref="B12:B75" si="3">B11+1</f>
        <v>3</v>
      </c>
      <c r="C12" s="111" t="str">
        <f>'WA Volumes &amp; Revenues'!B17</f>
        <v>2R</v>
      </c>
      <c r="D12" s="111" t="s">
        <v>283</v>
      </c>
      <c r="E12" s="111" t="s">
        <v>283</v>
      </c>
      <c r="F12" s="113">
        <f>'WA Volumes &amp; Revenues'!E17</f>
        <v>54953515.785084128</v>
      </c>
      <c r="G12" s="113">
        <f>'WA Volumes &amp; Revenues'!H17</f>
        <v>81119</v>
      </c>
      <c r="H12" s="907">
        <f>'WA Volumes &amp; Revenues'!O17</f>
        <v>8</v>
      </c>
      <c r="I12" s="908">
        <f>'WA Volumes &amp; Revenues'!N17</f>
        <v>8</v>
      </c>
      <c r="J12" s="627">
        <f>'Rates in Detail'!E15</f>
        <v>0.45815999999999979</v>
      </c>
      <c r="K12" s="631">
        <f>'Rates in Detail'!H15</f>
        <v>0.10141</v>
      </c>
      <c r="L12" s="631">
        <f>'Rates in Detail'!F15</f>
        <v>0.26333000000000001</v>
      </c>
      <c r="M12" s="631">
        <f>'Rates in Detail'!I15</f>
        <v>6.6579999999999986E-2</v>
      </c>
      <c r="N12" s="135">
        <f t="shared" si="0"/>
        <v>0.88947999999999972</v>
      </c>
      <c r="O12" s="1372">
        <f>'Rates in Detail'!L15</f>
        <v>8.3699999999999997E-2</v>
      </c>
      <c r="P12" s="1367">
        <f>'Rates in Detail'!P15</f>
        <v>-5.7600000000000004E-3</v>
      </c>
      <c r="Q12" s="1382">
        <f t="shared" si="1"/>
        <v>0.96741999999999972</v>
      </c>
      <c r="R12" s="1367">
        <f>'Rates in Detail'!Y15</f>
        <v>3.925E-2</v>
      </c>
      <c r="S12" s="1386">
        <f t="shared" si="2"/>
        <v>1.0066699999999997</v>
      </c>
      <c r="T12" s="131"/>
    </row>
    <row r="13" spans="2:20" x14ac:dyDescent="0.2">
      <c r="B13" s="110">
        <f t="shared" si="3"/>
        <v>4</v>
      </c>
      <c r="C13" s="111" t="str">
        <f>'WA Volumes &amp; Revenues'!B18</f>
        <v>3 CFS</v>
      </c>
      <c r="D13" s="111" t="s">
        <v>283</v>
      </c>
      <c r="E13" s="111" t="s">
        <v>283</v>
      </c>
      <c r="F13" s="113">
        <f>'WA Volumes &amp; Revenues'!E18</f>
        <v>17867210.60654201</v>
      </c>
      <c r="G13" s="113">
        <f>'WA Volumes &amp; Revenues'!H18</f>
        <v>6318</v>
      </c>
      <c r="H13" s="907">
        <f>'WA Volumes &amp; Revenues'!O18</f>
        <v>22</v>
      </c>
      <c r="I13" s="909">
        <f>'WA Volumes &amp; Revenues'!N18</f>
        <v>22</v>
      </c>
      <c r="J13" s="627">
        <f>'Rates in Detail'!E16</f>
        <v>0.44368000000000019</v>
      </c>
      <c r="K13" s="631">
        <f>'Rates in Detail'!H16</f>
        <v>0.10141</v>
      </c>
      <c r="L13" s="631">
        <f>'Rates in Detail'!F16</f>
        <v>0.26333000000000001</v>
      </c>
      <c r="M13" s="631">
        <f>'Rates in Detail'!I16</f>
        <v>5.8480000000000004E-2</v>
      </c>
      <c r="N13" s="136">
        <f t="shared" si="0"/>
        <v>0.86690000000000011</v>
      </c>
      <c r="O13" s="1374">
        <f>'Rates in Detail'!L16</f>
        <v>7.5149999999999995E-2</v>
      </c>
      <c r="P13" s="1367">
        <f>'Rates in Detail'!P16</f>
        <v>-5.1700000000000001E-3</v>
      </c>
      <c r="Q13" s="1382">
        <f t="shared" si="1"/>
        <v>0.93688000000000005</v>
      </c>
      <c r="R13" s="1367">
        <f>'Rates in Detail'!Y16</f>
        <v>3.524E-2</v>
      </c>
      <c r="S13" s="1386">
        <f t="shared" si="2"/>
        <v>0.9721200000000001</v>
      </c>
      <c r="T13" s="131"/>
    </row>
    <row r="14" spans="2:20" x14ac:dyDescent="0.2">
      <c r="B14" s="110">
        <f t="shared" si="3"/>
        <v>5</v>
      </c>
      <c r="C14" s="111" t="str">
        <f>'WA Volumes &amp; Revenues'!B19</f>
        <v>3 IFS</v>
      </c>
      <c r="D14" s="111" t="s">
        <v>283</v>
      </c>
      <c r="E14" s="111" t="s">
        <v>283</v>
      </c>
      <c r="F14" s="113">
        <f>'WA Volumes &amp; Revenues'!E19</f>
        <v>283651.99999999994</v>
      </c>
      <c r="G14" s="113">
        <f>'WA Volumes &amp; Revenues'!H19</f>
        <v>24.25</v>
      </c>
      <c r="H14" s="907">
        <f>'WA Volumes &amp; Revenues'!O19</f>
        <v>22</v>
      </c>
      <c r="I14" s="909">
        <f>'WA Volumes &amp; Revenues'!N19</f>
        <v>22</v>
      </c>
      <c r="J14" s="627">
        <f>'Rates in Detail'!E17</f>
        <v>0.46249000000000001</v>
      </c>
      <c r="K14" s="631">
        <f>'Rates in Detail'!H17</f>
        <v>0.10141</v>
      </c>
      <c r="L14" s="631">
        <f>'Rates in Detail'!F17</f>
        <v>0.26333000000000001</v>
      </c>
      <c r="M14" s="631">
        <f>'Rates in Detail'!I17</f>
        <v>-8.9999999999999802E-5</v>
      </c>
      <c r="N14" s="136">
        <f t="shared" si="0"/>
        <v>0.8271400000000001</v>
      </c>
      <c r="O14" s="1374">
        <f>'Rates in Detail'!L17</f>
        <v>6.8080000000000002E-2</v>
      </c>
      <c r="P14" s="1367">
        <f>'Rates in Detail'!P17</f>
        <v>-4.6899999999999997E-3</v>
      </c>
      <c r="Q14" s="1382">
        <f t="shared" si="1"/>
        <v>0.89053000000000015</v>
      </c>
      <c r="R14" s="1367">
        <f>'Rates in Detail'!Y17</f>
        <v>3.1919999999999997E-2</v>
      </c>
      <c r="S14" s="1386">
        <f t="shared" si="2"/>
        <v>0.9224500000000001</v>
      </c>
      <c r="T14" s="131"/>
    </row>
    <row r="15" spans="2:20" x14ac:dyDescent="0.2">
      <c r="B15" s="110">
        <f t="shared" si="3"/>
        <v>6</v>
      </c>
      <c r="C15" s="1354" t="str">
        <f>'WA Volumes &amp; Revenues'!B20</f>
        <v>27R</v>
      </c>
      <c r="D15" s="111" t="s">
        <v>283</v>
      </c>
      <c r="E15" s="111" t="s">
        <v>283</v>
      </c>
      <c r="F15" s="113">
        <f>'WA Volumes &amp; Revenues'!E20</f>
        <v>461371.76933137607</v>
      </c>
      <c r="G15" s="113">
        <f>'WA Volumes &amp; Revenues'!H20</f>
        <v>776</v>
      </c>
      <c r="H15" s="910">
        <f>'WA Volumes &amp; Revenues'!O20</f>
        <v>9</v>
      </c>
      <c r="I15" s="911">
        <f>'WA Volumes &amp; Revenues'!N20</f>
        <v>9</v>
      </c>
      <c r="J15" s="627">
        <f>'Rates in Detail'!E18</f>
        <v>0.24087999999999973</v>
      </c>
      <c r="K15" s="631">
        <f>'Rates in Detail'!H18</f>
        <v>0.10141</v>
      </c>
      <c r="L15" s="631">
        <f>'Rates in Detail'!F18</f>
        <v>0.26333000000000001</v>
      </c>
      <c r="M15" s="631">
        <f>'Rates in Detail'!I18</f>
        <v>3.8710000000000001E-2</v>
      </c>
      <c r="N15" s="136">
        <f t="shared" si="0"/>
        <v>0.64432999999999985</v>
      </c>
      <c r="O15" s="1374">
        <f>'Rates in Detail'!L18</f>
        <v>5.9569999999999998E-2</v>
      </c>
      <c r="P15" s="1367">
        <f>'Rates in Detail'!P18</f>
        <v>-4.1000000000000003E-3</v>
      </c>
      <c r="Q15" s="1382">
        <f t="shared" si="1"/>
        <v>0.69979999999999987</v>
      </c>
      <c r="R15" s="1367">
        <f>'Rates in Detail'!Y18</f>
        <v>2.793E-2</v>
      </c>
      <c r="S15" s="1386">
        <f t="shared" si="2"/>
        <v>0.72772999999999988</v>
      </c>
      <c r="T15" s="131"/>
    </row>
    <row r="16" spans="2:20" x14ac:dyDescent="0.2">
      <c r="B16" s="110">
        <f t="shared" si="3"/>
        <v>7</v>
      </c>
      <c r="C16" s="1355" t="str">
        <f>'WA Volumes &amp; Revenues'!B21</f>
        <v>41C Firm Sales</v>
      </c>
      <c r="D16" s="1355" t="s">
        <v>4</v>
      </c>
      <c r="E16" s="115">
        <v>2000</v>
      </c>
      <c r="F16" s="116">
        <f>'WA Volumes &amp; Revenues'!E21</f>
        <v>1777065.1510316674</v>
      </c>
      <c r="G16" s="116">
        <f>'WA Volumes &amp; Revenues'!H21</f>
        <v>91</v>
      </c>
      <c r="H16" s="912">
        <f>'WA Volumes &amp; Revenues'!O21</f>
        <v>250</v>
      </c>
      <c r="I16" s="913">
        <f>'WA Volumes &amp; Revenues'!N21</f>
        <v>250</v>
      </c>
      <c r="J16" s="628">
        <f>'Rates in Detail'!E19</f>
        <v>0.34474000000000016</v>
      </c>
      <c r="K16" s="630">
        <f>'Rates in Detail'!H19</f>
        <v>0</v>
      </c>
      <c r="L16" s="630">
        <f>'Rates in Detail'!F19</f>
        <v>0.26333000000000001</v>
      </c>
      <c r="M16" s="630">
        <f>'Rates in Detail'!I19</f>
        <v>4.3429999999999996E-2</v>
      </c>
      <c r="N16" s="137">
        <f t="shared" si="0"/>
        <v>0.65150000000000008</v>
      </c>
      <c r="O16" s="1375">
        <f>'Rates in Detail'!L19</f>
        <v>5.9679999999999997E-2</v>
      </c>
      <c r="P16" s="1376">
        <f>'Rates in Detail'!P19</f>
        <v>-4.1099999999999999E-3</v>
      </c>
      <c r="Q16" s="1383">
        <f t="shared" si="1"/>
        <v>0.70707000000000009</v>
      </c>
      <c r="R16" s="1376">
        <f>'Rates in Detail'!Y19</f>
        <v>2.7990000000000001E-2</v>
      </c>
      <c r="S16" s="1387">
        <f t="shared" si="2"/>
        <v>0.73506000000000005</v>
      </c>
      <c r="T16" s="131"/>
    </row>
    <row r="17" spans="2:20" x14ac:dyDescent="0.2">
      <c r="B17" s="110">
        <f t="shared" si="3"/>
        <v>8</v>
      </c>
      <c r="C17" s="111"/>
      <c r="D17" s="111" t="s">
        <v>5</v>
      </c>
      <c r="E17" s="112" t="s">
        <v>74</v>
      </c>
      <c r="F17" s="113">
        <f>'WA Volumes &amp; Revenues'!E22</f>
        <v>1974656.4658023661</v>
      </c>
      <c r="G17" s="113"/>
      <c r="H17" s="907"/>
      <c r="I17" s="909"/>
      <c r="J17" s="627">
        <f>'Rates in Detail'!E20</f>
        <v>0.30376999999999998</v>
      </c>
      <c r="K17" s="631">
        <f>'Rates in Detail'!H20</f>
        <v>0</v>
      </c>
      <c r="L17" s="631">
        <f>'Rates in Detail'!F20</f>
        <v>0.26333000000000001</v>
      </c>
      <c r="M17" s="631">
        <f>'Rates in Detail'!I20</f>
        <v>3.7170000000000002E-2</v>
      </c>
      <c r="N17" s="135">
        <f t="shared" si="0"/>
        <v>0.60426999999999997</v>
      </c>
      <c r="O17" s="1374">
        <f>'Rates in Detail'!L20</f>
        <v>5.2589999999999998E-2</v>
      </c>
      <c r="P17" s="1367">
        <f>'Rates in Detail'!P20</f>
        <v>-3.62E-3</v>
      </c>
      <c r="Q17" s="1382">
        <f t="shared" si="1"/>
        <v>0.65324000000000004</v>
      </c>
      <c r="R17" s="1367">
        <f>'Rates in Detail'!Y20</f>
        <v>2.4660000000000001E-2</v>
      </c>
      <c r="S17" s="1386">
        <f t="shared" si="2"/>
        <v>0.67790000000000006</v>
      </c>
      <c r="T17" s="131"/>
    </row>
    <row r="18" spans="2:20" x14ac:dyDescent="0.2">
      <c r="B18" s="110">
        <f t="shared" si="3"/>
        <v>9</v>
      </c>
      <c r="C18" s="1355" t="str">
        <f>'WA Volumes &amp; Revenues'!B23</f>
        <v>41I Firm Sales</v>
      </c>
      <c r="D18" s="1355" t="s">
        <v>4</v>
      </c>
      <c r="E18" s="115">
        <v>2000</v>
      </c>
      <c r="F18" s="116">
        <f>'WA Volumes &amp; Revenues'!E23</f>
        <v>392890.20000000007</v>
      </c>
      <c r="G18" s="116">
        <f>'WA Volumes &amp; Revenues'!H23</f>
        <v>17.833333333333332</v>
      </c>
      <c r="H18" s="912">
        <f>'WA Volumes &amp; Revenues'!O23</f>
        <v>250</v>
      </c>
      <c r="I18" s="913">
        <f>'WA Volumes &amp; Revenues'!N23</f>
        <v>250</v>
      </c>
      <c r="J18" s="628">
        <f>'Rates in Detail'!E21</f>
        <v>0.34416000000000024</v>
      </c>
      <c r="K18" s="630">
        <f>'Rates in Detail'!H21</f>
        <v>0</v>
      </c>
      <c r="L18" s="630">
        <f>'Rates in Detail'!F21</f>
        <v>0.26333000000000001</v>
      </c>
      <c r="M18" s="630">
        <f>'Rates in Detail'!I21</f>
        <v>-1.7200000000000002E-3</v>
      </c>
      <c r="N18" s="137">
        <f t="shared" si="0"/>
        <v>0.60577000000000025</v>
      </c>
      <c r="O18" s="1375">
        <f>'Rates in Detail'!L21</f>
        <v>5.6809999999999999E-2</v>
      </c>
      <c r="P18" s="1376">
        <f>'Rates in Detail'!P21</f>
        <v>-3.9100000000000003E-3</v>
      </c>
      <c r="Q18" s="1383">
        <f t="shared" si="1"/>
        <v>0.65867000000000031</v>
      </c>
      <c r="R18" s="1376">
        <f>'Rates in Detail'!Y21</f>
        <v>2.664E-2</v>
      </c>
      <c r="S18" s="1387">
        <f t="shared" si="2"/>
        <v>0.68531000000000031</v>
      </c>
      <c r="T18" s="131"/>
    </row>
    <row r="19" spans="2:20" x14ac:dyDescent="0.2">
      <c r="B19" s="110">
        <f t="shared" si="3"/>
        <v>10</v>
      </c>
      <c r="C19" s="111"/>
      <c r="D19" s="111" t="s">
        <v>5</v>
      </c>
      <c r="E19" s="112" t="s">
        <v>74</v>
      </c>
      <c r="F19" s="113">
        <f>'WA Volumes &amp; Revenues'!E24</f>
        <v>621650.00000000012</v>
      </c>
      <c r="G19" s="113"/>
      <c r="H19" s="907"/>
      <c r="I19" s="909"/>
      <c r="J19" s="627">
        <f>'Rates in Detail'!E22</f>
        <v>0.30325000000000002</v>
      </c>
      <c r="K19" s="631">
        <f>'Rates in Detail'!H22</f>
        <v>0</v>
      </c>
      <c r="L19" s="631">
        <f>'Rates in Detail'!F22</f>
        <v>0.26333000000000001</v>
      </c>
      <c r="M19" s="631">
        <f>'Rates in Detail'!I22</f>
        <v>-2.6199999999999999E-3</v>
      </c>
      <c r="N19" s="135">
        <f t="shared" si="0"/>
        <v>0.56396000000000013</v>
      </c>
      <c r="O19" s="1374">
        <f>'Rates in Detail'!L22</f>
        <v>5.0049999999999997E-2</v>
      </c>
      <c r="P19" s="1367">
        <f>'Rates in Detail'!P22</f>
        <v>-3.4399999999999999E-3</v>
      </c>
      <c r="Q19" s="1382">
        <f t="shared" si="1"/>
        <v>0.61057000000000017</v>
      </c>
      <c r="R19" s="1367">
        <f>'Rates in Detail'!Y22</f>
        <v>2.3470000000000001E-2</v>
      </c>
      <c r="S19" s="1386">
        <f t="shared" si="2"/>
        <v>0.63404000000000016</v>
      </c>
      <c r="T19" s="131"/>
    </row>
    <row r="20" spans="2:20" x14ac:dyDescent="0.2">
      <c r="B20" s="110">
        <f t="shared" si="3"/>
        <v>11</v>
      </c>
      <c r="C20" s="1355" t="str">
        <f>'WA Volumes &amp; Revenues'!B25</f>
        <v>41C Interr Sales</v>
      </c>
      <c r="D20" s="1355" t="s">
        <v>4</v>
      </c>
      <c r="E20" s="115">
        <v>2000</v>
      </c>
      <c r="F20" s="116">
        <f>'WA Volumes &amp; Revenues'!E25</f>
        <v>0</v>
      </c>
      <c r="G20" s="116">
        <f>'WA Volumes &amp; Revenues'!H25</f>
        <v>0</v>
      </c>
      <c r="H20" s="912">
        <f>'WA Volumes &amp; Revenues'!O25</f>
        <v>250</v>
      </c>
      <c r="I20" s="913">
        <f>'WA Volumes &amp; Revenues'!N25</f>
        <v>250</v>
      </c>
      <c r="J20" s="628">
        <f>'Rates in Detail'!E23</f>
        <v>0.34372999999999987</v>
      </c>
      <c r="K20" s="630">
        <f>'Rates in Detail'!H23</f>
        <v>0</v>
      </c>
      <c r="L20" s="630">
        <f>'Rates in Detail'!F23</f>
        <v>0.26333000000000001</v>
      </c>
      <c r="M20" s="630">
        <f>'Rates in Detail'!I23</f>
        <v>5.3189999999999994E-2</v>
      </c>
      <c r="N20" s="137">
        <f t="shared" si="0"/>
        <v>0.66024999999999989</v>
      </c>
      <c r="O20" s="1375">
        <f>'Rates in Detail'!L23</f>
        <v>4.3560000000000001E-2</v>
      </c>
      <c r="P20" s="1376">
        <f>'Rates in Detail'!P23</f>
        <v>-3.2200000000000002E-3</v>
      </c>
      <c r="Q20" s="1383">
        <f t="shared" si="1"/>
        <v>0.70058999999999994</v>
      </c>
      <c r="R20" s="1376">
        <f>'Rates in Detail'!Y23</f>
        <v>2.1749999999999999E-2</v>
      </c>
      <c r="S20" s="1387">
        <f t="shared" si="2"/>
        <v>0.72233999999999998</v>
      </c>
      <c r="T20" s="131"/>
    </row>
    <row r="21" spans="2:20" x14ac:dyDescent="0.2">
      <c r="B21" s="110">
        <f t="shared" si="3"/>
        <v>12</v>
      </c>
      <c r="C21" s="111"/>
      <c r="D21" s="111" t="s">
        <v>5</v>
      </c>
      <c r="E21" s="112" t="s">
        <v>74</v>
      </c>
      <c r="F21" s="113">
        <f>'WA Volumes &amp; Revenues'!E26</f>
        <v>0</v>
      </c>
      <c r="G21" s="113"/>
      <c r="H21" s="907"/>
      <c r="I21" s="909"/>
      <c r="J21" s="627">
        <f>'Rates in Detail'!E24</f>
        <v>0.30284999999999984</v>
      </c>
      <c r="K21" s="631">
        <f>'Rates in Detail'!H24</f>
        <v>0</v>
      </c>
      <c r="L21" s="631">
        <f>'Rates in Detail'!F24</f>
        <v>0.26333000000000001</v>
      </c>
      <c r="M21" s="631">
        <f>'Rates in Detail'!I24</f>
        <v>4.6990000000000004E-2</v>
      </c>
      <c r="N21" s="135">
        <f t="shared" si="0"/>
        <v>0.61316999999999988</v>
      </c>
      <c r="O21" s="1374">
        <f>'Rates in Detail'!L24</f>
        <v>3.8379999999999997E-2</v>
      </c>
      <c r="P21" s="1367">
        <f>'Rates in Detail'!P24</f>
        <v>-2.8400000000000001E-3</v>
      </c>
      <c r="Q21" s="1382">
        <f t="shared" si="1"/>
        <v>0.6487099999999999</v>
      </c>
      <c r="R21" s="1367">
        <f>'Rates in Detail'!Y24</f>
        <v>1.917E-2</v>
      </c>
      <c r="S21" s="1386">
        <f t="shared" si="2"/>
        <v>0.66787999999999992</v>
      </c>
      <c r="T21" s="131"/>
    </row>
    <row r="22" spans="2:20" x14ac:dyDescent="0.2">
      <c r="B22" s="110">
        <f t="shared" si="3"/>
        <v>13</v>
      </c>
      <c r="C22" s="1355" t="str">
        <f>'WA Volumes &amp; Revenues'!B27</f>
        <v>41I Interr Sales</v>
      </c>
      <c r="D22" s="1355" t="s">
        <v>4</v>
      </c>
      <c r="E22" s="115">
        <v>2000</v>
      </c>
      <c r="F22" s="116">
        <f>'WA Volumes &amp; Revenues'!E27</f>
        <v>0</v>
      </c>
      <c r="G22" s="116">
        <f>'WA Volumes &amp; Revenues'!H27</f>
        <v>0</v>
      </c>
      <c r="H22" s="912">
        <f>'WA Volumes &amp; Revenues'!O27</f>
        <v>250</v>
      </c>
      <c r="I22" s="913">
        <f>'WA Volumes &amp; Revenues'!N27</f>
        <v>250</v>
      </c>
      <c r="J22" s="628">
        <f>'Rates in Detail'!E25</f>
        <v>0.34372999999999987</v>
      </c>
      <c r="K22" s="630">
        <f>'Rates in Detail'!H25</f>
        <v>0</v>
      </c>
      <c r="L22" s="630">
        <f>'Rates in Detail'!F25</f>
        <v>0.26333000000000001</v>
      </c>
      <c r="M22" s="630">
        <f>'Rates in Detail'!I25</f>
        <v>8.7499999999999991E-3</v>
      </c>
      <c r="N22" s="137">
        <f t="shared" si="0"/>
        <v>0.61580999999999997</v>
      </c>
      <c r="O22" s="1375">
        <f>'Rates in Detail'!L25</f>
        <v>4.3560000000000001E-2</v>
      </c>
      <c r="P22" s="1376">
        <f>'Rates in Detail'!P25</f>
        <v>-3.2200000000000002E-3</v>
      </c>
      <c r="Q22" s="1383">
        <f t="shared" si="1"/>
        <v>0.65615000000000001</v>
      </c>
      <c r="R22" s="1376">
        <f>'Rates in Detail'!Y25</f>
        <v>2.1749999999999999E-2</v>
      </c>
      <c r="S22" s="1387">
        <f t="shared" si="2"/>
        <v>0.67790000000000006</v>
      </c>
      <c r="T22" s="131"/>
    </row>
    <row r="23" spans="2:20" x14ac:dyDescent="0.2">
      <c r="B23" s="110">
        <f t="shared" si="3"/>
        <v>14</v>
      </c>
      <c r="C23" s="111"/>
      <c r="D23" s="111" t="s">
        <v>5</v>
      </c>
      <c r="E23" s="112" t="s">
        <v>74</v>
      </c>
      <c r="F23" s="113">
        <f>'WA Volumes &amp; Revenues'!E28</f>
        <v>0</v>
      </c>
      <c r="G23" s="113"/>
      <c r="H23" s="907"/>
      <c r="I23" s="909"/>
      <c r="J23" s="627">
        <f>'Rates in Detail'!E26</f>
        <v>0.30284999999999984</v>
      </c>
      <c r="K23" s="631">
        <f>'Rates in Detail'!H26</f>
        <v>0</v>
      </c>
      <c r="L23" s="631">
        <f>'Rates in Detail'!F26</f>
        <v>0.26333000000000001</v>
      </c>
      <c r="M23" s="631">
        <f>'Rates in Detail'!I26</f>
        <v>7.8399999999999997E-3</v>
      </c>
      <c r="N23" s="135">
        <f t="shared" si="0"/>
        <v>0.57401999999999986</v>
      </c>
      <c r="O23" s="1374">
        <f>'Rates in Detail'!L26</f>
        <v>3.8379999999999997E-2</v>
      </c>
      <c r="P23" s="1367">
        <f>'Rates in Detail'!P26</f>
        <v>-2.8400000000000001E-3</v>
      </c>
      <c r="Q23" s="1382">
        <f t="shared" si="1"/>
        <v>0.60955999999999988</v>
      </c>
      <c r="R23" s="1367">
        <f>'Rates in Detail'!Y26</f>
        <v>1.917E-2</v>
      </c>
      <c r="S23" s="1386">
        <f t="shared" si="2"/>
        <v>0.6287299999999999</v>
      </c>
      <c r="T23" s="131"/>
    </row>
    <row r="24" spans="2:20" x14ac:dyDescent="0.2">
      <c r="B24" s="110">
        <f t="shared" si="3"/>
        <v>15</v>
      </c>
      <c r="C24" s="1355" t="str">
        <f>'WA Volumes &amp; Revenues'!B29</f>
        <v>41C Firm Transpt</v>
      </c>
      <c r="D24" s="1355" t="s">
        <v>4</v>
      </c>
      <c r="E24" s="115">
        <v>2000</v>
      </c>
      <c r="F24" s="116">
        <f>'WA Volumes &amp; Revenues'!E29</f>
        <v>168721</v>
      </c>
      <c r="G24" s="116">
        <f>'WA Volumes &amp; Revenues'!H29</f>
        <v>7.916666666666667</v>
      </c>
      <c r="H24" s="912">
        <f>'WA Volumes &amp; Revenues'!O29</f>
        <v>500</v>
      </c>
      <c r="I24" s="913">
        <f>'WA Volumes &amp; Revenues'!N29</f>
        <v>500</v>
      </c>
      <c r="J24" s="628">
        <f>'Rates in Detail'!E27</f>
        <v>0.34791</v>
      </c>
      <c r="K24" s="630">
        <f>'Rates in Detail'!H27</f>
        <v>0</v>
      </c>
      <c r="L24" s="630">
        <f>'Rates in Detail'!F27</f>
        <v>0</v>
      </c>
      <c r="M24" s="630">
        <f>'Rates in Detail'!I27</f>
        <v>1.5499999999999999E-3</v>
      </c>
      <c r="N24" s="137">
        <f t="shared" si="0"/>
        <v>0.34945999999999999</v>
      </c>
      <c r="O24" s="1375">
        <f>'Rates in Detail'!L27</f>
        <v>6.3149999999999998E-2</v>
      </c>
      <c r="P24" s="1376">
        <f>'Rates in Detail'!P27</f>
        <v>-4.3499999999999997E-3</v>
      </c>
      <c r="Q24" s="1383">
        <f t="shared" si="1"/>
        <v>0.40825999999999996</v>
      </c>
      <c r="R24" s="1376">
        <f>'Rates in Detail'!Y27</f>
        <v>2.9610000000000001E-2</v>
      </c>
      <c r="S24" s="1387">
        <f t="shared" si="2"/>
        <v>0.43786999999999998</v>
      </c>
      <c r="T24" s="131"/>
    </row>
    <row r="25" spans="2:20" x14ac:dyDescent="0.2">
      <c r="B25" s="110">
        <f t="shared" si="3"/>
        <v>16</v>
      </c>
      <c r="C25" s="111"/>
      <c r="D25" s="111" t="s">
        <v>5</v>
      </c>
      <c r="E25" s="112" t="s">
        <v>74</v>
      </c>
      <c r="F25" s="113">
        <f>'WA Volumes &amp; Revenues'!E30</f>
        <v>272866</v>
      </c>
      <c r="G25" s="113"/>
      <c r="H25" s="907"/>
      <c r="I25" s="909"/>
      <c r="J25" s="627">
        <f>'Rates in Detail'!E28</f>
        <v>0.30653000000000008</v>
      </c>
      <c r="K25" s="631">
        <f>'Rates in Detail'!H28</f>
        <v>0</v>
      </c>
      <c r="L25" s="631">
        <f>'Rates in Detail'!F28</f>
        <v>0</v>
      </c>
      <c r="M25" s="631">
        <f>'Rates in Detail'!I28</f>
        <v>1.3600000000000001E-3</v>
      </c>
      <c r="N25" s="135">
        <f t="shared" si="0"/>
        <v>0.30789000000000011</v>
      </c>
      <c r="O25" s="1374">
        <f>'Rates in Detail'!L28</f>
        <v>5.5640000000000002E-2</v>
      </c>
      <c r="P25" s="1367">
        <f>'Rates in Detail'!P28</f>
        <v>-3.8300000000000001E-3</v>
      </c>
      <c r="Q25" s="1382">
        <f t="shared" si="1"/>
        <v>0.35970000000000013</v>
      </c>
      <c r="R25" s="1367">
        <f>'Rates in Detail'!Y28</f>
        <v>2.6089999999999999E-2</v>
      </c>
      <c r="S25" s="1386">
        <f t="shared" si="2"/>
        <v>0.38579000000000013</v>
      </c>
      <c r="T25" s="131"/>
    </row>
    <row r="26" spans="2:20" x14ac:dyDescent="0.2">
      <c r="B26" s="110">
        <f t="shared" si="3"/>
        <v>17</v>
      </c>
      <c r="C26" s="1355" t="str">
        <f>'WA Volumes &amp; Revenues'!B31</f>
        <v>41I Firm Transpt</v>
      </c>
      <c r="D26" s="1355" t="s">
        <v>4</v>
      </c>
      <c r="E26" s="115">
        <v>2000</v>
      </c>
      <c r="F26" s="116">
        <f>'WA Volumes &amp; Revenues'!E31</f>
        <v>0</v>
      </c>
      <c r="G26" s="116">
        <f>'WA Volumes &amp; Revenues'!H31</f>
        <v>0</v>
      </c>
      <c r="H26" s="912">
        <f>'WA Volumes &amp; Revenues'!O31</f>
        <v>500</v>
      </c>
      <c r="I26" s="913">
        <f>'WA Volumes &amp; Revenues'!N31</f>
        <v>500</v>
      </c>
      <c r="J26" s="628">
        <f>'Rates in Detail'!E29</f>
        <v>0.34791</v>
      </c>
      <c r="K26" s="630">
        <f>'Rates in Detail'!H29</f>
        <v>0</v>
      </c>
      <c r="L26" s="630">
        <f>'Rates in Detail'!F29</f>
        <v>0</v>
      </c>
      <c r="M26" s="630">
        <f>'Rates in Detail'!I29</f>
        <v>1.5499999999999999E-3</v>
      </c>
      <c r="N26" s="137">
        <f t="shared" si="0"/>
        <v>0.34945999999999999</v>
      </c>
      <c r="O26" s="1375">
        <f>'Rates in Detail'!L29</f>
        <v>4.4089999999999997E-2</v>
      </c>
      <c r="P26" s="1376">
        <f>'Rates in Detail'!P29</f>
        <v>-3.2599999999999999E-3</v>
      </c>
      <c r="Q26" s="1383">
        <f t="shared" si="1"/>
        <v>0.39029000000000003</v>
      </c>
      <c r="R26" s="1376">
        <f>'Rates in Detail'!Y29</f>
        <v>2.2020000000000001E-2</v>
      </c>
      <c r="S26" s="1387">
        <f t="shared" si="2"/>
        <v>0.41231000000000001</v>
      </c>
      <c r="T26" s="131"/>
    </row>
    <row r="27" spans="2:20" x14ac:dyDescent="0.2">
      <c r="B27" s="110">
        <f t="shared" si="3"/>
        <v>18</v>
      </c>
      <c r="C27" s="111"/>
      <c r="D27" s="111" t="s">
        <v>5</v>
      </c>
      <c r="E27" s="112" t="s">
        <v>74</v>
      </c>
      <c r="F27" s="113">
        <f>'WA Volumes &amp; Revenues'!E32</f>
        <v>0</v>
      </c>
      <c r="G27" s="113"/>
      <c r="H27" s="907"/>
      <c r="I27" s="909"/>
      <c r="J27" s="627">
        <f>'Rates in Detail'!E30</f>
        <v>0.30653000000000008</v>
      </c>
      <c r="K27" s="631">
        <f>'Rates in Detail'!H30</f>
        <v>0</v>
      </c>
      <c r="L27" s="631">
        <f>'Rates in Detail'!F30</f>
        <v>0</v>
      </c>
      <c r="M27" s="631">
        <f>'Rates in Detail'!I30</f>
        <v>1.3600000000000001E-3</v>
      </c>
      <c r="N27" s="135">
        <f t="shared" si="0"/>
        <v>0.30789000000000011</v>
      </c>
      <c r="O27" s="1374">
        <f>'Rates in Detail'!L30</f>
        <v>3.8850000000000003E-2</v>
      </c>
      <c r="P27" s="1367">
        <f>'Rates in Detail'!P30</f>
        <v>-2.8700000000000002E-3</v>
      </c>
      <c r="Q27" s="1382">
        <f t="shared" si="1"/>
        <v>0.34387000000000012</v>
      </c>
      <c r="R27" s="1367">
        <f>'Rates in Detail'!Y30</f>
        <v>1.9400000000000001E-2</v>
      </c>
      <c r="S27" s="1386">
        <f t="shared" si="2"/>
        <v>0.36327000000000009</v>
      </c>
      <c r="T27" s="131"/>
    </row>
    <row r="28" spans="2:20" x14ac:dyDescent="0.2">
      <c r="B28" s="110">
        <f t="shared" si="3"/>
        <v>19</v>
      </c>
      <c r="C28" s="1355" t="str">
        <f>'WA Volumes &amp; Revenues'!B33</f>
        <v>42C Firm Sales</v>
      </c>
      <c r="D28" s="1355" t="s">
        <v>4</v>
      </c>
      <c r="E28" s="115">
        <v>10000</v>
      </c>
      <c r="F28" s="116">
        <f>'WA Volumes &amp; Revenues'!E33</f>
        <v>350769.66174469434</v>
      </c>
      <c r="G28" s="116">
        <f>'WA Volumes &amp; Revenues'!H33</f>
        <v>5</v>
      </c>
      <c r="H28" s="912">
        <f>'WA Volumes &amp; Revenues'!O33</f>
        <v>1300</v>
      </c>
      <c r="I28" s="913">
        <f>'WA Volumes &amp; Revenues'!N33</f>
        <v>1300</v>
      </c>
      <c r="J28" s="628">
        <f>'Rates in Detail'!E31</f>
        <v>0.15245999999999996</v>
      </c>
      <c r="K28" s="630">
        <f>'Rates in Detail'!H31</f>
        <v>0</v>
      </c>
      <c r="L28" s="630">
        <f>'Rates in Detail'!F31</f>
        <v>0.26333000000000001</v>
      </c>
      <c r="M28" s="630">
        <f>'Rates in Detail'!I31</f>
        <v>1.9560000000000001E-2</v>
      </c>
      <c r="N28" s="137">
        <f t="shared" si="0"/>
        <v>0.43535000000000001</v>
      </c>
      <c r="O28" s="1375">
        <f>'Rates in Detail'!L31</f>
        <v>4.4949999999999997E-2</v>
      </c>
      <c r="P28" s="1376">
        <f>'Rates in Detail'!P31</f>
        <v>-3.0899999999999999E-3</v>
      </c>
      <c r="Q28" s="1383">
        <f t="shared" si="1"/>
        <v>0.47721000000000002</v>
      </c>
      <c r="R28" s="1376">
        <f>'Rates in Detail'!Y31</f>
        <v>2.1080000000000002E-2</v>
      </c>
      <c r="S28" s="1387">
        <f t="shared" si="2"/>
        <v>0.49829000000000001</v>
      </c>
      <c r="T28" s="131"/>
    </row>
    <row r="29" spans="2:20" x14ac:dyDescent="0.2">
      <c r="B29" s="110">
        <f t="shared" si="3"/>
        <v>20</v>
      </c>
      <c r="C29" s="1355"/>
      <c r="D29" s="1355" t="s">
        <v>5</v>
      </c>
      <c r="E29" s="115">
        <v>20000</v>
      </c>
      <c r="F29" s="116">
        <f>'WA Volumes &amp; Revenues'!E34</f>
        <v>303088.75426472601</v>
      </c>
      <c r="G29" s="116"/>
      <c r="H29" s="912"/>
      <c r="I29" s="913"/>
      <c r="J29" s="628">
        <f>'Rates in Detail'!E32</f>
        <v>0.1364699999999997</v>
      </c>
      <c r="K29" s="630">
        <f>'Rates in Detail'!H32</f>
        <v>0</v>
      </c>
      <c r="L29" s="630">
        <f>'Rates in Detail'!F32</f>
        <v>0.26333000000000001</v>
      </c>
      <c r="M29" s="630">
        <f>'Rates in Detail'!I32</f>
        <v>1.6539999999999999E-2</v>
      </c>
      <c r="N29" s="137">
        <f t="shared" si="0"/>
        <v>0.41633999999999971</v>
      </c>
      <c r="O29" s="1375">
        <f>'Rates in Detail'!L32</f>
        <v>4.0230000000000002E-2</v>
      </c>
      <c r="P29" s="1376">
        <f>'Rates in Detail'!P32</f>
        <v>-2.7699999999999999E-3</v>
      </c>
      <c r="Q29" s="1383">
        <f t="shared" si="1"/>
        <v>0.4537999999999997</v>
      </c>
      <c r="R29" s="1376">
        <f>'Rates in Detail'!Y32</f>
        <v>1.8859999999999998E-2</v>
      </c>
      <c r="S29" s="1387">
        <f t="shared" si="2"/>
        <v>0.47265999999999969</v>
      </c>
      <c r="T29" s="131"/>
    </row>
    <row r="30" spans="2:20" x14ac:dyDescent="0.2">
      <c r="B30" s="110">
        <f t="shared" si="3"/>
        <v>21</v>
      </c>
      <c r="C30" s="1355"/>
      <c r="D30" s="1355" t="s">
        <v>6</v>
      </c>
      <c r="E30" s="115">
        <v>20000</v>
      </c>
      <c r="F30" s="116">
        <f>'WA Volumes &amp; Revenues'!E35</f>
        <v>59441.942130257296</v>
      </c>
      <c r="G30" s="116"/>
      <c r="H30" s="912"/>
      <c r="I30" s="913"/>
      <c r="J30" s="628">
        <f>'Rates in Detail'!E33</f>
        <v>0.1046699999999999</v>
      </c>
      <c r="K30" s="630">
        <f>'Rates in Detail'!H33</f>
        <v>0</v>
      </c>
      <c r="L30" s="630">
        <f>'Rates in Detail'!F33</f>
        <v>0.26333000000000001</v>
      </c>
      <c r="M30" s="630">
        <f>'Rates in Detail'!I33</f>
        <v>1.052E-2</v>
      </c>
      <c r="N30" s="137">
        <f t="shared" si="0"/>
        <v>0.37851999999999986</v>
      </c>
      <c r="O30" s="1375">
        <f>'Rates in Detail'!L33</f>
        <v>3.0859999999999999E-2</v>
      </c>
      <c r="P30" s="1376">
        <f>'Rates in Detail'!P33</f>
        <v>-2.1199999999999999E-3</v>
      </c>
      <c r="Q30" s="1383">
        <f t="shared" si="1"/>
        <v>0.40725999999999984</v>
      </c>
      <c r="R30" s="1376">
        <f>'Rates in Detail'!Y33</f>
        <v>1.447E-2</v>
      </c>
      <c r="S30" s="1387">
        <f t="shared" si="2"/>
        <v>0.42172999999999983</v>
      </c>
      <c r="T30" s="131"/>
    </row>
    <row r="31" spans="2:20" x14ac:dyDescent="0.2">
      <c r="B31" s="110">
        <f t="shared" si="3"/>
        <v>22</v>
      </c>
      <c r="C31" s="1355"/>
      <c r="D31" s="1355" t="s">
        <v>7</v>
      </c>
      <c r="E31" s="115">
        <v>100000</v>
      </c>
      <c r="F31" s="116">
        <f>'WA Volumes &amp; Revenues'!E36</f>
        <v>3614.6071898605187</v>
      </c>
      <c r="G31" s="116"/>
      <c r="H31" s="912"/>
      <c r="I31" s="913"/>
      <c r="J31" s="628">
        <f>'Rates in Detail'!E34</f>
        <v>8.3729999999999999E-2</v>
      </c>
      <c r="K31" s="630">
        <f>'Rates in Detail'!H34</f>
        <v>0</v>
      </c>
      <c r="L31" s="630">
        <f>'Rates in Detail'!F34</f>
        <v>0.26333000000000001</v>
      </c>
      <c r="M31" s="630">
        <f>'Rates in Detail'!I34</f>
        <v>6.550000000000002E-3</v>
      </c>
      <c r="N31" s="137">
        <f t="shared" si="0"/>
        <v>0.35361000000000004</v>
      </c>
      <c r="O31" s="1375">
        <f>'Rates in Detail'!L34</f>
        <v>2.4680000000000001E-2</v>
      </c>
      <c r="P31" s="1376">
        <f>'Rates in Detail'!P34</f>
        <v>-1.6999999999999999E-3</v>
      </c>
      <c r="Q31" s="1383">
        <f t="shared" si="1"/>
        <v>0.37659000000000004</v>
      </c>
      <c r="R31" s="1376">
        <f>'Rates in Detail'!Y34</f>
        <v>1.157E-2</v>
      </c>
      <c r="S31" s="1387">
        <f t="shared" si="2"/>
        <v>0.38816000000000006</v>
      </c>
      <c r="T31" s="131"/>
    </row>
    <row r="32" spans="2:20" x14ac:dyDescent="0.2">
      <c r="B32" s="110">
        <f t="shared" si="3"/>
        <v>23</v>
      </c>
      <c r="C32" s="1355"/>
      <c r="D32" s="1355" t="s">
        <v>8</v>
      </c>
      <c r="E32" s="115">
        <v>600000</v>
      </c>
      <c r="F32" s="116">
        <f>'WA Volumes &amp; Revenues'!E37</f>
        <v>0</v>
      </c>
      <c r="G32" s="116"/>
      <c r="H32" s="912"/>
      <c r="I32" s="913"/>
      <c r="J32" s="628">
        <f>'Rates in Detail'!E35</f>
        <v>5.5809999999999992E-2</v>
      </c>
      <c r="K32" s="630">
        <f>'Rates in Detail'!H35</f>
        <v>0</v>
      </c>
      <c r="L32" s="630">
        <f>'Rates in Detail'!F35</f>
        <v>0.26333000000000001</v>
      </c>
      <c r="M32" s="630">
        <f>'Rates in Detail'!I35</f>
        <v>1.239999999999998E-3</v>
      </c>
      <c r="N32" s="137">
        <f t="shared" si="0"/>
        <v>0.32038</v>
      </c>
      <c r="O32" s="1375">
        <f>'Rates in Detail'!L35</f>
        <v>1.6449999999999999E-2</v>
      </c>
      <c r="P32" s="1376">
        <f>'Rates in Detail'!P35</f>
        <v>-1.1299999999999999E-3</v>
      </c>
      <c r="Q32" s="1383">
        <f t="shared" si="1"/>
        <v>0.3357</v>
      </c>
      <c r="R32" s="1376">
        <f>'Rates in Detail'!Y35</f>
        <v>7.7099999999999998E-3</v>
      </c>
      <c r="S32" s="1387">
        <f t="shared" si="2"/>
        <v>0.34340999999999999</v>
      </c>
      <c r="T32" s="131"/>
    </row>
    <row r="33" spans="2:20" x14ac:dyDescent="0.2">
      <c r="B33" s="110">
        <f t="shared" si="3"/>
        <v>24</v>
      </c>
      <c r="C33" s="111"/>
      <c r="D33" s="111" t="s">
        <v>9</v>
      </c>
      <c r="E33" s="112" t="s">
        <v>74</v>
      </c>
      <c r="F33" s="113">
        <f>'WA Volumes &amp; Revenues'!E38</f>
        <v>0</v>
      </c>
      <c r="G33" s="113"/>
      <c r="H33" s="907"/>
      <c r="I33" s="909"/>
      <c r="J33" s="627">
        <f>'Rates in Detail'!E36</f>
        <v>2.0920000000000029E-2</v>
      </c>
      <c r="K33" s="631">
        <f>'Rates in Detail'!H36</f>
        <v>0</v>
      </c>
      <c r="L33" s="631">
        <f>'Rates in Detail'!F36</f>
        <v>0.26333000000000001</v>
      </c>
      <c r="M33" s="631">
        <f>'Rates in Detail'!I36</f>
        <v>-5.3500000000000006E-3</v>
      </c>
      <c r="N33" s="135">
        <f t="shared" si="0"/>
        <v>0.27890000000000004</v>
      </c>
      <c r="O33" s="1374">
        <f>'Rates in Detail'!L36</f>
        <v>6.1700000000000001E-3</v>
      </c>
      <c r="P33" s="1367">
        <f>'Rates in Detail'!P36</f>
        <v>-4.2000000000000002E-4</v>
      </c>
      <c r="Q33" s="1382">
        <f t="shared" si="1"/>
        <v>0.28465000000000007</v>
      </c>
      <c r="R33" s="1367">
        <f>'Rates in Detail'!Y36</f>
        <v>2.8900000000000002E-3</v>
      </c>
      <c r="S33" s="1386">
        <f t="shared" si="2"/>
        <v>0.28754000000000007</v>
      </c>
      <c r="T33" s="131"/>
    </row>
    <row r="34" spans="2:20" x14ac:dyDescent="0.2">
      <c r="B34" s="110">
        <f t="shared" si="3"/>
        <v>25</v>
      </c>
      <c r="C34" s="1355" t="str">
        <f>'WA Volumes &amp; Revenues'!B39</f>
        <v>42I Firm Sales</v>
      </c>
      <c r="D34" s="1355" t="s">
        <v>4</v>
      </c>
      <c r="E34" s="115">
        <v>10000</v>
      </c>
      <c r="F34" s="116">
        <f>'WA Volumes &amp; Revenues'!E39</f>
        <v>1093724.2000000002</v>
      </c>
      <c r="G34" s="116">
        <f>'WA Volumes &amp; Revenues'!H39</f>
        <v>11.916666666666666</v>
      </c>
      <c r="H34" s="912">
        <f>'WA Volumes &amp; Revenues'!O39</f>
        <v>1300</v>
      </c>
      <c r="I34" s="913">
        <f>'WA Volumes &amp; Revenues'!N39</f>
        <v>1300</v>
      </c>
      <c r="J34" s="628">
        <f>'Rates in Detail'!E37</f>
        <v>0.14721000000000001</v>
      </c>
      <c r="K34" s="630">
        <f>'Rates in Detail'!H37</f>
        <v>0</v>
      </c>
      <c r="L34" s="630">
        <f>'Rates in Detail'!F37</f>
        <v>0.26333000000000001</v>
      </c>
      <c r="M34" s="630">
        <f>'Rates in Detail'!I37</f>
        <v>-4.6100000000000012E-3</v>
      </c>
      <c r="N34" s="137">
        <f t="shared" si="0"/>
        <v>0.40593000000000001</v>
      </c>
      <c r="O34" s="1375">
        <f>'Rates in Detail'!L37</f>
        <v>3.9980000000000002E-2</v>
      </c>
      <c r="P34" s="1376">
        <f>'Rates in Detail'!P37</f>
        <v>-2.7499999999999998E-3</v>
      </c>
      <c r="Q34" s="1383">
        <f t="shared" si="1"/>
        <v>0.44316000000000005</v>
      </c>
      <c r="R34" s="1376">
        <f>'Rates in Detail'!Y37</f>
        <v>1.8749999999999999E-2</v>
      </c>
      <c r="S34" s="1387">
        <f t="shared" si="2"/>
        <v>0.46191000000000004</v>
      </c>
      <c r="T34" s="131"/>
    </row>
    <row r="35" spans="2:20" x14ac:dyDescent="0.2">
      <c r="B35" s="110">
        <f t="shared" si="3"/>
        <v>26</v>
      </c>
      <c r="C35" s="1355"/>
      <c r="D35" s="1355" t="s">
        <v>5</v>
      </c>
      <c r="E35" s="115">
        <v>20000</v>
      </c>
      <c r="F35" s="116">
        <f>'WA Volumes &amp; Revenues'!E40</f>
        <v>655939.80000000005</v>
      </c>
      <c r="G35" s="116"/>
      <c r="H35" s="912"/>
      <c r="I35" s="913"/>
      <c r="J35" s="628">
        <f>'Rates in Detail'!E38</f>
        <v>0.13177</v>
      </c>
      <c r="K35" s="630">
        <f>'Rates in Detail'!H38</f>
        <v>0</v>
      </c>
      <c r="L35" s="630">
        <f>'Rates in Detail'!F38</f>
        <v>0.26333000000000001</v>
      </c>
      <c r="M35" s="630">
        <f>'Rates in Detail'!I38</f>
        <v>-5.1100000000000008E-3</v>
      </c>
      <c r="N35" s="137">
        <f t="shared" si="0"/>
        <v>0.38999</v>
      </c>
      <c r="O35" s="1375">
        <f>'Rates in Detail'!L38</f>
        <v>3.5790000000000002E-2</v>
      </c>
      <c r="P35" s="1376">
        <f>'Rates in Detail'!P38</f>
        <v>-2.4599999999999999E-3</v>
      </c>
      <c r="Q35" s="1383">
        <f t="shared" si="1"/>
        <v>0.42331999999999997</v>
      </c>
      <c r="R35" s="1376">
        <f>'Rates in Detail'!Y38</f>
        <v>1.678E-2</v>
      </c>
      <c r="S35" s="1387">
        <f t="shared" si="2"/>
        <v>0.44009999999999999</v>
      </c>
      <c r="T35" s="131"/>
    </row>
    <row r="36" spans="2:20" x14ac:dyDescent="0.2">
      <c r="B36" s="110">
        <f t="shared" si="3"/>
        <v>27</v>
      </c>
      <c r="C36" s="1355"/>
      <c r="D36" s="1355" t="s">
        <v>6</v>
      </c>
      <c r="E36" s="115">
        <v>20000</v>
      </c>
      <c r="F36" s="116">
        <f>'WA Volumes &amp; Revenues'!E41</f>
        <v>81241.3</v>
      </c>
      <c r="G36" s="116"/>
      <c r="H36" s="912"/>
      <c r="I36" s="913"/>
      <c r="J36" s="628">
        <f>'Rates in Detail'!E39</f>
        <v>0.10104999999999985</v>
      </c>
      <c r="K36" s="630">
        <f>'Rates in Detail'!H39</f>
        <v>0</v>
      </c>
      <c r="L36" s="630">
        <f>'Rates in Detail'!F39</f>
        <v>0.26333000000000001</v>
      </c>
      <c r="M36" s="630">
        <f>'Rates in Detail'!I39</f>
        <v>-6.0700000000000007E-3</v>
      </c>
      <c r="N36" s="137">
        <f t="shared" si="0"/>
        <v>0.35830999999999985</v>
      </c>
      <c r="O36" s="1375">
        <f>'Rates in Detail'!L39</f>
        <v>2.7439999999999999E-2</v>
      </c>
      <c r="P36" s="1376">
        <f>'Rates in Detail'!P39</f>
        <v>-1.89E-3</v>
      </c>
      <c r="Q36" s="1383">
        <f t="shared" si="1"/>
        <v>0.38385999999999987</v>
      </c>
      <c r="R36" s="1376">
        <f>'Rates in Detail'!Y39</f>
        <v>1.2869999999999999E-2</v>
      </c>
      <c r="S36" s="1387">
        <f t="shared" si="2"/>
        <v>0.39672999999999986</v>
      </c>
      <c r="T36" s="131"/>
    </row>
    <row r="37" spans="2:20" x14ac:dyDescent="0.2">
      <c r="B37" s="110">
        <f t="shared" si="3"/>
        <v>28</v>
      </c>
      <c r="C37" s="1355"/>
      <c r="D37" s="1355" t="s">
        <v>7</v>
      </c>
      <c r="E37" s="115">
        <v>100000</v>
      </c>
      <c r="F37" s="116">
        <f>'WA Volumes &amp; Revenues'!E42</f>
        <v>9320.1</v>
      </c>
      <c r="G37" s="116"/>
      <c r="H37" s="912"/>
      <c r="I37" s="913"/>
      <c r="J37" s="628">
        <f>'Rates in Detail'!E40</f>
        <v>8.0839999999999995E-2</v>
      </c>
      <c r="K37" s="630">
        <f>'Rates in Detail'!H40</f>
        <v>0</v>
      </c>
      <c r="L37" s="630">
        <f>'Rates in Detail'!F40</f>
        <v>0.26333000000000001</v>
      </c>
      <c r="M37" s="630">
        <f>'Rates in Detail'!I40</f>
        <v>-6.7300000000000007E-3</v>
      </c>
      <c r="N37" s="137">
        <f t="shared" si="0"/>
        <v>0.33743999999999996</v>
      </c>
      <c r="O37" s="1375">
        <f>'Rates in Detail'!L40</f>
        <v>2.196E-2</v>
      </c>
      <c r="P37" s="1376">
        <f>'Rates in Detail'!P40</f>
        <v>-1.5100000000000001E-3</v>
      </c>
      <c r="Q37" s="1383">
        <f t="shared" si="1"/>
        <v>0.35788999999999993</v>
      </c>
      <c r="R37" s="1376">
        <f>'Rates in Detail'!Y40</f>
        <v>1.03E-2</v>
      </c>
      <c r="S37" s="1387">
        <f t="shared" si="2"/>
        <v>0.36818999999999991</v>
      </c>
      <c r="T37" s="131"/>
    </row>
    <row r="38" spans="2:20" x14ac:dyDescent="0.2">
      <c r="B38" s="110">
        <f t="shared" si="3"/>
        <v>29</v>
      </c>
      <c r="C38" s="1355"/>
      <c r="D38" s="1355" t="s">
        <v>8</v>
      </c>
      <c r="E38" s="115">
        <v>600000</v>
      </c>
      <c r="F38" s="116">
        <f>'WA Volumes &amp; Revenues'!E43</f>
        <v>0</v>
      </c>
      <c r="G38" s="116"/>
      <c r="H38" s="912"/>
      <c r="I38" s="913"/>
      <c r="J38" s="628">
        <f>'Rates in Detail'!E41</f>
        <v>5.391E-2</v>
      </c>
      <c r="K38" s="630">
        <f>'Rates in Detail'!H41</f>
        <v>0</v>
      </c>
      <c r="L38" s="630">
        <f>'Rates in Detail'!F41</f>
        <v>0.26333000000000001</v>
      </c>
      <c r="M38" s="630">
        <f>'Rates in Detail'!I41</f>
        <v>-7.5900000000000004E-3</v>
      </c>
      <c r="N38" s="137">
        <f t="shared" si="0"/>
        <v>0.30965000000000004</v>
      </c>
      <c r="O38" s="1375">
        <f>'Rates in Detail'!L41</f>
        <v>1.464E-2</v>
      </c>
      <c r="P38" s="1376">
        <f>'Rates in Detail'!P41</f>
        <v>-1.01E-3</v>
      </c>
      <c r="Q38" s="1383">
        <f t="shared" si="1"/>
        <v>0.32328000000000001</v>
      </c>
      <c r="R38" s="1376">
        <f>'Rates in Detail'!Y41</f>
        <v>6.8700000000000002E-3</v>
      </c>
      <c r="S38" s="1387">
        <f t="shared" si="2"/>
        <v>0.33015</v>
      </c>
      <c r="T38" s="131"/>
    </row>
    <row r="39" spans="2:20" x14ac:dyDescent="0.2">
      <c r="B39" s="110">
        <f t="shared" si="3"/>
        <v>30</v>
      </c>
      <c r="C39" s="111"/>
      <c r="D39" s="111" t="s">
        <v>9</v>
      </c>
      <c r="E39" s="112" t="s">
        <v>74</v>
      </c>
      <c r="F39" s="113">
        <f>'WA Volumes &amp; Revenues'!E44</f>
        <v>0</v>
      </c>
      <c r="G39" s="113"/>
      <c r="H39" s="907"/>
      <c r="I39" s="909"/>
      <c r="J39" s="627">
        <f>'Rates in Detail'!E42</f>
        <v>2.0199999999999999E-2</v>
      </c>
      <c r="K39" s="631">
        <f>'Rates in Detail'!H42</f>
        <v>0</v>
      </c>
      <c r="L39" s="631">
        <f>'Rates in Detail'!F42</f>
        <v>0.26333000000000001</v>
      </c>
      <c r="M39" s="631">
        <f>'Rates in Detail'!I42</f>
        <v>-8.6700000000000006E-3</v>
      </c>
      <c r="N39" s="135">
        <f t="shared" si="0"/>
        <v>0.27485999999999999</v>
      </c>
      <c r="O39" s="1374">
        <f>'Rates in Detail'!L42</f>
        <v>5.4900000000000001E-3</v>
      </c>
      <c r="P39" s="1367">
        <f>'Rates in Detail'!P42</f>
        <v>-3.8000000000000002E-4</v>
      </c>
      <c r="Q39" s="1382">
        <f t="shared" si="1"/>
        <v>0.27997</v>
      </c>
      <c r="R39" s="1367">
        <f>'Rates in Detail'!Y42</f>
        <v>2.5699999999999998E-3</v>
      </c>
      <c r="S39" s="1386">
        <f t="shared" si="2"/>
        <v>0.28254000000000001</v>
      </c>
      <c r="T39" s="131"/>
    </row>
    <row r="40" spans="2:20" x14ac:dyDescent="0.2">
      <c r="B40" s="110">
        <f t="shared" si="3"/>
        <v>31</v>
      </c>
      <c r="C40" s="1355" t="str">
        <f>'WA Volumes &amp; Revenues'!B45</f>
        <v>42C Firm Transpt</v>
      </c>
      <c r="D40" s="1355" t="s">
        <v>4</v>
      </c>
      <c r="E40" s="115">
        <v>10000</v>
      </c>
      <c r="F40" s="116">
        <f>'WA Volumes &amp; Revenues'!E45</f>
        <v>480000</v>
      </c>
      <c r="G40" s="116">
        <f>'WA Volumes &amp; Revenues'!H45</f>
        <v>4</v>
      </c>
      <c r="H40" s="912">
        <f>'WA Volumes &amp; Revenues'!O45</f>
        <v>1550</v>
      </c>
      <c r="I40" s="913">
        <f>'WA Volumes &amp; Revenues'!N45</f>
        <v>1550</v>
      </c>
      <c r="J40" s="628">
        <f>'Rates in Detail'!E43</f>
        <v>0.13791999999999999</v>
      </c>
      <c r="K40" s="630">
        <f>'Rates in Detail'!H43</f>
        <v>0</v>
      </c>
      <c r="L40" s="630">
        <f>'Rates in Detail'!F43</f>
        <v>0</v>
      </c>
      <c r="M40" s="630">
        <f>'Rates in Detail'!I43</f>
        <v>5.9999999999999995E-4</v>
      </c>
      <c r="N40" s="137">
        <f t="shared" si="0"/>
        <v>0.13851999999999998</v>
      </c>
      <c r="O40" s="1375">
        <f>'Rates in Detail'!L43</f>
        <v>2.5399999999999999E-2</v>
      </c>
      <c r="P40" s="1376">
        <f>'Rates in Detail'!P43</f>
        <v>-1.75E-3</v>
      </c>
      <c r="Q40" s="1383">
        <f t="shared" si="1"/>
        <v>0.16216999999999998</v>
      </c>
      <c r="R40" s="1376">
        <f>'Rates in Detail'!Y43</f>
        <v>1.191E-2</v>
      </c>
      <c r="S40" s="1387">
        <f t="shared" si="2"/>
        <v>0.17407999999999998</v>
      </c>
      <c r="T40" s="131"/>
    </row>
    <row r="41" spans="2:20" x14ac:dyDescent="0.2">
      <c r="B41" s="110">
        <f t="shared" si="3"/>
        <v>32</v>
      </c>
      <c r="C41" s="1355"/>
      <c r="D41" s="1355" t="s">
        <v>5</v>
      </c>
      <c r="E41" s="115">
        <v>20000</v>
      </c>
      <c r="F41" s="116">
        <f>'WA Volumes &amp; Revenues'!E46</f>
        <v>807846</v>
      </c>
      <c r="G41" s="116"/>
      <c r="H41" s="912"/>
      <c r="I41" s="913"/>
      <c r="J41" s="628">
        <f>'Rates in Detail'!E44</f>
        <v>0.12346999999999998</v>
      </c>
      <c r="K41" s="630">
        <f>'Rates in Detail'!H44</f>
        <v>0</v>
      </c>
      <c r="L41" s="630">
        <f>'Rates in Detail'!F44</f>
        <v>0</v>
      </c>
      <c r="M41" s="630">
        <f>'Rates in Detail'!I44</f>
        <v>5.2999999999999998E-4</v>
      </c>
      <c r="N41" s="137">
        <f t="shared" si="0"/>
        <v>0.12399999999999999</v>
      </c>
      <c r="O41" s="1375">
        <f>'Rates in Detail'!L44</f>
        <v>2.274E-2</v>
      </c>
      <c r="P41" s="1376">
        <f>'Rates in Detail'!P44</f>
        <v>-1.57E-3</v>
      </c>
      <c r="Q41" s="1383">
        <f t="shared" si="1"/>
        <v>0.14516999999999999</v>
      </c>
      <c r="R41" s="1376">
        <f>'Rates in Detail'!Y44</f>
        <v>1.0659999999999999E-2</v>
      </c>
      <c r="S41" s="1387">
        <f t="shared" si="2"/>
        <v>0.15583</v>
      </c>
      <c r="T41" s="131"/>
    </row>
    <row r="42" spans="2:20" x14ac:dyDescent="0.2">
      <c r="B42" s="110">
        <f t="shared" si="3"/>
        <v>33</v>
      </c>
      <c r="C42" s="1355"/>
      <c r="D42" s="1355" t="s">
        <v>6</v>
      </c>
      <c r="E42" s="115">
        <v>20000</v>
      </c>
      <c r="F42" s="116">
        <f>'WA Volumes &amp; Revenues'!E47</f>
        <v>583779</v>
      </c>
      <c r="G42" s="116"/>
      <c r="H42" s="912"/>
      <c r="I42" s="913"/>
      <c r="J42" s="628">
        <f>'Rates in Detail'!E45</f>
        <v>9.4670000000000004E-2</v>
      </c>
      <c r="K42" s="630">
        <f>'Rates in Detail'!H45</f>
        <v>0</v>
      </c>
      <c r="L42" s="630">
        <f>'Rates in Detail'!F45</f>
        <v>0</v>
      </c>
      <c r="M42" s="630">
        <f>'Rates in Detail'!I45</f>
        <v>4.1000000000000005E-4</v>
      </c>
      <c r="N42" s="137">
        <f t="shared" si="0"/>
        <v>9.5079999999999998E-2</v>
      </c>
      <c r="O42" s="1375">
        <f>'Rates in Detail'!L45</f>
        <v>1.7440000000000001E-2</v>
      </c>
      <c r="P42" s="1376">
        <f>'Rates in Detail'!P45</f>
        <v>-1.1999999999999999E-3</v>
      </c>
      <c r="Q42" s="1383">
        <f t="shared" si="1"/>
        <v>0.11131999999999999</v>
      </c>
      <c r="R42" s="1376">
        <f>'Rates in Detail'!Y45</f>
        <v>8.1799999999999998E-3</v>
      </c>
      <c r="S42" s="1387">
        <f t="shared" si="2"/>
        <v>0.1195</v>
      </c>
      <c r="T42" s="131"/>
    </row>
    <row r="43" spans="2:20" x14ac:dyDescent="0.2">
      <c r="B43" s="110">
        <f t="shared" si="3"/>
        <v>34</v>
      </c>
      <c r="C43" s="1355"/>
      <c r="D43" s="1355" t="s">
        <v>7</v>
      </c>
      <c r="E43" s="115">
        <v>100000</v>
      </c>
      <c r="F43" s="116">
        <f>'WA Volumes &amp; Revenues'!E48</f>
        <v>598933</v>
      </c>
      <c r="G43" s="116"/>
      <c r="H43" s="912"/>
      <c r="I43" s="913"/>
      <c r="J43" s="628">
        <f>'Rates in Detail'!E46</f>
        <v>7.5750000000000012E-2</v>
      </c>
      <c r="K43" s="630">
        <f>'Rates in Detail'!H46</f>
        <v>0</v>
      </c>
      <c r="L43" s="630">
        <f>'Rates in Detail'!F46</f>
        <v>0</v>
      </c>
      <c r="M43" s="630">
        <f>'Rates in Detail'!I46</f>
        <v>3.1999999999999997E-4</v>
      </c>
      <c r="N43" s="137">
        <f t="shared" si="0"/>
        <v>7.6070000000000013E-2</v>
      </c>
      <c r="O43" s="1375">
        <f>'Rates in Detail'!L46</f>
        <v>1.3950000000000001E-2</v>
      </c>
      <c r="P43" s="1376">
        <f>'Rates in Detail'!P46</f>
        <v>-9.6000000000000002E-4</v>
      </c>
      <c r="Q43" s="1383">
        <f t="shared" si="1"/>
        <v>8.9060000000000014E-2</v>
      </c>
      <c r="R43" s="1376">
        <f>'Rates in Detail'!Y46</f>
        <v>6.5399999999999998E-3</v>
      </c>
      <c r="S43" s="1387">
        <f t="shared" si="2"/>
        <v>9.5600000000000018E-2</v>
      </c>
      <c r="T43" s="131"/>
    </row>
    <row r="44" spans="2:20" x14ac:dyDescent="0.2">
      <c r="B44" s="110">
        <f t="shared" si="3"/>
        <v>35</v>
      </c>
      <c r="C44" s="1355"/>
      <c r="D44" s="1355" t="s">
        <v>8</v>
      </c>
      <c r="E44" s="115">
        <v>600000</v>
      </c>
      <c r="F44" s="116">
        <f>'WA Volumes &amp; Revenues'!E49</f>
        <v>0</v>
      </c>
      <c r="G44" s="116"/>
      <c r="H44" s="912"/>
      <c r="I44" s="913"/>
      <c r="J44" s="628">
        <f>'Rates in Detail'!E47</f>
        <v>5.0500000000000003E-2</v>
      </c>
      <c r="K44" s="630">
        <f>'Rates in Detail'!H47</f>
        <v>0</v>
      </c>
      <c r="L44" s="630">
        <f>'Rates in Detail'!F47</f>
        <v>0</v>
      </c>
      <c r="M44" s="630">
        <f>'Rates in Detail'!I47</f>
        <v>2.1000000000000001E-4</v>
      </c>
      <c r="N44" s="137">
        <f t="shared" si="0"/>
        <v>5.0710000000000005E-2</v>
      </c>
      <c r="O44" s="1375">
        <f>'Rates in Detail'!L47</f>
        <v>9.2999999999999992E-3</v>
      </c>
      <c r="P44" s="1376">
        <f>'Rates in Detail'!P47</f>
        <v>-6.4000000000000005E-4</v>
      </c>
      <c r="Q44" s="1383">
        <f t="shared" si="1"/>
        <v>5.9370000000000006E-2</v>
      </c>
      <c r="R44" s="1376">
        <f>'Rates in Detail'!Y47</f>
        <v>4.3600000000000002E-3</v>
      </c>
      <c r="S44" s="1387">
        <f t="shared" si="2"/>
        <v>6.3730000000000009E-2</v>
      </c>
      <c r="T44" s="131"/>
    </row>
    <row r="45" spans="2:20" x14ac:dyDescent="0.2">
      <c r="B45" s="110">
        <f t="shared" si="3"/>
        <v>36</v>
      </c>
      <c r="C45" s="111"/>
      <c r="D45" s="111" t="s">
        <v>9</v>
      </c>
      <c r="E45" s="112" t="s">
        <v>74</v>
      </c>
      <c r="F45" s="113">
        <f>'WA Volumes &amp; Revenues'!E50</f>
        <v>0</v>
      </c>
      <c r="G45" s="113"/>
      <c r="H45" s="907"/>
      <c r="I45" s="909"/>
      <c r="J45" s="627">
        <f>'Rates in Detail'!E48</f>
        <v>1.8929999999999999E-2</v>
      </c>
      <c r="K45" s="631">
        <f>'Rates in Detail'!H48</f>
        <v>0</v>
      </c>
      <c r="L45" s="631">
        <f>'Rates in Detail'!F48</f>
        <v>0</v>
      </c>
      <c r="M45" s="631">
        <f>'Rates in Detail'!I48</f>
        <v>7.9999999999999993E-5</v>
      </c>
      <c r="N45" s="135">
        <f t="shared" si="0"/>
        <v>1.9009999999999999E-2</v>
      </c>
      <c r="O45" s="1374">
        <f>'Rates in Detail'!L48</f>
        <v>3.49E-3</v>
      </c>
      <c r="P45" s="1367">
        <f>'Rates in Detail'!P48</f>
        <v>-2.4000000000000001E-4</v>
      </c>
      <c r="Q45" s="1382">
        <f t="shared" si="1"/>
        <v>2.2259999999999999E-2</v>
      </c>
      <c r="R45" s="1367">
        <f>'Rates in Detail'!Y48</f>
        <v>1.64E-3</v>
      </c>
      <c r="S45" s="1386">
        <f t="shared" si="2"/>
        <v>2.3899999999999998E-2</v>
      </c>
      <c r="T45" s="131"/>
    </row>
    <row r="46" spans="2:20" x14ac:dyDescent="0.2">
      <c r="B46" s="110">
        <f t="shared" si="3"/>
        <v>37</v>
      </c>
      <c r="C46" s="1355" t="str">
        <f>'WA Volumes &amp; Revenues'!B51</f>
        <v>42I Firm Transpt</v>
      </c>
      <c r="D46" s="1355" t="s">
        <v>4</v>
      </c>
      <c r="E46" s="115">
        <v>10000</v>
      </c>
      <c r="F46" s="116">
        <f>'WA Volumes &amp; Revenues'!E51</f>
        <v>924395</v>
      </c>
      <c r="G46" s="116">
        <f>'WA Volumes &amp; Revenues'!H51</f>
        <v>8.9166666666666661</v>
      </c>
      <c r="H46" s="912">
        <f>'WA Volumes &amp; Revenues'!O51</f>
        <v>1550</v>
      </c>
      <c r="I46" s="913">
        <f>'WA Volumes &amp; Revenues'!N51</f>
        <v>1550</v>
      </c>
      <c r="J46" s="628">
        <f>'Rates in Detail'!E49</f>
        <v>0.13941000000000001</v>
      </c>
      <c r="K46" s="630">
        <f>'Rates in Detail'!H49</f>
        <v>0</v>
      </c>
      <c r="L46" s="630">
        <f>'Rates in Detail'!F49</f>
        <v>0</v>
      </c>
      <c r="M46" s="630">
        <f>'Rates in Detail'!I49</f>
        <v>5.8999999999999992E-4</v>
      </c>
      <c r="N46" s="137">
        <f t="shared" si="0"/>
        <v>0.14000000000000001</v>
      </c>
      <c r="O46" s="1375">
        <f>'Rates in Detail'!L49</f>
        <v>2.5739999999999999E-2</v>
      </c>
      <c r="P46" s="1376">
        <f>'Rates in Detail'!P49</f>
        <v>-1.7700000000000001E-3</v>
      </c>
      <c r="Q46" s="1383">
        <f t="shared" si="1"/>
        <v>0.16397</v>
      </c>
      <c r="R46" s="1376">
        <f>'Rates in Detail'!Y49</f>
        <v>1.2070000000000001E-2</v>
      </c>
      <c r="S46" s="1387">
        <f t="shared" si="2"/>
        <v>0.17604</v>
      </c>
      <c r="T46" s="131"/>
    </row>
    <row r="47" spans="2:20" x14ac:dyDescent="0.2">
      <c r="B47" s="110">
        <f t="shared" si="3"/>
        <v>38</v>
      </c>
      <c r="C47" s="1355"/>
      <c r="D47" s="1355" t="s">
        <v>5</v>
      </c>
      <c r="E47" s="115">
        <v>20000</v>
      </c>
      <c r="F47" s="116">
        <f>'WA Volumes &amp; Revenues'!E52</f>
        <v>1036796</v>
      </c>
      <c r="G47" s="116"/>
      <c r="H47" s="912"/>
      <c r="I47" s="913"/>
      <c r="J47" s="628">
        <f>'Rates in Detail'!E50</f>
        <v>0.12478999999999997</v>
      </c>
      <c r="K47" s="630">
        <f>'Rates in Detail'!H50</f>
        <v>0</v>
      </c>
      <c r="L47" s="630">
        <f>'Rates in Detail'!F50</f>
        <v>0</v>
      </c>
      <c r="M47" s="630">
        <f>'Rates in Detail'!I50</f>
        <v>5.2000000000000006E-4</v>
      </c>
      <c r="N47" s="137">
        <f t="shared" si="0"/>
        <v>0.12530999999999998</v>
      </c>
      <c r="O47" s="1375">
        <f>'Rates in Detail'!L50</f>
        <v>2.3040000000000001E-2</v>
      </c>
      <c r="P47" s="1376">
        <f>'Rates in Detail'!P50</f>
        <v>-1.5900000000000001E-3</v>
      </c>
      <c r="Q47" s="1383">
        <f t="shared" si="1"/>
        <v>0.14675999999999997</v>
      </c>
      <c r="R47" s="1376">
        <f>'Rates in Detail'!Y50</f>
        <v>1.0800000000000001E-2</v>
      </c>
      <c r="S47" s="1387">
        <f t="shared" si="2"/>
        <v>0.15755999999999998</v>
      </c>
      <c r="T47" s="131"/>
    </row>
    <row r="48" spans="2:20" x14ac:dyDescent="0.2">
      <c r="B48" s="110">
        <f t="shared" si="3"/>
        <v>39</v>
      </c>
      <c r="C48" s="1355"/>
      <c r="D48" s="1355" t="s">
        <v>6</v>
      </c>
      <c r="E48" s="115">
        <v>20000</v>
      </c>
      <c r="F48" s="116">
        <f>'WA Volumes &amp; Revenues'!E53</f>
        <v>937215</v>
      </c>
      <c r="G48" s="116"/>
      <c r="H48" s="912"/>
      <c r="I48" s="913"/>
      <c r="J48" s="628">
        <f>'Rates in Detail'!E51</f>
        <v>9.5690000000000011E-2</v>
      </c>
      <c r="K48" s="630">
        <f>'Rates in Detail'!H51</f>
        <v>0</v>
      </c>
      <c r="L48" s="630">
        <f>'Rates in Detail'!F51</f>
        <v>0</v>
      </c>
      <c r="M48" s="630">
        <f>'Rates in Detail'!I51</f>
        <v>4.1000000000000005E-4</v>
      </c>
      <c r="N48" s="137">
        <f t="shared" si="0"/>
        <v>9.6100000000000005E-2</v>
      </c>
      <c r="O48" s="1375">
        <f>'Rates in Detail'!L51</f>
        <v>1.7670000000000002E-2</v>
      </c>
      <c r="P48" s="1376">
        <f>'Rates in Detail'!P51</f>
        <v>-1.2199999999999999E-3</v>
      </c>
      <c r="Q48" s="1383">
        <f t="shared" si="1"/>
        <v>0.11255000000000001</v>
      </c>
      <c r="R48" s="1376">
        <f>'Rates in Detail'!Y51</f>
        <v>8.2799999999999992E-3</v>
      </c>
      <c r="S48" s="1387">
        <f t="shared" si="2"/>
        <v>0.12083000000000001</v>
      </c>
      <c r="T48" s="131"/>
    </row>
    <row r="49" spans="2:20" x14ac:dyDescent="0.2">
      <c r="B49" s="110">
        <f t="shared" si="3"/>
        <v>40</v>
      </c>
      <c r="C49" s="1355"/>
      <c r="D49" s="1355" t="s">
        <v>7</v>
      </c>
      <c r="E49" s="115">
        <v>100000</v>
      </c>
      <c r="F49" s="116">
        <f>'WA Volumes &amp; Revenues'!E54</f>
        <v>2390318</v>
      </c>
      <c r="G49" s="116"/>
      <c r="H49" s="912"/>
      <c r="I49" s="913"/>
      <c r="J49" s="628">
        <f>'Rates in Detail'!E52</f>
        <v>7.6560000000000017E-2</v>
      </c>
      <c r="K49" s="630">
        <f>'Rates in Detail'!H52</f>
        <v>0</v>
      </c>
      <c r="L49" s="630">
        <f>'Rates in Detail'!F52</f>
        <v>0</v>
      </c>
      <c r="M49" s="630">
        <f>'Rates in Detail'!I52</f>
        <v>3.1999999999999997E-4</v>
      </c>
      <c r="N49" s="137">
        <f t="shared" si="0"/>
        <v>7.6880000000000018E-2</v>
      </c>
      <c r="O49" s="1375">
        <f>'Rates in Detail'!L52</f>
        <v>1.414E-2</v>
      </c>
      <c r="P49" s="1376">
        <f>'Rates in Detail'!P52</f>
        <v>-9.7000000000000005E-4</v>
      </c>
      <c r="Q49" s="1383">
        <f t="shared" si="1"/>
        <v>9.0050000000000019E-2</v>
      </c>
      <c r="R49" s="1376">
        <f>'Rates in Detail'!Y52</f>
        <v>6.6299999999999996E-3</v>
      </c>
      <c r="S49" s="1387">
        <f t="shared" si="2"/>
        <v>9.6680000000000016E-2</v>
      </c>
      <c r="T49" s="131"/>
    </row>
    <row r="50" spans="2:20" x14ac:dyDescent="0.2">
      <c r="B50" s="110">
        <f t="shared" si="3"/>
        <v>41</v>
      </c>
      <c r="C50" s="1355"/>
      <c r="D50" s="1355" t="s">
        <v>8</v>
      </c>
      <c r="E50" s="115">
        <v>600000</v>
      </c>
      <c r="F50" s="116">
        <f>'WA Volumes &amp; Revenues'!E55</f>
        <v>1492257</v>
      </c>
      <c r="G50" s="116"/>
      <c r="H50" s="912"/>
      <c r="I50" s="913"/>
      <c r="J50" s="628">
        <f>'Rates in Detail'!E53</f>
        <v>5.1040000000000002E-2</v>
      </c>
      <c r="K50" s="630">
        <f>'Rates in Detail'!H53</f>
        <v>0</v>
      </c>
      <c r="L50" s="630">
        <f>'Rates in Detail'!F53</f>
        <v>0</v>
      </c>
      <c r="M50" s="630">
        <f>'Rates in Detail'!I53</f>
        <v>2.1000000000000001E-4</v>
      </c>
      <c r="N50" s="137">
        <f t="shared" si="0"/>
        <v>5.1250000000000004E-2</v>
      </c>
      <c r="O50" s="1375">
        <f>'Rates in Detail'!L53</f>
        <v>9.4199999999999996E-3</v>
      </c>
      <c r="P50" s="1376">
        <f>'Rates in Detail'!P53</f>
        <v>-6.4999999999999997E-4</v>
      </c>
      <c r="Q50" s="1383">
        <f t="shared" si="1"/>
        <v>6.0020000000000004E-2</v>
      </c>
      <c r="R50" s="1376">
        <f>'Rates in Detail'!Y53</f>
        <v>4.4200000000000003E-3</v>
      </c>
      <c r="S50" s="1387">
        <f t="shared" si="2"/>
        <v>6.4439999999999997E-2</v>
      </c>
      <c r="T50" s="131"/>
    </row>
    <row r="51" spans="2:20" x14ac:dyDescent="0.2">
      <c r="B51" s="110">
        <f t="shared" si="3"/>
        <v>42</v>
      </c>
      <c r="C51" s="111"/>
      <c r="D51" s="111" t="s">
        <v>9</v>
      </c>
      <c r="E51" s="112" t="s">
        <v>74</v>
      </c>
      <c r="F51" s="113">
        <f>'WA Volumes &amp; Revenues'!E56</f>
        <v>0</v>
      </c>
      <c r="G51" s="113"/>
      <c r="H51" s="907"/>
      <c r="I51" s="909"/>
      <c r="J51" s="627">
        <f>'Rates in Detail'!E54</f>
        <v>1.9140000000000001E-2</v>
      </c>
      <c r="K51" s="631">
        <f>'Rates in Detail'!H54</f>
        <v>0</v>
      </c>
      <c r="L51" s="631">
        <f>'Rates in Detail'!F54</f>
        <v>0</v>
      </c>
      <c r="M51" s="631">
        <f>'Rates in Detail'!I54</f>
        <v>7.9999999999999993E-5</v>
      </c>
      <c r="N51" s="135">
        <f t="shared" si="0"/>
        <v>1.9220000000000001E-2</v>
      </c>
      <c r="O51" s="1374">
        <f>'Rates in Detail'!L54</f>
        <v>3.5300000000000002E-3</v>
      </c>
      <c r="P51" s="1367">
        <f>'Rates in Detail'!P54</f>
        <v>-2.4000000000000001E-4</v>
      </c>
      <c r="Q51" s="1382">
        <f t="shared" si="1"/>
        <v>2.2509999999999999E-2</v>
      </c>
      <c r="R51" s="1367">
        <f>'Rates in Detail'!Y54</f>
        <v>1.66E-3</v>
      </c>
      <c r="S51" s="1386">
        <f t="shared" si="2"/>
        <v>2.4169999999999997E-2</v>
      </c>
      <c r="T51" s="131"/>
    </row>
    <row r="52" spans="2:20" x14ac:dyDescent="0.2">
      <c r="B52" s="110">
        <f t="shared" si="3"/>
        <v>43</v>
      </c>
      <c r="C52" s="1355" t="str">
        <f>'WA Volumes &amp; Revenues'!B57</f>
        <v>42C Interr Sales</v>
      </c>
      <c r="D52" s="1355" t="s">
        <v>4</v>
      </c>
      <c r="E52" s="115">
        <v>10000</v>
      </c>
      <c r="F52" s="116">
        <f>'WA Volumes &amp; Revenues'!E57</f>
        <v>240000</v>
      </c>
      <c r="G52" s="116">
        <f>'WA Volumes &amp; Revenues'!H57</f>
        <v>2</v>
      </c>
      <c r="H52" s="912">
        <f>'WA Volumes &amp; Revenues'!O57</f>
        <v>1300</v>
      </c>
      <c r="I52" s="913">
        <f>'WA Volumes &amp; Revenues'!N57</f>
        <v>1300</v>
      </c>
      <c r="J52" s="628">
        <f>'Rates in Detail'!E55</f>
        <v>0.13682000000000002</v>
      </c>
      <c r="K52" s="630">
        <f>'Rates in Detail'!H55</f>
        <v>0</v>
      </c>
      <c r="L52" s="630">
        <f>'Rates in Detail'!F55</f>
        <v>0.26333000000000001</v>
      </c>
      <c r="M52" s="630">
        <f>'Rates in Detail'!I55</f>
        <v>2.334E-2</v>
      </c>
      <c r="N52" s="137">
        <f t="shared" si="0"/>
        <v>0.42349000000000003</v>
      </c>
      <c r="O52" s="1375">
        <f>'Rates in Detail'!L55</f>
        <v>2.6700000000000002E-2</v>
      </c>
      <c r="P52" s="1376">
        <f>'Rates in Detail'!P55</f>
        <v>-1.8400000000000001E-3</v>
      </c>
      <c r="Q52" s="1383">
        <f t="shared" si="1"/>
        <v>0.44835000000000003</v>
      </c>
      <c r="R52" s="1376">
        <f>'Rates in Detail'!Y55</f>
        <v>1.252E-2</v>
      </c>
      <c r="S52" s="1387">
        <f t="shared" si="2"/>
        <v>0.46087</v>
      </c>
      <c r="T52" s="131"/>
    </row>
    <row r="53" spans="2:20" x14ac:dyDescent="0.2">
      <c r="B53" s="110">
        <f t="shared" si="3"/>
        <v>44</v>
      </c>
      <c r="C53" s="1355"/>
      <c r="D53" s="1355" t="s">
        <v>5</v>
      </c>
      <c r="E53" s="115">
        <v>20000</v>
      </c>
      <c r="F53" s="116">
        <f>'WA Volumes &amp; Revenues'!E58</f>
        <v>467511</v>
      </c>
      <c r="G53" s="116"/>
      <c r="H53" s="912"/>
      <c r="I53" s="913"/>
      <c r="J53" s="628">
        <f>'Rates in Detail'!E56</f>
        <v>0.12246999999999988</v>
      </c>
      <c r="K53" s="630">
        <f>'Rates in Detail'!H56</f>
        <v>0</v>
      </c>
      <c r="L53" s="630">
        <f>'Rates in Detail'!F56</f>
        <v>0.26333000000000001</v>
      </c>
      <c r="M53" s="630">
        <f>'Rates in Detail'!I56</f>
        <v>2.0999999999999998E-2</v>
      </c>
      <c r="N53" s="137">
        <f t="shared" si="0"/>
        <v>0.40679999999999994</v>
      </c>
      <c r="O53" s="1375">
        <f>'Rates in Detail'!L56</f>
        <v>2.3900000000000001E-2</v>
      </c>
      <c r="P53" s="1376">
        <f>'Rates in Detail'!P56</f>
        <v>-1.64E-3</v>
      </c>
      <c r="Q53" s="1383">
        <f t="shared" si="1"/>
        <v>0.42905999999999994</v>
      </c>
      <c r="R53" s="1376">
        <f>'Rates in Detail'!Y56</f>
        <v>1.1209999999999999E-2</v>
      </c>
      <c r="S53" s="1387">
        <f t="shared" si="2"/>
        <v>0.44026999999999994</v>
      </c>
      <c r="T53" s="131"/>
    </row>
    <row r="54" spans="2:20" x14ac:dyDescent="0.2">
      <c r="B54" s="110">
        <f t="shared" si="3"/>
        <v>45</v>
      </c>
      <c r="C54" s="1355"/>
      <c r="D54" s="1355" t="s">
        <v>6</v>
      </c>
      <c r="E54" s="115">
        <v>20000</v>
      </c>
      <c r="F54" s="116">
        <f>'WA Volumes &amp; Revenues'!E59</f>
        <v>218004</v>
      </c>
      <c r="G54" s="116"/>
      <c r="H54" s="912"/>
      <c r="I54" s="913"/>
      <c r="J54" s="628">
        <f>'Rates in Detail'!E57</f>
        <v>9.3909999999999993E-2</v>
      </c>
      <c r="K54" s="630">
        <f>'Rates in Detail'!H57</f>
        <v>0</v>
      </c>
      <c r="L54" s="630">
        <f>'Rates in Detail'!F57</f>
        <v>0.26333000000000001</v>
      </c>
      <c r="M54" s="630">
        <f>'Rates in Detail'!I57</f>
        <v>1.6370000000000003E-2</v>
      </c>
      <c r="N54" s="137">
        <f t="shared" si="0"/>
        <v>0.37361</v>
      </c>
      <c r="O54" s="1375">
        <f>'Rates in Detail'!L57</f>
        <v>1.8329999999999999E-2</v>
      </c>
      <c r="P54" s="1376">
        <f>'Rates in Detail'!P57</f>
        <v>-1.2600000000000001E-3</v>
      </c>
      <c r="Q54" s="1383">
        <f t="shared" si="1"/>
        <v>0.39068000000000003</v>
      </c>
      <c r="R54" s="1376">
        <f>'Rates in Detail'!Y57</f>
        <v>8.5900000000000004E-3</v>
      </c>
      <c r="S54" s="1387">
        <f t="shared" si="2"/>
        <v>0.39927000000000001</v>
      </c>
      <c r="T54" s="131"/>
    </row>
    <row r="55" spans="2:20" x14ac:dyDescent="0.2">
      <c r="B55" s="110">
        <f t="shared" si="3"/>
        <v>46</v>
      </c>
      <c r="C55" s="1355"/>
      <c r="D55" s="1355" t="s">
        <v>7</v>
      </c>
      <c r="E55" s="115">
        <v>100000</v>
      </c>
      <c r="F55" s="116">
        <f>'WA Volumes &amp; Revenues'!E60</f>
        <v>18208</v>
      </c>
      <c r="G55" s="116"/>
      <c r="H55" s="912"/>
      <c r="I55" s="913"/>
      <c r="J55" s="628">
        <f>'Rates in Detail'!E58</f>
        <v>7.5130000000000044E-2</v>
      </c>
      <c r="K55" s="630">
        <f>'Rates in Detail'!H58</f>
        <v>0</v>
      </c>
      <c r="L55" s="630">
        <f>'Rates in Detail'!F58</f>
        <v>0.26333000000000001</v>
      </c>
      <c r="M55" s="630">
        <f>'Rates in Detail'!I58</f>
        <v>1.3339999999999999E-2</v>
      </c>
      <c r="N55" s="137">
        <f t="shared" si="0"/>
        <v>0.35180000000000006</v>
      </c>
      <c r="O55" s="1375">
        <f>'Rates in Detail'!L58</f>
        <v>1.4659999999999999E-2</v>
      </c>
      <c r="P55" s="1376">
        <f>'Rates in Detail'!P58</f>
        <v>-1.01E-3</v>
      </c>
      <c r="Q55" s="1383">
        <f t="shared" si="1"/>
        <v>0.36545000000000005</v>
      </c>
      <c r="R55" s="1376">
        <f>'Rates in Detail'!Y58</f>
        <v>6.8799999999999998E-3</v>
      </c>
      <c r="S55" s="1387">
        <f t="shared" si="2"/>
        <v>0.37233000000000005</v>
      </c>
      <c r="T55" s="131"/>
    </row>
    <row r="56" spans="2:20" x14ac:dyDescent="0.2">
      <c r="B56" s="110">
        <f t="shared" si="3"/>
        <v>47</v>
      </c>
      <c r="C56" s="1355"/>
      <c r="D56" s="1355" t="s">
        <v>8</v>
      </c>
      <c r="E56" s="115">
        <v>600000</v>
      </c>
      <c r="F56" s="116">
        <f>'WA Volumes &amp; Revenues'!E61</f>
        <v>0</v>
      </c>
      <c r="G56" s="116"/>
      <c r="H56" s="912"/>
      <c r="I56" s="913"/>
      <c r="J56" s="628">
        <f>'Rates in Detail'!E59</f>
        <v>5.0089999999999968E-2</v>
      </c>
      <c r="K56" s="630">
        <f>'Rates in Detail'!H59</f>
        <v>0</v>
      </c>
      <c r="L56" s="630">
        <f>'Rates in Detail'!F59</f>
        <v>0.26333000000000001</v>
      </c>
      <c r="M56" s="630">
        <f>'Rates in Detail'!I59</f>
        <v>9.2699999999999987E-3</v>
      </c>
      <c r="N56" s="137">
        <f t="shared" si="0"/>
        <v>0.32268999999999998</v>
      </c>
      <c r="O56" s="1375">
        <f>'Rates in Detail'!L59</f>
        <v>9.7800000000000005E-3</v>
      </c>
      <c r="P56" s="1376">
        <f>'Rates in Detail'!P59</f>
        <v>-6.7000000000000002E-4</v>
      </c>
      <c r="Q56" s="1383">
        <f t="shared" si="1"/>
        <v>0.33179999999999998</v>
      </c>
      <c r="R56" s="1376">
        <f>'Rates in Detail'!Y59</f>
        <v>4.5799999999999999E-3</v>
      </c>
      <c r="S56" s="1387">
        <f t="shared" si="2"/>
        <v>0.33637999999999996</v>
      </c>
      <c r="T56" s="131"/>
    </row>
    <row r="57" spans="2:20" x14ac:dyDescent="0.2">
      <c r="B57" s="110">
        <f t="shared" si="3"/>
        <v>48</v>
      </c>
      <c r="C57" s="111"/>
      <c r="D57" s="111" t="s">
        <v>9</v>
      </c>
      <c r="E57" s="112" t="s">
        <v>74</v>
      </c>
      <c r="F57" s="113">
        <f>'WA Volumes &amp; Revenues'!E62</f>
        <v>0</v>
      </c>
      <c r="G57" s="113"/>
      <c r="H57" s="907"/>
      <c r="I57" s="909"/>
      <c r="J57" s="627">
        <f>'Rates in Detail'!E60</f>
        <v>1.8790000000000001E-2</v>
      </c>
      <c r="K57" s="631">
        <f>'Rates in Detail'!H60</f>
        <v>0</v>
      </c>
      <c r="L57" s="631">
        <f>'Rates in Detail'!F60</f>
        <v>0.26333000000000001</v>
      </c>
      <c r="M57" s="631">
        <f>'Rates in Detail'!I60</f>
        <v>4.1999999999999989E-3</v>
      </c>
      <c r="N57" s="135">
        <f t="shared" si="0"/>
        <v>0.28632000000000002</v>
      </c>
      <c r="O57" s="1374">
        <f>'Rates in Detail'!L60</f>
        <v>3.6700000000000001E-3</v>
      </c>
      <c r="P57" s="1367">
        <f>'Rates in Detail'!P60</f>
        <v>-2.5000000000000001E-4</v>
      </c>
      <c r="Q57" s="1382">
        <f t="shared" si="1"/>
        <v>0.28974000000000005</v>
      </c>
      <c r="R57" s="1367">
        <f>'Rates in Detail'!Y60</f>
        <v>1.72E-3</v>
      </c>
      <c r="S57" s="1386">
        <f t="shared" si="2"/>
        <v>0.29146000000000005</v>
      </c>
      <c r="T57" s="131"/>
    </row>
    <row r="58" spans="2:20" x14ac:dyDescent="0.2">
      <c r="B58" s="110">
        <f t="shared" si="3"/>
        <v>49</v>
      </c>
      <c r="C58" s="1355" t="str">
        <f>'WA Volumes &amp; Revenues'!B63</f>
        <v>42I Interr Sales</v>
      </c>
      <c r="D58" s="1355" t="s">
        <v>4</v>
      </c>
      <c r="E58" s="115">
        <v>10000</v>
      </c>
      <c r="F58" s="116">
        <f>'WA Volumes &amp; Revenues'!E63</f>
        <v>156740</v>
      </c>
      <c r="G58" s="116">
        <f>'WA Volumes &amp; Revenues'!H63</f>
        <v>1.9166666666666701</v>
      </c>
      <c r="H58" s="912">
        <f>'WA Volumes &amp; Revenues'!O63</f>
        <v>1300</v>
      </c>
      <c r="I58" s="913">
        <f>'WA Volumes &amp; Revenues'!N63</f>
        <v>1300</v>
      </c>
      <c r="J58" s="628">
        <f>'Rates in Detail'!E61</f>
        <v>0.14583999999999989</v>
      </c>
      <c r="K58" s="630">
        <f>'Rates in Detail'!H61</f>
        <v>0</v>
      </c>
      <c r="L58" s="630">
        <f>'Rates in Detail'!F61</f>
        <v>0.26333000000000001</v>
      </c>
      <c r="M58" s="630">
        <f>'Rates in Detail'!I61</f>
        <v>6.9699999999999996E-3</v>
      </c>
      <c r="N58" s="137">
        <f t="shared" si="0"/>
        <v>0.4161399999999999</v>
      </c>
      <c r="O58" s="1375">
        <f>'Rates in Detail'!L61</f>
        <v>3.6839999999999998E-2</v>
      </c>
      <c r="P58" s="1376">
        <f>'Rates in Detail'!P61</f>
        <v>-2.5400000000000002E-3</v>
      </c>
      <c r="Q58" s="1383">
        <f t="shared" si="1"/>
        <v>0.4504399999999999</v>
      </c>
      <c r="R58" s="1376">
        <f>'Rates in Detail'!Y61</f>
        <v>1.728E-2</v>
      </c>
      <c r="S58" s="1387">
        <f t="shared" si="2"/>
        <v>0.46771999999999991</v>
      </c>
      <c r="T58" s="131"/>
    </row>
    <row r="59" spans="2:20" x14ac:dyDescent="0.2">
      <c r="B59" s="110">
        <f t="shared" si="3"/>
        <v>50</v>
      </c>
      <c r="C59" s="1355"/>
      <c r="D59" s="1355" t="s">
        <v>5</v>
      </c>
      <c r="E59" s="115">
        <v>20000</v>
      </c>
      <c r="F59" s="116">
        <f>'WA Volumes &amp; Revenues'!E64</f>
        <v>159690</v>
      </c>
      <c r="G59" s="116"/>
      <c r="H59" s="912"/>
      <c r="I59" s="913"/>
      <c r="J59" s="628">
        <f>'Rates in Detail'!E62</f>
        <v>0.13054999999999992</v>
      </c>
      <c r="K59" s="630">
        <f>'Rates in Detail'!H62</f>
        <v>0</v>
      </c>
      <c r="L59" s="630">
        <f>'Rates in Detail'!F62</f>
        <v>0.26333000000000001</v>
      </c>
      <c r="M59" s="630">
        <f>'Rates in Detail'!I62</f>
        <v>6.3499999999999997E-3</v>
      </c>
      <c r="N59" s="137">
        <f t="shared" si="0"/>
        <v>0.40022999999999992</v>
      </c>
      <c r="O59" s="1375">
        <f>'Rates in Detail'!L62</f>
        <v>3.2980000000000002E-2</v>
      </c>
      <c r="P59" s="1376">
        <f>'Rates in Detail'!P62</f>
        <v>-2.2699999999999999E-3</v>
      </c>
      <c r="Q59" s="1383">
        <f t="shared" si="1"/>
        <v>0.43093999999999993</v>
      </c>
      <c r="R59" s="1376">
        <f>'Rates in Detail'!Y62</f>
        <v>1.546E-2</v>
      </c>
      <c r="S59" s="1387">
        <f t="shared" si="2"/>
        <v>0.44639999999999991</v>
      </c>
      <c r="T59" s="131"/>
    </row>
    <row r="60" spans="2:20" x14ac:dyDescent="0.2">
      <c r="B60" s="110">
        <f t="shared" si="3"/>
        <v>51</v>
      </c>
      <c r="C60" s="1355"/>
      <c r="D60" s="1355" t="s">
        <v>6</v>
      </c>
      <c r="E60" s="115">
        <v>20000</v>
      </c>
      <c r="F60" s="116">
        <f>'WA Volumes &amp; Revenues'!E65</f>
        <v>0</v>
      </c>
      <c r="G60" s="116"/>
      <c r="H60" s="912"/>
      <c r="I60" s="913"/>
      <c r="J60" s="628">
        <f>'Rates in Detail'!E63</f>
        <v>0.10011</v>
      </c>
      <c r="K60" s="630">
        <f>'Rates in Detail'!H63</f>
        <v>0</v>
      </c>
      <c r="L60" s="630">
        <f>'Rates in Detail'!F63</f>
        <v>0.26333000000000001</v>
      </c>
      <c r="M60" s="630">
        <f>'Rates in Detail'!I63</f>
        <v>5.1399999999999996E-3</v>
      </c>
      <c r="N60" s="137">
        <f t="shared" si="0"/>
        <v>0.36857999999999996</v>
      </c>
      <c r="O60" s="1375">
        <f>'Rates in Detail'!L63</f>
        <v>2.529E-2</v>
      </c>
      <c r="P60" s="1376">
        <f>'Rates in Detail'!P63</f>
        <v>-1.74E-3</v>
      </c>
      <c r="Q60" s="1383">
        <f t="shared" si="1"/>
        <v>0.39212999999999992</v>
      </c>
      <c r="R60" s="1376">
        <f>'Rates in Detail'!Y63</f>
        <v>1.1860000000000001E-2</v>
      </c>
      <c r="S60" s="1387">
        <f t="shared" si="2"/>
        <v>0.4039899999999999</v>
      </c>
      <c r="T60" s="131"/>
    </row>
    <row r="61" spans="2:20" x14ac:dyDescent="0.2">
      <c r="B61" s="110">
        <f t="shared" si="3"/>
        <v>52</v>
      </c>
      <c r="C61" s="1355"/>
      <c r="D61" s="1355" t="s">
        <v>7</v>
      </c>
      <c r="E61" s="115">
        <v>100000</v>
      </c>
      <c r="F61" s="116">
        <f>'WA Volumes &amp; Revenues'!E66</f>
        <v>0</v>
      </c>
      <c r="G61" s="116"/>
      <c r="H61" s="912"/>
      <c r="I61" s="913"/>
      <c r="J61" s="628">
        <f>'Rates in Detail'!E64</f>
        <v>8.0089999999999995E-2</v>
      </c>
      <c r="K61" s="630">
        <f>'Rates in Detail'!H64</f>
        <v>0</v>
      </c>
      <c r="L61" s="630">
        <f>'Rates in Detail'!F64</f>
        <v>0.26333000000000001</v>
      </c>
      <c r="M61" s="630">
        <f>'Rates in Detail'!I64</f>
        <v>4.3499999999999997E-3</v>
      </c>
      <c r="N61" s="137">
        <f t="shared" si="0"/>
        <v>0.34777000000000002</v>
      </c>
      <c r="O61" s="1375">
        <f>'Rates in Detail'!L64</f>
        <v>2.0230000000000001E-2</v>
      </c>
      <c r="P61" s="1376">
        <f>'Rates in Detail'!P64</f>
        <v>-1.39E-3</v>
      </c>
      <c r="Q61" s="1383">
        <f t="shared" si="1"/>
        <v>0.36661000000000005</v>
      </c>
      <c r="R61" s="1376">
        <f>'Rates in Detail'!Y64</f>
        <v>9.4900000000000002E-3</v>
      </c>
      <c r="S61" s="1387">
        <f t="shared" si="2"/>
        <v>0.37610000000000005</v>
      </c>
      <c r="T61" s="131"/>
    </row>
    <row r="62" spans="2:20" x14ac:dyDescent="0.2">
      <c r="B62" s="110">
        <f t="shared" si="3"/>
        <v>53</v>
      </c>
      <c r="C62" s="1355"/>
      <c r="D62" s="1355" t="s">
        <v>8</v>
      </c>
      <c r="E62" s="115">
        <v>600000</v>
      </c>
      <c r="F62" s="116">
        <f>'WA Volumes &amp; Revenues'!E67</f>
        <v>0</v>
      </c>
      <c r="G62" s="116"/>
      <c r="H62" s="912"/>
      <c r="I62" s="913"/>
      <c r="J62" s="628">
        <f>'Rates in Detail'!E65</f>
        <v>5.339E-2</v>
      </c>
      <c r="K62" s="630">
        <f>'Rates in Detail'!H65</f>
        <v>0</v>
      </c>
      <c r="L62" s="630">
        <f>'Rates in Detail'!F65</f>
        <v>0.26333000000000001</v>
      </c>
      <c r="M62" s="630">
        <f>'Rates in Detail'!I65</f>
        <v>3.2999999999999995E-3</v>
      </c>
      <c r="N62" s="137">
        <f t="shared" si="0"/>
        <v>0.32002000000000003</v>
      </c>
      <c r="O62" s="1375">
        <f>'Rates in Detail'!L65</f>
        <v>1.349E-2</v>
      </c>
      <c r="P62" s="1376">
        <f>'Rates in Detail'!P65</f>
        <v>-9.3000000000000005E-4</v>
      </c>
      <c r="Q62" s="1383">
        <f t="shared" si="1"/>
        <v>0.33258000000000004</v>
      </c>
      <c r="R62" s="1376">
        <f>'Rates in Detail'!Y65</f>
        <v>6.3200000000000001E-3</v>
      </c>
      <c r="S62" s="1387">
        <f t="shared" si="2"/>
        <v>0.33890000000000003</v>
      </c>
      <c r="T62" s="131"/>
    </row>
    <row r="63" spans="2:20" x14ac:dyDescent="0.2">
      <c r="B63" s="110">
        <f t="shared" si="3"/>
        <v>54</v>
      </c>
      <c r="C63" s="111"/>
      <c r="D63" s="111" t="s">
        <v>9</v>
      </c>
      <c r="E63" s="112" t="s">
        <v>74</v>
      </c>
      <c r="F63" s="113">
        <f>'WA Volumes &amp; Revenues'!E68</f>
        <v>0</v>
      </c>
      <c r="G63" s="113"/>
      <c r="H63" s="907"/>
      <c r="I63" s="909"/>
      <c r="J63" s="627">
        <f>'Rates in Detail'!E66</f>
        <v>2.002E-2</v>
      </c>
      <c r="K63" s="631">
        <f>'Rates in Detail'!H66</f>
        <v>0</v>
      </c>
      <c r="L63" s="631">
        <f>'Rates in Detail'!F66</f>
        <v>0.26333000000000001</v>
      </c>
      <c r="M63" s="631">
        <f>'Rates in Detail'!I66</f>
        <v>1.9499999999999995E-3</v>
      </c>
      <c r="N63" s="135">
        <f t="shared" si="0"/>
        <v>0.2853</v>
      </c>
      <c r="O63" s="1374">
        <f>'Rates in Detail'!L66</f>
        <v>5.0600000000000003E-3</v>
      </c>
      <c r="P63" s="1367">
        <f>'Rates in Detail'!P66</f>
        <v>-3.5E-4</v>
      </c>
      <c r="Q63" s="1382">
        <f t="shared" si="1"/>
        <v>0.29000999999999999</v>
      </c>
      <c r="R63" s="1367">
        <f>'Rates in Detail'!Y66</f>
        <v>2.3700000000000001E-3</v>
      </c>
      <c r="S63" s="1386">
        <f t="shared" si="2"/>
        <v>0.29237999999999997</v>
      </c>
      <c r="T63" s="131"/>
    </row>
    <row r="64" spans="2:20" x14ac:dyDescent="0.2">
      <c r="B64" s="110">
        <f t="shared" si="3"/>
        <v>55</v>
      </c>
      <c r="C64" s="1355" t="str">
        <f>'WA Volumes &amp; Revenues'!B69</f>
        <v>42C Inter Transpt</v>
      </c>
      <c r="D64" s="1355" t="s">
        <v>4</v>
      </c>
      <c r="E64" s="115">
        <v>10000</v>
      </c>
      <c r="F64" s="116">
        <f>'WA Volumes &amp; Revenues'!E69</f>
        <v>0</v>
      </c>
      <c r="G64" s="116">
        <f>'WA Volumes &amp; Revenues'!H69</f>
        <v>0</v>
      </c>
      <c r="H64" s="912">
        <f>'WA Volumes &amp; Revenues'!O69</f>
        <v>1550</v>
      </c>
      <c r="I64" s="913">
        <f>'WA Volumes &amp; Revenues'!N69</f>
        <v>1550</v>
      </c>
      <c r="J64" s="628">
        <f>'Rates in Detail'!E67</f>
        <v>0.13402999999999998</v>
      </c>
      <c r="K64" s="630">
        <f>'Rates in Detail'!H67</f>
        <v>0</v>
      </c>
      <c r="L64" s="630">
        <f>'Rates in Detail'!F67</f>
        <v>0</v>
      </c>
      <c r="M64" s="630">
        <f>'Rates in Detail'!I67</f>
        <v>5.6999999999999998E-4</v>
      </c>
      <c r="N64" s="137">
        <f t="shared" si="0"/>
        <v>0.13459999999999997</v>
      </c>
      <c r="O64" s="1375">
        <f>'Rates in Detail'!L67</f>
        <v>1.6990000000000002E-2</v>
      </c>
      <c r="P64" s="1376">
        <f>'Rates in Detail'!P67</f>
        <v>-1.2600000000000001E-3</v>
      </c>
      <c r="Q64" s="1383">
        <f t="shared" si="1"/>
        <v>0.15032999999999996</v>
      </c>
      <c r="R64" s="1376">
        <f>'Rates in Detail'!Y67</f>
        <v>8.4799999999999997E-3</v>
      </c>
      <c r="S64" s="1387">
        <f t="shared" si="2"/>
        <v>0.15880999999999995</v>
      </c>
      <c r="T64" s="131"/>
    </row>
    <row r="65" spans="2:20" x14ac:dyDescent="0.2">
      <c r="B65" s="110">
        <f t="shared" si="3"/>
        <v>56</v>
      </c>
      <c r="C65" s="1355"/>
      <c r="D65" s="1355" t="s">
        <v>5</v>
      </c>
      <c r="E65" s="115">
        <v>20000</v>
      </c>
      <c r="F65" s="116">
        <f>'WA Volumes &amp; Revenues'!E70</f>
        <v>0</v>
      </c>
      <c r="G65" s="116"/>
      <c r="H65" s="912"/>
      <c r="I65" s="913"/>
      <c r="J65" s="628">
        <f>'Rates in Detail'!E68</f>
        <v>0.11997999999999999</v>
      </c>
      <c r="K65" s="630">
        <f>'Rates in Detail'!H68</f>
        <v>0</v>
      </c>
      <c r="L65" s="630">
        <f>'Rates in Detail'!F68</f>
        <v>0</v>
      </c>
      <c r="M65" s="630">
        <f>'Rates in Detail'!I68</f>
        <v>5.1000000000000004E-4</v>
      </c>
      <c r="N65" s="137">
        <f t="shared" si="0"/>
        <v>0.12048999999999999</v>
      </c>
      <c r="O65" s="1375">
        <f>'Rates in Detail'!L68</f>
        <v>1.521E-2</v>
      </c>
      <c r="P65" s="1376">
        <f>'Rates in Detail'!P68</f>
        <v>-1.1199999999999999E-3</v>
      </c>
      <c r="Q65" s="1383">
        <f t="shared" si="1"/>
        <v>0.13457999999999998</v>
      </c>
      <c r="R65" s="1376">
        <f>'Rates in Detail'!Y68</f>
        <v>7.5900000000000004E-3</v>
      </c>
      <c r="S65" s="1387">
        <f t="shared" si="2"/>
        <v>0.14216999999999999</v>
      </c>
      <c r="T65" s="131"/>
    </row>
    <row r="66" spans="2:20" x14ac:dyDescent="0.2">
      <c r="B66" s="110">
        <f t="shared" si="3"/>
        <v>57</v>
      </c>
      <c r="C66" s="1355"/>
      <c r="D66" s="1355" t="s">
        <v>6</v>
      </c>
      <c r="E66" s="115">
        <v>20000</v>
      </c>
      <c r="F66" s="116">
        <f>'WA Volumes &amp; Revenues'!E71</f>
        <v>0</v>
      </c>
      <c r="G66" s="116"/>
      <c r="H66" s="912"/>
      <c r="I66" s="913"/>
      <c r="J66" s="628">
        <f>'Rates in Detail'!E69</f>
        <v>9.1999999999999998E-2</v>
      </c>
      <c r="K66" s="630">
        <f>'Rates in Detail'!H69</f>
        <v>0</v>
      </c>
      <c r="L66" s="630">
        <f>'Rates in Detail'!F69</f>
        <v>0</v>
      </c>
      <c r="M66" s="630">
        <f>'Rates in Detail'!I69</f>
        <v>3.7999999999999997E-4</v>
      </c>
      <c r="N66" s="137">
        <f t="shared" si="0"/>
        <v>9.2380000000000004E-2</v>
      </c>
      <c r="O66" s="1375">
        <f>'Rates in Detail'!L69</f>
        <v>1.166E-2</v>
      </c>
      <c r="P66" s="1376">
        <f>'Rates in Detail'!P69</f>
        <v>-8.5999999999999998E-4</v>
      </c>
      <c r="Q66" s="1383">
        <f t="shared" si="1"/>
        <v>0.10318000000000001</v>
      </c>
      <c r="R66" s="1376">
        <f>'Rates in Detail'!Y69</f>
        <v>5.8199999999999997E-3</v>
      </c>
      <c r="S66" s="1387">
        <f t="shared" si="2"/>
        <v>0.10900000000000001</v>
      </c>
      <c r="T66" s="131"/>
    </row>
    <row r="67" spans="2:20" x14ac:dyDescent="0.2">
      <c r="B67" s="110">
        <f t="shared" si="3"/>
        <v>58</v>
      </c>
      <c r="C67" s="1355"/>
      <c r="D67" s="1355" t="s">
        <v>7</v>
      </c>
      <c r="E67" s="115">
        <v>100000</v>
      </c>
      <c r="F67" s="116">
        <f>'WA Volumes &amp; Revenues'!E72</f>
        <v>0</v>
      </c>
      <c r="G67" s="116"/>
      <c r="H67" s="912"/>
      <c r="I67" s="913"/>
      <c r="J67" s="628">
        <f>'Rates in Detail'!E70</f>
        <v>7.3609999999999995E-2</v>
      </c>
      <c r="K67" s="630">
        <f>'Rates in Detail'!H70</f>
        <v>0</v>
      </c>
      <c r="L67" s="630">
        <f>'Rates in Detail'!F70</f>
        <v>0</v>
      </c>
      <c r="M67" s="630">
        <f>'Rates in Detail'!I70</f>
        <v>3.0999999999999995E-4</v>
      </c>
      <c r="N67" s="137">
        <f t="shared" si="0"/>
        <v>7.392E-2</v>
      </c>
      <c r="O67" s="1375">
        <f>'Rates in Detail'!L70</f>
        <v>9.3299999999999998E-3</v>
      </c>
      <c r="P67" s="1376">
        <f>'Rates in Detail'!P70</f>
        <v>-6.8999999999999997E-4</v>
      </c>
      <c r="Q67" s="1383">
        <f t="shared" si="1"/>
        <v>8.2560000000000008E-2</v>
      </c>
      <c r="R67" s="1376">
        <f>'Rates in Detail'!Y70</f>
        <v>4.6600000000000001E-3</v>
      </c>
      <c r="S67" s="1387">
        <f t="shared" si="2"/>
        <v>8.7220000000000006E-2</v>
      </c>
      <c r="T67" s="131"/>
    </row>
    <row r="68" spans="2:20" x14ac:dyDescent="0.2">
      <c r="B68" s="110">
        <f t="shared" si="3"/>
        <v>59</v>
      </c>
      <c r="C68" s="1355"/>
      <c r="D68" s="1355" t="s">
        <v>8</v>
      </c>
      <c r="E68" s="115">
        <v>600000</v>
      </c>
      <c r="F68" s="116">
        <f>'WA Volumes &amp; Revenues'!E73</f>
        <v>0</v>
      </c>
      <c r="G68" s="116"/>
      <c r="H68" s="912"/>
      <c r="I68" s="913"/>
      <c r="J68" s="628">
        <f>'Rates in Detail'!E71</f>
        <v>4.9079999999999999E-2</v>
      </c>
      <c r="K68" s="630">
        <f>'Rates in Detail'!H71</f>
        <v>0</v>
      </c>
      <c r="L68" s="630">
        <f>'Rates in Detail'!F71</f>
        <v>0</v>
      </c>
      <c r="M68" s="630">
        <f>'Rates in Detail'!I71</f>
        <v>2.0999999999999998E-4</v>
      </c>
      <c r="N68" s="137">
        <f t="shared" si="0"/>
        <v>4.929E-2</v>
      </c>
      <c r="O68" s="1375">
        <f>'Rates in Detail'!L71</f>
        <v>6.2199999999999998E-3</v>
      </c>
      <c r="P68" s="1376">
        <f>'Rates in Detail'!P71</f>
        <v>-4.6000000000000001E-4</v>
      </c>
      <c r="Q68" s="1383">
        <f t="shared" si="1"/>
        <v>5.5050000000000002E-2</v>
      </c>
      <c r="R68" s="1376">
        <f>'Rates in Detail'!Y71</f>
        <v>3.1099999999999999E-3</v>
      </c>
      <c r="S68" s="1387">
        <f t="shared" si="2"/>
        <v>5.8160000000000003E-2</v>
      </c>
      <c r="T68" s="131"/>
    </row>
    <row r="69" spans="2:20" x14ac:dyDescent="0.2">
      <c r="B69" s="110">
        <f t="shared" si="3"/>
        <v>60</v>
      </c>
      <c r="C69" s="111"/>
      <c r="D69" s="111" t="s">
        <v>9</v>
      </c>
      <c r="E69" s="112" t="s">
        <v>74</v>
      </c>
      <c r="F69" s="113">
        <f>'WA Volumes &amp; Revenues'!E74</f>
        <v>0</v>
      </c>
      <c r="G69" s="113"/>
      <c r="H69" s="907"/>
      <c r="I69" s="909"/>
      <c r="J69" s="627">
        <f>'Rates in Detail'!E72</f>
        <v>1.839E-2</v>
      </c>
      <c r="K69" s="631">
        <f>'Rates in Detail'!H72</f>
        <v>0</v>
      </c>
      <c r="L69" s="631">
        <f>'Rates in Detail'!F72</f>
        <v>0</v>
      </c>
      <c r="M69" s="631">
        <f>'Rates in Detail'!I72</f>
        <v>6.9999999999999994E-5</v>
      </c>
      <c r="N69" s="135">
        <f t="shared" si="0"/>
        <v>1.8460000000000001E-2</v>
      </c>
      <c r="O69" s="1374">
        <f>'Rates in Detail'!L72</f>
        <v>2.33E-3</v>
      </c>
      <c r="P69" s="1367">
        <f>'Rates in Detail'!P72</f>
        <v>-1.7000000000000001E-4</v>
      </c>
      <c r="Q69" s="1382">
        <f t="shared" si="1"/>
        <v>2.0619999999999999E-2</v>
      </c>
      <c r="R69" s="1367">
        <f>'Rates in Detail'!Y72</f>
        <v>1.16E-3</v>
      </c>
      <c r="S69" s="1386">
        <f t="shared" si="2"/>
        <v>2.1780000000000001E-2</v>
      </c>
      <c r="T69" s="131"/>
    </row>
    <row r="70" spans="2:20" x14ac:dyDescent="0.2">
      <c r="B70" s="110">
        <f t="shared" si="3"/>
        <v>61</v>
      </c>
      <c r="C70" s="1355" t="str">
        <f>'WA Volumes &amp; Revenues'!B75</f>
        <v>42I Inter Transpt</v>
      </c>
      <c r="D70" s="1355" t="s">
        <v>4</v>
      </c>
      <c r="E70" s="115">
        <v>10000</v>
      </c>
      <c r="F70" s="116">
        <f>'WA Volumes &amp; Revenues'!E75</f>
        <v>844078</v>
      </c>
      <c r="G70" s="116">
        <f>'WA Volumes &amp; Revenues'!H75</f>
        <v>7</v>
      </c>
      <c r="H70" s="912">
        <f>'WA Volumes &amp; Revenues'!O75</f>
        <v>1550</v>
      </c>
      <c r="I70" s="913">
        <f>'WA Volumes &amp; Revenues'!N75</f>
        <v>1550</v>
      </c>
      <c r="J70" s="628">
        <f>'Rates in Detail'!E73</f>
        <v>0.13402999999999998</v>
      </c>
      <c r="K70" s="630">
        <f>'Rates in Detail'!H73</f>
        <v>0</v>
      </c>
      <c r="L70" s="630">
        <f>'Rates in Detail'!F73</f>
        <v>0</v>
      </c>
      <c r="M70" s="630">
        <f>'Rates in Detail'!I73</f>
        <v>5.6999999999999998E-4</v>
      </c>
      <c r="N70" s="137">
        <f t="shared" si="0"/>
        <v>0.13459999999999997</v>
      </c>
      <c r="O70" s="1375">
        <f>'Rates in Detail'!L73</f>
        <v>2.1659999999999999E-2</v>
      </c>
      <c r="P70" s="1376">
        <f>'Rates in Detail'!P73</f>
        <v>-1.49E-3</v>
      </c>
      <c r="Q70" s="1383">
        <f t="shared" si="1"/>
        <v>0.15476999999999996</v>
      </c>
      <c r="R70" s="1376">
        <f>'Rates in Detail'!Y73</f>
        <v>1.0160000000000001E-2</v>
      </c>
      <c r="S70" s="1387">
        <f t="shared" si="2"/>
        <v>0.16492999999999997</v>
      </c>
      <c r="T70" s="131"/>
    </row>
    <row r="71" spans="2:20" x14ac:dyDescent="0.2">
      <c r="B71" s="110">
        <f t="shared" si="3"/>
        <v>62</v>
      </c>
      <c r="C71" s="1355"/>
      <c r="D71" s="1355" t="s">
        <v>5</v>
      </c>
      <c r="E71" s="115">
        <v>20000</v>
      </c>
      <c r="F71" s="116">
        <f>'WA Volumes &amp; Revenues'!E76</f>
        <v>1445175</v>
      </c>
      <c r="G71" s="116"/>
      <c r="H71" s="912"/>
      <c r="I71" s="913"/>
      <c r="J71" s="628">
        <f>'Rates in Detail'!E74</f>
        <v>0.11997999999999999</v>
      </c>
      <c r="K71" s="630">
        <f>'Rates in Detail'!H74</f>
        <v>0</v>
      </c>
      <c r="L71" s="630">
        <f>'Rates in Detail'!F74</f>
        <v>0</v>
      </c>
      <c r="M71" s="630">
        <f>'Rates in Detail'!I74</f>
        <v>5.1000000000000004E-4</v>
      </c>
      <c r="N71" s="137">
        <f t="shared" si="0"/>
        <v>0.12048999999999999</v>
      </c>
      <c r="O71" s="1375">
        <f>'Rates in Detail'!L74</f>
        <v>1.9390000000000001E-2</v>
      </c>
      <c r="P71" s="1376">
        <f>'Rates in Detail'!P74</f>
        <v>-1.33E-3</v>
      </c>
      <c r="Q71" s="1383">
        <f t="shared" si="1"/>
        <v>0.13854999999999998</v>
      </c>
      <c r="R71" s="1376">
        <f>'Rates in Detail'!Y74</f>
        <v>9.0900000000000009E-3</v>
      </c>
      <c r="S71" s="1387">
        <f t="shared" si="2"/>
        <v>0.14763999999999999</v>
      </c>
      <c r="T71" s="131"/>
    </row>
    <row r="72" spans="2:20" x14ac:dyDescent="0.2">
      <c r="B72" s="110">
        <f t="shared" si="3"/>
        <v>63</v>
      </c>
      <c r="C72" s="1355"/>
      <c r="D72" s="1355" t="s">
        <v>6</v>
      </c>
      <c r="E72" s="115">
        <v>20000</v>
      </c>
      <c r="F72" s="116">
        <f>'WA Volumes &amp; Revenues'!E77</f>
        <v>1034978</v>
      </c>
      <c r="G72" s="116"/>
      <c r="H72" s="912"/>
      <c r="I72" s="913"/>
      <c r="J72" s="628">
        <f>'Rates in Detail'!E75</f>
        <v>9.1999999999999998E-2</v>
      </c>
      <c r="K72" s="630">
        <f>'Rates in Detail'!H75</f>
        <v>0</v>
      </c>
      <c r="L72" s="630">
        <f>'Rates in Detail'!F75</f>
        <v>0</v>
      </c>
      <c r="M72" s="630">
        <f>'Rates in Detail'!I75</f>
        <v>3.7999999999999997E-4</v>
      </c>
      <c r="N72" s="137">
        <f t="shared" si="0"/>
        <v>9.2380000000000004E-2</v>
      </c>
      <c r="O72" s="1375">
        <f>'Rates in Detail'!L75</f>
        <v>1.487E-2</v>
      </c>
      <c r="P72" s="1376">
        <f>'Rates in Detail'!P75</f>
        <v>-1.0200000000000001E-3</v>
      </c>
      <c r="Q72" s="1383">
        <f t="shared" si="1"/>
        <v>0.10622999999999999</v>
      </c>
      <c r="R72" s="1376">
        <f>'Rates in Detail'!Y75</f>
        <v>6.9699999999999996E-3</v>
      </c>
      <c r="S72" s="1387">
        <f t="shared" si="2"/>
        <v>0.1132</v>
      </c>
      <c r="T72" s="131"/>
    </row>
    <row r="73" spans="2:20" x14ac:dyDescent="0.2">
      <c r="B73" s="110">
        <f t="shared" si="3"/>
        <v>64</v>
      </c>
      <c r="C73" s="1355"/>
      <c r="D73" s="1355" t="s">
        <v>7</v>
      </c>
      <c r="E73" s="115">
        <v>100000</v>
      </c>
      <c r="F73" s="116">
        <f>'WA Volumes &amp; Revenues'!E78</f>
        <v>3359916</v>
      </c>
      <c r="G73" s="116"/>
      <c r="H73" s="912"/>
      <c r="I73" s="913"/>
      <c r="J73" s="628">
        <f>'Rates in Detail'!E76</f>
        <v>7.3609999999999995E-2</v>
      </c>
      <c r="K73" s="630">
        <f>'Rates in Detail'!H76</f>
        <v>0</v>
      </c>
      <c r="L73" s="630">
        <f>'Rates in Detail'!F76</f>
        <v>0</v>
      </c>
      <c r="M73" s="630">
        <f>'Rates in Detail'!I76</f>
        <v>3.0999999999999995E-4</v>
      </c>
      <c r="N73" s="137">
        <f t="shared" si="0"/>
        <v>7.392E-2</v>
      </c>
      <c r="O73" s="1375">
        <f>'Rates in Detail'!L76</f>
        <v>1.189E-2</v>
      </c>
      <c r="P73" s="1376">
        <f>'Rates in Detail'!P76</f>
        <v>-8.1999999999999998E-4</v>
      </c>
      <c r="Q73" s="1383">
        <f t="shared" si="1"/>
        <v>8.4989999999999996E-2</v>
      </c>
      <c r="R73" s="1376">
        <f>'Rates in Detail'!Y76</f>
        <v>5.5799999999999999E-3</v>
      </c>
      <c r="S73" s="1387">
        <f t="shared" si="2"/>
        <v>9.0569999999999998E-2</v>
      </c>
      <c r="T73" s="131"/>
    </row>
    <row r="74" spans="2:20" x14ac:dyDescent="0.2">
      <c r="B74" s="110">
        <f t="shared" si="3"/>
        <v>65</v>
      </c>
      <c r="C74" s="1355"/>
      <c r="D74" s="1355" t="s">
        <v>8</v>
      </c>
      <c r="E74" s="115">
        <v>600000</v>
      </c>
      <c r="F74" s="116">
        <f>'WA Volumes &amp; Revenues'!E79</f>
        <v>1349120</v>
      </c>
      <c r="G74" s="116"/>
      <c r="H74" s="912"/>
      <c r="I74" s="913"/>
      <c r="J74" s="628">
        <f>'Rates in Detail'!E77</f>
        <v>4.9079999999999999E-2</v>
      </c>
      <c r="K74" s="630">
        <f>'Rates in Detail'!H77</f>
        <v>0</v>
      </c>
      <c r="L74" s="630">
        <f>'Rates in Detail'!F77</f>
        <v>0</v>
      </c>
      <c r="M74" s="630">
        <f>'Rates in Detail'!I77</f>
        <v>2.0999999999999998E-4</v>
      </c>
      <c r="N74" s="137">
        <f t="shared" si="0"/>
        <v>4.929E-2</v>
      </c>
      <c r="O74" s="1375">
        <f>'Rates in Detail'!L77</f>
        <v>7.9299999999999995E-3</v>
      </c>
      <c r="P74" s="1376">
        <f>'Rates in Detail'!P77</f>
        <v>-5.5000000000000003E-4</v>
      </c>
      <c r="Q74" s="1383">
        <f t="shared" si="1"/>
        <v>5.6669999999999998E-2</v>
      </c>
      <c r="R74" s="1376">
        <f>'Rates in Detail'!Y77</f>
        <v>3.7200000000000002E-3</v>
      </c>
      <c r="S74" s="1387">
        <f t="shared" si="2"/>
        <v>6.0389999999999999E-2</v>
      </c>
      <c r="T74" s="131"/>
    </row>
    <row r="75" spans="2:20" x14ac:dyDescent="0.2">
      <c r="B75" s="110">
        <f t="shared" si="3"/>
        <v>66</v>
      </c>
      <c r="C75" s="111"/>
      <c r="D75" s="111" t="s">
        <v>9</v>
      </c>
      <c r="E75" s="112" t="s">
        <v>74</v>
      </c>
      <c r="F75" s="113">
        <f>'WA Volumes &amp; Revenues'!E80</f>
        <v>0</v>
      </c>
      <c r="G75" s="113"/>
      <c r="H75" s="907"/>
      <c r="I75" s="909"/>
      <c r="J75" s="628">
        <f>'Rates in Detail'!E78</f>
        <v>1.839E-2</v>
      </c>
      <c r="K75" s="630">
        <f>'Rates in Detail'!H78</f>
        <v>0</v>
      </c>
      <c r="L75" s="630">
        <f>'Rates in Detail'!F78</f>
        <v>0</v>
      </c>
      <c r="M75" s="630">
        <f>'Rates in Detail'!I78</f>
        <v>6.9999999999999994E-5</v>
      </c>
      <c r="N75" s="629">
        <f t="shared" ref="N75:N78" si="4">SUM(J75:M75)</f>
        <v>1.8460000000000001E-2</v>
      </c>
      <c r="O75" s="1375">
        <f>'Rates in Detail'!L78</f>
        <v>2.97E-3</v>
      </c>
      <c r="P75" s="1376">
        <f>'Rates in Detail'!P78</f>
        <v>-2.0000000000000001E-4</v>
      </c>
      <c r="Q75" s="1383">
        <f t="shared" ref="Q75:Q78" si="5">SUM(N75:P75)</f>
        <v>2.1230000000000002E-2</v>
      </c>
      <c r="R75" s="1376">
        <f>'Rates in Detail'!Y78</f>
        <v>1.39E-3</v>
      </c>
      <c r="S75" s="1387">
        <f t="shared" ref="S75:S78" si="6">Q75+R75</f>
        <v>2.2620000000000001E-2</v>
      </c>
      <c r="T75" s="131"/>
    </row>
    <row r="76" spans="2:20" x14ac:dyDescent="0.2">
      <c r="B76" s="110">
        <f t="shared" ref="B76:B78" si="7">B75+1</f>
        <v>67</v>
      </c>
      <c r="C76" s="1354" t="str">
        <f>'WA Volumes &amp; Revenues'!B81</f>
        <v>43 Firm Transpt</v>
      </c>
      <c r="D76" s="111" t="s">
        <v>283</v>
      </c>
      <c r="E76" s="111" t="s">
        <v>283</v>
      </c>
      <c r="F76" s="113">
        <f>'WA Volumes &amp; Revenues'!E81</f>
        <v>0</v>
      </c>
      <c r="G76" s="113">
        <f>'WA Volumes &amp; Revenues'!H81</f>
        <v>0</v>
      </c>
      <c r="H76" s="907">
        <f>'WA Volumes &amp; Revenues'!O81</f>
        <v>38000</v>
      </c>
      <c r="I76" s="909">
        <f>'WA Volumes &amp; Revenues'!N81</f>
        <v>38000</v>
      </c>
      <c r="J76" s="625">
        <f>'Rates in Detail'!E79</f>
        <v>4.9099999999999994E-3</v>
      </c>
      <c r="K76" s="626">
        <f>'Rates in Detail'!H79</f>
        <v>0</v>
      </c>
      <c r="L76" s="626">
        <f>'Rates in Detail'!F79</f>
        <v>0</v>
      </c>
      <c r="M76" s="626">
        <f>'Rates in Detail'!I79</f>
        <v>1.0000000000000001E-5</v>
      </c>
      <c r="N76" s="135">
        <f t="shared" si="4"/>
        <v>4.919999999999999E-3</v>
      </c>
      <c r="O76" s="118">
        <f>'Rates in Detail'!L79</f>
        <v>0</v>
      </c>
      <c r="P76" s="1378">
        <f>'Rates in Detail'!P79</f>
        <v>0</v>
      </c>
      <c r="Q76" s="1384">
        <f t="shared" si="5"/>
        <v>4.919999999999999E-3</v>
      </c>
      <c r="R76" s="1378">
        <f>'Rates in Detail'!Y79</f>
        <v>0</v>
      </c>
      <c r="S76" s="1388">
        <f t="shared" si="6"/>
        <v>4.919999999999999E-3</v>
      </c>
      <c r="T76" s="131"/>
    </row>
    <row r="77" spans="2:20" x14ac:dyDescent="0.2">
      <c r="B77" s="110">
        <f t="shared" si="7"/>
        <v>68</v>
      </c>
      <c r="C77" s="1354" t="str">
        <f>'WA Volumes &amp; Revenues'!B82</f>
        <v>43 Interr Transpt</v>
      </c>
      <c r="D77" s="111" t="s">
        <v>283</v>
      </c>
      <c r="E77" s="111" t="s">
        <v>283</v>
      </c>
      <c r="F77" s="113">
        <f>'WA Volumes &amp; Revenues'!E82</f>
        <v>0</v>
      </c>
      <c r="G77" s="113">
        <f>'WA Volumes &amp; Revenues'!H82</f>
        <v>0</v>
      </c>
      <c r="H77" s="907">
        <f>'WA Volumes &amp; Revenues'!O82</f>
        <v>38000</v>
      </c>
      <c r="I77" s="909">
        <f>'WA Volumes &amp; Revenues'!N82</f>
        <v>38000</v>
      </c>
      <c r="J77" s="625">
        <f>'Rates in Detail'!E80</f>
        <v>4.9099999999999994E-3</v>
      </c>
      <c r="K77" s="626">
        <f>'Rates in Detail'!H80</f>
        <v>0</v>
      </c>
      <c r="L77" s="626">
        <f>'Rates in Detail'!F80</f>
        <v>0</v>
      </c>
      <c r="M77" s="626">
        <f>'Rates in Detail'!I80</f>
        <v>1.0000000000000001E-5</v>
      </c>
      <c r="N77" s="135">
        <f t="shared" si="4"/>
        <v>4.919999999999999E-3</v>
      </c>
      <c r="O77" s="118">
        <f>'Rates in Detail'!L80</f>
        <v>0</v>
      </c>
      <c r="P77" s="1378">
        <f>'Rates in Detail'!P80</f>
        <v>0</v>
      </c>
      <c r="Q77" s="1384">
        <f t="shared" si="5"/>
        <v>4.919999999999999E-3</v>
      </c>
      <c r="R77" s="1378">
        <f>'Rates in Detail'!Y80</f>
        <v>0</v>
      </c>
      <c r="S77" s="1388">
        <f t="shared" si="6"/>
        <v>4.919999999999999E-3</v>
      </c>
      <c r="T77" s="131"/>
    </row>
    <row r="78" spans="2:20" ht="13.5" thickBot="1" x14ac:dyDescent="0.25">
      <c r="B78" s="1448">
        <f t="shared" si="7"/>
        <v>69</v>
      </c>
      <c r="C78" s="1354" t="str">
        <f>'WA Volumes &amp; Revenues'!B83</f>
        <v>Special Contract</v>
      </c>
      <c r="D78" s="111" t="s">
        <v>283</v>
      </c>
      <c r="E78" s="111" t="s">
        <v>283</v>
      </c>
      <c r="F78" s="113">
        <f>'WA Volumes &amp; Revenues'!E83</f>
        <v>2895114</v>
      </c>
      <c r="G78" s="113">
        <f>'WA Volumes &amp; Revenues'!H83</f>
        <v>1</v>
      </c>
      <c r="H78" s="907">
        <f>'WA Volumes &amp; Revenues'!O83</f>
        <v>0</v>
      </c>
      <c r="I78" s="909">
        <f>'WA Volumes &amp; Revenues'!N83</f>
        <v>0</v>
      </c>
      <c r="J78" s="625">
        <f>'Rates in Detail'!E81</f>
        <v>0</v>
      </c>
      <c r="K78" s="626">
        <f>'Rates in Detail'!H81</f>
        <v>0</v>
      </c>
      <c r="L78" s="626">
        <f>'Rates in Detail'!F81</f>
        <v>0</v>
      </c>
      <c r="M78" s="626">
        <f>'Rates in Detail'!I81</f>
        <v>0</v>
      </c>
      <c r="N78" s="135">
        <f t="shared" si="4"/>
        <v>0</v>
      </c>
      <c r="O78" s="118">
        <f>'Rates in Detail'!L81</f>
        <v>0</v>
      </c>
      <c r="P78" s="1378">
        <f>'Rates in Detail'!P81</f>
        <v>0</v>
      </c>
      <c r="Q78" s="1385">
        <f t="shared" si="5"/>
        <v>0</v>
      </c>
      <c r="R78" s="1378">
        <f>'Rates in Detail'!Y81</f>
        <v>0</v>
      </c>
      <c r="S78" s="1389">
        <f t="shared" si="6"/>
        <v>0</v>
      </c>
      <c r="T78" s="131"/>
    </row>
  </sheetData>
  <mergeCells count="3">
    <mergeCell ref="R6:S6"/>
    <mergeCell ref="J7:N7"/>
    <mergeCell ref="O6:Q6"/>
  </mergeCells>
  <printOptions verticalCentered="1"/>
  <pageMargins left="0.5" right="0.5" top="0.5" bottom="0.5" header="0.25" footer="0.25"/>
  <pageSetup scale="52" orientation="landscape" r:id="rId1"/>
  <headerFooter alignWithMargins="0">
    <oddHeader>&amp;RExh. RJW-3 Wyman WP1</oddHeader>
    <oddFooter xml:space="preserve">&amp;C&amp;F &amp;D &amp;T
&amp;A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73646-4EEF-48B4-B1E0-1B37597A2115}">
  <sheetPr>
    <tabColor rgb="FFFFFFCC"/>
    <pageSetUpPr fitToPage="1"/>
  </sheetPr>
  <dimension ref="B1:X78"/>
  <sheetViews>
    <sheetView zoomScale="90" zoomScaleNormal="90" workbookViewId="0">
      <pane xSplit="4" ySplit="9" topLeftCell="G10" activePane="bottomRight" state="frozen"/>
      <selection activeCell="K47" sqref="K47"/>
      <selection pane="topRight" activeCell="K47" sqref="K47"/>
      <selection pane="bottomLeft" activeCell="K47" sqref="K47"/>
      <selection pane="bottomRight" activeCell="U18" sqref="U18"/>
    </sheetView>
  </sheetViews>
  <sheetFormatPr defaultColWidth="9.33203125" defaultRowHeight="12.75" outlineLevelCol="1" x14ac:dyDescent="0.2"/>
  <cols>
    <col min="1" max="1" width="3.1640625" style="52" customWidth="1"/>
    <col min="2" max="2" width="8.6640625" style="52" customWidth="1"/>
    <col min="3" max="3" width="16.33203125" style="52" customWidth="1"/>
    <col min="4" max="5" width="14" style="52" customWidth="1"/>
    <col min="6" max="6" width="15" style="52" customWidth="1"/>
    <col min="7" max="9" width="14" style="52" customWidth="1"/>
    <col min="10" max="10" width="14" style="622" customWidth="1" outlineLevel="1"/>
    <col min="11" max="11" width="15.1640625" style="622" customWidth="1" outlineLevel="1"/>
    <col min="12" max="12" width="14" style="622" customWidth="1" outlineLevel="1"/>
    <col min="13" max="13" width="14.33203125" style="622" customWidth="1" outlineLevel="1"/>
    <col min="14" max="14" width="14.33203125" style="52" customWidth="1"/>
    <col min="15" max="16" width="16" style="52" customWidth="1" outlineLevel="1"/>
    <col min="17" max="17" width="16.5" style="92" customWidth="1" outlineLevel="1"/>
    <col min="18" max="18" width="16" style="52" customWidth="1" outlineLevel="1"/>
    <col min="19" max="19" width="15.6640625" style="52" customWidth="1" outlineLevel="1"/>
    <col min="20" max="20" width="16" style="52" customWidth="1"/>
    <col min="21" max="21" width="16" style="130" customWidth="1" outlineLevel="1"/>
    <col min="22" max="22" width="15.6640625" style="130" customWidth="1" outlineLevel="1"/>
    <col min="23" max="23" width="16" style="130" customWidth="1" outlineLevel="1"/>
    <col min="24" max="24" width="3.1640625" style="130" customWidth="1"/>
    <col min="25" max="16384" width="9.33203125" style="52"/>
  </cols>
  <sheetData>
    <row r="1" spans="2:24" x14ac:dyDescent="0.2">
      <c r="B1" s="91" t="s">
        <v>0</v>
      </c>
      <c r="S1" s="65"/>
    </row>
    <row r="2" spans="2:24" x14ac:dyDescent="0.2">
      <c r="B2" s="91" t="s">
        <v>276</v>
      </c>
    </row>
    <row r="3" spans="2:24" x14ac:dyDescent="0.2">
      <c r="B3" s="91" t="s">
        <v>277</v>
      </c>
      <c r="P3" s="101"/>
      <c r="Q3" s="138"/>
    </row>
    <row r="4" spans="2:24" x14ac:dyDescent="0.2">
      <c r="B4" s="91" t="s">
        <v>605</v>
      </c>
      <c r="N4" s="656"/>
      <c r="O4" s="59"/>
      <c r="P4" s="59"/>
      <c r="Q4" s="58"/>
      <c r="R4" s="58"/>
      <c r="S4" s="58"/>
      <c r="U4" s="131"/>
      <c r="V4" s="131"/>
      <c r="W4" s="131"/>
      <c r="X4" s="131"/>
    </row>
    <row r="5" spans="2:24" ht="13.5" thickBot="1" x14ac:dyDescent="0.25">
      <c r="B5" s="1358" t="s">
        <v>600</v>
      </c>
      <c r="N5" s="656"/>
      <c r="O5" s="59"/>
      <c r="P5" s="59"/>
      <c r="Q5" s="58"/>
      <c r="R5" s="58"/>
      <c r="S5" s="58"/>
      <c r="U5" s="131"/>
      <c r="V5" s="131"/>
      <c r="W5" s="131"/>
      <c r="X5" s="131"/>
    </row>
    <row r="6" spans="2:24" ht="13.5" thickBot="1" x14ac:dyDescent="0.25">
      <c r="O6" s="1689" t="s">
        <v>604</v>
      </c>
      <c r="P6" s="1690"/>
      <c r="Q6" s="1690"/>
      <c r="R6" s="1690"/>
      <c r="S6" s="1690"/>
      <c r="T6" s="1691"/>
      <c r="U6" s="1687" t="s">
        <v>603</v>
      </c>
      <c r="V6" s="1692"/>
      <c r="W6" s="1688"/>
    </row>
    <row r="7" spans="2:24" ht="13.5" thickBot="1" x14ac:dyDescent="0.25">
      <c r="B7" s="103"/>
      <c r="C7" s="103"/>
      <c r="D7" s="103"/>
      <c r="E7" s="103"/>
      <c r="F7" s="103"/>
      <c r="G7" s="103"/>
      <c r="H7" s="632" t="s">
        <v>18</v>
      </c>
      <c r="I7" s="104" t="s">
        <v>595</v>
      </c>
      <c r="J7" s="1672" t="s">
        <v>596</v>
      </c>
      <c r="K7" s="1673"/>
      <c r="L7" s="1673"/>
      <c r="M7" s="1673"/>
      <c r="N7" s="1673"/>
      <c r="O7" s="1394" t="s">
        <v>179</v>
      </c>
      <c r="P7" s="1391" t="str">
        <f>'Rates in Detail'!P9</f>
        <v>EDIT Amort Cr</v>
      </c>
      <c r="Q7" s="1390" t="s">
        <v>138</v>
      </c>
      <c r="R7" s="1394" t="str">
        <f>'Rates in Detail'!S9</f>
        <v>Historical EE</v>
      </c>
      <c r="S7" s="1397" t="s">
        <v>577</v>
      </c>
      <c r="T7" s="1390" t="s">
        <v>32</v>
      </c>
      <c r="U7" s="1399" t="s">
        <v>179</v>
      </c>
      <c r="V7" s="1398" t="s">
        <v>418</v>
      </c>
      <c r="W7" s="1369" t="s">
        <v>32</v>
      </c>
    </row>
    <row r="8" spans="2:24" ht="51" x14ac:dyDescent="0.2">
      <c r="B8" s="105" t="s">
        <v>150</v>
      </c>
      <c r="C8" s="66" t="s">
        <v>2</v>
      </c>
      <c r="D8" s="66" t="s">
        <v>3</v>
      </c>
      <c r="E8" s="66" t="s">
        <v>164</v>
      </c>
      <c r="F8" s="66" t="s">
        <v>162</v>
      </c>
      <c r="G8" s="66" t="s">
        <v>163</v>
      </c>
      <c r="H8" s="106" t="s">
        <v>160</v>
      </c>
      <c r="I8" s="66" t="s">
        <v>161</v>
      </c>
      <c r="J8" s="623" t="s">
        <v>590</v>
      </c>
      <c r="K8" s="624" t="s">
        <v>591</v>
      </c>
      <c r="L8" s="624" t="s">
        <v>592</v>
      </c>
      <c r="M8" s="624" t="s">
        <v>594</v>
      </c>
      <c r="N8" s="66" t="s">
        <v>593</v>
      </c>
      <c r="O8" s="1395" t="s">
        <v>159</v>
      </c>
      <c r="P8" s="1392" t="s">
        <v>433</v>
      </c>
      <c r="Q8" s="1361" t="s">
        <v>607</v>
      </c>
      <c r="R8" s="1395" t="s">
        <v>238</v>
      </c>
      <c r="S8" s="1381" t="s">
        <v>238</v>
      </c>
      <c r="T8" s="1361" t="s">
        <v>606</v>
      </c>
      <c r="U8" s="1400" t="s">
        <v>159</v>
      </c>
      <c r="V8" s="1362" t="s">
        <v>238</v>
      </c>
      <c r="W8" s="1363" t="s">
        <v>609</v>
      </c>
      <c r="X8" s="1357"/>
    </row>
    <row r="9" spans="2:24" ht="13.5" thickBot="1" x14ac:dyDescent="0.25">
      <c r="B9" s="640"/>
      <c r="C9" s="641" t="s">
        <v>35</v>
      </c>
      <c r="D9" s="641" t="s">
        <v>36</v>
      </c>
      <c r="E9" s="641" t="s">
        <v>13</v>
      </c>
      <c r="F9" s="641" t="s">
        <v>37</v>
      </c>
      <c r="G9" s="641" t="s">
        <v>38</v>
      </c>
      <c r="H9" s="642" t="s">
        <v>39</v>
      </c>
      <c r="I9" s="643" t="s">
        <v>40</v>
      </c>
      <c r="J9" s="642" t="s">
        <v>41</v>
      </c>
      <c r="K9" s="641" t="s">
        <v>42</v>
      </c>
      <c r="L9" s="641" t="s">
        <v>129</v>
      </c>
      <c r="M9" s="641" t="s">
        <v>130</v>
      </c>
      <c r="N9" s="641" t="s">
        <v>259</v>
      </c>
      <c r="O9" s="1396" t="s">
        <v>131</v>
      </c>
      <c r="P9" s="1393" t="s">
        <v>132</v>
      </c>
      <c r="Q9" s="1360" t="s">
        <v>597</v>
      </c>
      <c r="R9" s="1396" t="s">
        <v>135</v>
      </c>
      <c r="S9" s="1359" t="s">
        <v>89</v>
      </c>
      <c r="T9" s="1360" t="s">
        <v>608</v>
      </c>
      <c r="U9" s="1401" t="s">
        <v>93</v>
      </c>
      <c r="V9" s="1364" t="s">
        <v>94</v>
      </c>
      <c r="W9" s="1449" t="s">
        <v>610</v>
      </c>
      <c r="X9" s="1356"/>
    </row>
    <row r="10" spans="2:24" x14ac:dyDescent="0.2">
      <c r="B10" s="110">
        <v>1</v>
      </c>
      <c r="C10" s="111" t="str">
        <f>'WA Volumes &amp; Revenues'!B15</f>
        <v>1R</v>
      </c>
      <c r="D10" s="111" t="s">
        <v>283</v>
      </c>
      <c r="E10" s="111" t="s">
        <v>283</v>
      </c>
      <c r="F10" s="113">
        <f>'WA Volumes &amp; Revenues'!E15</f>
        <v>214704.20066131229</v>
      </c>
      <c r="G10" s="113">
        <f>'WA Volumes &amp; Revenues'!H15</f>
        <v>911</v>
      </c>
      <c r="H10" s="907">
        <f>'WA Volumes &amp; Revenues'!O15</f>
        <v>5.5</v>
      </c>
      <c r="I10" s="908">
        <f>'WA Volumes &amp; Revenues'!N15</f>
        <v>5.5</v>
      </c>
      <c r="J10" s="627">
        <f>'Rates in Detail'!E13</f>
        <v>0.67652999999999996</v>
      </c>
      <c r="K10" s="631">
        <f>'Rates in Detail'!H13</f>
        <v>0.10141</v>
      </c>
      <c r="L10" s="631">
        <f>'Rates in Detail'!F13</f>
        <v>0.26333000000000001</v>
      </c>
      <c r="M10" s="631">
        <f>'Rates in Detail'!I13</f>
        <v>0.11125999999999998</v>
      </c>
      <c r="N10" s="135">
        <f>SUM(J10:M10)</f>
        <v>1.1525299999999998</v>
      </c>
      <c r="O10" s="1372">
        <f>'Rates in Detail'!L13</f>
        <v>0.13225000000000001</v>
      </c>
      <c r="P10" s="1367">
        <f>'Rates in Detail'!P13</f>
        <v>-9.1000000000000004E-3</v>
      </c>
      <c r="Q10" s="1373">
        <f>SUM(N10:P10)</f>
        <v>1.2756799999999997</v>
      </c>
      <c r="R10" s="1372">
        <f>'Rates in Detail'!S13</f>
        <v>-3.1189999999999999E-2</v>
      </c>
      <c r="S10" s="1367">
        <f>'Rates in Detail'!T13</f>
        <v>-1.7239999999999998E-2</v>
      </c>
      <c r="T10" s="1382">
        <f>SUM(Q10:S10)</f>
        <v>1.2272499999999997</v>
      </c>
      <c r="U10" s="114">
        <f>'Rates in Detail'!Y13</f>
        <v>6.2010000000000003E-2</v>
      </c>
      <c r="V10" s="114">
        <f>'Rates in Detail'!Z13</f>
        <v>-8.8000000000000003E-4</v>
      </c>
      <c r="W10" s="1386">
        <f>SUM(T10:V10)-(R10+S10)</f>
        <v>1.3368099999999996</v>
      </c>
      <c r="X10" s="131"/>
    </row>
    <row r="11" spans="2:24" x14ac:dyDescent="0.2">
      <c r="B11" s="110">
        <f>B10+1</f>
        <v>2</v>
      </c>
      <c r="C11" s="111" t="str">
        <f>'WA Volumes &amp; Revenues'!B16</f>
        <v>1C</v>
      </c>
      <c r="D11" s="111" t="s">
        <v>283</v>
      </c>
      <c r="E11" s="111" t="s">
        <v>283</v>
      </c>
      <c r="F11" s="113">
        <f>'WA Volumes &amp; Revenues'!E16</f>
        <v>46539.057144390383</v>
      </c>
      <c r="G11" s="113">
        <f>'WA Volumes &amp; Revenues'!H16</f>
        <v>34</v>
      </c>
      <c r="H11" s="907">
        <f>'WA Volumes &amp; Revenues'!O16</f>
        <v>7</v>
      </c>
      <c r="I11" s="908">
        <f>'WA Volumes &amp; Revenues'!N16</f>
        <v>7</v>
      </c>
      <c r="J11" s="627">
        <f>'Rates in Detail'!E14</f>
        <v>0.73148999999999997</v>
      </c>
      <c r="K11" s="631">
        <f>'Rates in Detail'!H14</f>
        <v>0.10141</v>
      </c>
      <c r="L11" s="631">
        <f>'Rates in Detail'!F14</f>
        <v>0.26333000000000001</v>
      </c>
      <c r="M11" s="631">
        <f>'Rates in Detail'!I14</f>
        <v>9.3060000000000004E-2</v>
      </c>
      <c r="N11" s="135">
        <f t="shared" ref="N11:N74" si="0">SUM(J11:M11)</f>
        <v>1.18929</v>
      </c>
      <c r="O11" s="1372">
        <f>'Rates in Detail'!L14</f>
        <v>0.10997</v>
      </c>
      <c r="P11" s="1367">
        <f>'Rates in Detail'!P14</f>
        <v>-7.5599999999999999E-3</v>
      </c>
      <c r="Q11" s="1373">
        <f t="shared" ref="Q11:Q74" si="1">SUM(N11:P11)</f>
        <v>1.2916999999999998</v>
      </c>
      <c r="R11" s="1372">
        <f>'Rates in Detail'!S14</f>
        <v>-2.5940000000000001E-2</v>
      </c>
      <c r="S11" s="1367">
        <f>'Rates in Detail'!T14</f>
        <v>-1.4330000000000001E-2</v>
      </c>
      <c r="T11" s="1382">
        <f t="shared" ref="T11:T74" si="2">SUM(Q11:S11)</f>
        <v>1.2514299999999998</v>
      </c>
      <c r="U11" s="114">
        <f>'Rates in Detail'!Y14</f>
        <v>5.1569999999999998E-2</v>
      </c>
      <c r="V11" s="114">
        <f>'Rates in Detail'!Z14</f>
        <v>-7.2999999999999996E-4</v>
      </c>
      <c r="W11" s="1386">
        <f t="shared" ref="W11:W74" si="3">SUM(T11:V11)-(R11+S11)</f>
        <v>1.3425399999999998</v>
      </c>
      <c r="X11" s="131"/>
    </row>
    <row r="12" spans="2:24" x14ac:dyDescent="0.2">
      <c r="B12" s="110">
        <f t="shared" ref="B12:B75" si="4">B11+1</f>
        <v>3</v>
      </c>
      <c r="C12" s="111" t="str">
        <f>'WA Volumes &amp; Revenues'!B17</f>
        <v>2R</v>
      </c>
      <c r="D12" s="111" t="s">
        <v>283</v>
      </c>
      <c r="E12" s="111" t="s">
        <v>283</v>
      </c>
      <c r="F12" s="113">
        <f>'WA Volumes &amp; Revenues'!E17</f>
        <v>54953515.785084128</v>
      </c>
      <c r="G12" s="113">
        <f>'WA Volumes &amp; Revenues'!H17</f>
        <v>81119</v>
      </c>
      <c r="H12" s="907">
        <f>'WA Volumes &amp; Revenues'!O17</f>
        <v>8</v>
      </c>
      <c r="I12" s="908">
        <f>'WA Volumes &amp; Revenues'!N17</f>
        <v>8</v>
      </c>
      <c r="J12" s="627">
        <f>'Rates in Detail'!E15</f>
        <v>0.45815999999999979</v>
      </c>
      <c r="K12" s="631">
        <f>'Rates in Detail'!H15</f>
        <v>0.10141</v>
      </c>
      <c r="L12" s="631">
        <f>'Rates in Detail'!F15</f>
        <v>0.26333000000000001</v>
      </c>
      <c r="M12" s="631">
        <f>'Rates in Detail'!I15</f>
        <v>6.6579999999999986E-2</v>
      </c>
      <c r="N12" s="135">
        <f t="shared" si="0"/>
        <v>0.88947999999999972</v>
      </c>
      <c r="O12" s="1372">
        <f>'Rates in Detail'!L15</f>
        <v>8.3699999999999997E-2</v>
      </c>
      <c r="P12" s="1367">
        <f>'Rates in Detail'!P15</f>
        <v>-5.7600000000000004E-3</v>
      </c>
      <c r="Q12" s="1373">
        <f t="shared" si="1"/>
        <v>0.96741999999999972</v>
      </c>
      <c r="R12" s="1372">
        <f>'Rates in Detail'!S15</f>
        <v>-1.9740000000000001E-2</v>
      </c>
      <c r="S12" s="1367">
        <f>'Rates in Detail'!T15</f>
        <v>-1.091E-2</v>
      </c>
      <c r="T12" s="1382">
        <f t="shared" si="2"/>
        <v>0.93676999999999977</v>
      </c>
      <c r="U12" s="114">
        <f>'Rates in Detail'!Y15</f>
        <v>3.925E-2</v>
      </c>
      <c r="V12" s="114">
        <f>'Rates in Detail'!Z15</f>
        <v>-5.5000000000000003E-4</v>
      </c>
      <c r="W12" s="1386">
        <f t="shared" si="3"/>
        <v>1.0061199999999997</v>
      </c>
      <c r="X12" s="131"/>
    </row>
    <row r="13" spans="2:24" x14ac:dyDescent="0.2">
      <c r="B13" s="110">
        <f t="shared" si="4"/>
        <v>4</v>
      </c>
      <c r="C13" s="111" t="str">
        <f>'WA Volumes &amp; Revenues'!B18</f>
        <v>3 CFS</v>
      </c>
      <c r="D13" s="111" t="s">
        <v>283</v>
      </c>
      <c r="E13" s="111" t="s">
        <v>283</v>
      </c>
      <c r="F13" s="113">
        <f>'WA Volumes &amp; Revenues'!E18</f>
        <v>17867210.60654201</v>
      </c>
      <c r="G13" s="113">
        <f>'WA Volumes &amp; Revenues'!H18</f>
        <v>6318</v>
      </c>
      <c r="H13" s="907">
        <f>'WA Volumes &amp; Revenues'!O18</f>
        <v>22</v>
      </c>
      <c r="I13" s="909">
        <f>'WA Volumes &amp; Revenues'!N18</f>
        <v>22</v>
      </c>
      <c r="J13" s="627">
        <f>'Rates in Detail'!E16</f>
        <v>0.44368000000000019</v>
      </c>
      <c r="K13" s="631">
        <f>'Rates in Detail'!H16</f>
        <v>0.10141</v>
      </c>
      <c r="L13" s="631">
        <f>'Rates in Detail'!F16</f>
        <v>0.26333000000000001</v>
      </c>
      <c r="M13" s="631">
        <f>'Rates in Detail'!I16</f>
        <v>5.8480000000000004E-2</v>
      </c>
      <c r="N13" s="136">
        <f t="shared" si="0"/>
        <v>0.86690000000000011</v>
      </c>
      <c r="O13" s="1374">
        <f>'Rates in Detail'!L16</f>
        <v>7.5149999999999995E-2</v>
      </c>
      <c r="P13" s="1367">
        <f>'Rates in Detail'!P16</f>
        <v>-5.1700000000000001E-3</v>
      </c>
      <c r="Q13" s="1373">
        <f t="shared" si="1"/>
        <v>0.93688000000000005</v>
      </c>
      <c r="R13" s="1374">
        <f>'Rates in Detail'!S16</f>
        <v>-1.7729999999999999E-2</v>
      </c>
      <c r="S13" s="1367">
        <f>'Rates in Detail'!T16</f>
        <v>-9.7999999999999997E-3</v>
      </c>
      <c r="T13" s="1382">
        <f t="shared" si="2"/>
        <v>0.90934999999999999</v>
      </c>
      <c r="U13" s="114">
        <f>'Rates in Detail'!Y16</f>
        <v>3.524E-2</v>
      </c>
      <c r="V13" s="114">
        <f>'Rates in Detail'!Z16</f>
        <v>-5.0000000000000001E-4</v>
      </c>
      <c r="W13" s="1386">
        <f t="shared" si="3"/>
        <v>0.97162000000000015</v>
      </c>
      <c r="X13" s="131"/>
    </row>
    <row r="14" spans="2:24" x14ac:dyDescent="0.2">
      <c r="B14" s="110">
        <f t="shared" si="4"/>
        <v>5</v>
      </c>
      <c r="C14" s="111" t="str">
        <f>'WA Volumes &amp; Revenues'!B19</f>
        <v>3 IFS</v>
      </c>
      <c r="D14" s="111" t="s">
        <v>283</v>
      </c>
      <c r="E14" s="111" t="s">
        <v>283</v>
      </c>
      <c r="F14" s="113">
        <f>'WA Volumes &amp; Revenues'!E19</f>
        <v>283651.99999999994</v>
      </c>
      <c r="G14" s="113">
        <f>'WA Volumes &amp; Revenues'!H19</f>
        <v>24.25</v>
      </c>
      <c r="H14" s="907">
        <f>'WA Volumes &amp; Revenues'!O19</f>
        <v>22</v>
      </c>
      <c r="I14" s="909">
        <f>'WA Volumes &amp; Revenues'!N19</f>
        <v>22</v>
      </c>
      <c r="J14" s="627">
        <f>'Rates in Detail'!E17</f>
        <v>0.46249000000000001</v>
      </c>
      <c r="K14" s="631">
        <f>'Rates in Detail'!H17</f>
        <v>0.10141</v>
      </c>
      <c r="L14" s="631">
        <f>'Rates in Detail'!F17</f>
        <v>0.26333000000000001</v>
      </c>
      <c r="M14" s="631">
        <f>'Rates in Detail'!I17</f>
        <v>-8.9999999999999802E-5</v>
      </c>
      <c r="N14" s="136">
        <f t="shared" si="0"/>
        <v>0.8271400000000001</v>
      </c>
      <c r="O14" s="1374">
        <f>'Rates in Detail'!L17</f>
        <v>6.8080000000000002E-2</v>
      </c>
      <c r="P14" s="1367">
        <f>'Rates in Detail'!P17</f>
        <v>-4.6899999999999997E-3</v>
      </c>
      <c r="Q14" s="1373">
        <f t="shared" si="1"/>
        <v>0.89053000000000015</v>
      </c>
      <c r="R14" s="1374">
        <f>'Rates in Detail'!S17</f>
        <v>0</v>
      </c>
      <c r="S14" s="1367">
        <f>'Rates in Detail'!T17</f>
        <v>-8.8699999999999994E-3</v>
      </c>
      <c r="T14" s="1382">
        <f t="shared" si="2"/>
        <v>0.88166000000000011</v>
      </c>
      <c r="U14" s="114">
        <f>'Rates in Detail'!Y17</f>
        <v>3.1919999999999997E-2</v>
      </c>
      <c r="V14" s="114">
        <f>'Rates in Detail'!Z17</f>
        <v>-4.4999999999999999E-4</v>
      </c>
      <c r="W14" s="1386">
        <f t="shared" si="3"/>
        <v>0.92200000000000015</v>
      </c>
      <c r="X14" s="131"/>
    </row>
    <row r="15" spans="2:24" x14ac:dyDescent="0.2">
      <c r="B15" s="110">
        <f t="shared" si="4"/>
        <v>6</v>
      </c>
      <c r="C15" s="1354" t="str">
        <f>'WA Volumes &amp; Revenues'!B20</f>
        <v>27R</v>
      </c>
      <c r="D15" s="111" t="s">
        <v>283</v>
      </c>
      <c r="E15" s="111" t="s">
        <v>283</v>
      </c>
      <c r="F15" s="113">
        <f>'WA Volumes &amp; Revenues'!E20</f>
        <v>461371.76933137607</v>
      </c>
      <c r="G15" s="113">
        <f>'WA Volumes &amp; Revenues'!H20</f>
        <v>776</v>
      </c>
      <c r="H15" s="910">
        <f>'WA Volumes &amp; Revenues'!O20</f>
        <v>9</v>
      </c>
      <c r="I15" s="911">
        <f>'WA Volumes &amp; Revenues'!N20</f>
        <v>9</v>
      </c>
      <c r="J15" s="627">
        <f>'Rates in Detail'!E18</f>
        <v>0.24087999999999973</v>
      </c>
      <c r="K15" s="631">
        <f>'Rates in Detail'!H18</f>
        <v>0.10141</v>
      </c>
      <c r="L15" s="631">
        <f>'Rates in Detail'!F18</f>
        <v>0.26333000000000001</v>
      </c>
      <c r="M15" s="631">
        <f>'Rates in Detail'!I18</f>
        <v>3.8710000000000001E-2</v>
      </c>
      <c r="N15" s="136">
        <f t="shared" si="0"/>
        <v>0.64432999999999985</v>
      </c>
      <c r="O15" s="1374">
        <f>'Rates in Detail'!L18</f>
        <v>5.9569999999999998E-2</v>
      </c>
      <c r="P15" s="1367">
        <f>'Rates in Detail'!P18</f>
        <v>-4.1000000000000003E-3</v>
      </c>
      <c r="Q15" s="1373">
        <f t="shared" si="1"/>
        <v>0.69979999999999987</v>
      </c>
      <c r="R15" s="1374">
        <f>'Rates in Detail'!S18</f>
        <v>-1.405E-2</v>
      </c>
      <c r="S15" s="1367">
        <f>'Rates in Detail'!T18</f>
        <v>-7.77E-3</v>
      </c>
      <c r="T15" s="1382">
        <f t="shared" si="2"/>
        <v>0.67797999999999981</v>
      </c>
      <c r="U15" s="114">
        <f>'Rates in Detail'!Y18</f>
        <v>2.793E-2</v>
      </c>
      <c r="V15" s="114">
        <f>'Rates in Detail'!Z18</f>
        <v>-3.8999999999999999E-4</v>
      </c>
      <c r="W15" s="1386">
        <f t="shared" si="3"/>
        <v>0.72733999999999976</v>
      </c>
      <c r="X15" s="131"/>
    </row>
    <row r="16" spans="2:24" x14ac:dyDescent="0.2">
      <c r="B16" s="110">
        <f t="shared" si="4"/>
        <v>7</v>
      </c>
      <c r="C16" s="1355" t="str">
        <f>'WA Volumes &amp; Revenues'!B21</f>
        <v>41C Firm Sales</v>
      </c>
      <c r="D16" s="1355" t="s">
        <v>4</v>
      </c>
      <c r="E16" s="115">
        <v>2000</v>
      </c>
      <c r="F16" s="116">
        <f>'WA Volumes &amp; Revenues'!E21</f>
        <v>1777065.1510316674</v>
      </c>
      <c r="G16" s="116">
        <f>'WA Volumes &amp; Revenues'!H21</f>
        <v>91</v>
      </c>
      <c r="H16" s="912">
        <f>'WA Volumes &amp; Revenues'!O21</f>
        <v>250</v>
      </c>
      <c r="I16" s="913">
        <f>'WA Volumes &amp; Revenues'!N21</f>
        <v>250</v>
      </c>
      <c r="J16" s="628">
        <f>'Rates in Detail'!E19</f>
        <v>0.34474000000000016</v>
      </c>
      <c r="K16" s="630">
        <f>'Rates in Detail'!H19</f>
        <v>0</v>
      </c>
      <c r="L16" s="630">
        <f>'Rates in Detail'!F19</f>
        <v>0.26333000000000001</v>
      </c>
      <c r="M16" s="630">
        <f>'Rates in Detail'!I19</f>
        <v>4.3429999999999996E-2</v>
      </c>
      <c r="N16" s="137">
        <f t="shared" si="0"/>
        <v>0.65150000000000008</v>
      </c>
      <c r="O16" s="1375">
        <f>'Rates in Detail'!L19</f>
        <v>5.9679999999999997E-2</v>
      </c>
      <c r="P16" s="1376">
        <f>'Rates in Detail'!P19</f>
        <v>-4.1099999999999999E-3</v>
      </c>
      <c r="Q16" s="1377">
        <f t="shared" si="1"/>
        <v>0.70707000000000009</v>
      </c>
      <c r="R16" s="1375">
        <f>'Rates in Detail'!S19</f>
        <v>-1.4080000000000001E-2</v>
      </c>
      <c r="S16" s="1376">
        <f>'Rates in Detail'!T19</f>
        <v>-7.7799999999999996E-3</v>
      </c>
      <c r="T16" s="1383">
        <f t="shared" si="2"/>
        <v>0.6852100000000001</v>
      </c>
      <c r="U16" s="117">
        <f>'Rates in Detail'!Y19</f>
        <v>2.7990000000000001E-2</v>
      </c>
      <c r="V16" s="117">
        <f>'Rates in Detail'!Z19</f>
        <v>-4.0000000000000002E-4</v>
      </c>
      <c r="W16" s="1387">
        <f t="shared" si="3"/>
        <v>0.73466000000000009</v>
      </c>
      <c r="X16" s="131"/>
    </row>
    <row r="17" spans="2:24" x14ac:dyDescent="0.2">
      <c r="B17" s="110">
        <f t="shared" si="4"/>
        <v>8</v>
      </c>
      <c r="C17" s="111"/>
      <c r="D17" s="111" t="s">
        <v>5</v>
      </c>
      <c r="E17" s="112" t="s">
        <v>74</v>
      </c>
      <c r="F17" s="113">
        <f>'WA Volumes &amp; Revenues'!E22</f>
        <v>1974656.4658023661</v>
      </c>
      <c r="G17" s="113"/>
      <c r="H17" s="907"/>
      <c r="I17" s="909"/>
      <c r="J17" s="627">
        <f>'Rates in Detail'!E20</f>
        <v>0.30376999999999998</v>
      </c>
      <c r="K17" s="631">
        <f>'Rates in Detail'!H20</f>
        <v>0</v>
      </c>
      <c r="L17" s="631">
        <f>'Rates in Detail'!F20</f>
        <v>0.26333000000000001</v>
      </c>
      <c r="M17" s="631">
        <f>'Rates in Detail'!I20</f>
        <v>3.7170000000000002E-2</v>
      </c>
      <c r="N17" s="135">
        <f t="shared" si="0"/>
        <v>0.60426999999999997</v>
      </c>
      <c r="O17" s="1374">
        <f>'Rates in Detail'!L20</f>
        <v>5.2589999999999998E-2</v>
      </c>
      <c r="P17" s="1367">
        <f>'Rates in Detail'!P20</f>
        <v>-3.62E-3</v>
      </c>
      <c r="Q17" s="1373">
        <f t="shared" si="1"/>
        <v>0.65324000000000004</v>
      </c>
      <c r="R17" s="1374">
        <f>'Rates in Detail'!S20</f>
        <v>-1.24E-2</v>
      </c>
      <c r="S17" s="1367">
        <f>'Rates in Detail'!T20</f>
        <v>-6.8599999999999998E-3</v>
      </c>
      <c r="T17" s="1382">
        <f t="shared" si="2"/>
        <v>0.6339800000000001</v>
      </c>
      <c r="U17" s="114">
        <f>'Rates in Detail'!Y20</f>
        <v>2.4660000000000001E-2</v>
      </c>
      <c r="V17" s="114">
        <f>'Rates in Detail'!Z20</f>
        <v>-3.5E-4</v>
      </c>
      <c r="W17" s="1386">
        <f t="shared" si="3"/>
        <v>0.6775500000000001</v>
      </c>
      <c r="X17" s="131"/>
    </row>
    <row r="18" spans="2:24" x14ac:dyDescent="0.2">
      <c r="B18" s="110">
        <f t="shared" si="4"/>
        <v>9</v>
      </c>
      <c r="C18" s="1355" t="str">
        <f>'WA Volumes &amp; Revenues'!B23</f>
        <v>41I Firm Sales</v>
      </c>
      <c r="D18" s="1355" t="s">
        <v>4</v>
      </c>
      <c r="E18" s="115">
        <v>2000</v>
      </c>
      <c r="F18" s="116">
        <f>'WA Volumes &amp; Revenues'!E23</f>
        <v>392890.20000000007</v>
      </c>
      <c r="G18" s="116">
        <f>'WA Volumes &amp; Revenues'!H23</f>
        <v>17.833333333333332</v>
      </c>
      <c r="H18" s="912">
        <f>'WA Volumes &amp; Revenues'!O23</f>
        <v>250</v>
      </c>
      <c r="I18" s="913">
        <f>'WA Volumes &amp; Revenues'!N23</f>
        <v>250</v>
      </c>
      <c r="J18" s="628">
        <f>'Rates in Detail'!E21</f>
        <v>0.34416000000000024</v>
      </c>
      <c r="K18" s="630">
        <f>'Rates in Detail'!H21</f>
        <v>0</v>
      </c>
      <c r="L18" s="630">
        <f>'Rates in Detail'!F21</f>
        <v>0.26333000000000001</v>
      </c>
      <c r="M18" s="630">
        <f>'Rates in Detail'!I21</f>
        <v>-1.7200000000000002E-3</v>
      </c>
      <c r="N18" s="137">
        <f t="shared" si="0"/>
        <v>0.60577000000000025</v>
      </c>
      <c r="O18" s="1375">
        <f>'Rates in Detail'!L21</f>
        <v>5.6809999999999999E-2</v>
      </c>
      <c r="P18" s="1376">
        <f>'Rates in Detail'!P21</f>
        <v>-3.9100000000000003E-3</v>
      </c>
      <c r="Q18" s="1377">
        <f t="shared" si="1"/>
        <v>0.65867000000000031</v>
      </c>
      <c r="R18" s="1375">
        <f>'Rates in Detail'!S21</f>
        <v>0</v>
      </c>
      <c r="S18" s="1376">
        <f>'Rates in Detail'!T21</f>
        <v>-7.4000000000000003E-3</v>
      </c>
      <c r="T18" s="1383">
        <f t="shared" si="2"/>
        <v>0.65127000000000035</v>
      </c>
      <c r="U18" s="117">
        <f>'Rates in Detail'!Y21</f>
        <v>2.664E-2</v>
      </c>
      <c r="V18" s="117">
        <f>'Rates in Detail'!Z21</f>
        <v>-3.8000000000000002E-4</v>
      </c>
      <c r="W18" s="1387">
        <f t="shared" si="3"/>
        <v>0.68493000000000026</v>
      </c>
      <c r="X18" s="131"/>
    </row>
    <row r="19" spans="2:24" x14ac:dyDescent="0.2">
      <c r="B19" s="110">
        <f t="shared" si="4"/>
        <v>10</v>
      </c>
      <c r="C19" s="111"/>
      <c r="D19" s="111" t="s">
        <v>5</v>
      </c>
      <c r="E19" s="112" t="s">
        <v>74</v>
      </c>
      <c r="F19" s="113">
        <f>'WA Volumes &amp; Revenues'!E24</f>
        <v>621650.00000000012</v>
      </c>
      <c r="G19" s="113"/>
      <c r="H19" s="907"/>
      <c r="I19" s="909"/>
      <c r="J19" s="627">
        <f>'Rates in Detail'!E22</f>
        <v>0.30325000000000002</v>
      </c>
      <c r="K19" s="631">
        <f>'Rates in Detail'!H22</f>
        <v>0</v>
      </c>
      <c r="L19" s="631">
        <f>'Rates in Detail'!F22</f>
        <v>0.26333000000000001</v>
      </c>
      <c r="M19" s="631">
        <f>'Rates in Detail'!I22</f>
        <v>-2.6199999999999999E-3</v>
      </c>
      <c r="N19" s="135">
        <f t="shared" si="0"/>
        <v>0.56396000000000013</v>
      </c>
      <c r="O19" s="1374">
        <f>'Rates in Detail'!L22</f>
        <v>5.0049999999999997E-2</v>
      </c>
      <c r="P19" s="1367">
        <f>'Rates in Detail'!P22</f>
        <v>-3.4399999999999999E-3</v>
      </c>
      <c r="Q19" s="1373">
        <f t="shared" si="1"/>
        <v>0.61057000000000017</v>
      </c>
      <c r="R19" s="1374">
        <f>'Rates in Detail'!S22</f>
        <v>0</v>
      </c>
      <c r="S19" s="1367">
        <f>'Rates in Detail'!T22</f>
        <v>-6.5199999999999998E-3</v>
      </c>
      <c r="T19" s="1382">
        <f t="shared" si="2"/>
        <v>0.6040500000000002</v>
      </c>
      <c r="U19" s="114">
        <f>'Rates in Detail'!Y22</f>
        <v>2.3470000000000001E-2</v>
      </c>
      <c r="V19" s="114">
        <f>'Rates in Detail'!Z22</f>
        <v>-3.3E-4</v>
      </c>
      <c r="W19" s="1386">
        <f t="shared" si="3"/>
        <v>0.63371000000000011</v>
      </c>
      <c r="X19" s="131"/>
    </row>
    <row r="20" spans="2:24" x14ac:dyDescent="0.2">
      <c r="B20" s="110">
        <f t="shared" si="4"/>
        <v>11</v>
      </c>
      <c r="C20" s="1355" t="str">
        <f>'WA Volumes &amp; Revenues'!B25</f>
        <v>41C Interr Sales</v>
      </c>
      <c r="D20" s="1355" t="s">
        <v>4</v>
      </c>
      <c r="E20" s="115">
        <v>2000</v>
      </c>
      <c r="F20" s="116">
        <f>'WA Volumes &amp; Revenues'!E25</f>
        <v>0</v>
      </c>
      <c r="G20" s="116">
        <f>'WA Volumes &amp; Revenues'!H25</f>
        <v>0</v>
      </c>
      <c r="H20" s="912">
        <f>'WA Volumes &amp; Revenues'!O25</f>
        <v>250</v>
      </c>
      <c r="I20" s="913">
        <f>'WA Volumes &amp; Revenues'!N25</f>
        <v>250</v>
      </c>
      <c r="J20" s="628">
        <f>'Rates in Detail'!E23</f>
        <v>0.34372999999999987</v>
      </c>
      <c r="K20" s="630">
        <f>'Rates in Detail'!H23</f>
        <v>0</v>
      </c>
      <c r="L20" s="630">
        <f>'Rates in Detail'!F23</f>
        <v>0.26333000000000001</v>
      </c>
      <c r="M20" s="630">
        <f>'Rates in Detail'!I23</f>
        <v>5.3189999999999994E-2</v>
      </c>
      <c r="N20" s="137">
        <f t="shared" si="0"/>
        <v>0.66024999999999989</v>
      </c>
      <c r="O20" s="1375">
        <f>'Rates in Detail'!L23</f>
        <v>4.3560000000000001E-2</v>
      </c>
      <c r="P20" s="1376">
        <f>'Rates in Detail'!P23</f>
        <v>-3.2200000000000002E-3</v>
      </c>
      <c r="Q20" s="1377">
        <f t="shared" si="1"/>
        <v>0.70058999999999994</v>
      </c>
      <c r="R20" s="1375">
        <f>'Rates in Detail'!S23</f>
        <v>-1.404E-2</v>
      </c>
      <c r="S20" s="1376">
        <f>'Rates in Detail'!T23</f>
        <v>-6.1000000000000004E-3</v>
      </c>
      <c r="T20" s="1383">
        <f t="shared" si="2"/>
        <v>0.68044999999999989</v>
      </c>
      <c r="U20" s="117">
        <f>'Rates in Detail'!Y23</f>
        <v>2.1749999999999999E-2</v>
      </c>
      <c r="V20" s="117">
        <f>'Rates in Detail'!Z23</f>
        <v>-3.1E-4</v>
      </c>
      <c r="W20" s="1387">
        <f t="shared" si="3"/>
        <v>0.72202999999999995</v>
      </c>
      <c r="X20" s="131"/>
    </row>
    <row r="21" spans="2:24" x14ac:dyDescent="0.2">
      <c r="B21" s="110">
        <f t="shared" si="4"/>
        <v>12</v>
      </c>
      <c r="C21" s="111"/>
      <c r="D21" s="111" t="s">
        <v>5</v>
      </c>
      <c r="E21" s="112" t="s">
        <v>74</v>
      </c>
      <c r="F21" s="113">
        <f>'WA Volumes &amp; Revenues'!E26</f>
        <v>0</v>
      </c>
      <c r="G21" s="113"/>
      <c r="H21" s="907"/>
      <c r="I21" s="909"/>
      <c r="J21" s="627">
        <f>'Rates in Detail'!E24</f>
        <v>0.30284999999999984</v>
      </c>
      <c r="K21" s="631">
        <f>'Rates in Detail'!H24</f>
        <v>0</v>
      </c>
      <c r="L21" s="631">
        <f>'Rates in Detail'!F24</f>
        <v>0.26333000000000001</v>
      </c>
      <c r="M21" s="631">
        <f>'Rates in Detail'!I24</f>
        <v>4.6990000000000004E-2</v>
      </c>
      <c r="N21" s="135">
        <f t="shared" si="0"/>
        <v>0.61316999999999988</v>
      </c>
      <c r="O21" s="1374">
        <f>'Rates in Detail'!L24</f>
        <v>3.8379999999999997E-2</v>
      </c>
      <c r="P21" s="1367">
        <f>'Rates in Detail'!P24</f>
        <v>-2.8400000000000001E-3</v>
      </c>
      <c r="Q21" s="1373">
        <f t="shared" si="1"/>
        <v>0.6487099999999999</v>
      </c>
      <c r="R21" s="1374">
        <f>'Rates in Detail'!S24</f>
        <v>-1.2370000000000001E-2</v>
      </c>
      <c r="S21" s="1367">
        <f>'Rates in Detail'!T24</f>
        <v>-5.3699999999999998E-3</v>
      </c>
      <c r="T21" s="1382">
        <f t="shared" si="2"/>
        <v>0.63096999999999992</v>
      </c>
      <c r="U21" s="114">
        <f>'Rates in Detail'!Y24</f>
        <v>1.917E-2</v>
      </c>
      <c r="V21" s="114">
        <f>'Rates in Detail'!Z24</f>
        <v>-2.7E-4</v>
      </c>
      <c r="W21" s="1386">
        <f t="shared" si="3"/>
        <v>0.66760999999999993</v>
      </c>
      <c r="X21" s="131"/>
    </row>
    <row r="22" spans="2:24" x14ac:dyDescent="0.2">
      <c r="B22" s="110">
        <f t="shared" si="4"/>
        <v>13</v>
      </c>
      <c r="C22" s="1355" t="str">
        <f>'WA Volumes &amp; Revenues'!B27</f>
        <v>41I Interr Sales</v>
      </c>
      <c r="D22" s="1355" t="s">
        <v>4</v>
      </c>
      <c r="E22" s="115">
        <v>2000</v>
      </c>
      <c r="F22" s="116">
        <f>'WA Volumes &amp; Revenues'!E27</f>
        <v>0</v>
      </c>
      <c r="G22" s="116">
        <f>'WA Volumes &amp; Revenues'!H27</f>
        <v>0</v>
      </c>
      <c r="H22" s="912">
        <f>'WA Volumes &amp; Revenues'!O27</f>
        <v>250</v>
      </c>
      <c r="I22" s="913">
        <f>'WA Volumes &amp; Revenues'!N27</f>
        <v>250</v>
      </c>
      <c r="J22" s="628">
        <f>'Rates in Detail'!E25</f>
        <v>0.34372999999999987</v>
      </c>
      <c r="K22" s="630">
        <f>'Rates in Detail'!H25</f>
        <v>0</v>
      </c>
      <c r="L22" s="630">
        <f>'Rates in Detail'!F25</f>
        <v>0.26333000000000001</v>
      </c>
      <c r="M22" s="630">
        <f>'Rates in Detail'!I25</f>
        <v>8.7499999999999991E-3</v>
      </c>
      <c r="N22" s="137">
        <f t="shared" si="0"/>
        <v>0.61580999999999997</v>
      </c>
      <c r="O22" s="1375">
        <f>'Rates in Detail'!L25</f>
        <v>4.3560000000000001E-2</v>
      </c>
      <c r="P22" s="1376">
        <f>'Rates in Detail'!P25</f>
        <v>-3.2200000000000002E-3</v>
      </c>
      <c r="Q22" s="1377">
        <f t="shared" si="1"/>
        <v>0.65615000000000001</v>
      </c>
      <c r="R22" s="1375">
        <f>'Rates in Detail'!S25</f>
        <v>0</v>
      </c>
      <c r="S22" s="1376">
        <f>'Rates in Detail'!T25</f>
        <v>-6.1000000000000004E-3</v>
      </c>
      <c r="T22" s="1383">
        <f t="shared" si="2"/>
        <v>0.65005000000000002</v>
      </c>
      <c r="U22" s="117">
        <f>'Rates in Detail'!Y25</f>
        <v>2.1749999999999999E-2</v>
      </c>
      <c r="V22" s="117">
        <f>'Rates in Detail'!Z25</f>
        <v>-3.1E-4</v>
      </c>
      <c r="W22" s="1387">
        <f t="shared" si="3"/>
        <v>0.67759000000000003</v>
      </c>
      <c r="X22" s="131"/>
    </row>
    <row r="23" spans="2:24" x14ac:dyDescent="0.2">
      <c r="B23" s="110">
        <f t="shared" si="4"/>
        <v>14</v>
      </c>
      <c r="C23" s="111"/>
      <c r="D23" s="111" t="s">
        <v>5</v>
      </c>
      <c r="E23" s="112" t="s">
        <v>74</v>
      </c>
      <c r="F23" s="113">
        <f>'WA Volumes &amp; Revenues'!E28</f>
        <v>0</v>
      </c>
      <c r="G23" s="113"/>
      <c r="H23" s="907"/>
      <c r="I23" s="909"/>
      <c r="J23" s="627">
        <f>'Rates in Detail'!E26</f>
        <v>0.30284999999999984</v>
      </c>
      <c r="K23" s="631">
        <f>'Rates in Detail'!H26</f>
        <v>0</v>
      </c>
      <c r="L23" s="631">
        <f>'Rates in Detail'!F26</f>
        <v>0.26333000000000001</v>
      </c>
      <c r="M23" s="631">
        <f>'Rates in Detail'!I26</f>
        <v>7.8399999999999997E-3</v>
      </c>
      <c r="N23" s="135">
        <f t="shared" si="0"/>
        <v>0.57401999999999986</v>
      </c>
      <c r="O23" s="1374">
        <f>'Rates in Detail'!L26</f>
        <v>3.8379999999999997E-2</v>
      </c>
      <c r="P23" s="1367">
        <f>'Rates in Detail'!P26</f>
        <v>-2.8400000000000001E-3</v>
      </c>
      <c r="Q23" s="1373">
        <f t="shared" si="1"/>
        <v>0.60955999999999988</v>
      </c>
      <c r="R23" s="1374">
        <f>'Rates in Detail'!S26</f>
        <v>0</v>
      </c>
      <c r="S23" s="1367">
        <f>'Rates in Detail'!T26</f>
        <v>-5.3699999999999998E-3</v>
      </c>
      <c r="T23" s="1382">
        <f t="shared" si="2"/>
        <v>0.60418999999999989</v>
      </c>
      <c r="U23" s="114">
        <f>'Rates in Detail'!Y26</f>
        <v>1.917E-2</v>
      </c>
      <c r="V23" s="114">
        <f>'Rates in Detail'!Z26</f>
        <v>-2.7E-4</v>
      </c>
      <c r="W23" s="1386">
        <f t="shared" si="3"/>
        <v>0.62845999999999991</v>
      </c>
      <c r="X23" s="131"/>
    </row>
    <row r="24" spans="2:24" x14ac:dyDescent="0.2">
      <c r="B24" s="110">
        <f t="shared" si="4"/>
        <v>15</v>
      </c>
      <c r="C24" s="1355" t="str">
        <f>'WA Volumes &amp; Revenues'!B29</f>
        <v>41C Firm Transpt</v>
      </c>
      <c r="D24" s="1355" t="s">
        <v>4</v>
      </c>
      <c r="E24" s="115">
        <v>2000</v>
      </c>
      <c r="F24" s="116">
        <f>'WA Volumes &amp; Revenues'!E29</f>
        <v>168721</v>
      </c>
      <c r="G24" s="116">
        <f>'WA Volumes &amp; Revenues'!H29</f>
        <v>7.916666666666667</v>
      </c>
      <c r="H24" s="912">
        <f>'WA Volumes &amp; Revenues'!O29</f>
        <v>500</v>
      </c>
      <c r="I24" s="913">
        <f>'WA Volumes &amp; Revenues'!N29</f>
        <v>500</v>
      </c>
      <c r="J24" s="628">
        <f>'Rates in Detail'!E27</f>
        <v>0.34791</v>
      </c>
      <c r="K24" s="630">
        <f>'Rates in Detail'!H27</f>
        <v>0</v>
      </c>
      <c r="L24" s="630">
        <f>'Rates in Detail'!F27</f>
        <v>0</v>
      </c>
      <c r="M24" s="630">
        <f>'Rates in Detail'!I27</f>
        <v>1.5499999999999999E-3</v>
      </c>
      <c r="N24" s="137">
        <f t="shared" si="0"/>
        <v>0.34945999999999999</v>
      </c>
      <c r="O24" s="1375">
        <f>'Rates in Detail'!L27</f>
        <v>6.3149999999999998E-2</v>
      </c>
      <c r="P24" s="1376">
        <f>'Rates in Detail'!P27</f>
        <v>-4.3499999999999997E-3</v>
      </c>
      <c r="Q24" s="1377">
        <f t="shared" si="1"/>
        <v>0.40825999999999996</v>
      </c>
      <c r="R24" s="1375">
        <f>'Rates in Detail'!S27</f>
        <v>0</v>
      </c>
      <c r="S24" s="1376">
        <f>'Rates in Detail'!T27</f>
        <v>-8.2299999999999995E-3</v>
      </c>
      <c r="T24" s="1383">
        <f t="shared" si="2"/>
        <v>0.40002999999999994</v>
      </c>
      <c r="U24" s="117">
        <f>'Rates in Detail'!Y27</f>
        <v>2.9610000000000001E-2</v>
      </c>
      <c r="V24" s="117">
        <f>'Rates in Detail'!Z27</f>
        <v>-4.2000000000000002E-4</v>
      </c>
      <c r="W24" s="1387">
        <f t="shared" si="3"/>
        <v>0.43745000000000001</v>
      </c>
      <c r="X24" s="131"/>
    </row>
    <row r="25" spans="2:24" x14ac:dyDescent="0.2">
      <c r="B25" s="110">
        <f t="shared" si="4"/>
        <v>16</v>
      </c>
      <c r="C25" s="111"/>
      <c r="D25" s="111" t="s">
        <v>5</v>
      </c>
      <c r="E25" s="112" t="s">
        <v>74</v>
      </c>
      <c r="F25" s="113">
        <f>'WA Volumes &amp; Revenues'!E30</f>
        <v>272866</v>
      </c>
      <c r="G25" s="113"/>
      <c r="H25" s="907"/>
      <c r="I25" s="909"/>
      <c r="J25" s="627">
        <f>'Rates in Detail'!E28</f>
        <v>0.30653000000000008</v>
      </c>
      <c r="K25" s="631">
        <f>'Rates in Detail'!H28</f>
        <v>0</v>
      </c>
      <c r="L25" s="631">
        <f>'Rates in Detail'!F28</f>
        <v>0</v>
      </c>
      <c r="M25" s="631">
        <f>'Rates in Detail'!I28</f>
        <v>1.3600000000000001E-3</v>
      </c>
      <c r="N25" s="135">
        <f t="shared" si="0"/>
        <v>0.30789000000000011</v>
      </c>
      <c r="O25" s="1374">
        <f>'Rates in Detail'!L28</f>
        <v>5.5640000000000002E-2</v>
      </c>
      <c r="P25" s="1367">
        <f>'Rates in Detail'!P28</f>
        <v>-3.8300000000000001E-3</v>
      </c>
      <c r="Q25" s="1373">
        <f t="shared" si="1"/>
        <v>0.35970000000000013</v>
      </c>
      <c r="R25" s="1374">
        <f>'Rates in Detail'!S28</f>
        <v>0</v>
      </c>
      <c r="S25" s="1367">
        <f>'Rates in Detail'!T28</f>
        <v>-7.2500000000000004E-3</v>
      </c>
      <c r="T25" s="1382">
        <f t="shared" si="2"/>
        <v>0.35245000000000015</v>
      </c>
      <c r="U25" s="114">
        <f>'Rates in Detail'!Y28</f>
        <v>2.6089999999999999E-2</v>
      </c>
      <c r="V25" s="114">
        <f>'Rates in Detail'!Z28</f>
        <v>-3.6999999999999999E-4</v>
      </c>
      <c r="W25" s="1386">
        <f t="shared" si="3"/>
        <v>0.38542000000000015</v>
      </c>
      <c r="X25" s="131"/>
    </row>
    <row r="26" spans="2:24" x14ac:dyDescent="0.2">
      <c r="B26" s="110">
        <f t="shared" si="4"/>
        <v>17</v>
      </c>
      <c r="C26" s="1355" t="str">
        <f>'WA Volumes &amp; Revenues'!B31</f>
        <v>41I Firm Transpt</v>
      </c>
      <c r="D26" s="1355" t="s">
        <v>4</v>
      </c>
      <c r="E26" s="115">
        <v>2000</v>
      </c>
      <c r="F26" s="116">
        <f>'WA Volumes &amp; Revenues'!E31</f>
        <v>0</v>
      </c>
      <c r="G26" s="116">
        <f>'WA Volumes &amp; Revenues'!H31</f>
        <v>0</v>
      </c>
      <c r="H26" s="912">
        <f>'WA Volumes &amp; Revenues'!O31</f>
        <v>500</v>
      </c>
      <c r="I26" s="913">
        <f>'WA Volumes &amp; Revenues'!N31</f>
        <v>500</v>
      </c>
      <c r="J26" s="628">
        <f>'Rates in Detail'!E29</f>
        <v>0.34791</v>
      </c>
      <c r="K26" s="630">
        <f>'Rates in Detail'!H29</f>
        <v>0</v>
      </c>
      <c r="L26" s="630">
        <f>'Rates in Detail'!F29</f>
        <v>0</v>
      </c>
      <c r="M26" s="630">
        <f>'Rates in Detail'!I29</f>
        <v>1.5499999999999999E-3</v>
      </c>
      <c r="N26" s="137">
        <f t="shared" si="0"/>
        <v>0.34945999999999999</v>
      </c>
      <c r="O26" s="1375">
        <f>'Rates in Detail'!L29</f>
        <v>4.4089999999999997E-2</v>
      </c>
      <c r="P26" s="1376">
        <f>'Rates in Detail'!P29</f>
        <v>-3.2599999999999999E-3</v>
      </c>
      <c r="Q26" s="1377">
        <f t="shared" si="1"/>
        <v>0.39029000000000003</v>
      </c>
      <c r="R26" s="1375">
        <f>'Rates in Detail'!S29</f>
        <v>0</v>
      </c>
      <c r="S26" s="1376">
        <f>'Rates in Detail'!T29</f>
        <v>-6.1700000000000001E-3</v>
      </c>
      <c r="T26" s="1383">
        <f t="shared" si="2"/>
        <v>0.38412000000000002</v>
      </c>
      <c r="U26" s="117">
        <f>'Rates in Detail'!Y29</f>
        <v>2.2020000000000001E-2</v>
      </c>
      <c r="V26" s="117">
        <f>'Rates in Detail'!Z29</f>
        <v>-3.1E-4</v>
      </c>
      <c r="W26" s="1387">
        <f t="shared" si="3"/>
        <v>0.41200000000000003</v>
      </c>
      <c r="X26" s="131"/>
    </row>
    <row r="27" spans="2:24" x14ac:dyDescent="0.2">
      <c r="B27" s="110">
        <f t="shared" si="4"/>
        <v>18</v>
      </c>
      <c r="C27" s="111"/>
      <c r="D27" s="111" t="s">
        <v>5</v>
      </c>
      <c r="E27" s="112" t="s">
        <v>74</v>
      </c>
      <c r="F27" s="113">
        <f>'WA Volumes &amp; Revenues'!E32</f>
        <v>0</v>
      </c>
      <c r="G27" s="113"/>
      <c r="H27" s="907"/>
      <c r="I27" s="909"/>
      <c r="J27" s="627">
        <f>'Rates in Detail'!E30</f>
        <v>0.30653000000000008</v>
      </c>
      <c r="K27" s="631">
        <f>'Rates in Detail'!H30</f>
        <v>0</v>
      </c>
      <c r="L27" s="631">
        <f>'Rates in Detail'!F30</f>
        <v>0</v>
      </c>
      <c r="M27" s="631">
        <f>'Rates in Detail'!I30</f>
        <v>1.3600000000000001E-3</v>
      </c>
      <c r="N27" s="135">
        <f t="shared" si="0"/>
        <v>0.30789000000000011</v>
      </c>
      <c r="O27" s="1374">
        <f>'Rates in Detail'!L30</f>
        <v>3.8850000000000003E-2</v>
      </c>
      <c r="P27" s="1367">
        <f>'Rates in Detail'!P30</f>
        <v>-2.8700000000000002E-3</v>
      </c>
      <c r="Q27" s="1373">
        <f t="shared" si="1"/>
        <v>0.34387000000000012</v>
      </c>
      <c r="R27" s="1374">
        <f>'Rates in Detail'!S30</f>
        <v>0</v>
      </c>
      <c r="S27" s="1367">
        <f>'Rates in Detail'!T30</f>
        <v>-5.4400000000000004E-3</v>
      </c>
      <c r="T27" s="1382">
        <f t="shared" si="2"/>
        <v>0.33843000000000012</v>
      </c>
      <c r="U27" s="114">
        <f>'Rates in Detail'!Y30</f>
        <v>1.9400000000000001E-2</v>
      </c>
      <c r="V27" s="114">
        <f>'Rates in Detail'!Z30</f>
        <v>-2.7999999999999998E-4</v>
      </c>
      <c r="W27" s="1386">
        <f t="shared" si="3"/>
        <v>0.36299000000000009</v>
      </c>
      <c r="X27" s="131"/>
    </row>
    <row r="28" spans="2:24" x14ac:dyDescent="0.2">
      <c r="B28" s="110">
        <f t="shared" si="4"/>
        <v>19</v>
      </c>
      <c r="C28" s="1355" t="str">
        <f>'WA Volumes &amp; Revenues'!B33</f>
        <v>42C Firm Sales</v>
      </c>
      <c r="D28" s="1355" t="s">
        <v>4</v>
      </c>
      <c r="E28" s="115">
        <v>10000</v>
      </c>
      <c r="F28" s="116">
        <f>'WA Volumes &amp; Revenues'!E33</f>
        <v>350769.66174469434</v>
      </c>
      <c r="G28" s="116">
        <f>'WA Volumes &amp; Revenues'!H33</f>
        <v>5</v>
      </c>
      <c r="H28" s="912">
        <f>'WA Volumes &amp; Revenues'!O33</f>
        <v>1300</v>
      </c>
      <c r="I28" s="913">
        <f>'WA Volumes &amp; Revenues'!N33</f>
        <v>1300</v>
      </c>
      <c r="J28" s="628">
        <f>'Rates in Detail'!E31</f>
        <v>0.15245999999999996</v>
      </c>
      <c r="K28" s="630">
        <f>'Rates in Detail'!H31</f>
        <v>0</v>
      </c>
      <c r="L28" s="630">
        <f>'Rates in Detail'!F31</f>
        <v>0.26333000000000001</v>
      </c>
      <c r="M28" s="630">
        <f>'Rates in Detail'!I31</f>
        <v>1.9560000000000001E-2</v>
      </c>
      <c r="N28" s="137">
        <f t="shared" si="0"/>
        <v>0.43535000000000001</v>
      </c>
      <c r="O28" s="1375">
        <f>'Rates in Detail'!L31</f>
        <v>4.4949999999999997E-2</v>
      </c>
      <c r="P28" s="1376">
        <f>'Rates in Detail'!P31</f>
        <v>-3.0899999999999999E-3</v>
      </c>
      <c r="Q28" s="1377">
        <f t="shared" si="1"/>
        <v>0.47721000000000002</v>
      </c>
      <c r="R28" s="1375">
        <f>'Rates in Detail'!S31</f>
        <v>-1.06E-2</v>
      </c>
      <c r="S28" s="1376">
        <f>'Rates in Detail'!T31</f>
        <v>-5.8599999999999998E-3</v>
      </c>
      <c r="T28" s="1383">
        <f t="shared" si="2"/>
        <v>0.46075000000000005</v>
      </c>
      <c r="U28" s="117">
        <f>'Rates in Detail'!Y31</f>
        <v>2.1080000000000002E-2</v>
      </c>
      <c r="V28" s="117">
        <f>'Rates in Detail'!Z31</f>
        <v>-2.9999999999999997E-4</v>
      </c>
      <c r="W28" s="1387">
        <f t="shared" si="3"/>
        <v>0.49798999999999999</v>
      </c>
      <c r="X28" s="131"/>
    </row>
    <row r="29" spans="2:24" x14ac:dyDescent="0.2">
      <c r="B29" s="110">
        <f t="shared" si="4"/>
        <v>20</v>
      </c>
      <c r="C29" s="1355"/>
      <c r="D29" s="1355" t="s">
        <v>5</v>
      </c>
      <c r="E29" s="115">
        <v>20000</v>
      </c>
      <c r="F29" s="116">
        <f>'WA Volumes &amp; Revenues'!E34</f>
        <v>303088.75426472601</v>
      </c>
      <c r="G29" s="116"/>
      <c r="H29" s="912"/>
      <c r="I29" s="913"/>
      <c r="J29" s="628">
        <f>'Rates in Detail'!E32</f>
        <v>0.1364699999999997</v>
      </c>
      <c r="K29" s="630">
        <f>'Rates in Detail'!H32</f>
        <v>0</v>
      </c>
      <c r="L29" s="630">
        <f>'Rates in Detail'!F32</f>
        <v>0.26333000000000001</v>
      </c>
      <c r="M29" s="630">
        <f>'Rates in Detail'!I32</f>
        <v>1.6539999999999999E-2</v>
      </c>
      <c r="N29" s="137">
        <f t="shared" si="0"/>
        <v>0.41633999999999971</v>
      </c>
      <c r="O29" s="1375">
        <f>'Rates in Detail'!L32</f>
        <v>4.0230000000000002E-2</v>
      </c>
      <c r="P29" s="1376">
        <f>'Rates in Detail'!P32</f>
        <v>-2.7699999999999999E-3</v>
      </c>
      <c r="Q29" s="1377">
        <f t="shared" si="1"/>
        <v>0.4537999999999997</v>
      </c>
      <c r="R29" s="1375">
        <f>'Rates in Detail'!S32</f>
        <v>-9.4900000000000002E-3</v>
      </c>
      <c r="S29" s="1376">
        <f>'Rates in Detail'!T32</f>
        <v>-5.2500000000000003E-3</v>
      </c>
      <c r="T29" s="1383">
        <f t="shared" si="2"/>
        <v>0.43905999999999973</v>
      </c>
      <c r="U29" s="117">
        <f>'Rates in Detail'!Y32</f>
        <v>1.8859999999999998E-2</v>
      </c>
      <c r="V29" s="117">
        <f>'Rates in Detail'!Z32</f>
        <v>-2.7E-4</v>
      </c>
      <c r="W29" s="1387">
        <f t="shared" si="3"/>
        <v>0.4723899999999997</v>
      </c>
      <c r="X29" s="131"/>
    </row>
    <row r="30" spans="2:24" x14ac:dyDescent="0.2">
      <c r="B30" s="110">
        <f t="shared" si="4"/>
        <v>21</v>
      </c>
      <c r="C30" s="1355"/>
      <c r="D30" s="1355" t="s">
        <v>6</v>
      </c>
      <c r="E30" s="115">
        <v>20000</v>
      </c>
      <c r="F30" s="116">
        <f>'WA Volumes &amp; Revenues'!E35</f>
        <v>59441.942130257296</v>
      </c>
      <c r="G30" s="116"/>
      <c r="H30" s="912"/>
      <c r="I30" s="913"/>
      <c r="J30" s="628">
        <f>'Rates in Detail'!E33</f>
        <v>0.1046699999999999</v>
      </c>
      <c r="K30" s="630">
        <f>'Rates in Detail'!H33</f>
        <v>0</v>
      </c>
      <c r="L30" s="630">
        <f>'Rates in Detail'!F33</f>
        <v>0.26333000000000001</v>
      </c>
      <c r="M30" s="630">
        <f>'Rates in Detail'!I33</f>
        <v>1.052E-2</v>
      </c>
      <c r="N30" s="137">
        <f t="shared" si="0"/>
        <v>0.37851999999999986</v>
      </c>
      <c r="O30" s="1375">
        <f>'Rates in Detail'!L33</f>
        <v>3.0859999999999999E-2</v>
      </c>
      <c r="P30" s="1376">
        <f>'Rates in Detail'!P33</f>
        <v>-2.1199999999999999E-3</v>
      </c>
      <c r="Q30" s="1377">
        <f t="shared" si="1"/>
        <v>0.40725999999999984</v>
      </c>
      <c r="R30" s="1375">
        <f>'Rates in Detail'!S33</f>
        <v>-7.28E-3</v>
      </c>
      <c r="S30" s="1376">
        <f>'Rates in Detail'!T33</f>
        <v>-4.0200000000000001E-3</v>
      </c>
      <c r="T30" s="1383">
        <f t="shared" si="2"/>
        <v>0.39595999999999981</v>
      </c>
      <c r="U30" s="117">
        <f>'Rates in Detail'!Y33</f>
        <v>1.447E-2</v>
      </c>
      <c r="V30" s="117">
        <f>'Rates in Detail'!Z33</f>
        <v>-2.0000000000000001E-4</v>
      </c>
      <c r="W30" s="1387">
        <f t="shared" si="3"/>
        <v>0.42152999999999979</v>
      </c>
      <c r="X30" s="131"/>
    </row>
    <row r="31" spans="2:24" x14ac:dyDescent="0.2">
      <c r="B31" s="110">
        <f t="shared" si="4"/>
        <v>22</v>
      </c>
      <c r="C31" s="1355"/>
      <c r="D31" s="1355" t="s">
        <v>7</v>
      </c>
      <c r="E31" s="115">
        <v>100000</v>
      </c>
      <c r="F31" s="116">
        <f>'WA Volumes &amp; Revenues'!E36</f>
        <v>3614.6071898605187</v>
      </c>
      <c r="G31" s="116"/>
      <c r="H31" s="912"/>
      <c r="I31" s="913"/>
      <c r="J31" s="628">
        <f>'Rates in Detail'!E34</f>
        <v>8.3729999999999999E-2</v>
      </c>
      <c r="K31" s="630">
        <f>'Rates in Detail'!H34</f>
        <v>0</v>
      </c>
      <c r="L31" s="630">
        <f>'Rates in Detail'!F34</f>
        <v>0.26333000000000001</v>
      </c>
      <c r="M31" s="630">
        <f>'Rates in Detail'!I34</f>
        <v>6.550000000000002E-3</v>
      </c>
      <c r="N31" s="137">
        <f t="shared" si="0"/>
        <v>0.35361000000000004</v>
      </c>
      <c r="O31" s="1375">
        <f>'Rates in Detail'!L34</f>
        <v>2.4680000000000001E-2</v>
      </c>
      <c r="P31" s="1376">
        <f>'Rates in Detail'!P34</f>
        <v>-1.6999999999999999E-3</v>
      </c>
      <c r="Q31" s="1377">
        <f t="shared" si="1"/>
        <v>0.37659000000000004</v>
      </c>
      <c r="R31" s="1375">
        <f>'Rates in Detail'!S34</f>
        <v>-5.8199999999999997E-3</v>
      </c>
      <c r="S31" s="1376">
        <f>'Rates in Detail'!T34</f>
        <v>-3.2200000000000002E-3</v>
      </c>
      <c r="T31" s="1383">
        <f t="shared" si="2"/>
        <v>0.36755000000000004</v>
      </c>
      <c r="U31" s="117">
        <f>'Rates in Detail'!Y34</f>
        <v>1.157E-2</v>
      </c>
      <c r="V31" s="117">
        <f>'Rates in Detail'!Z34</f>
        <v>-1.6000000000000001E-4</v>
      </c>
      <c r="W31" s="1387">
        <f t="shared" si="3"/>
        <v>0.38800000000000007</v>
      </c>
      <c r="X31" s="131"/>
    </row>
    <row r="32" spans="2:24" x14ac:dyDescent="0.2">
      <c r="B32" s="110">
        <f t="shared" si="4"/>
        <v>23</v>
      </c>
      <c r="C32" s="1355"/>
      <c r="D32" s="1355" t="s">
        <v>8</v>
      </c>
      <c r="E32" s="115">
        <v>600000</v>
      </c>
      <c r="F32" s="116">
        <f>'WA Volumes &amp; Revenues'!E37</f>
        <v>0</v>
      </c>
      <c r="G32" s="116"/>
      <c r="H32" s="912"/>
      <c r="I32" s="913"/>
      <c r="J32" s="628">
        <f>'Rates in Detail'!E35</f>
        <v>5.5809999999999992E-2</v>
      </c>
      <c r="K32" s="630">
        <f>'Rates in Detail'!H35</f>
        <v>0</v>
      </c>
      <c r="L32" s="630">
        <f>'Rates in Detail'!F35</f>
        <v>0.26333000000000001</v>
      </c>
      <c r="M32" s="630">
        <f>'Rates in Detail'!I35</f>
        <v>1.239999999999998E-3</v>
      </c>
      <c r="N32" s="137">
        <f t="shared" si="0"/>
        <v>0.32038</v>
      </c>
      <c r="O32" s="1375">
        <f>'Rates in Detail'!L35</f>
        <v>1.6449999999999999E-2</v>
      </c>
      <c r="P32" s="1376">
        <f>'Rates in Detail'!P35</f>
        <v>-1.1299999999999999E-3</v>
      </c>
      <c r="Q32" s="1377">
        <f t="shared" si="1"/>
        <v>0.3357</v>
      </c>
      <c r="R32" s="1375">
        <f>'Rates in Detail'!S35</f>
        <v>-3.8800000000000002E-3</v>
      </c>
      <c r="S32" s="1376">
        <f>'Rates in Detail'!T35</f>
        <v>-2.15E-3</v>
      </c>
      <c r="T32" s="1383">
        <f t="shared" si="2"/>
        <v>0.32967000000000002</v>
      </c>
      <c r="U32" s="117">
        <f>'Rates in Detail'!Y35</f>
        <v>7.7099999999999998E-3</v>
      </c>
      <c r="V32" s="117">
        <f>'Rates in Detail'!Z35</f>
        <v>-1.1E-4</v>
      </c>
      <c r="W32" s="1387">
        <f t="shared" si="3"/>
        <v>0.34329999999999999</v>
      </c>
      <c r="X32" s="131"/>
    </row>
    <row r="33" spans="2:24" x14ac:dyDescent="0.2">
      <c r="B33" s="110">
        <f t="shared" si="4"/>
        <v>24</v>
      </c>
      <c r="C33" s="111"/>
      <c r="D33" s="111" t="s">
        <v>9</v>
      </c>
      <c r="E33" s="112" t="s">
        <v>74</v>
      </c>
      <c r="F33" s="113">
        <f>'WA Volumes &amp; Revenues'!E38</f>
        <v>0</v>
      </c>
      <c r="G33" s="113"/>
      <c r="H33" s="907"/>
      <c r="I33" s="909"/>
      <c r="J33" s="627">
        <f>'Rates in Detail'!E36</f>
        <v>2.0920000000000029E-2</v>
      </c>
      <c r="K33" s="631">
        <f>'Rates in Detail'!H36</f>
        <v>0</v>
      </c>
      <c r="L33" s="631">
        <f>'Rates in Detail'!F36</f>
        <v>0.26333000000000001</v>
      </c>
      <c r="M33" s="631">
        <f>'Rates in Detail'!I36</f>
        <v>-5.3500000000000006E-3</v>
      </c>
      <c r="N33" s="135">
        <f t="shared" si="0"/>
        <v>0.27890000000000004</v>
      </c>
      <c r="O33" s="1374">
        <f>'Rates in Detail'!L36</f>
        <v>6.1700000000000001E-3</v>
      </c>
      <c r="P33" s="1367">
        <f>'Rates in Detail'!P36</f>
        <v>-4.2000000000000002E-4</v>
      </c>
      <c r="Q33" s="1373">
        <f t="shared" si="1"/>
        <v>0.28465000000000007</v>
      </c>
      <c r="R33" s="1374">
        <f>'Rates in Detail'!S36</f>
        <v>-1.4499999999999999E-3</v>
      </c>
      <c r="S33" s="1367">
        <f>'Rates in Detail'!T36</f>
        <v>-8.0000000000000004E-4</v>
      </c>
      <c r="T33" s="1382">
        <f t="shared" si="2"/>
        <v>0.28240000000000004</v>
      </c>
      <c r="U33" s="114">
        <f>'Rates in Detail'!Y36</f>
        <v>2.8900000000000002E-3</v>
      </c>
      <c r="V33" s="114">
        <f>'Rates in Detail'!Z36</f>
        <v>-4.0000000000000003E-5</v>
      </c>
      <c r="W33" s="1386">
        <f t="shared" si="3"/>
        <v>0.28750000000000003</v>
      </c>
      <c r="X33" s="131"/>
    </row>
    <row r="34" spans="2:24" x14ac:dyDescent="0.2">
      <c r="B34" s="110">
        <f t="shared" si="4"/>
        <v>25</v>
      </c>
      <c r="C34" s="1355" t="str">
        <f>'WA Volumes &amp; Revenues'!B39</f>
        <v>42I Firm Sales</v>
      </c>
      <c r="D34" s="1355" t="s">
        <v>4</v>
      </c>
      <c r="E34" s="115">
        <v>10000</v>
      </c>
      <c r="F34" s="116">
        <f>'WA Volumes &amp; Revenues'!E39</f>
        <v>1093724.2000000002</v>
      </c>
      <c r="G34" s="116">
        <f>'WA Volumes &amp; Revenues'!H39</f>
        <v>11.916666666666666</v>
      </c>
      <c r="H34" s="912">
        <f>'WA Volumes &amp; Revenues'!O39</f>
        <v>1300</v>
      </c>
      <c r="I34" s="913">
        <f>'WA Volumes &amp; Revenues'!N39</f>
        <v>1300</v>
      </c>
      <c r="J34" s="628">
        <f>'Rates in Detail'!E37</f>
        <v>0.14721000000000001</v>
      </c>
      <c r="K34" s="630">
        <f>'Rates in Detail'!H37</f>
        <v>0</v>
      </c>
      <c r="L34" s="630">
        <f>'Rates in Detail'!F37</f>
        <v>0.26333000000000001</v>
      </c>
      <c r="M34" s="630">
        <f>'Rates in Detail'!I37</f>
        <v>-4.6100000000000012E-3</v>
      </c>
      <c r="N34" s="137">
        <f t="shared" si="0"/>
        <v>0.40593000000000001</v>
      </c>
      <c r="O34" s="1375">
        <f>'Rates in Detail'!L37</f>
        <v>3.9980000000000002E-2</v>
      </c>
      <c r="P34" s="1376">
        <f>'Rates in Detail'!P37</f>
        <v>-2.7499999999999998E-3</v>
      </c>
      <c r="Q34" s="1377">
        <f t="shared" si="1"/>
        <v>0.44316000000000005</v>
      </c>
      <c r="R34" s="1375">
        <f>'Rates in Detail'!S37</f>
        <v>0</v>
      </c>
      <c r="S34" s="1376">
        <f>'Rates in Detail'!T37</f>
        <v>-5.2100000000000002E-3</v>
      </c>
      <c r="T34" s="1383">
        <f t="shared" si="2"/>
        <v>0.43795000000000006</v>
      </c>
      <c r="U34" s="117">
        <f>'Rates in Detail'!Y37</f>
        <v>1.8749999999999999E-2</v>
      </c>
      <c r="V34" s="117">
        <f>'Rates in Detail'!Z37</f>
        <v>-2.7E-4</v>
      </c>
      <c r="W34" s="1387">
        <f t="shared" si="3"/>
        <v>0.46164000000000005</v>
      </c>
      <c r="X34" s="131"/>
    </row>
    <row r="35" spans="2:24" x14ac:dyDescent="0.2">
      <c r="B35" s="110">
        <f t="shared" si="4"/>
        <v>26</v>
      </c>
      <c r="C35" s="1355"/>
      <c r="D35" s="1355" t="s">
        <v>5</v>
      </c>
      <c r="E35" s="115">
        <v>20000</v>
      </c>
      <c r="F35" s="116">
        <f>'WA Volumes &amp; Revenues'!E40</f>
        <v>655939.80000000005</v>
      </c>
      <c r="G35" s="116"/>
      <c r="H35" s="912"/>
      <c r="I35" s="913"/>
      <c r="J35" s="628">
        <f>'Rates in Detail'!E38</f>
        <v>0.13177</v>
      </c>
      <c r="K35" s="630">
        <f>'Rates in Detail'!H38</f>
        <v>0</v>
      </c>
      <c r="L35" s="630">
        <f>'Rates in Detail'!F38</f>
        <v>0.26333000000000001</v>
      </c>
      <c r="M35" s="630">
        <f>'Rates in Detail'!I38</f>
        <v>-5.1100000000000008E-3</v>
      </c>
      <c r="N35" s="137">
        <f t="shared" si="0"/>
        <v>0.38999</v>
      </c>
      <c r="O35" s="1375">
        <f>'Rates in Detail'!L38</f>
        <v>3.5790000000000002E-2</v>
      </c>
      <c r="P35" s="1376">
        <f>'Rates in Detail'!P38</f>
        <v>-2.4599999999999999E-3</v>
      </c>
      <c r="Q35" s="1377">
        <f t="shared" si="1"/>
        <v>0.42331999999999997</v>
      </c>
      <c r="R35" s="1375">
        <f>'Rates in Detail'!S38</f>
        <v>0</v>
      </c>
      <c r="S35" s="1376">
        <f>'Rates in Detail'!T38</f>
        <v>-4.6699999999999997E-3</v>
      </c>
      <c r="T35" s="1383">
        <f t="shared" si="2"/>
        <v>0.41864999999999997</v>
      </c>
      <c r="U35" s="117">
        <f>'Rates in Detail'!Y38</f>
        <v>1.678E-2</v>
      </c>
      <c r="V35" s="117">
        <f>'Rates in Detail'!Z38</f>
        <v>-2.4000000000000001E-4</v>
      </c>
      <c r="W35" s="1387">
        <f t="shared" si="3"/>
        <v>0.43985999999999997</v>
      </c>
      <c r="X35" s="131"/>
    </row>
    <row r="36" spans="2:24" x14ac:dyDescent="0.2">
      <c r="B36" s="110">
        <f t="shared" si="4"/>
        <v>27</v>
      </c>
      <c r="C36" s="1355"/>
      <c r="D36" s="1355" t="s">
        <v>6</v>
      </c>
      <c r="E36" s="115">
        <v>20000</v>
      </c>
      <c r="F36" s="116">
        <f>'WA Volumes &amp; Revenues'!E41</f>
        <v>81241.3</v>
      </c>
      <c r="G36" s="116"/>
      <c r="H36" s="912"/>
      <c r="I36" s="913"/>
      <c r="J36" s="628">
        <f>'Rates in Detail'!E39</f>
        <v>0.10104999999999985</v>
      </c>
      <c r="K36" s="630">
        <f>'Rates in Detail'!H39</f>
        <v>0</v>
      </c>
      <c r="L36" s="630">
        <f>'Rates in Detail'!F39</f>
        <v>0.26333000000000001</v>
      </c>
      <c r="M36" s="630">
        <f>'Rates in Detail'!I39</f>
        <v>-6.0700000000000007E-3</v>
      </c>
      <c r="N36" s="137">
        <f t="shared" si="0"/>
        <v>0.35830999999999985</v>
      </c>
      <c r="O36" s="1375">
        <f>'Rates in Detail'!L39</f>
        <v>2.7439999999999999E-2</v>
      </c>
      <c r="P36" s="1376">
        <f>'Rates in Detail'!P39</f>
        <v>-1.89E-3</v>
      </c>
      <c r="Q36" s="1377">
        <f t="shared" si="1"/>
        <v>0.38385999999999987</v>
      </c>
      <c r="R36" s="1375">
        <f>'Rates in Detail'!S39</f>
        <v>0</v>
      </c>
      <c r="S36" s="1376">
        <f>'Rates in Detail'!T39</f>
        <v>-3.5799999999999998E-3</v>
      </c>
      <c r="T36" s="1383">
        <f t="shared" si="2"/>
        <v>0.38027999999999984</v>
      </c>
      <c r="U36" s="117">
        <f>'Rates in Detail'!Y39</f>
        <v>1.2869999999999999E-2</v>
      </c>
      <c r="V36" s="117">
        <f>'Rates in Detail'!Z39</f>
        <v>-1.8000000000000001E-4</v>
      </c>
      <c r="W36" s="1387">
        <f t="shared" si="3"/>
        <v>0.39654999999999985</v>
      </c>
      <c r="X36" s="131"/>
    </row>
    <row r="37" spans="2:24" x14ac:dyDescent="0.2">
      <c r="B37" s="110">
        <f t="shared" si="4"/>
        <v>28</v>
      </c>
      <c r="C37" s="1355"/>
      <c r="D37" s="1355" t="s">
        <v>7</v>
      </c>
      <c r="E37" s="115">
        <v>100000</v>
      </c>
      <c r="F37" s="116">
        <f>'WA Volumes &amp; Revenues'!E42</f>
        <v>9320.1</v>
      </c>
      <c r="G37" s="116"/>
      <c r="H37" s="912"/>
      <c r="I37" s="913"/>
      <c r="J37" s="628">
        <f>'Rates in Detail'!E40</f>
        <v>8.0839999999999995E-2</v>
      </c>
      <c r="K37" s="630">
        <f>'Rates in Detail'!H40</f>
        <v>0</v>
      </c>
      <c r="L37" s="630">
        <f>'Rates in Detail'!F40</f>
        <v>0.26333000000000001</v>
      </c>
      <c r="M37" s="630">
        <f>'Rates in Detail'!I40</f>
        <v>-6.7300000000000007E-3</v>
      </c>
      <c r="N37" s="137">
        <f t="shared" si="0"/>
        <v>0.33743999999999996</v>
      </c>
      <c r="O37" s="1375">
        <f>'Rates in Detail'!L40</f>
        <v>2.196E-2</v>
      </c>
      <c r="P37" s="1376">
        <f>'Rates in Detail'!P40</f>
        <v>-1.5100000000000001E-3</v>
      </c>
      <c r="Q37" s="1377">
        <f t="shared" si="1"/>
        <v>0.35788999999999993</v>
      </c>
      <c r="R37" s="1375">
        <f>'Rates in Detail'!S40</f>
        <v>0</v>
      </c>
      <c r="S37" s="1376">
        <f>'Rates in Detail'!T40</f>
        <v>-2.8600000000000001E-3</v>
      </c>
      <c r="T37" s="1383">
        <f t="shared" si="2"/>
        <v>0.35502999999999996</v>
      </c>
      <c r="U37" s="117">
        <f>'Rates in Detail'!Y40</f>
        <v>1.03E-2</v>
      </c>
      <c r="V37" s="117">
        <f>'Rates in Detail'!Z40</f>
        <v>-1.4999999999999999E-4</v>
      </c>
      <c r="W37" s="1387">
        <f t="shared" si="3"/>
        <v>0.36803999999999992</v>
      </c>
      <c r="X37" s="131"/>
    </row>
    <row r="38" spans="2:24" x14ac:dyDescent="0.2">
      <c r="B38" s="110">
        <f t="shared" si="4"/>
        <v>29</v>
      </c>
      <c r="C38" s="1355"/>
      <c r="D38" s="1355" t="s">
        <v>8</v>
      </c>
      <c r="E38" s="115">
        <v>600000</v>
      </c>
      <c r="F38" s="116">
        <f>'WA Volumes &amp; Revenues'!E43</f>
        <v>0</v>
      </c>
      <c r="G38" s="116"/>
      <c r="H38" s="912"/>
      <c r="I38" s="913"/>
      <c r="J38" s="628">
        <f>'Rates in Detail'!E41</f>
        <v>5.391E-2</v>
      </c>
      <c r="K38" s="630">
        <f>'Rates in Detail'!H41</f>
        <v>0</v>
      </c>
      <c r="L38" s="630">
        <f>'Rates in Detail'!F41</f>
        <v>0.26333000000000001</v>
      </c>
      <c r="M38" s="630">
        <f>'Rates in Detail'!I41</f>
        <v>-7.5900000000000004E-3</v>
      </c>
      <c r="N38" s="137">
        <f t="shared" si="0"/>
        <v>0.30965000000000004</v>
      </c>
      <c r="O38" s="1375">
        <f>'Rates in Detail'!L41</f>
        <v>1.464E-2</v>
      </c>
      <c r="P38" s="1376">
        <f>'Rates in Detail'!P41</f>
        <v>-1.01E-3</v>
      </c>
      <c r="Q38" s="1377">
        <f t="shared" si="1"/>
        <v>0.32328000000000001</v>
      </c>
      <c r="R38" s="1375">
        <f>'Rates in Detail'!S41</f>
        <v>0</v>
      </c>
      <c r="S38" s="1376">
        <f>'Rates in Detail'!T41</f>
        <v>-1.91E-3</v>
      </c>
      <c r="T38" s="1383">
        <f t="shared" si="2"/>
        <v>0.32136999999999999</v>
      </c>
      <c r="U38" s="117">
        <f>'Rates in Detail'!Y41</f>
        <v>6.8700000000000002E-3</v>
      </c>
      <c r="V38" s="117">
        <f>'Rates in Detail'!Z41</f>
        <v>-1E-4</v>
      </c>
      <c r="W38" s="1387">
        <f t="shared" si="3"/>
        <v>0.33005000000000001</v>
      </c>
      <c r="X38" s="131"/>
    </row>
    <row r="39" spans="2:24" x14ac:dyDescent="0.2">
      <c r="B39" s="110">
        <f t="shared" si="4"/>
        <v>30</v>
      </c>
      <c r="C39" s="111"/>
      <c r="D39" s="111" t="s">
        <v>9</v>
      </c>
      <c r="E39" s="112" t="s">
        <v>74</v>
      </c>
      <c r="F39" s="113">
        <f>'WA Volumes &amp; Revenues'!E44</f>
        <v>0</v>
      </c>
      <c r="G39" s="113"/>
      <c r="H39" s="907"/>
      <c r="I39" s="909"/>
      <c r="J39" s="627">
        <f>'Rates in Detail'!E42</f>
        <v>2.0199999999999999E-2</v>
      </c>
      <c r="K39" s="631">
        <f>'Rates in Detail'!H42</f>
        <v>0</v>
      </c>
      <c r="L39" s="631">
        <f>'Rates in Detail'!F42</f>
        <v>0.26333000000000001</v>
      </c>
      <c r="M39" s="631">
        <f>'Rates in Detail'!I42</f>
        <v>-8.6700000000000006E-3</v>
      </c>
      <c r="N39" s="135">
        <f t="shared" si="0"/>
        <v>0.27485999999999999</v>
      </c>
      <c r="O39" s="1374">
        <f>'Rates in Detail'!L42</f>
        <v>5.4900000000000001E-3</v>
      </c>
      <c r="P39" s="1367">
        <f>'Rates in Detail'!P42</f>
        <v>-3.8000000000000002E-4</v>
      </c>
      <c r="Q39" s="1373">
        <f t="shared" si="1"/>
        <v>0.27997</v>
      </c>
      <c r="R39" s="1374">
        <f>'Rates in Detail'!S42</f>
        <v>0</v>
      </c>
      <c r="S39" s="1367">
        <f>'Rates in Detail'!T42</f>
        <v>-7.2000000000000005E-4</v>
      </c>
      <c r="T39" s="1382">
        <f t="shared" si="2"/>
        <v>0.27925</v>
      </c>
      <c r="U39" s="114">
        <f>'Rates in Detail'!Y42</f>
        <v>2.5699999999999998E-3</v>
      </c>
      <c r="V39" s="114">
        <f>'Rates in Detail'!Z42</f>
        <v>-4.0000000000000003E-5</v>
      </c>
      <c r="W39" s="1386">
        <f t="shared" si="3"/>
        <v>0.28250000000000003</v>
      </c>
      <c r="X39" s="131"/>
    </row>
    <row r="40" spans="2:24" x14ac:dyDescent="0.2">
      <c r="B40" s="110">
        <f t="shared" si="4"/>
        <v>31</v>
      </c>
      <c r="C40" s="1355" t="str">
        <f>'WA Volumes &amp; Revenues'!B45</f>
        <v>42C Firm Transpt</v>
      </c>
      <c r="D40" s="1355" t="s">
        <v>4</v>
      </c>
      <c r="E40" s="115">
        <v>10000</v>
      </c>
      <c r="F40" s="116">
        <f>'WA Volumes &amp; Revenues'!E45</f>
        <v>480000</v>
      </c>
      <c r="G40" s="116">
        <f>'WA Volumes &amp; Revenues'!H45</f>
        <v>4</v>
      </c>
      <c r="H40" s="912">
        <f>'WA Volumes &amp; Revenues'!O45</f>
        <v>1550</v>
      </c>
      <c r="I40" s="913">
        <f>'WA Volumes &amp; Revenues'!N45</f>
        <v>1550</v>
      </c>
      <c r="J40" s="628">
        <f>'Rates in Detail'!E43</f>
        <v>0.13791999999999999</v>
      </c>
      <c r="K40" s="630">
        <f>'Rates in Detail'!H43</f>
        <v>0</v>
      </c>
      <c r="L40" s="630">
        <f>'Rates in Detail'!F43</f>
        <v>0</v>
      </c>
      <c r="M40" s="630">
        <f>'Rates in Detail'!I43</f>
        <v>5.9999999999999995E-4</v>
      </c>
      <c r="N40" s="137">
        <f t="shared" si="0"/>
        <v>0.13851999999999998</v>
      </c>
      <c r="O40" s="1375">
        <f>'Rates in Detail'!L43</f>
        <v>2.5399999999999999E-2</v>
      </c>
      <c r="P40" s="1376">
        <f>'Rates in Detail'!P43</f>
        <v>-1.75E-3</v>
      </c>
      <c r="Q40" s="1377">
        <f t="shared" si="1"/>
        <v>0.16216999999999998</v>
      </c>
      <c r="R40" s="1375">
        <f>'Rates in Detail'!S43</f>
        <v>0</v>
      </c>
      <c r="S40" s="1376">
        <f>'Rates in Detail'!T43</f>
        <v>-3.31E-3</v>
      </c>
      <c r="T40" s="1383">
        <f t="shared" si="2"/>
        <v>0.15885999999999997</v>
      </c>
      <c r="U40" s="117">
        <f>'Rates in Detail'!Y43</f>
        <v>1.191E-2</v>
      </c>
      <c r="V40" s="117">
        <f>'Rates in Detail'!Z43</f>
        <v>-1.7000000000000001E-4</v>
      </c>
      <c r="W40" s="1387">
        <f t="shared" si="3"/>
        <v>0.17390999999999998</v>
      </c>
      <c r="X40" s="131"/>
    </row>
    <row r="41" spans="2:24" x14ac:dyDescent="0.2">
      <c r="B41" s="110">
        <f t="shared" si="4"/>
        <v>32</v>
      </c>
      <c r="C41" s="1355"/>
      <c r="D41" s="1355" t="s">
        <v>5</v>
      </c>
      <c r="E41" s="115">
        <v>20000</v>
      </c>
      <c r="F41" s="116">
        <f>'WA Volumes &amp; Revenues'!E46</f>
        <v>807846</v>
      </c>
      <c r="G41" s="116"/>
      <c r="H41" s="912"/>
      <c r="I41" s="913"/>
      <c r="J41" s="628">
        <f>'Rates in Detail'!E44</f>
        <v>0.12346999999999998</v>
      </c>
      <c r="K41" s="630">
        <f>'Rates in Detail'!H44</f>
        <v>0</v>
      </c>
      <c r="L41" s="630">
        <f>'Rates in Detail'!F44</f>
        <v>0</v>
      </c>
      <c r="M41" s="630">
        <f>'Rates in Detail'!I44</f>
        <v>5.2999999999999998E-4</v>
      </c>
      <c r="N41" s="137">
        <f t="shared" si="0"/>
        <v>0.12399999999999999</v>
      </c>
      <c r="O41" s="1375">
        <f>'Rates in Detail'!L44</f>
        <v>2.274E-2</v>
      </c>
      <c r="P41" s="1376">
        <f>'Rates in Detail'!P44</f>
        <v>-1.57E-3</v>
      </c>
      <c r="Q41" s="1377">
        <f t="shared" si="1"/>
        <v>0.14516999999999999</v>
      </c>
      <c r="R41" s="1375">
        <f>'Rates in Detail'!S44</f>
        <v>0</v>
      </c>
      <c r="S41" s="1376">
        <f>'Rates in Detail'!T44</f>
        <v>-2.96E-3</v>
      </c>
      <c r="T41" s="1383">
        <f t="shared" si="2"/>
        <v>0.14221</v>
      </c>
      <c r="U41" s="117">
        <f>'Rates in Detail'!Y44</f>
        <v>1.0659999999999999E-2</v>
      </c>
      <c r="V41" s="117">
        <f>'Rates in Detail'!Z44</f>
        <v>-1.4999999999999999E-4</v>
      </c>
      <c r="W41" s="1387">
        <f t="shared" si="3"/>
        <v>0.15567999999999999</v>
      </c>
      <c r="X41" s="131"/>
    </row>
    <row r="42" spans="2:24" x14ac:dyDescent="0.2">
      <c r="B42" s="110">
        <f t="shared" si="4"/>
        <v>33</v>
      </c>
      <c r="C42" s="1355"/>
      <c r="D42" s="1355" t="s">
        <v>6</v>
      </c>
      <c r="E42" s="115">
        <v>20000</v>
      </c>
      <c r="F42" s="116">
        <f>'WA Volumes &amp; Revenues'!E47</f>
        <v>583779</v>
      </c>
      <c r="G42" s="116"/>
      <c r="H42" s="912"/>
      <c r="I42" s="913"/>
      <c r="J42" s="628">
        <f>'Rates in Detail'!E45</f>
        <v>9.4670000000000004E-2</v>
      </c>
      <c r="K42" s="630">
        <f>'Rates in Detail'!H45</f>
        <v>0</v>
      </c>
      <c r="L42" s="630">
        <f>'Rates in Detail'!F45</f>
        <v>0</v>
      </c>
      <c r="M42" s="630">
        <f>'Rates in Detail'!I45</f>
        <v>4.1000000000000005E-4</v>
      </c>
      <c r="N42" s="137">
        <f t="shared" si="0"/>
        <v>9.5079999999999998E-2</v>
      </c>
      <c r="O42" s="1375">
        <f>'Rates in Detail'!L45</f>
        <v>1.7440000000000001E-2</v>
      </c>
      <c r="P42" s="1376">
        <f>'Rates in Detail'!P45</f>
        <v>-1.1999999999999999E-3</v>
      </c>
      <c r="Q42" s="1377">
        <f t="shared" si="1"/>
        <v>0.11131999999999999</v>
      </c>
      <c r="R42" s="1375">
        <f>'Rates in Detail'!S45</f>
        <v>0</v>
      </c>
      <c r="S42" s="1376">
        <f>'Rates in Detail'!T45</f>
        <v>-2.2699999999999999E-3</v>
      </c>
      <c r="T42" s="1383">
        <f t="shared" si="2"/>
        <v>0.10904999999999999</v>
      </c>
      <c r="U42" s="117">
        <f>'Rates in Detail'!Y45</f>
        <v>8.1799999999999998E-3</v>
      </c>
      <c r="V42" s="117">
        <f>'Rates in Detail'!Z45</f>
        <v>-1.2E-4</v>
      </c>
      <c r="W42" s="1387">
        <f t="shared" si="3"/>
        <v>0.11938</v>
      </c>
      <c r="X42" s="131"/>
    </row>
    <row r="43" spans="2:24" x14ac:dyDescent="0.2">
      <c r="B43" s="110">
        <f t="shared" si="4"/>
        <v>34</v>
      </c>
      <c r="C43" s="1355"/>
      <c r="D43" s="1355" t="s">
        <v>7</v>
      </c>
      <c r="E43" s="115">
        <v>100000</v>
      </c>
      <c r="F43" s="116">
        <f>'WA Volumes &amp; Revenues'!E48</f>
        <v>598933</v>
      </c>
      <c r="G43" s="116"/>
      <c r="H43" s="912"/>
      <c r="I43" s="913"/>
      <c r="J43" s="628">
        <f>'Rates in Detail'!E46</f>
        <v>7.5750000000000012E-2</v>
      </c>
      <c r="K43" s="630">
        <f>'Rates in Detail'!H46</f>
        <v>0</v>
      </c>
      <c r="L43" s="630">
        <f>'Rates in Detail'!F46</f>
        <v>0</v>
      </c>
      <c r="M43" s="630">
        <f>'Rates in Detail'!I46</f>
        <v>3.1999999999999997E-4</v>
      </c>
      <c r="N43" s="137">
        <f t="shared" si="0"/>
        <v>7.6070000000000013E-2</v>
      </c>
      <c r="O43" s="1375">
        <f>'Rates in Detail'!L46</f>
        <v>1.3950000000000001E-2</v>
      </c>
      <c r="P43" s="1376">
        <f>'Rates in Detail'!P46</f>
        <v>-9.6000000000000002E-4</v>
      </c>
      <c r="Q43" s="1377">
        <f t="shared" si="1"/>
        <v>8.9060000000000014E-2</v>
      </c>
      <c r="R43" s="1375">
        <f>'Rates in Detail'!S46</f>
        <v>0</v>
      </c>
      <c r="S43" s="1376">
        <f>'Rates in Detail'!T46</f>
        <v>-1.82E-3</v>
      </c>
      <c r="T43" s="1383">
        <f t="shared" si="2"/>
        <v>8.7240000000000012E-2</v>
      </c>
      <c r="U43" s="117">
        <f>'Rates in Detail'!Y46</f>
        <v>6.5399999999999998E-3</v>
      </c>
      <c r="V43" s="117">
        <f>'Rates in Detail'!Z46</f>
        <v>-9.0000000000000006E-5</v>
      </c>
      <c r="W43" s="1387">
        <f t="shared" si="3"/>
        <v>9.5510000000000012E-2</v>
      </c>
      <c r="X43" s="131"/>
    </row>
    <row r="44" spans="2:24" x14ac:dyDescent="0.2">
      <c r="B44" s="110">
        <f t="shared" si="4"/>
        <v>35</v>
      </c>
      <c r="C44" s="1355"/>
      <c r="D44" s="1355" t="s">
        <v>8</v>
      </c>
      <c r="E44" s="115">
        <v>600000</v>
      </c>
      <c r="F44" s="116">
        <f>'WA Volumes &amp; Revenues'!E49</f>
        <v>0</v>
      </c>
      <c r="G44" s="116"/>
      <c r="H44" s="912"/>
      <c r="I44" s="913"/>
      <c r="J44" s="628">
        <f>'Rates in Detail'!E47</f>
        <v>5.0500000000000003E-2</v>
      </c>
      <c r="K44" s="630">
        <f>'Rates in Detail'!H47</f>
        <v>0</v>
      </c>
      <c r="L44" s="630">
        <f>'Rates in Detail'!F47</f>
        <v>0</v>
      </c>
      <c r="M44" s="630">
        <f>'Rates in Detail'!I47</f>
        <v>2.1000000000000001E-4</v>
      </c>
      <c r="N44" s="137">
        <f t="shared" si="0"/>
        <v>5.0710000000000005E-2</v>
      </c>
      <c r="O44" s="1375">
        <f>'Rates in Detail'!L47</f>
        <v>9.2999999999999992E-3</v>
      </c>
      <c r="P44" s="1376">
        <f>'Rates in Detail'!P47</f>
        <v>-6.4000000000000005E-4</v>
      </c>
      <c r="Q44" s="1377">
        <f t="shared" si="1"/>
        <v>5.9370000000000006E-2</v>
      </c>
      <c r="R44" s="1375">
        <f>'Rates in Detail'!S47</f>
        <v>0</v>
      </c>
      <c r="S44" s="1376">
        <f>'Rates in Detail'!T47</f>
        <v>-1.2099999999999999E-3</v>
      </c>
      <c r="T44" s="1383">
        <f t="shared" si="2"/>
        <v>5.8160000000000003E-2</v>
      </c>
      <c r="U44" s="117">
        <f>'Rates in Detail'!Y47</f>
        <v>4.3600000000000002E-3</v>
      </c>
      <c r="V44" s="117">
        <f>'Rates in Detail'!Z47</f>
        <v>-6.0000000000000002E-5</v>
      </c>
      <c r="W44" s="1387">
        <f t="shared" si="3"/>
        <v>6.3670000000000004E-2</v>
      </c>
      <c r="X44" s="131"/>
    </row>
    <row r="45" spans="2:24" x14ac:dyDescent="0.2">
      <c r="B45" s="110">
        <f t="shared" si="4"/>
        <v>36</v>
      </c>
      <c r="C45" s="111"/>
      <c r="D45" s="111" t="s">
        <v>9</v>
      </c>
      <c r="E45" s="112" t="s">
        <v>74</v>
      </c>
      <c r="F45" s="113">
        <f>'WA Volumes &amp; Revenues'!E50</f>
        <v>0</v>
      </c>
      <c r="G45" s="113"/>
      <c r="H45" s="907"/>
      <c r="I45" s="909"/>
      <c r="J45" s="627">
        <f>'Rates in Detail'!E48</f>
        <v>1.8929999999999999E-2</v>
      </c>
      <c r="K45" s="631">
        <f>'Rates in Detail'!H48</f>
        <v>0</v>
      </c>
      <c r="L45" s="631">
        <f>'Rates in Detail'!F48</f>
        <v>0</v>
      </c>
      <c r="M45" s="631">
        <f>'Rates in Detail'!I48</f>
        <v>7.9999999999999993E-5</v>
      </c>
      <c r="N45" s="135">
        <f t="shared" si="0"/>
        <v>1.9009999999999999E-2</v>
      </c>
      <c r="O45" s="1374">
        <f>'Rates in Detail'!L48</f>
        <v>3.49E-3</v>
      </c>
      <c r="P45" s="1367">
        <f>'Rates in Detail'!P48</f>
        <v>-2.4000000000000001E-4</v>
      </c>
      <c r="Q45" s="1373">
        <f t="shared" si="1"/>
        <v>2.2259999999999999E-2</v>
      </c>
      <c r="R45" s="1374">
        <f>'Rates in Detail'!S48</f>
        <v>0</v>
      </c>
      <c r="S45" s="1367">
        <f>'Rates in Detail'!T48</f>
        <v>-4.4999999999999999E-4</v>
      </c>
      <c r="T45" s="1382">
        <f t="shared" si="2"/>
        <v>2.181E-2</v>
      </c>
      <c r="U45" s="114">
        <f>'Rates in Detail'!Y48</f>
        <v>1.64E-3</v>
      </c>
      <c r="V45" s="114">
        <f>'Rates in Detail'!Z48</f>
        <v>-2.0000000000000002E-5</v>
      </c>
      <c r="W45" s="1386">
        <f t="shared" si="3"/>
        <v>2.3879999999999998E-2</v>
      </c>
      <c r="X45" s="131"/>
    </row>
    <row r="46" spans="2:24" x14ac:dyDescent="0.2">
      <c r="B46" s="110">
        <f t="shared" si="4"/>
        <v>37</v>
      </c>
      <c r="C46" s="1355" t="str">
        <f>'WA Volumes &amp; Revenues'!B51</f>
        <v>42I Firm Transpt</v>
      </c>
      <c r="D46" s="1355" t="s">
        <v>4</v>
      </c>
      <c r="E46" s="115">
        <v>10000</v>
      </c>
      <c r="F46" s="116">
        <f>'WA Volumes &amp; Revenues'!E51</f>
        <v>924395</v>
      </c>
      <c r="G46" s="116">
        <f>'WA Volumes &amp; Revenues'!H51</f>
        <v>8.9166666666666661</v>
      </c>
      <c r="H46" s="912">
        <f>'WA Volumes &amp; Revenues'!O51</f>
        <v>1550</v>
      </c>
      <c r="I46" s="913">
        <f>'WA Volumes &amp; Revenues'!N51</f>
        <v>1550</v>
      </c>
      <c r="J46" s="628">
        <f>'Rates in Detail'!E49</f>
        <v>0.13941000000000001</v>
      </c>
      <c r="K46" s="630">
        <f>'Rates in Detail'!H49</f>
        <v>0</v>
      </c>
      <c r="L46" s="630">
        <f>'Rates in Detail'!F49</f>
        <v>0</v>
      </c>
      <c r="M46" s="630">
        <f>'Rates in Detail'!I49</f>
        <v>5.8999999999999992E-4</v>
      </c>
      <c r="N46" s="137">
        <f t="shared" si="0"/>
        <v>0.14000000000000001</v>
      </c>
      <c r="O46" s="1375">
        <f>'Rates in Detail'!L49</f>
        <v>2.5739999999999999E-2</v>
      </c>
      <c r="P46" s="1376">
        <f>'Rates in Detail'!P49</f>
        <v>-1.7700000000000001E-3</v>
      </c>
      <c r="Q46" s="1377">
        <f t="shared" si="1"/>
        <v>0.16397</v>
      </c>
      <c r="R46" s="1375">
        <f>'Rates in Detail'!S49</f>
        <v>0</v>
      </c>
      <c r="S46" s="1376">
        <f>'Rates in Detail'!T49</f>
        <v>-3.3600000000000001E-3</v>
      </c>
      <c r="T46" s="1383">
        <f t="shared" si="2"/>
        <v>0.16061</v>
      </c>
      <c r="U46" s="117">
        <f>'Rates in Detail'!Y49</f>
        <v>1.2070000000000001E-2</v>
      </c>
      <c r="V46" s="117">
        <f>'Rates in Detail'!Z49</f>
        <v>-1.7000000000000001E-4</v>
      </c>
      <c r="W46" s="1387">
        <f t="shared" si="3"/>
        <v>0.17587</v>
      </c>
      <c r="X46" s="131"/>
    </row>
    <row r="47" spans="2:24" x14ac:dyDescent="0.2">
      <c r="B47" s="110">
        <f t="shared" si="4"/>
        <v>38</v>
      </c>
      <c r="C47" s="1355"/>
      <c r="D47" s="1355" t="s">
        <v>5</v>
      </c>
      <c r="E47" s="115">
        <v>20000</v>
      </c>
      <c r="F47" s="116">
        <f>'WA Volumes &amp; Revenues'!E52</f>
        <v>1036796</v>
      </c>
      <c r="G47" s="116"/>
      <c r="H47" s="912"/>
      <c r="I47" s="913"/>
      <c r="J47" s="628">
        <f>'Rates in Detail'!E50</f>
        <v>0.12478999999999997</v>
      </c>
      <c r="K47" s="630">
        <f>'Rates in Detail'!H50</f>
        <v>0</v>
      </c>
      <c r="L47" s="630">
        <f>'Rates in Detail'!F50</f>
        <v>0</v>
      </c>
      <c r="M47" s="630">
        <f>'Rates in Detail'!I50</f>
        <v>5.2000000000000006E-4</v>
      </c>
      <c r="N47" s="137">
        <f t="shared" si="0"/>
        <v>0.12530999999999998</v>
      </c>
      <c r="O47" s="1375">
        <f>'Rates in Detail'!L50</f>
        <v>2.3040000000000001E-2</v>
      </c>
      <c r="P47" s="1376">
        <f>'Rates in Detail'!P50</f>
        <v>-1.5900000000000001E-3</v>
      </c>
      <c r="Q47" s="1377">
        <f t="shared" si="1"/>
        <v>0.14675999999999997</v>
      </c>
      <c r="R47" s="1375">
        <f>'Rates in Detail'!S50</f>
        <v>0</v>
      </c>
      <c r="S47" s="1376">
        <f>'Rates in Detail'!T50</f>
        <v>-3.0000000000000001E-3</v>
      </c>
      <c r="T47" s="1383">
        <f t="shared" si="2"/>
        <v>0.14375999999999997</v>
      </c>
      <c r="U47" s="117">
        <f>'Rates in Detail'!Y50</f>
        <v>1.0800000000000001E-2</v>
      </c>
      <c r="V47" s="117">
        <f>'Rates in Detail'!Z50</f>
        <v>-1.4999999999999999E-4</v>
      </c>
      <c r="W47" s="1387">
        <f t="shared" si="3"/>
        <v>0.15740999999999997</v>
      </c>
      <c r="X47" s="131"/>
    </row>
    <row r="48" spans="2:24" x14ac:dyDescent="0.2">
      <c r="B48" s="110">
        <f t="shared" si="4"/>
        <v>39</v>
      </c>
      <c r="C48" s="1355"/>
      <c r="D48" s="1355" t="s">
        <v>6</v>
      </c>
      <c r="E48" s="115">
        <v>20000</v>
      </c>
      <c r="F48" s="116">
        <f>'WA Volumes &amp; Revenues'!E53</f>
        <v>937215</v>
      </c>
      <c r="G48" s="116"/>
      <c r="H48" s="912"/>
      <c r="I48" s="913"/>
      <c r="J48" s="628">
        <f>'Rates in Detail'!E51</f>
        <v>9.5690000000000011E-2</v>
      </c>
      <c r="K48" s="630">
        <f>'Rates in Detail'!H51</f>
        <v>0</v>
      </c>
      <c r="L48" s="630">
        <f>'Rates in Detail'!F51</f>
        <v>0</v>
      </c>
      <c r="M48" s="630">
        <f>'Rates in Detail'!I51</f>
        <v>4.1000000000000005E-4</v>
      </c>
      <c r="N48" s="137">
        <f t="shared" si="0"/>
        <v>9.6100000000000005E-2</v>
      </c>
      <c r="O48" s="1375">
        <f>'Rates in Detail'!L51</f>
        <v>1.7670000000000002E-2</v>
      </c>
      <c r="P48" s="1376">
        <f>'Rates in Detail'!P51</f>
        <v>-1.2199999999999999E-3</v>
      </c>
      <c r="Q48" s="1377">
        <f t="shared" si="1"/>
        <v>0.11255000000000001</v>
      </c>
      <c r="R48" s="1375">
        <f>'Rates in Detail'!S51</f>
        <v>0</v>
      </c>
      <c r="S48" s="1376">
        <f>'Rates in Detail'!T51</f>
        <v>-2.3E-3</v>
      </c>
      <c r="T48" s="1383">
        <f t="shared" si="2"/>
        <v>0.11025000000000001</v>
      </c>
      <c r="U48" s="117">
        <f>'Rates in Detail'!Y51</f>
        <v>8.2799999999999992E-3</v>
      </c>
      <c r="V48" s="117">
        <f>'Rates in Detail'!Z51</f>
        <v>-1.2E-4</v>
      </c>
      <c r="W48" s="1387">
        <f t="shared" si="3"/>
        <v>0.12071000000000001</v>
      </c>
      <c r="X48" s="131"/>
    </row>
    <row r="49" spans="2:24" x14ac:dyDescent="0.2">
      <c r="B49" s="110">
        <f t="shared" si="4"/>
        <v>40</v>
      </c>
      <c r="C49" s="1355"/>
      <c r="D49" s="1355" t="s">
        <v>7</v>
      </c>
      <c r="E49" s="115">
        <v>100000</v>
      </c>
      <c r="F49" s="116">
        <f>'WA Volumes &amp; Revenues'!E54</f>
        <v>2390318</v>
      </c>
      <c r="G49" s="116"/>
      <c r="H49" s="912"/>
      <c r="I49" s="913"/>
      <c r="J49" s="628">
        <f>'Rates in Detail'!E52</f>
        <v>7.6560000000000017E-2</v>
      </c>
      <c r="K49" s="630">
        <f>'Rates in Detail'!H52</f>
        <v>0</v>
      </c>
      <c r="L49" s="630">
        <f>'Rates in Detail'!F52</f>
        <v>0</v>
      </c>
      <c r="M49" s="630">
        <f>'Rates in Detail'!I52</f>
        <v>3.1999999999999997E-4</v>
      </c>
      <c r="N49" s="137">
        <f t="shared" si="0"/>
        <v>7.6880000000000018E-2</v>
      </c>
      <c r="O49" s="1375">
        <f>'Rates in Detail'!L52</f>
        <v>1.414E-2</v>
      </c>
      <c r="P49" s="1376">
        <f>'Rates in Detail'!P52</f>
        <v>-9.7000000000000005E-4</v>
      </c>
      <c r="Q49" s="1377">
        <f t="shared" si="1"/>
        <v>9.0050000000000019E-2</v>
      </c>
      <c r="R49" s="1375">
        <f>'Rates in Detail'!S52</f>
        <v>0</v>
      </c>
      <c r="S49" s="1376">
        <f>'Rates in Detail'!T52</f>
        <v>-1.8400000000000001E-3</v>
      </c>
      <c r="T49" s="1383">
        <f t="shared" si="2"/>
        <v>8.8210000000000025E-2</v>
      </c>
      <c r="U49" s="117">
        <f>'Rates in Detail'!Y52</f>
        <v>6.6299999999999996E-3</v>
      </c>
      <c r="V49" s="117">
        <f>'Rates in Detail'!Z52</f>
        <v>-9.0000000000000006E-5</v>
      </c>
      <c r="W49" s="1387">
        <f t="shared" si="3"/>
        <v>9.6590000000000009E-2</v>
      </c>
      <c r="X49" s="131"/>
    </row>
    <row r="50" spans="2:24" x14ac:dyDescent="0.2">
      <c r="B50" s="110">
        <f t="shared" si="4"/>
        <v>41</v>
      </c>
      <c r="C50" s="1355"/>
      <c r="D50" s="1355" t="s">
        <v>8</v>
      </c>
      <c r="E50" s="115">
        <v>600000</v>
      </c>
      <c r="F50" s="116">
        <f>'WA Volumes &amp; Revenues'!E55</f>
        <v>1492257</v>
      </c>
      <c r="G50" s="116"/>
      <c r="H50" s="912"/>
      <c r="I50" s="913"/>
      <c r="J50" s="628">
        <f>'Rates in Detail'!E53</f>
        <v>5.1040000000000002E-2</v>
      </c>
      <c r="K50" s="630">
        <f>'Rates in Detail'!H53</f>
        <v>0</v>
      </c>
      <c r="L50" s="630">
        <f>'Rates in Detail'!F53</f>
        <v>0</v>
      </c>
      <c r="M50" s="630">
        <f>'Rates in Detail'!I53</f>
        <v>2.1000000000000001E-4</v>
      </c>
      <c r="N50" s="137">
        <f t="shared" si="0"/>
        <v>5.1250000000000004E-2</v>
      </c>
      <c r="O50" s="1375">
        <f>'Rates in Detail'!L53</f>
        <v>9.4199999999999996E-3</v>
      </c>
      <c r="P50" s="1376">
        <f>'Rates in Detail'!P53</f>
        <v>-6.4999999999999997E-4</v>
      </c>
      <c r="Q50" s="1377">
        <f t="shared" si="1"/>
        <v>6.0020000000000004E-2</v>
      </c>
      <c r="R50" s="1375">
        <f>'Rates in Detail'!S53</f>
        <v>0</v>
      </c>
      <c r="S50" s="1376">
        <f>'Rates in Detail'!T53</f>
        <v>-1.23E-3</v>
      </c>
      <c r="T50" s="1383">
        <f t="shared" si="2"/>
        <v>5.8790000000000002E-2</v>
      </c>
      <c r="U50" s="117">
        <f>'Rates in Detail'!Y53</f>
        <v>4.4200000000000003E-3</v>
      </c>
      <c r="V50" s="117">
        <f>'Rates in Detail'!Z53</f>
        <v>-6.0000000000000002E-5</v>
      </c>
      <c r="W50" s="1387">
        <f t="shared" si="3"/>
        <v>6.4379999999999993E-2</v>
      </c>
      <c r="X50" s="131"/>
    </row>
    <row r="51" spans="2:24" x14ac:dyDescent="0.2">
      <c r="B51" s="110">
        <f t="shared" si="4"/>
        <v>42</v>
      </c>
      <c r="C51" s="111"/>
      <c r="D51" s="111" t="s">
        <v>9</v>
      </c>
      <c r="E51" s="112" t="s">
        <v>74</v>
      </c>
      <c r="F51" s="113">
        <f>'WA Volumes &amp; Revenues'!E56</f>
        <v>0</v>
      </c>
      <c r="G51" s="113"/>
      <c r="H51" s="907"/>
      <c r="I51" s="909"/>
      <c r="J51" s="627">
        <f>'Rates in Detail'!E54</f>
        <v>1.9140000000000001E-2</v>
      </c>
      <c r="K51" s="631">
        <f>'Rates in Detail'!H54</f>
        <v>0</v>
      </c>
      <c r="L51" s="631">
        <f>'Rates in Detail'!F54</f>
        <v>0</v>
      </c>
      <c r="M51" s="631">
        <f>'Rates in Detail'!I54</f>
        <v>7.9999999999999993E-5</v>
      </c>
      <c r="N51" s="135">
        <f t="shared" si="0"/>
        <v>1.9220000000000001E-2</v>
      </c>
      <c r="O51" s="1374">
        <f>'Rates in Detail'!L54</f>
        <v>3.5300000000000002E-3</v>
      </c>
      <c r="P51" s="1367">
        <f>'Rates in Detail'!P54</f>
        <v>-2.4000000000000001E-4</v>
      </c>
      <c r="Q51" s="1373">
        <f t="shared" si="1"/>
        <v>2.2509999999999999E-2</v>
      </c>
      <c r="R51" s="1374">
        <f>'Rates in Detail'!S54</f>
        <v>0</v>
      </c>
      <c r="S51" s="1367">
        <f>'Rates in Detail'!T54</f>
        <v>-4.6000000000000001E-4</v>
      </c>
      <c r="T51" s="1382">
        <f t="shared" si="2"/>
        <v>2.205E-2</v>
      </c>
      <c r="U51" s="114">
        <f>'Rates in Detail'!Y54</f>
        <v>1.66E-3</v>
      </c>
      <c r="V51" s="114">
        <f>'Rates in Detail'!Z54</f>
        <v>-2.0000000000000002E-5</v>
      </c>
      <c r="W51" s="1386">
        <f t="shared" si="3"/>
        <v>2.4150000000000001E-2</v>
      </c>
      <c r="X51" s="131"/>
    </row>
    <row r="52" spans="2:24" x14ac:dyDescent="0.2">
      <c r="B52" s="110">
        <f t="shared" si="4"/>
        <v>43</v>
      </c>
      <c r="C52" s="1355" t="str">
        <f>'WA Volumes &amp; Revenues'!B57</f>
        <v>42C Interr Sales</v>
      </c>
      <c r="D52" s="1355" t="s">
        <v>4</v>
      </c>
      <c r="E52" s="115">
        <v>10000</v>
      </c>
      <c r="F52" s="116">
        <f>'WA Volumes &amp; Revenues'!E57</f>
        <v>240000</v>
      </c>
      <c r="G52" s="116">
        <f>'WA Volumes &amp; Revenues'!H57</f>
        <v>2</v>
      </c>
      <c r="H52" s="912">
        <f>'WA Volumes &amp; Revenues'!O57</f>
        <v>1300</v>
      </c>
      <c r="I52" s="913">
        <f>'WA Volumes &amp; Revenues'!N57</f>
        <v>1300</v>
      </c>
      <c r="J52" s="628">
        <f>'Rates in Detail'!E55</f>
        <v>0.13682000000000002</v>
      </c>
      <c r="K52" s="630">
        <f>'Rates in Detail'!H55</f>
        <v>0</v>
      </c>
      <c r="L52" s="630">
        <f>'Rates in Detail'!F55</f>
        <v>0.26333000000000001</v>
      </c>
      <c r="M52" s="630">
        <f>'Rates in Detail'!I55</f>
        <v>2.334E-2</v>
      </c>
      <c r="N52" s="137">
        <f t="shared" si="0"/>
        <v>0.42349000000000003</v>
      </c>
      <c r="O52" s="1375">
        <f>'Rates in Detail'!L55</f>
        <v>2.6700000000000002E-2</v>
      </c>
      <c r="P52" s="1376">
        <f>'Rates in Detail'!P55</f>
        <v>-1.8400000000000001E-3</v>
      </c>
      <c r="Q52" s="1377">
        <f t="shared" si="1"/>
        <v>0.44835000000000003</v>
      </c>
      <c r="R52" s="1375">
        <f>'Rates in Detail'!S55</f>
        <v>-6.3E-3</v>
      </c>
      <c r="S52" s="1376">
        <f>'Rates in Detail'!T55</f>
        <v>-3.48E-3</v>
      </c>
      <c r="T52" s="1383">
        <f t="shared" si="2"/>
        <v>0.43857000000000007</v>
      </c>
      <c r="U52" s="117">
        <f>'Rates in Detail'!Y55</f>
        <v>1.252E-2</v>
      </c>
      <c r="V52" s="117">
        <f>'Rates in Detail'!Z55</f>
        <v>-1.8000000000000001E-4</v>
      </c>
      <c r="W52" s="1387">
        <f t="shared" si="3"/>
        <v>0.46069000000000004</v>
      </c>
      <c r="X52" s="131"/>
    </row>
    <row r="53" spans="2:24" x14ac:dyDescent="0.2">
      <c r="B53" s="110">
        <f t="shared" si="4"/>
        <v>44</v>
      </c>
      <c r="C53" s="1355"/>
      <c r="D53" s="1355" t="s">
        <v>5</v>
      </c>
      <c r="E53" s="115">
        <v>20000</v>
      </c>
      <c r="F53" s="116">
        <f>'WA Volumes &amp; Revenues'!E58</f>
        <v>467511</v>
      </c>
      <c r="G53" s="116"/>
      <c r="H53" s="912"/>
      <c r="I53" s="913"/>
      <c r="J53" s="628">
        <f>'Rates in Detail'!E56</f>
        <v>0.12246999999999988</v>
      </c>
      <c r="K53" s="630">
        <f>'Rates in Detail'!H56</f>
        <v>0</v>
      </c>
      <c r="L53" s="630">
        <f>'Rates in Detail'!F56</f>
        <v>0.26333000000000001</v>
      </c>
      <c r="M53" s="630">
        <f>'Rates in Detail'!I56</f>
        <v>2.0999999999999998E-2</v>
      </c>
      <c r="N53" s="137">
        <f t="shared" si="0"/>
        <v>0.40679999999999994</v>
      </c>
      <c r="O53" s="1375">
        <f>'Rates in Detail'!L56</f>
        <v>2.3900000000000001E-2</v>
      </c>
      <c r="P53" s="1376">
        <f>'Rates in Detail'!P56</f>
        <v>-1.64E-3</v>
      </c>
      <c r="Q53" s="1377">
        <f t="shared" si="1"/>
        <v>0.42905999999999994</v>
      </c>
      <c r="R53" s="1375">
        <f>'Rates in Detail'!S56</f>
        <v>-5.64E-3</v>
      </c>
      <c r="S53" s="1376">
        <f>'Rates in Detail'!T56</f>
        <v>-3.1199999999999999E-3</v>
      </c>
      <c r="T53" s="1383">
        <f t="shared" si="2"/>
        <v>0.42029999999999995</v>
      </c>
      <c r="U53" s="117">
        <f>'Rates in Detail'!Y56</f>
        <v>1.1209999999999999E-2</v>
      </c>
      <c r="V53" s="117">
        <f>'Rates in Detail'!Z56</f>
        <v>-1.6000000000000001E-4</v>
      </c>
      <c r="W53" s="1387">
        <f t="shared" si="3"/>
        <v>0.44010999999999995</v>
      </c>
      <c r="X53" s="131"/>
    </row>
    <row r="54" spans="2:24" x14ac:dyDescent="0.2">
      <c r="B54" s="110">
        <f t="shared" si="4"/>
        <v>45</v>
      </c>
      <c r="C54" s="1355"/>
      <c r="D54" s="1355" t="s">
        <v>6</v>
      </c>
      <c r="E54" s="115">
        <v>20000</v>
      </c>
      <c r="F54" s="116">
        <f>'WA Volumes &amp; Revenues'!E59</f>
        <v>218004</v>
      </c>
      <c r="G54" s="116"/>
      <c r="H54" s="912"/>
      <c r="I54" s="913"/>
      <c r="J54" s="628">
        <f>'Rates in Detail'!E57</f>
        <v>9.3909999999999993E-2</v>
      </c>
      <c r="K54" s="630">
        <f>'Rates in Detail'!H57</f>
        <v>0</v>
      </c>
      <c r="L54" s="630">
        <f>'Rates in Detail'!F57</f>
        <v>0.26333000000000001</v>
      </c>
      <c r="M54" s="630">
        <f>'Rates in Detail'!I57</f>
        <v>1.6370000000000003E-2</v>
      </c>
      <c r="N54" s="137">
        <f t="shared" si="0"/>
        <v>0.37361</v>
      </c>
      <c r="O54" s="1375">
        <f>'Rates in Detail'!L57</f>
        <v>1.8329999999999999E-2</v>
      </c>
      <c r="P54" s="1376">
        <f>'Rates in Detail'!P57</f>
        <v>-1.2600000000000001E-3</v>
      </c>
      <c r="Q54" s="1377">
        <f t="shared" si="1"/>
        <v>0.39068000000000003</v>
      </c>
      <c r="R54" s="1375">
        <f>'Rates in Detail'!S57</f>
        <v>-4.3200000000000001E-3</v>
      </c>
      <c r="S54" s="1376">
        <f>'Rates in Detail'!T57</f>
        <v>-2.3900000000000002E-3</v>
      </c>
      <c r="T54" s="1383">
        <f t="shared" si="2"/>
        <v>0.38397000000000003</v>
      </c>
      <c r="U54" s="117">
        <f>'Rates in Detail'!Y57</f>
        <v>8.5900000000000004E-3</v>
      </c>
      <c r="V54" s="117">
        <f>'Rates in Detail'!Z57</f>
        <v>-1.2E-4</v>
      </c>
      <c r="W54" s="1387">
        <f t="shared" si="3"/>
        <v>0.39915</v>
      </c>
      <c r="X54" s="131"/>
    </row>
    <row r="55" spans="2:24" x14ac:dyDescent="0.2">
      <c r="B55" s="110">
        <f t="shared" si="4"/>
        <v>46</v>
      </c>
      <c r="C55" s="1355"/>
      <c r="D55" s="1355" t="s">
        <v>7</v>
      </c>
      <c r="E55" s="115">
        <v>100000</v>
      </c>
      <c r="F55" s="116">
        <f>'WA Volumes &amp; Revenues'!E60</f>
        <v>18208</v>
      </c>
      <c r="G55" s="116"/>
      <c r="H55" s="912"/>
      <c r="I55" s="913"/>
      <c r="J55" s="628">
        <f>'Rates in Detail'!E58</f>
        <v>7.5130000000000044E-2</v>
      </c>
      <c r="K55" s="630">
        <f>'Rates in Detail'!H58</f>
        <v>0</v>
      </c>
      <c r="L55" s="630">
        <f>'Rates in Detail'!F58</f>
        <v>0.26333000000000001</v>
      </c>
      <c r="M55" s="630">
        <f>'Rates in Detail'!I58</f>
        <v>1.3339999999999999E-2</v>
      </c>
      <c r="N55" s="137">
        <f t="shared" si="0"/>
        <v>0.35180000000000006</v>
      </c>
      <c r="O55" s="1375">
        <f>'Rates in Detail'!L58</f>
        <v>1.4659999999999999E-2</v>
      </c>
      <c r="P55" s="1376">
        <f>'Rates in Detail'!P58</f>
        <v>-1.01E-3</v>
      </c>
      <c r="Q55" s="1377">
        <f t="shared" si="1"/>
        <v>0.36545000000000005</v>
      </c>
      <c r="R55" s="1375">
        <f>'Rates in Detail'!S58</f>
        <v>-3.46E-3</v>
      </c>
      <c r="S55" s="1376">
        <f>'Rates in Detail'!T58</f>
        <v>-1.91E-3</v>
      </c>
      <c r="T55" s="1383">
        <f t="shared" si="2"/>
        <v>0.36008000000000001</v>
      </c>
      <c r="U55" s="117">
        <f>'Rates in Detail'!Y58</f>
        <v>6.8799999999999998E-3</v>
      </c>
      <c r="V55" s="117">
        <f>'Rates in Detail'!Z58</f>
        <v>-1E-4</v>
      </c>
      <c r="W55" s="1387">
        <f t="shared" si="3"/>
        <v>0.37223000000000001</v>
      </c>
      <c r="X55" s="131"/>
    </row>
    <row r="56" spans="2:24" x14ac:dyDescent="0.2">
      <c r="B56" s="110">
        <f t="shared" si="4"/>
        <v>47</v>
      </c>
      <c r="C56" s="1355"/>
      <c r="D56" s="1355" t="s">
        <v>8</v>
      </c>
      <c r="E56" s="115">
        <v>600000</v>
      </c>
      <c r="F56" s="116">
        <f>'WA Volumes &amp; Revenues'!E61</f>
        <v>0</v>
      </c>
      <c r="G56" s="116"/>
      <c r="H56" s="912"/>
      <c r="I56" s="913"/>
      <c r="J56" s="628">
        <f>'Rates in Detail'!E59</f>
        <v>5.0089999999999968E-2</v>
      </c>
      <c r="K56" s="630">
        <f>'Rates in Detail'!H59</f>
        <v>0</v>
      </c>
      <c r="L56" s="630">
        <f>'Rates in Detail'!F59</f>
        <v>0.26333000000000001</v>
      </c>
      <c r="M56" s="630">
        <f>'Rates in Detail'!I59</f>
        <v>9.2699999999999987E-3</v>
      </c>
      <c r="N56" s="137">
        <f t="shared" si="0"/>
        <v>0.32268999999999998</v>
      </c>
      <c r="O56" s="1375">
        <f>'Rates in Detail'!L59</f>
        <v>9.7800000000000005E-3</v>
      </c>
      <c r="P56" s="1376">
        <f>'Rates in Detail'!P59</f>
        <v>-6.7000000000000002E-4</v>
      </c>
      <c r="Q56" s="1377">
        <f t="shared" si="1"/>
        <v>0.33179999999999998</v>
      </c>
      <c r="R56" s="1375">
        <f>'Rates in Detail'!S59</f>
        <v>-2.31E-3</v>
      </c>
      <c r="S56" s="1376">
        <f>'Rates in Detail'!T59</f>
        <v>-1.2700000000000001E-3</v>
      </c>
      <c r="T56" s="1383">
        <f t="shared" si="2"/>
        <v>0.32822000000000001</v>
      </c>
      <c r="U56" s="117">
        <f>'Rates in Detail'!Y59</f>
        <v>4.5799999999999999E-3</v>
      </c>
      <c r="V56" s="117">
        <f>'Rates in Detail'!Z59</f>
        <v>-6.0000000000000002E-5</v>
      </c>
      <c r="W56" s="1387">
        <f t="shared" si="3"/>
        <v>0.33631999999999995</v>
      </c>
      <c r="X56" s="131"/>
    </row>
    <row r="57" spans="2:24" x14ac:dyDescent="0.2">
      <c r="B57" s="110">
        <f t="shared" si="4"/>
        <v>48</v>
      </c>
      <c r="C57" s="111"/>
      <c r="D57" s="111" t="s">
        <v>9</v>
      </c>
      <c r="E57" s="112" t="s">
        <v>74</v>
      </c>
      <c r="F57" s="113">
        <f>'WA Volumes &amp; Revenues'!E62</f>
        <v>0</v>
      </c>
      <c r="G57" s="113"/>
      <c r="H57" s="907"/>
      <c r="I57" s="909"/>
      <c r="J57" s="627">
        <f>'Rates in Detail'!E60</f>
        <v>1.8790000000000001E-2</v>
      </c>
      <c r="K57" s="631">
        <f>'Rates in Detail'!H60</f>
        <v>0</v>
      </c>
      <c r="L57" s="631">
        <f>'Rates in Detail'!F60</f>
        <v>0.26333000000000001</v>
      </c>
      <c r="M57" s="631">
        <f>'Rates in Detail'!I60</f>
        <v>4.1999999999999989E-3</v>
      </c>
      <c r="N57" s="135">
        <f t="shared" si="0"/>
        <v>0.28632000000000002</v>
      </c>
      <c r="O57" s="1374">
        <f>'Rates in Detail'!L60</f>
        <v>3.6700000000000001E-3</v>
      </c>
      <c r="P57" s="1367">
        <f>'Rates in Detail'!P60</f>
        <v>-2.5000000000000001E-4</v>
      </c>
      <c r="Q57" s="1373">
        <f t="shared" si="1"/>
        <v>0.28974000000000005</v>
      </c>
      <c r="R57" s="1374">
        <f>'Rates in Detail'!S60</f>
        <v>-8.7000000000000001E-4</v>
      </c>
      <c r="S57" s="1367">
        <f>'Rates in Detail'!T60</f>
        <v>-4.8000000000000001E-4</v>
      </c>
      <c r="T57" s="1382">
        <f t="shared" si="2"/>
        <v>0.28839000000000009</v>
      </c>
      <c r="U57" s="114">
        <f>'Rates in Detail'!Y60</f>
        <v>1.72E-3</v>
      </c>
      <c r="V57" s="114">
        <f>'Rates in Detail'!Z60</f>
        <v>-2.0000000000000002E-5</v>
      </c>
      <c r="W57" s="1386">
        <f t="shared" si="3"/>
        <v>0.29144000000000009</v>
      </c>
      <c r="X57" s="131"/>
    </row>
    <row r="58" spans="2:24" x14ac:dyDescent="0.2">
      <c r="B58" s="110">
        <f t="shared" si="4"/>
        <v>49</v>
      </c>
      <c r="C58" s="1355" t="str">
        <f>'WA Volumes &amp; Revenues'!B63</f>
        <v>42I Interr Sales</v>
      </c>
      <c r="D58" s="1355" t="s">
        <v>4</v>
      </c>
      <c r="E58" s="115">
        <v>10000</v>
      </c>
      <c r="F58" s="116">
        <f>'WA Volumes &amp; Revenues'!E63</f>
        <v>156740</v>
      </c>
      <c r="G58" s="116">
        <f>'WA Volumes &amp; Revenues'!H63</f>
        <v>1.9166666666666701</v>
      </c>
      <c r="H58" s="912">
        <f>'WA Volumes &amp; Revenues'!O63</f>
        <v>1300</v>
      </c>
      <c r="I58" s="913">
        <f>'WA Volumes &amp; Revenues'!N63</f>
        <v>1300</v>
      </c>
      <c r="J58" s="628">
        <f>'Rates in Detail'!E61</f>
        <v>0.14583999999999989</v>
      </c>
      <c r="K58" s="630">
        <f>'Rates in Detail'!H61</f>
        <v>0</v>
      </c>
      <c r="L58" s="630">
        <f>'Rates in Detail'!F61</f>
        <v>0.26333000000000001</v>
      </c>
      <c r="M58" s="630">
        <f>'Rates in Detail'!I61</f>
        <v>6.9699999999999996E-3</v>
      </c>
      <c r="N58" s="137">
        <f t="shared" si="0"/>
        <v>0.4161399999999999</v>
      </c>
      <c r="O58" s="1375">
        <f>'Rates in Detail'!L61</f>
        <v>3.6839999999999998E-2</v>
      </c>
      <c r="P58" s="1376">
        <f>'Rates in Detail'!P61</f>
        <v>-2.5400000000000002E-3</v>
      </c>
      <c r="Q58" s="1377">
        <f t="shared" si="1"/>
        <v>0.4504399999999999</v>
      </c>
      <c r="R58" s="1375">
        <f>'Rates in Detail'!S61</f>
        <v>0</v>
      </c>
      <c r="S58" s="1376">
        <f>'Rates in Detail'!T61</f>
        <v>-4.7999999999999996E-3</v>
      </c>
      <c r="T58" s="1383">
        <f t="shared" si="2"/>
        <v>0.44563999999999987</v>
      </c>
      <c r="U58" s="117">
        <f>'Rates in Detail'!Y61</f>
        <v>1.728E-2</v>
      </c>
      <c r="V58" s="117">
        <f>'Rates in Detail'!Z61</f>
        <v>-2.4000000000000001E-4</v>
      </c>
      <c r="W58" s="1387">
        <f t="shared" si="3"/>
        <v>0.4674799999999999</v>
      </c>
      <c r="X58" s="131"/>
    </row>
    <row r="59" spans="2:24" x14ac:dyDescent="0.2">
      <c r="B59" s="110">
        <f t="shared" si="4"/>
        <v>50</v>
      </c>
      <c r="C59" s="1355"/>
      <c r="D59" s="1355" t="s">
        <v>5</v>
      </c>
      <c r="E59" s="115">
        <v>20000</v>
      </c>
      <c r="F59" s="116">
        <f>'WA Volumes &amp; Revenues'!E64</f>
        <v>159690</v>
      </c>
      <c r="G59" s="116"/>
      <c r="H59" s="912"/>
      <c r="I59" s="913"/>
      <c r="J59" s="628">
        <f>'Rates in Detail'!E62</f>
        <v>0.13054999999999992</v>
      </c>
      <c r="K59" s="630">
        <f>'Rates in Detail'!H62</f>
        <v>0</v>
      </c>
      <c r="L59" s="630">
        <f>'Rates in Detail'!F62</f>
        <v>0.26333000000000001</v>
      </c>
      <c r="M59" s="630">
        <f>'Rates in Detail'!I62</f>
        <v>6.3499999999999997E-3</v>
      </c>
      <c r="N59" s="137">
        <f t="shared" si="0"/>
        <v>0.40022999999999992</v>
      </c>
      <c r="O59" s="1375">
        <f>'Rates in Detail'!L62</f>
        <v>3.2980000000000002E-2</v>
      </c>
      <c r="P59" s="1376">
        <f>'Rates in Detail'!P62</f>
        <v>-2.2699999999999999E-3</v>
      </c>
      <c r="Q59" s="1377">
        <f t="shared" si="1"/>
        <v>0.43093999999999993</v>
      </c>
      <c r="R59" s="1375">
        <f>'Rates in Detail'!S62</f>
        <v>0</v>
      </c>
      <c r="S59" s="1376">
        <f>'Rates in Detail'!T62</f>
        <v>-4.3E-3</v>
      </c>
      <c r="T59" s="1383">
        <f t="shared" si="2"/>
        <v>0.42663999999999991</v>
      </c>
      <c r="U59" s="117">
        <f>'Rates in Detail'!Y62</f>
        <v>1.546E-2</v>
      </c>
      <c r="V59" s="117">
        <f>'Rates in Detail'!Z62</f>
        <v>-2.2000000000000001E-4</v>
      </c>
      <c r="W59" s="1387">
        <f t="shared" si="3"/>
        <v>0.44617999999999991</v>
      </c>
      <c r="X59" s="131"/>
    </row>
    <row r="60" spans="2:24" x14ac:dyDescent="0.2">
      <c r="B60" s="110">
        <f t="shared" si="4"/>
        <v>51</v>
      </c>
      <c r="C60" s="1355"/>
      <c r="D60" s="1355" t="s">
        <v>6</v>
      </c>
      <c r="E60" s="115">
        <v>20000</v>
      </c>
      <c r="F60" s="116">
        <f>'WA Volumes &amp; Revenues'!E65</f>
        <v>0</v>
      </c>
      <c r="G60" s="116"/>
      <c r="H60" s="912"/>
      <c r="I60" s="913"/>
      <c r="J60" s="628">
        <f>'Rates in Detail'!E63</f>
        <v>0.10011</v>
      </c>
      <c r="K60" s="630">
        <f>'Rates in Detail'!H63</f>
        <v>0</v>
      </c>
      <c r="L60" s="630">
        <f>'Rates in Detail'!F63</f>
        <v>0.26333000000000001</v>
      </c>
      <c r="M60" s="630">
        <f>'Rates in Detail'!I63</f>
        <v>5.1399999999999996E-3</v>
      </c>
      <c r="N60" s="137">
        <f t="shared" si="0"/>
        <v>0.36857999999999996</v>
      </c>
      <c r="O60" s="1375">
        <f>'Rates in Detail'!L63</f>
        <v>2.529E-2</v>
      </c>
      <c r="P60" s="1376">
        <f>'Rates in Detail'!P63</f>
        <v>-1.74E-3</v>
      </c>
      <c r="Q60" s="1377">
        <f t="shared" si="1"/>
        <v>0.39212999999999992</v>
      </c>
      <c r="R60" s="1375">
        <f>'Rates in Detail'!S63</f>
        <v>0</v>
      </c>
      <c r="S60" s="1376">
        <f>'Rates in Detail'!T63</f>
        <v>-3.3E-3</v>
      </c>
      <c r="T60" s="1383">
        <f t="shared" si="2"/>
        <v>0.3888299999999999</v>
      </c>
      <c r="U60" s="117">
        <f>'Rates in Detail'!Y63</f>
        <v>1.1860000000000001E-2</v>
      </c>
      <c r="V60" s="117">
        <f>'Rates in Detail'!Z63</f>
        <v>-1.7000000000000001E-4</v>
      </c>
      <c r="W60" s="1387">
        <f t="shared" si="3"/>
        <v>0.4038199999999999</v>
      </c>
      <c r="X60" s="131"/>
    </row>
    <row r="61" spans="2:24" x14ac:dyDescent="0.2">
      <c r="B61" s="110">
        <f t="shared" si="4"/>
        <v>52</v>
      </c>
      <c r="C61" s="1355"/>
      <c r="D61" s="1355" t="s">
        <v>7</v>
      </c>
      <c r="E61" s="115">
        <v>100000</v>
      </c>
      <c r="F61" s="116">
        <f>'WA Volumes &amp; Revenues'!E66</f>
        <v>0</v>
      </c>
      <c r="G61" s="116"/>
      <c r="H61" s="912"/>
      <c r="I61" s="913"/>
      <c r="J61" s="628">
        <f>'Rates in Detail'!E64</f>
        <v>8.0089999999999995E-2</v>
      </c>
      <c r="K61" s="630">
        <f>'Rates in Detail'!H64</f>
        <v>0</v>
      </c>
      <c r="L61" s="630">
        <f>'Rates in Detail'!F64</f>
        <v>0.26333000000000001</v>
      </c>
      <c r="M61" s="630">
        <f>'Rates in Detail'!I64</f>
        <v>4.3499999999999997E-3</v>
      </c>
      <c r="N61" s="137">
        <f t="shared" si="0"/>
        <v>0.34777000000000002</v>
      </c>
      <c r="O61" s="1375">
        <f>'Rates in Detail'!L64</f>
        <v>2.0230000000000001E-2</v>
      </c>
      <c r="P61" s="1376">
        <f>'Rates in Detail'!P64</f>
        <v>-1.39E-3</v>
      </c>
      <c r="Q61" s="1377">
        <f t="shared" si="1"/>
        <v>0.36661000000000005</v>
      </c>
      <c r="R61" s="1375">
        <f>'Rates in Detail'!S64</f>
        <v>0</v>
      </c>
      <c r="S61" s="1376">
        <f>'Rates in Detail'!T64</f>
        <v>-2.64E-3</v>
      </c>
      <c r="T61" s="1383">
        <f t="shared" si="2"/>
        <v>0.36397000000000007</v>
      </c>
      <c r="U61" s="117">
        <f>'Rates in Detail'!Y64</f>
        <v>9.4900000000000002E-3</v>
      </c>
      <c r="V61" s="117">
        <f>'Rates in Detail'!Z64</f>
        <v>-1.2999999999999999E-4</v>
      </c>
      <c r="W61" s="1387">
        <f t="shared" si="3"/>
        <v>0.37597000000000003</v>
      </c>
      <c r="X61" s="131"/>
    </row>
    <row r="62" spans="2:24" x14ac:dyDescent="0.2">
      <c r="B62" s="110">
        <f t="shared" si="4"/>
        <v>53</v>
      </c>
      <c r="C62" s="1355"/>
      <c r="D62" s="1355" t="s">
        <v>8</v>
      </c>
      <c r="E62" s="115">
        <v>600000</v>
      </c>
      <c r="F62" s="116">
        <f>'WA Volumes &amp; Revenues'!E67</f>
        <v>0</v>
      </c>
      <c r="G62" s="116"/>
      <c r="H62" s="912"/>
      <c r="I62" s="913"/>
      <c r="J62" s="628">
        <f>'Rates in Detail'!E65</f>
        <v>5.339E-2</v>
      </c>
      <c r="K62" s="630">
        <f>'Rates in Detail'!H65</f>
        <v>0</v>
      </c>
      <c r="L62" s="630">
        <f>'Rates in Detail'!F65</f>
        <v>0.26333000000000001</v>
      </c>
      <c r="M62" s="630">
        <f>'Rates in Detail'!I65</f>
        <v>3.2999999999999995E-3</v>
      </c>
      <c r="N62" s="137">
        <f t="shared" si="0"/>
        <v>0.32002000000000003</v>
      </c>
      <c r="O62" s="1375">
        <f>'Rates in Detail'!L65</f>
        <v>1.349E-2</v>
      </c>
      <c r="P62" s="1376">
        <f>'Rates in Detail'!P65</f>
        <v>-9.3000000000000005E-4</v>
      </c>
      <c r="Q62" s="1377">
        <f t="shared" si="1"/>
        <v>0.33258000000000004</v>
      </c>
      <c r="R62" s="1375">
        <f>'Rates in Detail'!S65</f>
        <v>0</v>
      </c>
      <c r="S62" s="1376">
        <f>'Rates in Detail'!T65</f>
        <v>-1.7600000000000001E-3</v>
      </c>
      <c r="T62" s="1383">
        <f t="shared" si="2"/>
        <v>0.33082000000000006</v>
      </c>
      <c r="U62" s="117">
        <f>'Rates in Detail'!Y65</f>
        <v>6.3200000000000001E-3</v>
      </c>
      <c r="V62" s="117">
        <f>'Rates in Detail'!Z65</f>
        <v>-9.0000000000000006E-5</v>
      </c>
      <c r="W62" s="1387">
        <f t="shared" si="3"/>
        <v>0.33881000000000006</v>
      </c>
      <c r="X62" s="131"/>
    </row>
    <row r="63" spans="2:24" x14ac:dyDescent="0.2">
      <c r="B63" s="110">
        <f t="shared" si="4"/>
        <v>54</v>
      </c>
      <c r="C63" s="111"/>
      <c r="D63" s="111" t="s">
        <v>9</v>
      </c>
      <c r="E63" s="112" t="s">
        <v>74</v>
      </c>
      <c r="F63" s="113">
        <f>'WA Volumes &amp; Revenues'!E68</f>
        <v>0</v>
      </c>
      <c r="G63" s="113"/>
      <c r="H63" s="907"/>
      <c r="I63" s="909"/>
      <c r="J63" s="627">
        <f>'Rates in Detail'!E66</f>
        <v>2.002E-2</v>
      </c>
      <c r="K63" s="631">
        <f>'Rates in Detail'!H66</f>
        <v>0</v>
      </c>
      <c r="L63" s="631">
        <f>'Rates in Detail'!F66</f>
        <v>0.26333000000000001</v>
      </c>
      <c r="M63" s="631">
        <f>'Rates in Detail'!I66</f>
        <v>1.9499999999999995E-3</v>
      </c>
      <c r="N63" s="135">
        <f t="shared" si="0"/>
        <v>0.2853</v>
      </c>
      <c r="O63" s="1374">
        <f>'Rates in Detail'!L66</f>
        <v>5.0600000000000003E-3</v>
      </c>
      <c r="P63" s="1367">
        <f>'Rates in Detail'!P66</f>
        <v>-3.5E-4</v>
      </c>
      <c r="Q63" s="1373">
        <f t="shared" si="1"/>
        <v>0.29000999999999999</v>
      </c>
      <c r="R63" s="1374">
        <f>'Rates in Detail'!S66</f>
        <v>0</v>
      </c>
      <c r="S63" s="1367">
        <f>'Rates in Detail'!T66</f>
        <v>-6.6E-4</v>
      </c>
      <c r="T63" s="1382">
        <f t="shared" si="2"/>
        <v>0.28935</v>
      </c>
      <c r="U63" s="114">
        <f>'Rates in Detail'!Y66</f>
        <v>2.3700000000000001E-3</v>
      </c>
      <c r="V63" s="114">
        <f>'Rates in Detail'!Z66</f>
        <v>-3.0000000000000001E-5</v>
      </c>
      <c r="W63" s="1386">
        <f t="shared" si="3"/>
        <v>0.29235</v>
      </c>
      <c r="X63" s="131"/>
    </row>
    <row r="64" spans="2:24" x14ac:dyDescent="0.2">
      <c r="B64" s="110">
        <f t="shared" si="4"/>
        <v>55</v>
      </c>
      <c r="C64" s="1355" t="str">
        <f>'WA Volumes &amp; Revenues'!B69</f>
        <v>42C Inter Transpt</v>
      </c>
      <c r="D64" s="1355" t="s">
        <v>4</v>
      </c>
      <c r="E64" s="115">
        <v>10000</v>
      </c>
      <c r="F64" s="116">
        <f>'WA Volumes &amp; Revenues'!E69</f>
        <v>0</v>
      </c>
      <c r="G64" s="116">
        <f>'WA Volumes &amp; Revenues'!H69</f>
        <v>0</v>
      </c>
      <c r="H64" s="912">
        <f>'WA Volumes &amp; Revenues'!O69</f>
        <v>1550</v>
      </c>
      <c r="I64" s="913">
        <f>'WA Volumes &amp; Revenues'!N69</f>
        <v>1550</v>
      </c>
      <c r="J64" s="628">
        <f>'Rates in Detail'!E67</f>
        <v>0.13402999999999998</v>
      </c>
      <c r="K64" s="630">
        <f>'Rates in Detail'!H67</f>
        <v>0</v>
      </c>
      <c r="L64" s="630">
        <f>'Rates in Detail'!F67</f>
        <v>0</v>
      </c>
      <c r="M64" s="630">
        <f>'Rates in Detail'!I67</f>
        <v>5.6999999999999998E-4</v>
      </c>
      <c r="N64" s="137">
        <f t="shared" si="0"/>
        <v>0.13459999999999997</v>
      </c>
      <c r="O64" s="1375">
        <f>'Rates in Detail'!L67</f>
        <v>1.6990000000000002E-2</v>
      </c>
      <c r="P64" s="1376">
        <f>'Rates in Detail'!P67</f>
        <v>-1.2600000000000001E-3</v>
      </c>
      <c r="Q64" s="1377">
        <f t="shared" si="1"/>
        <v>0.15032999999999996</v>
      </c>
      <c r="R64" s="1375">
        <f>'Rates in Detail'!S67</f>
        <v>0</v>
      </c>
      <c r="S64" s="1376">
        <f>'Rates in Detail'!T67</f>
        <v>-2.3800000000000002E-3</v>
      </c>
      <c r="T64" s="1383">
        <f t="shared" si="2"/>
        <v>0.14794999999999997</v>
      </c>
      <c r="U64" s="117">
        <f>'Rates in Detail'!Y67</f>
        <v>8.4799999999999997E-3</v>
      </c>
      <c r="V64" s="117">
        <f>'Rates in Detail'!Z67</f>
        <v>-1.2E-4</v>
      </c>
      <c r="W64" s="1387">
        <f t="shared" si="3"/>
        <v>0.15868999999999994</v>
      </c>
      <c r="X64" s="131"/>
    </row>
    <row r="65" spans="2:24" x14ac:dyDescent="0.2">
      <c r="B65" s="110">
        <f t="shared" si="4"/>
        <v>56</v>
      </c>
      <c r="C65" s="1355"/>
      <c r="D65" s="1355" t="s">
        <v>5</v>
      </c>
      <c r="E65" s="115">
        <v>20000</v>
      </c>
      <c r="F65" s="116">
        <f>'WA Volumes &amp; Revenues'!E70</f>
        <v>0</v>
      </c>
      <c r="G65" s="116"/>
      <c r="H65" s="912"/>
      <c r="I65" s="913"/>
      <c r="J65" s="628">
        <f>'Rates in Detail'!E68</f>
        <v>0.11997999999999999</v>
      </c>
      <c r="K65" s="630">
        <f>'Rates in Detail'!H68</f>
        <v>0</v>
      </c>
      <c r="L65" s="630">
        <f>'Rates in Detail'!F68</f>
        <v>0</v>
      </c>
      <c r="M65" s="630">
        <f>'Rates in Detail'!I68</f>
        <v>5.1000000000000004E-4</v>
      </c>
      <c r="N65" s="137">
        <f t="shared" si="0"/>
        <v>0.12048999999999999</v>
      </c>
      <c r="O65" s="1375">
        <f>'Rates in Detail'!L68</f>
        <v>1.521E-2</v>
      </c>
      <c r="P65" s="1376">
        <f>'Rates in Detail'!P68</f>
        <v>-1.1199999999999999E-3</v>
      </c>
      <c r="Q65" s="1377">
        <f t="shared" si="1"/>
        <v>0.13457999999999998</v>
      </c>
      <c r="R65" s="1375">
        <f>'Rates in Detail'!S68</f>
        <v>0</v>
      </c>
      <c r="S65" s="1376">
        <f>'Rates in Detail'!T68</f>
        <v>-2.1299999999999999E-3</v>
      </c>
      <c r="T65" s="1383">
        <f t="shared" si="2"/>
        <v>0.13244999999999998</v>
      </c>
      <c r="U65" s="117">
        <f>'Rates in Detail'!Y68</f>
        <v>7.5900000000000004E-3</v>
      </c>
      <c r="V65" s="117">
        <f>'Rates in Detail'!Z68</f>
        <v>-1.1E-4</v>
      </c>
      <c r="W65" s="1387">
        <f t="shared" si="3"/>
        <v>0.14205999999999999</v>
      </c>
      <c r="X65" s="131"/>
    </row>
    <row r="66" spans="2:24" x14ac:dyDescent="0.2">
      <c r="B66" s="110">
        <f t="shared" si="4"/>
        <v>57</v>
      </c>
      <c r="C66" s="1355"/>
      <c r="D66" s="1355" t="s">
        <v>6</v>
      </c>
      <c r="E66" s="115">
        <v>20000</v>
      </c>
      <c r="F66" s="116">
        <f>'WA Volumes &amp; Revenues'!E71</f>
        <v>0</v>
      </c>
      <c r="G66" s="116"/>
      <c r="H66" s="912"/>
      <c r="I66" s="913"/>
      <c r="J66" s="628">
        <f>'Rates in Detail'!E69</f>
        <v>9.1999999999999998E-2</v>
      </c>
      <c r="K66" s="630">
        <f>'Rates in Detail'!H69</f>
        <v>0</v>
      </c>
      <c r="L66" s="630">
        <f>'Rates in Detail'!F69</f>
        <v>0</v>
      </c>
      <c r="M66" s="630">
        <f>'Rates in Detail'!I69</f>
        <v>3.7999999999999997E-4</v>
      </c>
      <c r="N66" s="137">
        <f t="shared" si="0"/>
        <v>9.2380000000000004E-2</v>
      </c>
      <c r="O66" s="1375">
        <f>'Rates in Detail'!L69</f>
        <v>1.166E-2</v>
      </c>
      <c r="P66" s="1376">
        <f>'Rates in Detail'!P69</f>
        <v>-8.5999999999999998E-4</v>
      </c>
      <c r="Q66" s="1377">
        <f t="shared" si="1"/>
        <v>0.10318000000000001</v>
      </c>
      <c r="R66" s="1375">
        <f>'Rates in Detail'!S69</f>
        <v>0</v>
      </c>
      <c r="S66" s="1376">
        <f>'Rates in Detail'!T69</f>
        <v>-1.6299999999999999E-3</v>
      </c>
      <c r="T66" s="1383">
        <f t="shared" si="2"/>
        <v>0.10155</v>
      </c>
      <c r="U66" s="117">
        <f>'Rates in Detail'!Y69</f>
        <v>5.8199999999999997E-3</v>
      </c>
      <c r="V66" s="117">
        <f>'Rates in Detail'!Z69</f>
        <v>-8.0000000000000007E-5</v>
      </c>
      <c r="W66" s="1387">
        <f t="shared" si="3"/>
        <v>0.10892000000000002</v>
      </c>
      <c r="X66" s="131"/>
    </row>
    <row r="67" spans="2:24" x14ac:dyDescent="0.2">
      <c r="B67" s="110">
        <f t="shared" si="4"/>
        <v>58</v>
      </c>
      <c r="C67" s="1355"/>
      <c r="D67" s="1355" t="s">
        <v>7</v>
      </c>
      <c r="E67" s="115">
        <v>100000</v>
      </c>
      <c r="F67" s="116">
        <f>'WA Volumes &amp; Revenues'!E72</f>
        <v>0</v>
      </c>
      <c r="G67" s="116"/>
      <c r="H67" s="912"/>
      <c r="I67" s="913"/>
      <c r="J67" s="628">
        <f>'Rates in Detail'!E70</f>
        <v>7.3609999999999995E-2</v>
      </c>
      <c r="K67" s="630">
        <f>'Rates in Detail'!H70</f>
        <v>0</v>
      </c>
      <c r="L67" s="630">
        <f>'Rates in Detail'!F70</f>
        <v>0</v>
      </c>
      <c r="M67" s="630">
        <f>'Rates in Detail'!I70</f>
        <v>3.0999999999999995E-4</v>
      </c>
      <c r="N67" s="137">
        <f t="shared" si="0"/>
        <v>7.392E-2</v>
      </c>
      <c r="O67" s="1375">
        <f>'Rates in Detail'!L70</f>
        <v>9.3299999999999998E-3</v>
      </c>
      <c r="P67" s="1376">
        <f>'Rates in Detail'!P70</f>
        <v>-6.8999999999999997E-4</v>
      </c>
      <c r="Q67" s="1377">
        <f t="shared" si="1"/>
        <v>8.2560000000000008E-2</v>
      </c>
      <c r="R67" s="1375">
        <f>'Rates in Detail'!S70</f>
        <v>0</v>
      </c>
      <c r="S67" s="1376">
        <f>'Rates in Detail'!T70</f>
        <v>-1.31E-3</v>
      </c>
      <c r="T67" s="1383">
        <f t="shared" si="2"/>
        <v>8.1250000000000003E-2</v>
      </c>
      <c r="U67" s="117">
        <f>'Rates in Detail'!Y70</f>
        <v>4.6600000000000001E-3</v>
      </c>
      <c r="V67" s="117">
        <f>'Rates in Detail'!Z70</f>
        <v>-6.9999999999999994E-5</v>
      </c>
      <c r="W67" s="1387">
        <f t="shared" si="3"/>
        <v>8.7150000000000005E-2</v>
      </c>
      <c r="X67" s="131"/>
    </row>
    <row r="68" spans="2:24" x14ac:dyDescent="0.2">
      <c r="B68" s="110">
        <f t="shared" si="4"/>
        <v>59</v>
      </c>
      <c r="C68" s="1355"/>
      <c r="D68" s="1355" t="s">
        <v>8</v>
      </c>
      <c r="E68" s="115">
        <v>600000</v>
      </c>
      <c r="F68" s="116">
        <f>'WA Volumes &amp; Revenues'!E73</f>
        <v>0</v>
      </c>
      <c r="G68" s="116"/>
      <c r="H68" s="912"/>
      <c r="I68" s="913"/>
      <c r="J68" s="628">
        <f>'Rates in Detail'!E71</f>
        <v>4.9079999999999999E-2</v>
      </c>
      <c r="K68" s="630">
        <f>'Rates in Detail'!H71</f>
        <v>0</v>
      </c>
      <c r="L68" s="630">
        <f>'Rates in Detail'!F71</f>
        <v>0</v>
      </c>
      <c r="M68" s="630">
        <f>'Rates in Detail'!I71</f>
        <v>2.0999999999999998E-4</v>
      </c>
      <c r="N68" s="137">
        <f t="shared" si="0"/>
        <v>4.929E-2</v>
      </c>
      <c r="O68" s="1375">
        <f>'Rates in Detail'!L71</f>
        <v>6.2199999999999998E-3</v>
      </c>
      <c r="P68" s="1376">
        <f>'Rates in Detail'!P71</f>
        <v>-4.6000000000000001E-4</v>
      </c>
      <c r="Q68" s="1377">
        <f t="shared" si="1"/>
        <v>5.5050000000000002E-2</v>
      </c>
      <c r="R68" s="1375">
        <f>'Rates in Detail'!S71</f>
        <v>0</v>
      </c>
      <c r="S68" s="1376">
        <f>'Rates in Detail'!T71</f>
        <v>-8.7000000000000001E-4</v>
      </c>
      <c r="T68" s="1383">
        <f t="shared" si="2"/>
        <v>5.4179999999999999E-2</v>
      </c>
      <c r="U68" s="117">
        <f>'Rates in Detail'!Y71</f>
        <v>3.1099999999999999E-3</v>
      </c>
      <c r="V68" s="117">
        <f>'Rates in Detail'!Z71</f>
        <v>-4.0000000000000003E-5</v>
      </c>
      <c r="W68" s="1387">
        <f t="shared" si="3"/>
        <v>5.8120000000000005E-2</v>
      </c>
      <c r="X68" s="131"/>
    </row>
    <row r="69" spans="2:24" x14ac:dyDescent="0.2">
      <c r="B69" s="110">
        <f t="shared" si="4"/>
        <v>60</v>
      </c>
      <c r="C69" s="111"/>
      <c r="D69" s="111" t="s">
        <v>9</v>
      </c>
      <c r="E69" s="112" t="s">
        <v>74</v>
      </c>
      <c r="F69" s="113">
        <f>'WA Volumes &amp; Revenues'!E74</f>
        <v>0</v>
      </c>
      <c r="G69" s="113"/>
      <c r="H69" s="907"/>
      <c r="I69" s="909"/>
      <c r="J69" s="627">
        <f>'Rates in Detail'!E72</f>
        <v>1.839E-2</v>
      </c>
      <c r="K69" s="631">
        <f>'Rates in Detail'!H72</f>
        <v>0</v>
      </c>
      <c r="L69" s="631">
        <f>'Rates in Detail'!F72</f>
        <v>0</v>
      </c>
      <c r="M69" s="631">
        <f>'Rates in Detail'!I72</f>
        <v>6.9999999999999994E-5</v>
      </c>
      <c r="N69" s="135">
        <f t="shared" si="0"/>
        <v>1.8460000000000001E-2</v>
      </c>
      <c r="O69" s="1374">
        <f>'Rates in Detail'!L72</f>
        <v>2.33E-3</v>
      </c>
      <c r="P69" s="1367">
        <f>'Rates in Detail'!P72</f>
        <v>-1.7000000000000001E-4</v>
      </c>
      <c r="Q69" s="1373">
        <f t="shared" si="1"/>
        <v>2.0619999999999999E-2</v>
      </c>
      <c r="R69" s="1374">
        <f>'Rates in Detail'!S72</f>
        <v>0</v>
      </c>
      <c r="S69" s="1367">
        <f>'Rates in Detail'!T72</f>
        <v>-3.3E-4</v>
      </c>
      <c r="T69" s="1382">
        <f t="shared" si="2"/>
        <v>2.0289999999999999E-2</v>
      </c>
      <c r="U69" s="114">
        <f>'Rates in Detail'!Y72</f>
        <v>1.16E-3</v>
      </c>
      <c r="V69" s="114">
        <f>'Rates in Detail'!Z72</f>
        <v>-2.0000000000000002E-5</v>
      </c>
      <c r="W69" s="1386">
        <f t="shared" si="3"/>
        <v>2.1760000000000002E-2</v>
      </c>
      <c r="X69" s="131"/>
    </row>
    <row r="70" spans="2:24" x14ac:dyDescent="0.2">
      <c r="B70" s="110">
        <f t="shared" si="4"/>
        <v>61</v>
      </c>
      <c r="C70" s="1355" t="str">
        <f>'WA Volumes &amp; Revenues'!B75</f>
        <v>42I Inter Transpt</v>
      </c>
      <c r="D70" s="1355" t="s">
        <v>4</v>
      </c>
      <c r="E70" s="115">
        <v>10000</v>
      </c>
      <c r="F70" s="116">
        <f>'WA Volumes &amp; Revenues'!E75</f>
        <v>844078</v>
      </c>
      <c r="G70" s="116">
        <f>'WA Volumes &amp; Revenues'!H75</f>
        <v>7</v>
      </c>
      <c r="H70" s="912">
        <f>'WA Volumes &amp; Revenues'!O75</f>
        <v>1550</v>
      </c>
      <c r="I70" s="913">
        <f>'WA Volumes &amp; Revenues'!N75</f>
        <v>1550</v>
      </c>
      <c r="J70" s="628">
        <f>'Rates in Detail'!E73</f>
        <v>0.13402999999999998</v>
      </c>
      <c r="K70" s="630">
        <f>'Rates in Detail'!H73</f>
        <v>0</v>
      </c>
      <c r="L70" s="630">
        <f>'Rates in Detail'!F73</f>
        <v>0</v>
      </c>
      <c r="M70" s="630">
        <f>'Rates in Detail'!I73</f>
        <v>5.6999999999999998E-4</v>
      </c>
      <c r="N70" s="137">
        <f t="shared" si="0"/>
        <v>0.13459999999999997</v>
      </c>
      <c r="O70" s="1375">
        <f>'Rates in Detail'!L73</f>
        <v>2.1659999999999999E-2</v>
      </c>
      <c r="P70" s="1376">
        <f>'Rates in Detail'!P73</f>
        <v>-1.49E-3</v>
      </c>
      <c r="Q70" s="1377">
        <f t="shared" si="1"/>
        <v>0.15476999999999996</v>
      </c>
      <c r="R70" s="1375">
        <f>'Rates in Detail'!S73</f>
        <v>0</v>
      </c>
      <c r="S70" s="1376">
        <f>'Rates in Detail'!T73</f>
        <v>-2.82E-3</v>
      </c>
      <c r="T70" s="1383">
        <f t="shared" si="2"/>
        <v>0.15194999999999997</v>
      </c>
      <c r="U70" s="117">
        <f>'Rates in Detail'!Y73</f>
        <v>1.0160000000000001E-2</v>
      </c>
      <c r="V70" s="117">
        <f>'Rates in Detail'!Z73</f>
        <v>-1.3999999999999999E-4</v>
      </c>
      <c r="W70" s="1387">
        <f t="shared" si="3"/>
        <v>0.16478999999999996</v>
      </c>
      <c r="X70" s="131"/>
    </row>
    <row r="71" spans="2:24" x14ac:dyDescent="0.2">
      <c r="B71" s="110">
        <f t="shared" si="4"/>
        <v>62</v>
      </c>
      <c r="C71" s="1355"/>
      <c r="D71" s="1355" t="s">
        <v>5</v>
      </c>
      <c r="E71" s="115">
        <v>20000</v>
      </c>
      <c r="F71" s="116">
        <f>'WA Volumes &amp; Revenues'!E76</f>
        <v>1445175</v>
      </c>
      <c r="G71" s="116"/>
      <c r="H71" s="912"/>
      <c r="I71" s="913"/>
      <c r="J71" s="628">
        <f>'Rates in Detail'!E74</f>
        <v>0.11997999999999999</v>
      </c>
      <c r="K71" s="630">
        <f>'Rates in Detail'!H74</f>
        <v>0</v>
      </c>
      <c r="L71" s="630">
        <f>'Rates in Detail'!F74</f>
        <v>0</v>
      </c>
      <c r="M71" s="630">
        <f>'Rates in Detail'!I74</f>
        <v>5.1000000000000004E-4</v>
      </c>
      <c r="N71" s="137">
        <f t="shared" si="0"/>
        <v>0.12048999999999999</v>
      </c>
      <c r="O71" s="1375">
        <f>'Rates in Detail'!L74</f>
        <v>1.9390000000000001E-2</v>
      </c>
      <c r="P71" s="1376">
        <f>'Rates in Detail'!P74</f>
        <v>-1.33E-3</v>
      </c>
      <c r="Q71" s="1377">
        <f t="shared" si="1"/>
        <v>0.13854999999999998</v>
      </c>
      <c r="R71" s="1375">
        <f>'Rates in Detail'!S74</f>
        <v>0</v>
      </c>
      <c r="S71" s="1376">
        <f>'Rates in Detail'!T74</f>
        <v>-2.5300000000000001E-3</v>
      </c>
      <c r="T71" s="1383">
        <f t="shared" si="2"/>
        <v>0.13601999999999997</v>
      </c>
      <c r="U71" s="117">
        <f>'Rates in Detail'!Y74</f>
        <v>9.0900000000000009E-3</v>
      </c>
      <c r="V71" s="117">
        <f>'Rates in Detail'!Z74</f>
        <v>-1.2999999999999999E-4</v>
      </c>
      <c r="W71" s="1387">
        <f t="shared" si="3"/>
        <v>0.14750999999999997</v>
      </c>
      <c r="X71" s="131"/>
    </row>
    <row r="72" spans="2:24" x14ac:dyDescent="0.2">
      <c r="B72" s="110">
        <f t="shared" si="4"/>
        <v>63</v>
      </c>
      <c r="C72" s="1355"/>
      <c r="D72" s="1355" t="s">
        <v>6</v>
      </c>
      <c r="E72" s="115">
        <v>20000</v>
      </c>
      <c r="F72" s="116">
        <f>'WA Volumes &amp; Revenues'!E77</f>
        <v>1034978</v>
      </c>
      <c r="G72" s="116"/>
      <c r="H72" s="912"/>
      <c r="I72" s="913"/>
      <c r="J72" s="628">
        <f>'Rates in Detail'!E75</f>
        <v>9.1999999999999998E-2</v>
      </c>
      <c r="K72" s="630">
        <f>'Rates in Detail'!H75</f>
        <v>0</v>
      </c>
      <c r="L72" s="630">
        <f>'Rates in Detail'!F75</f>
        <v>0</v>
      </c>
      <c r="M72" s="630">
        <f>'Rates in Detail'!I75</f>
        <v>3.7999999999999997E-4</v>
      </c>
      <c r="N72" s="137">
        <f t="shared" si="0"/>
        <v>9.2380000000000004E-2</v>
      </c>
      <c r="O72" s="1375">
        <f>'Rates in Detail'!L75</f>
        <v>1.487E-2</v>
      </c>
      <c r="P72" s="1376">
        <f>'Rates in Detail'!P75</f>
        <v>-1.0200000000000001E-3</v>
      </c>
      <c r="Q72" s="1377">
        <f t="shared" si="1"/>
        <v>0.10622999999999999</v>
      </c>
      <c r="R72" s="1375">
        <f>'Rates in Detail'!S75</f>
        <v>0</v>
      </c>
      <c r="S72" s="1376">
        <f>'Rates in Detail'!T75</f>
        <v>-1.9400000000000001E-3</v>
      </c>
      <c r="T72" s="1383">
        <f t="shared" si="2"/>
        <v>0.10428999999999999</v>
      </c>
      <c r="U72" s="117">
        <f>'Rates in Detail'!Y75</f>
        <v>6.9699999999999996E-3</v>
      </c>
      <c r="V72" s="117">
        <f>'Rates in Detail'!Z75</f>
        <v>-1E-4</v>
      </c>
      <c r="W72" s="1387">
        <f t="shared" si="3"/>
        <v>0.11309999999999999</v>
      </c>
      <c r="X72" s="131"/>
    </row>
    <row r="73" spans="2:24" x14ac:dyDescent="0.2">
      <c r="B73" s="110">
        <f t="shared" si="4"/>
        <v>64</v>
      </c>
      <c r="C73" s="1355"/>
      <c r="D73" s="1355" t="s">
        <v>7</v>
      </c>
      <c r="E73" s="115">
        <v>100000</v>
      </c>
      <c r="F73" s="116">
        <f>'WA Volumes &amp; Revenues'!E78</f>
        <v>3359916</v>
      </c>
      <c r="G73" s="116"/>
      <c r="H73" s="912"/>
      <c r="I73" s="913"/>
      <c r="J73" s="628">
        <f>'Rates in Detail'!E76</f>
        <v>7.3609999999999995E-2</v>
      </c>
      <c r="K73" s="630">
        <f>'Rates in Detail'!H76</f>
        <v>0</v>
      </c>
      <c r="L73" s="630">
        <f>'Rates in Detail'!F76</f>
        <v>0</v>
      </c>
      <c r="M73" s="630">
        <f>'Rates in Detail'!I76</f>
        <v>3.0999999999999995E-4</v>
      </c>
      <c r="N73" s="137">
        <f t="shared" si="0"/>
        <v>7.392E-2</v>
      </c>
      <c r="O73" s="1375">
        <f>'Rates in Detail'!L76</f>
        <v>1.189E-2</v>
      </c>
      <c r="P73" s="1376">
        <f>'Rates in Detail'!P76</f>
        <v>-8.1999999999999998E-4</v>
      </c>
      <c r="Q73" s="1377">
        <f t="shared" si="1"/>
        <v>8.4989999999999996E-2</v>
      </c>
      <c r="R73" s="1375">
        <f>'Rates in Detail'!S76</f>
        <v>0</v>
      </c>
      <c r="S73" s="1376">
        <f>'Rates in Detail'!T76</f>
        <v>-1.5499999999999999E-3</v>
      </c>
      <c r="T73" s="1383">
        <f t="shared" si="2"/>
        <v>8.344E-2</v>
      </c>
      <c r="U73" s="117">
        <f>'Rates in Detail'!Y76</f>
        <v>5.5799999999999999E-3</v>
      </c>
      <c r="V73" s="117">
        <f>'Rates in Detail'!Z76</f>
        <v>-8.0000000000000007E-5</v>
      </c>
      <c r="W73" s="1387">
        <f t="shared" si="3"/>
        <v>9.0490000000000001E-2</v>
      </c>
      <c r="X73" s="131"/>
    </row>
    <row r="74" spans="2:24" x14ac:dyDescent="0.2">
      <c r="B74" s="110">
        <f t="shared" si="4"/>
        <v>65</v>
      </c>
      <c r="C74" s="1355"/>
      <c r="D74" s="1355" t="s">
        <v>8</v>
      </c>
      <c r="E74" s="115">
        <v>600000</v>
      </c>
      <c r="F74" s="116">
        <f>'WA Volumes &amp; Revenues'!E79</f>
        <v>1349120</v>
      </c>
      <c r="G74" s="116"/>
      <c r="H74" s="912"/>
      <c r="I74" s="913"/>
      <c r="J74" s="628">
        <f>'Rates in Detail'!E77</f>
        <v>4.9079999999999999E-2</v>
      </c>
      <c r="K74" s="630">
        <f>'Rates in Detail'!H77</f>
        <v>0</v>
      </c>
      <c r="L74" s="630">
        <f>'Rates in Detail'!F77</f>
        <v>0</v>
      </c>
      <c r="M74" s="630">
        <f>'Rates in Detail'!I77</f>
        <v>2.0999999999999998E-4</v>
      </c>
      <c r="N74" s="137">
        <f t="shared" si="0"/>
        <v>4.929E-2</v>
      </c>
      <c r="O74" s="1375">
        <f>'Rates in Detail'!L77</f>
        <v>7.9299999999999995E-3</v>
      </c>
      <c r="P74" s="1376">
        <f>'Rates in Detail'!P77</f>
        <v>-5.5000000000000003E-4</v>
      </c>
      <c r="Q74" s="1377">
        <f t="shared" si="1"/>
        <v>5.6669999999999998E-2</v>
      </c>
      <c r="R74" s="1375">
        <f>'Rates in Detail'!S77</f>
        <v>0</v>
      </c>
      <c r="S74" s="1376">
        <f>'Rates in Detail'!T77</f>
        <v>-1.0300000000000001E-3</v>
      </c>
      <c r="T74" s="1383">
        <f t="shared" si="2"/>
        <v>5.5639999999999995E-2</v>
      </c>
      <c r="U74" s="117">
        <f>'Rates in Detail'!Y77</f>
        <v>3.7200000000000002E-3</v>
      </c>
      <c r="V74" s="117">
        <f>'Rates in Detail'!Z77</f>
        <v>-5.0000000000000002E-5</v>
      </c>
      <c r="W74" s="1387">
        <f t="shared" si="3"/>
        <v>6.0339999999999998E-2</v>
      </c>
      <c r="X74" s="131"/>
    </row>
    <row r="75" spans="2:24" x14ac:dyDescent="0.2">
      <c r="B75" s="110">
        <f t="shared" si="4"/>
        <v>66</v>
      </c>
      <c r="C75" s="111"/>
      <c r="D75" s="111" t="s">
        <v>9</v>
      </c>
      <c r="E75" s="112" t="s">
        <v>74</v>
      </c>
      <c r="F75" s="113">
        <f>'WA Volumes &amp; Revenues'!E80</f>
        <v>0</v>
      </c>
      <c r="G75" s="113"/>
      <c r="H75" s="907"/>
      <c r="I75" s="909"/>
      <c r="J75" s="628">
        <f>'Rates in Detail'!E78</f>
        <v>1.839E-2</v>
      </c>
      <c r="K75" s="630">
        <f>'Rates in Detail'!H78</f>
        <v>0</v>
      </c>
      <c r="L75" s="630">
        <f>'Rates in Detail'!F78</f>
        <v>0</v>
      </c>
      <c r="M75" s="630">
        <f>'Rates in Detail'!I78</f>
        <v>6.9999999999999994E-5</v>
      </c>
      <c r="N75" s="629">
        <f t="shared" ref="N75:N78" si="5">SUM(J75:M75)</f>
        <v>1.8460000000000001E-2</v>
      </c>
      <c r="O75" s="1375">
        <f>'Rates in Detail'!L78</f>
        <v>2.97E-3</v>
      </c>
      <c r="P75" s="1376">
        <f>'Rates in Detail'!P78</f>
        <v>-2.0000000000000001E-4</v>
      </c>
      <c r="Q75" s="1377">
        <f t="shared" ref="Q75:Q78" si="6">SUM(N75:P75)</f>
        <v>2.1230000000000002E-2</v>
      </c>
      <c r="R75" s="1375">
        <f>'Rates in Detail'!S78</f>
        <v>0</v>
      </c>
      <c r="S75" s="1376">
        <f>'Rates in Detail'!T78</f>
        <v>-3.8999999999999999E-4</v>
      </c>
      <c r="T75" s="1383">
        <f t="shared" ref="T75:T78" si="7">SUM(Q75:S75)</f>
        <v>2.0840000000000001E-2</v>
      </c>
      <c r="U75" s="117">
        <f>'Rates in Detail'!Y78</f>
        <v>1.39E-3</v>
      </c>
      <c r="V75" s="117">
        <f>'Rates in Detail'!Z78</f>
        <v>-2.0000000000000002E-5</v>
      </c>
      <c r="W75" s="1387">
        <f t="shared" ref="W75:W78" si="8">SUM(T75:V75)-(R75+S75)</f>
        <v>2.2600000000000002E-2</v>
      </c>
      <c r="X75" s="131"/>
    </row>
    <row r="76" spans="2:24" x14ac:dyDescent="0.2">
      <c r="B76" s="110">
        <f t="shared" ref="B76:B78" si="9">B75+1</f>
        <v>67</v>
      </c>
      <c r="C76" s="1354" t="str">
        <f>'WA Volumes &amp; Revenues'!B81</f>
        <v>43 Firm Transpt</v>
      </c>
      <c r="D76" s="111" t="s">
        <v>283</v>
      </c>
      <c r="E76" s="111" t="s">
        <v>283</v>
      </c>
      <c r="F76" s="113">
        <f>'WA Volumes &amp; Revenues'!E81</f>
        <v>0</v>
      </c>
      <c r="G76" s="113">
        <f>'WA Volumes &amp; Revenues'!H81</f>
        <v>0</v>
      </c>
      <c r="H76" s="907">
        <f>'WA Volumes &amp; Revenues'!O81</f>
        <v>38000</v>
      </c>
      <c r="I76" s="909">
        <f>'WA Volumes &amp; Revenues'!N81</f>
        <v>38000</v>
      </c>
      <c r="J76" s="625">
        <f>'Rates in Detail'!E79</f>
        <v>4.9099999999999994E-3</v>
      </c>
      <c r="K76" s="626">
        <f>'Rates in Detail'!H79</f>
        <v>0</v>
      </c>
      <c r="L76" s="626">
        <f>'Rates in Detail'!F79</f>
        <v>0</v>
      </c>
      <c r="M76" s="626">
        <f>'Rates in Detail'!I79</f>
        <v>1.0000000000000001E-5</v>
      </c>
      <c r="N76" s="135">
        <f t="shared" si="5"/>
        <v>4.919999999999999E-3</v>
      </c>
      <c r="O76" s="118">
        <f>'Rates in Detail'!L79</f>
        <v>0</v>
      </c>
      <c r="P76" s="1378">
        <f>'Rates in Detail'!P79</f>
        <v>0</v>
      </c>
      <c r="Q76" s="1379">
        <f t="shared" si="6"/>
        <v>4.919999999999999E-3</v>
      </c>
      <c r="R76" s="118">
        <f>'Rates in Detail'!S79</f>
        <v>0</v>
      </c>
      <c r="S76" s="1378">
        <f>'Rates in Detail'!T79</f>
        <v>0</v>
      </c>
      <c r="T76" s="1384">
        <f t="shared" si="7"/>
        <v>4.919999999999999E-3</v>
      </c>
      <c r="U76" s="119">
        <f>'Rates in Detail'!Y79</f>
        <v>0</v>
      </c>
      <c r="V76" s="119">
        <f>'Rates in Detail'!Z79</f>
        <v>0</v>
      </c>
      <c r="W76" s="1388">
        <f t="shared" si="8"/>
        <v>4.919999999999999E-3</v>
      </c>
      <c r="X76" s="131"/>
    </row>
    <row r="77" spans="2:24" x14ac:dyDescent="0.2">
      <c r="B77" s="110">
        <f t="shared" si="9"/>
        <v>68</v>
      </c>
      <c r="C77" s="1354" t="str">
        <f>'WA Volumes &amp; Revenues'!B82</f>
        <v>43 Interr Transpt</v>
      </c>
      <c r="D77" s="111" t="s">
        <v>283</v>
      </c>
      <c r="E77" s="111" t="s">
        <v>283</v>
      </c>
      <c r="F77" s="113">
        <f>'WA Volumes &amp; Revenues'!E82</f>
        <v>0</v>
      </c>
      <c r="G77" s="113">
        <f>'WA Volumes &amp; Revenues'!H82</f>
        <v>0</v>
      </c>
      <c r="H77" s="907">
        <f>'WA Volumes &amp; Revenues'!O82</f>
        <v>38000</v>
      </c>
      <c r="I77" s="909">
        <f>'WA Volumes &amp; Revenues'!N82</f>
        <v>38000</v>
      </c>
      <c r="J77" s="625">
        <f>'Rates in Detail'!E80</f>
        <v>4.9099999999999994E-3</v>
      </c>
      <c r="K77" s="626">
        <f>'Rates in Detail'!H80</f>
        <v>0</v>
      </c>
      <c r="L77" s="626">
        <f>'Rates in Detail'!F80</f>
        <v>0</v>
      </c>
      <c r="M77" s="626">
        <f>'Rates in Detail'!I80</f>
        <v>1.0000000000000001E-5</v>
      </c>
      <c r="N77" s="135">
        <f t="shared" si="5"/>
        <v>4.919999999999999E-3</v>
      </c>
      <c r="O77" s="118">
        <f>'Rates in Detail'!L80</f>
        <v>0</v>
      </c>
      <c r="P77" s="1378">
        <f>'Rates in Detail'!P80</f>
        <v>0</v>
      </c>
      <c r="Q77" s="1379">
        <f t="shared" si="6"/>
        <v>4.919999999999999E-3</v>
      </c>
      <c r="R77" s="118">
        <f>'Rates in Detail'!S80</f>
        <v>0</v>
      </c>
      <c r="S77" s="1378">
        <f>'Rates in Detail'!T80</f>
        <v>0</v>
      </c>
      <c r="T77" s="1384">
        <f t="shared" si="7"/>
        <v>4.919999999999999E-3</v>
      </c>
      <c r="U77" s="119">
        <f>'Rates in Detail'!Y80</f>
        <v>0</v>
      </c>
      <c r="V77" s="119">
        <f>'Rates in Detail'!Z80</f>
        <v>0</v>
      </c>
      <c r="W77" s="1388">
        <f t="shared" si="8"/>
        <v>4.919999999999999E-3</v>
      </c>
      <c r="X77" s="131"/>
    </row>
    <row r="78" spans="2:24" ht="13.5" thickBot="1" x14ac:dyDescent="0.25">
      <c r="B78" s="1448">
        <f t="shared" si="9"/>
        <v>69</v>
      </c>
      <c r="C78" s="1354" t="str">
        <f>'WA Volumes &amp; Revenues'!B83</f>
        <v>Special Contract</v>
      </c>
      <c r="D78" s="111" t="s">
        <v>283</v>
      </c>
      <c r="E78" s="111" t="s">
        <v>283</v>
      </c>
      <c r="F78" s="113">
        <f>'WA Volumes &amp; Revenues'!E83</f>
        <v>2895114</v>
      </c>
      <c r="G78" s="113">
        <f>'WA Volumes &amp; Revenues'!H83</f>
        <v>1</v>
      </c>
      <c r="H78" s="907">
        <f>'WA Volumes &amp; Revenues'!O83</f>
        <v>0</v>
      </c>
      <c r="I78" s="909">
        <f>'WA Volumes &amp; Revenues'!N83</f>
        <v>0</v>
      </c>
      <c r="J78" s="625">
        <f>'Rates in Detail'!E81</f>
        <v>0</v>
      </c>
      <c r="K78" s="626">
        <f>'Rates in Detail'!H81</f>
        <v>0</v>
      </c>
      <c r="L78" s="626">
        <f>'Rates in Detail'!F81</f>
        <v>0</v>
      </c>
      <c r="M78" s="626">
        <f>'Rates in Detail'!I81</f>
        <v>0</v>
      </c>
      <c r="N78" s="135">
        <f t="shared" si="5"/>
        <v>0</v>
      </c>
      <c r="O78" s="118">
        <f>'Rates in Detail'!L81</f>
        <v>0</v>
      </c>
      <c r="P78" s="1378">
        <f>'Rates in Detail'!P81</f>
        <v>0</v>
      </c>
      <c r="Q78" s="1380">
        <f t="shared" si="6"/>
        <v>0</v>
      </c>
      <c r="R78" s="118">
        <f>'Rates in Detail'!S81</f>
        <v>0</v>
      </c>
      <c r="S78" s="1378">
        <f>'Rates in Detail'!T81</f>
        <v>0</v>
      </c>
      <c r="T78" s="1385">
        <f t="shared" si="7"/>
        <v>0</v>
      </c>
      <c r="U78" s="119">
        <f>'Rates in Detail'!Y81</f>
        <v>0</v>
      </c>
      <c r="V78" s="119">
        <f>'Rates in Detail'!Z81</f>
        <v>0</v>
      </c>
      <c r="W78" s="1389">
        <f t="shared" si="8"/>
        <v>0</v>
      </c>
      <c r="X78" s="131"/>
    </row>
  </sheetData>
  <mergeCells count="3">
    <mergeCell ref="J7:N7"/>
    <mergeCell ref="O6:T6"/>
    <mergeCell ref="U6:W6"/>
  </mergeCells>
  <printOptions verticalCentered="1"/>
  <pageMargins left="0.5" right="0.5" top="0.5" bottom="0.5" header="0.25" footer="0.25"/>
  <pageSetup scale="42" orientation="landscape" r:id="rId1"/>
  <headerFooter alignWithMargins="0">
    <oddHeader>&amp;RExh. RJW-3 Wyman WP1</oddHeader>
    <oddFooter xml:space="preserve">&amp;C&amp;F &amp;D &amp;T
&amp;A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CCC"/>
  </sheetPr>
  <dimension ref="A1:AA108"/>
  <sheetViews>
    <sheetView zoomScale="90" zoomScaleNormal="90" workbookViewId="0">
      <pane ySplit="11" topLeftCell="A12" activePane="bottomLeft" state="frozen"/>
      <selection pane="bottomLeft" activeCell="A7" sqref="A7"/>
    </sheetView>
  </sheetViews>
  <sheetFormatPr defaultRowHeight="12.75" x14ac:dyDescent="0.2"/>
  <cols>
    <col min="1" max="1" width="2.1640625" customWidth="1"/>
    <col min="3" max="3" width="48.6640625" customWidth="1"/>
    <col min="4" max="4" width="17.83203125" bestFit="1" customWidth="1"/>
    <col min="5" max="5" width="16.6640625" customWidth="1"/>
    <col min="6" max="6" width="15.5" customWidth="1"/>
    <col min="7" max="7" width="14.1640625" customWidth="1"/>
    <col min="8" max="27" width="14.33203125" customWidth="1"/>
    <col min="28" max="28" width="2.1640625" customWidth="1"/>
  </cols>
  <sheetData>
    <row r="1" spans="1:27" ht="15.75" x14ac:dyDescent="0.25">
      <c r="A1" s="729" t="str">
        <f>'WA Volumes &amp; Revenues'!A1</f>
        <v>NW Natural</v>
      </c>
      <c r="B1" s="728"/>
      <c r="C1" s="1"/>
      <c r="D1" s="1"/>
      <c r="E1" s="1"/>
      <c r="F1" s="1"/>
      <c r="G1" s="1"/>
      <c r="H1" s="1"/>
      <c r="I1" s="1"/>
      <c r="J1" s="1"/>
      <c r="K1" s="1"/>
      <c r="L1" s="1"/>
      <c r="M1" s="1"/>
      <c r="N1" s="1"/>
      <c r="O1" s="1"/>
      <c r="P1" s="1"/>
      <c r="Q1" s="1"/>
      <c r="R1" s="1"/>
      <c r="S1" s="1"/>
      <c r="T1" s="1"/>
      <c r="U1" s="1"/>
      <c r="V1" s="1"/>
      <c r="W1" s="1"/>
      <c r="X1" s="1"/>
      <c r="Y1" s="1"/>
      <c r="Z1" s="1"/>
      <c r="AA1" s="1"/>
    </row>
    <row r="2" spans="1:27" ht="15.75" x14ac:dyDescent="0.25">
      <c r="A2" s="729" t="str">
        <f>'WA Volumes &amp; Revenues'!A2</f>
        <v>Rates &amp; Regulatory Affairs</v>
      </c>
      <c r="B2" s="728"/>
      <c r="C2" s="1"/>
      <c r="D2" s="1"/>
      <c r="E2" s="1"/>
      <c r="F2" s="1"/>
      <c r="G2" s="1"/>
      <c r="H2" s="1"/>
      <c r="I2" s="1"/>
      <c r="J2" s="1101"/>
      <c r="K2" s="1101"/>
      <c r="L2" s="1101"/>
      <c r="M2" s="1101"/>
      <c r="N2" s="1101"/>
      <c r="O2" s="1101"/>
      <c r="P2" s="1101"/>
      <c r="Q2" s="1101"/>
      <c r="R2" s="1101"/>
      <c r="S2" s="1101"/>
      <c r="T2" s="1101"/>
      <c r="U2" s="1101"/>
      <c r="V2" s="1101"/>
      <c r="W2" s="1101"/>
      <c r="X2" s="1101"/>
      <c r="Y2" s="1101"/>
      <c r="Z2" s="1"/>
      <c r="AA2" s="1"/>
    </row>
    <row r="3" spans="1:27" ht="15.75" x14ac:dyDescent="0.25">
      <c r="A3" s="729" t="str">
        <f>'WA Volumes &amp; Revenues'!A3</f>
        <v>Test Year Ending September 30, 2020</v>
      </c>
      <c r="B3" s="728"/>
      <c r="C3" s="1"/>
      <c r="D3" s="1"/>
      <c r="E3" s="1"/>
      <c r="F3" s="1"/>
      <c r="G3" s="1"/>
      <c r="H3" s="1"/>
      <c r="I3" s="1"/>
      <c r="J3" s="1102"/>
      <c r="K3" s="1102"/>
      <c r="L3" s="1102"/>
      <c r="M3" s="1102"/>
      <c r="N3" s="1102"/>
      <c r="O3" s="1102"/>
      <c r="P3" s="1102"/>
      <c r="Q3" s="1102"/>
      <c r="R3" s="1102"/>
      <c r="S3" s="1102"/>
      <c r="T3" s="1102"/>
      <c r="U3" s="1102"/>
      <c r="V3" s="1102"/>
      <c r="W3" s="1102"/>
      <c r="X3" s="1102"/>
      <c r="Y3" s="1102"/>
      <c r="Z3" s="1"/>
      <c r="AA3" s="1"/>
    </row>
    <row r="4" spans="1:27" ht="15.75" x14ac:dyDescent="0.25">
      <c r="A4" s="729" t="str">
        <f>'WA Volumes &amp; Revenues'!A4</f>
        <v>Year One: October 1, 2020 through October 31, 2021</v>
      </c>
      <c r="B4" s="728"/>
      <c r="C4" s="1"/>
      <c r="D4" s="1"/>
      <c r="E4" s="1"/>
      <c r="F4" s="1"/>
      <c r="G4" s="1"/>
      <c r="H4" s="1"/>
      <c r="I4" s="1"/>
      <c r="J4" s="1102"/>
      <c r="K4" s="1102"/>
      <c r="L4" s="1102"/>
      <c r="M4" s="1102"/>
      <c r="N4" s="1102"/>
      <c r="O4" s="1102"/>
      <c r="P4" s="1103"/>
      <c r="Q4" s="1103"/>
      <c r="R4" s="1103"/>
      <c r="S4" s="1103"/>
      <c r="T4" s="1103"/>
      <c r="U4" s="1103"/>
      <c r="V4" s="1103"/>
      <c r="W4" s="1103"/>
      <c r="X4" s="1103"/>
      <c r="Y4" s="1103"/>
      <c r="Z4" s="1"/>
      <c r="AA4" s="1"/>
    </row>
    <row r="5" spans="1:27" ht="15.75" x14ac:dyDescent="0.25">
      <c r="A5" s="729" t="str">
        <f>'WA Volumes &amp; Revenues'!A5</f>
        <v>Year One: November 1, 2021 through October 31, 2022</v>
      </c>
      <c r="B5" s="728"/>
      <c r="C5" s="1"/>
      <c r="D5" s="1"/>
      <c r="E5" s="1"/>
      <c r="F5" s="1"/>
      <c r="G5" s="1"/>
      <c r="H5" s="1"/>
      <c r="I5" s="1"/>
      <c r="J5" s="1105"/>
      <c r="K5" s="1105"/>
      <c r="L5" s="1106"/>
      <c r="M5" s="1106"/>
      <c r="N5" s="1106"/>
      <c r="O5" s="1106"/>
      <c r="P5" s="1106"/>
      <c r="Q5" s="1106"/>
      <c r="R5" s="1106"/>
      <c r="S5" s="1107"/>
      <c r="T5" s="1107"/>
      <c r="U5" s="1107"/>
      <c r="V5" s="1107"/>
      <c r="W5" s="1107"/>
      <c r="X5" s="1107"/>
      <c r="Y5" s="1107"/>
      <c r="Z5" s="1108"/>
      <c r="AA5" s="1"/>
    </row>
    <row r="6" spans="1:27" ht="15.75" x14ac:dyDescent="0.25">
      <c r="A6" s="730" t="s">
        <v>664</v>
      </c>
      <c r="B6" s="728"/>
      <c r="C6" s="1"/>
      <c r="D6" s="1"/>
      <c r="E6" s="23"/>
      <c r="F6" s="24"/>
      <c r="G6" s="1"/>
      <c r="H6" s="1"/>
      <c r="I6" s="1"/>
      <c r="J6" s="10"/>
      <c r="K6" s="10"/>
      <c r="L6" s="10"/>
      <c r="M6" s="10"/>
      <c r="N6" s="10"/>
      <c r="O6" s="10"/>
      <c r="P6" s="10"/>
      <c r="Q6" s="10"/>
      <c r="R6" s="10"/>
      <c r="S6" s="10"/>
      <c r="T6" s="10"/>
      <c r="U6" s="10"/>
      <c r="V6" s="8"/>
      <c r="W6" s="8"/>
      <c r="X6" s="8"/>
      <c r="Y6" s="8"/>
      <c r="Z6" s="1"/>
      <c r="AA6" s="1"/>
    </row>
    <row r="7" spans="1:27" ht="15" x14ac:dyDescent="0.25">
      <c r="A7" s="731"/>
      <c r="B7" s="3"/>
      <c r="C7" s="2"/>
      <c r="D7" s="1492"/>
      <c r="E7" s="1104">
        <v>1</v>
      </c>
      <c r="F7" s="1104">
        <v>2</v>
      </c>
      <c r="G7" s="1104">
        <v>3</v>
      </c>
      <c r="H7" s="1104">
        <v>4</v>
      </c>
      <c r="I7" s="1104">
        <v>5</v>
      </c>
      <c r="J7" s="1104">
        <v>6</v>
      </c>
      <c r="K7" s="1104">
        <v>7</v>
      </c>
      <c r="L7" s="1104">
        <v>8</v>
      </c>
      <c r="M7" s="1104">
        <v>9</v>
      </c>
      <c r="N7" s="1104">
        <v>10</v>
      </c>
      <c r="O7" s="1104">
        <v>11</v>
      </c>
      <c r="P7" s="1104">
        <v>12</v>
      </c>
      <c r="Q7" s="1104">
        <v>13</v>
      </c>
      <c r="R7" s="1104">
        <v>14</v>
      </c>
      <c r="S7" s="1104">
        <v>15</v>
      </c>
      <c r="T7" s="1104">
        <v>16</v>
      </c>
      <c r="U7" s="1104">
        <v>17</v>
      </c>
      <c r="V7" s="1104">
        <v>18</v>
      </c>
      <c r="W7" s="1104">
        <v>19</v>
      </c>
      <c r="X7" s="1104">
        <v>20</v>
      </c>
      <c r="Y7" s="1104">
        <v>21</v>
      </c>
      <c r="Z7" s="1104">
        <v>22</v>
      </c>
      <c r="AA7" s="1104">
        <v>23</v>
      </c>
    </row>
    <row r="8" spans="1:27" x14ac:dyDescent="0.2">
      <c r="B8" s="3"/>
      <c r="C8" s="4"/>
      <c r="D8" s="1019" t="s">
        <v>141</v>
      </c>
      <c r="E8" s="1493" t="s">
        <v>142</v>
      </c>
      <c r="F8" s="1493" t="s">
        <v>143</v>
      </c>
      <c r="G8" s="1493" t="s">
        <v>142</v>
      </c>
      <c r="H8" s="1493" t="s">
        <v>143</v>
      </c>
      <c r="I8" s="1493" t="s">
        <v>144</v>
      </c>
      <c r="J8" s="1493" t="s">
        <v>143</v>
      </c>
      <c r="K8" s="1493" t="s">
        <v>143</v>
      </c>
      <c r="L8" s="1493" t="s">
        <v>144</v>
      </c>
      <c r="M8" s="1493" t="s">
        <v>143</v>
      </c>
      <c r="N8" s="31" t="s">
        <v>145</v>
      </c>
      <c r="O8" s="31" t="s">
        <v>26</v>
      </c>
      <c r="P8" s="31" t="s">
        <v>145</v>
      </c>
      <c r="Q8" s="1493" t="s">
        <v>143</v>
      </c>
      <c r="R8" s="1493" t="s">
        <v>145</v>
      </c>
      <c r="S8" s="1493" t="s">
        <v>143</v>
      </c>
      <c r="T8" s="1493" t="s">
        <v>145</v>
      </c>
      <c r="U8" s="1493" t="s">
        <v>143</v>
      </c>
      <c r="V8" s="1493" t="s">
        <v>145</v>
      </c>
      <c r="W8" s="1493" t="s">
        <v>143</v>
      </c>
      <c r="X8" s="1493" t="s">
        <v>145</v>
      </c>
      <c r="Y8" s="31"/>
      <c r="Z8" s="1493"/>
      <c r="AA8" s="1493"/>
    </row>
    <row r="9" spans="1:27" x14ac:dyDescent="0.2">
      <c r="B9" s="3"/>
      <c r="C9" s="4"/>
      <c r="D9" s="1019" t="s">
        <v>146</v>
      </c>
      <c r="E9" s="1494" t="s">
        <v>85</v>
      </c>
      <c r="F9" s="1494" t="s">
        <v>85</v>
      </c>
      <c r="G9" s="1494" t="s">
        <v>147</v>
      </c>
      <c r="H9" s="1494" t="s">
        <v>85</v>
      </c>
      <c r="I9" s="1494" t="s">
        <v>85</v>
      </c>
      <c r="J9" s="1494" t="s">
        <v>85</v>
      </c>
      <c r="K9" s="1494" t="s">
        <v>85</v>
      </c>
      <c r="L9" s="1494" t="s">
        <v>85</v>
      </c>
      <c r="M9" s="1494" t="s">
        <v>85</v>
      </c>
      <c r="N9" s="1494" t="s">
        <v>85</v>
      </c>
      <c r="O9" s="1494" t="s">
        <v>137</v>
      </c>
      <c r="P9" s="1494" t="s">
        <v>137</v>
      </c>
      <c r="Q9" s="1494" t="s">
        <v>85</v>
      </c>
      <c r="R9" s="1494" t="s">
        <v>85</v>
      </c>
      <c r="S9" s="1494" t="s">
        <v>137</v>
      </c>
      <c r="T9" s="1494" t="s">
        <v>137</v>
      </c>
      <c r="U9" s="1494" t="s">
        <v>85</v>
      </c>
      <c r="V9" s="1494" t="s">
        <v>365</v>
      </c>
      <c r="W9" s="1494" t="s">
        <v>137</v>
      </c>
      <c r="X9" s="1494" t="s">
        <v>137</v>
      </c>
      <c r="Y9" s="1494" t="s">
        <v>137</v>
      </c>
      <c r="Z9" s="1494" t="s">
        <v>137</v>
      </c>
      <c r="AA9" s="1494" t="s">
        <v>391</v>
      </c>
    </row>
    <row r="10" spans="1:27" x14ac:dyDescent="0.2">
      <c r="B10" s="3"/>
      <c r="C10" s="5"/>
      <c r="D10" s="1495"/>
      <c r="E10" s="1494" t="s">
        <v>148</v>
      </c>
      <c r="F10" s="1494" t="s">
        <v>148</v>
      </c>
      <c r="G10" s="1494" t="s">
        <v>148</v>
      </c>
      <c r="H10" s="1494" t="s">
        <v>148</v>
      </c>
      <c r="I10" s="1494" t="s">
        <v>148</v>
      </c>
      <c r="J10" s="1494" t="s">
        <v>148</v>
      </c>
      <c r="K10" s="1494" t="s">
        <v>148</v>
      </c>
      <c r="L10" s="1494" t="s">
        <v>148</v>
      </c>
      <c r="M10" s="1494" t="s">
        <v>149</v>
      </c>
      <c r="N10" s="1494" t="s">
        <v>149</v>
      </c>
      <c r="O10" s="1494" t="s">
        <v>148</v>
      </c>
      <c r="P10" s="1494" t="s">
        <v>148</v>
      </c>
      <c r="Q10" s="1494" t="s">
        <v>148</v>
      </c>
      <c r="R10" s="1494" t="s">
        <v>148</v>
      </c>
      <c r="S10" s="1494" t="s">
        <v>148</v>
      </c>
      <c r="T10" s="1494" t="s">
        <v>148</v>
      </c>
      <c r="U10" s="1494" t="s">
        <v>149</v>
      </c>
      <c r="V10" s="1494" t="s">
        <v>149</v>
      </c>
      <c r="W10" s="1494" t="s">
        <v>149</v>
      </c>
      <c r="X10" s="1494" t="s">
        <v>149</v>
      </c>
      <c r="Y10" s="1494" t="s">
        <v>148</v>
      </c>
      <c r="Z10" s="1494" t="s">
        <v>149</v>
      </c>
      <c r="AA10" s="1494" t="s">
        <v>402</v>
      </c>
    </row>
    <row r="11" spans="1:27" ht="15.75" thickBot="1" x14ac:dyDescent="0.3">
      <c r="B11" s="6" t="s">
        <v>150</v>
      </c>
      <c r="C11" s="7"/>
      <c r="D11" s="1496" t="s">
        <v>151</v>
      </c>
      <c r="E11" s="1497" t="s">
        <v>449</v>
      </c>
      <c r="F11" s="1498" t="s">
        <v>450</v>
      </c>
      <c r="G11" s="1498" t="s">
        <v>451</v>
      </c>
      <c r="H11" s="1498" t="s">
        <v>452</v>
      </c>
      <c r="I11" s="1498" t="s">
        <v>453</v>
      </c>
      <c r="J11" s="1498" t="s">
        <v>470</v>
      </c>
      <c r="K11" s="1498" t="s">
        <v>352</v>
      </c>
      <c r="L11" s="1498" t="s">
        <v>353</v>
      </c>
      <c r="M11" s="1498" t="s">
        <v>355</v>
      </c>
      <c r="N11" s="1498" t="s">
        <v>356</v>
      </c>
      <c r="O11" s="1498" t="s">
        <v>357</v>
      </c>
      <c r="P11" s="1498" t="s">
        <v>358</v>
      </c>
      <c r="Q11" s="1498" t="s">
        <v>359</v>
      </c>
      <c r="R11" s="1498" t="s">
        <v>360</v>
      </c>
      <c r="S11" s="1498" t="s">
        <v>361</v>
      </c>
      <c r="T11" s="1498" t="s">
        <v>362</v>
      </c>
      <c r="U11" s="1498" t="s">
        <v>363</v>
      </c>
      <c r="V11" s="1498" t="s">
        <v>364</v>
      </c>
      <c r="W11" s="1498" t="s">
        <v>366</v>
      </c>
      <c r="X11" s="1499" t="s">
        <v>367</v>
      </c>
      <c r="Y11" s="1498" t="s">
        <v>56</v>
      </c>
      <c r="Z11" s="1498" t="s">
        <v>348</v>
      </c>
      <c r="AA11" s="1498" t="s">
        <v>391</v>
      </c>
    </row>
    <row r="12" spans="1:27" ht="15.75" thickTop="1" x14ac:dyDescent="0.25">
      <c r="B12" s="9"/>
      <c r="C12" s="32"/>
      <c r="D12" s="33"/>
      <c r="E12" s="34"/>
      <c r="F12" s="35"/>
      <c r="G12" s="35"/>
      <c r="H12" s="35"/>
      <c r="I12" s="35"/>
      <c r="J12" s="36"/>
      <c r="K12" s="36"/>
      <c r="L12" s="36"/>
      <c r="M12" s="36"/>
      <c r="N12" s="36"/>
      <c r="O12" s="36"/>
      <c r="P12" s="36"/>
      <c r="Q12" s="36"/>
      <c r="R12" s="36"/>
      <c r="S12" s="37"/>
      <c r="T12" s="37"/>
      <c r="U12" s="37"/>
      <c r="V12" s="37"/>
      <c r="W12" s="37"/>
      <c r="X12" s="37"/>
      <c r="Y12" s="37"/>
      <c r="Z12" s="35"/>
      <c r="AA12" s="35"/>
    </row>
    <row r="13" spans="1:27" x14ac:dyDescent="0.2">
      <c r="B13" s="3"/>
      <c r="C13" s="8"/>
      <c r="D13" s="9" t="s">
        <v>354</v>
      </c>
      <c r="E13" s="10"/>
      <c r="F13" s="10"/>
      <c r="G13" s="10"/>
      <c r="H13" s="10"/>
      <c r="I13" s="10"/>
      <c r="J13" s="10"/>
      <c r="K13" s="10"/>
      <c r="L13" s="10"/>
      <c r="M13" s="8"/>
      <c r="N13" s="8"/>
      <c r="O13" s="8"/>
      <c r="P13" s="8"/>
      <c r="Q13" s="8"/>
      <c r="R13" s="8"/>
      <c r="S13" s="8"/>
      <c r="T13" s="8"/>
      <c r="U13" s="8"/>
      <c r="V13" s="8"/>
      <c r="W13" s="8"/>
      <c r="X13" s="8"/>
      <c r="Y13" s="8"/>
      <c r="Z13" s="8"/>
      <c r="AA13" s="8"/>
    </row>
    <row r="14" spans="1:27" x14ac:dyDescent="0.2">
      <c r="B14" s="3">
        <v>1</v>
      </c>
      <c r="C14" s="29" t="s">
        <v>211</v>
      </c>
      <c r="D14" s="920">
        <f>SUM(E14:AA14)</f>
        <v>78333454.662138224</v>
      </c>
      <c r="E14" s="1112">
        <f>'[24]Total Revenue'!$Q$6</f>
        <v>283691.13211741613</v>
      </c>
      <c r="F14" s="1112">
        <f>'[24]Total Revenue'!$Q$8</f>
        <v>53871.380821902283</v>
      </c>
      <c r="G14" s="1112">
        <f>'[24]Total Revenue'!$Q$7</f>
        <v>53008197.589697547</v>
      </c>
      <c r="H14" s="1112">
        <f>'[24]Total Revenue'!$Q$9</f>
        <v>16112007.068833409</v>
      </c>
      <c r="I14" s="1112">
        <f>'[24]Total Revenue'!$Q$24</f>
        <v>241043.72505190157</v>
      </c>
      <c r="J14" s="1112">
        <f>'[24]Total Revenue'!$Q$10</f>
        <v>363218.20437801839</v>
      </c>
      <c r="K14" s="1112">
        <f>'[24]Total Revenue'!$Q$14</f>
        <v>2853836.1753150364</v>
      </c>
      <c r="L14" s="1112">
        <f>'[24]Total Revenue'!$Q$28</f>
        <v>747266.28046789952</v>
      </c>
      <c r="M14" s="1112">
        <f>'[24]Total Revenue'!$Q$40</f>
        <v>0</v>
      </c>
      <c r="N14" s="1112">
        <f>'[24]Total Revenue'!$Q$44</f>
        <v>0</v>
      </c>
      <c r="O14" s="1112">
        <f>'[24]Total Revenue'!$Q$65</f>
        <v>189841.33809000003</v>
      </c>
      <c r="P14" s="1112">
        <f>'[24]Total Revenue'!$Q$69</f>
        <v>0</v>
      </c>
      <c r="Q14" s="1112">
        <f>'[24]Total Revenue'!$Q$22</f>
        <v>470188.60083981924</v>
      </c>
      <c r="R14" s="1112">
        <f>'[24]Total Revenue'!$Q$36</f>
        <v>1154958.3793378912</v>
      </c>
      <c r="S14" s="1112">
        <f>'[24]Total Revenue'!$Q$77</f>
        <v>360784.67333999998</v>
      </c>
      <c r="T14" s="1112">
        <f>'[24]Total Revenue'!$Q$85</f>
        <v>823615.79209999996</v>
      </c>
      <c r="U14" s="1112">
        <f>'[24]Total Revenue'!$Q$52</f>
        <v>430728.61187958985</v>
      </c>
      <c r="V14" s="1112">
        <f>'[24]Total Revenue'!$Q$60</f>
        <v>171731.03459599178</v>
      </c>
      <c r="W14" s="1112">
        <f>'[24]Total Revenue'!$Q$93</f>
        <v>0</v>
      </c>
      <c r="X14" s="1112">
        <f>'[24]Total Revenue'!$Q$101</f>
        <v>825480.07319999998</v>
      </c>
      <c r="Y14" s="1113">
        <f>'[24]Total Revenue'!$Q$103</f>
        <v>0</v>
      </c>
      <c r="Z14" s="1114">
        <f>'[24]Total Revenue'!$Q$104</f>
        <v>0</v>
      </c>
      <c r="AA14" s="1114">
        <f>'[24]Total Revenue'!$Q$106</f>
        <v>242994.60207180592</v>
      </c>
    </row>
    <row r="15" spans="1:27" x14ac:dyDescent="0.2">
      <c r="B15" s="3">
        <v>2</v>
      </c>
      <c r="C15" s="29" t="s">
        <v>403</v>
      </c>
      <c r="D15" s="921">
        <f>SUM(E15:AA15)</f>
        <v>49604902.662138224</v>
      </c>
      <c r="E15" s="1115">
        <f>'[24]Monthly Margin'!$Q$6</f>
        <v>208635.1321174161</v>
      </c>
      <c r="F15" s="1115">
        <f>'[24]Monthly Margin'!$Q$8</f>
        <v>37604.380821902283</v>
      </c>
      <c r="G15" s="1115">
        <f>'[24]Monthly Margin'!$Q$7</f>
        <v>33798099.589697547</v>
      </c>
      <c r="H15" s="1115">
        <f>'[24]Monthly Margin'!$Q$9</f>
        <v>9866168.0688334089</v>
      </c>
      <c r="I15" s="1115">
        <f>'[24]Monthly Margin'!$Q$24</f>
        <v>141888.72505190157</v>
      </c>
      <c r="J15" s="1115">
        <f>'[24]Monthly Margin'!$Q$10</f>
        <v>201938.20437801833</v>
      </c>
      <c r="K15" s="1115">
        <f>'[24]Monthly Margin'!$Q$14</f>
        <v>1542348.175315036</v>
      </c>
      <c r="L15" s="1115">
        <f>'[24]Monthly Margin'!$Q$28</f>
        <v>392614.2804678994</v>
      </c>
      <c r="M15" s="1115">
        <f>'[24]Monthly Margin'!$Q$40</f>
        <v>0</v>
      </c>
      <c r="N15" s="1115">
        <f>'[24]Monthly Margin'!$Q$44</f>
        <v>0</v>
      </c>
      <c r="O15" s="1115">
        <f>'[24]Monthly Margin'!$Q$65</f>
        <v>189841.33809000003</v>
      </c>
      <c r="P15" s="1115">
        <f>'[24]Monthly Margin'!$Q$69</f>
        <v>0</v>
      </c>
      <c r="Q15" s="1115">
        <f>'[24]Monthly Margin'!$Q$22</f>
        <v>219574.60083981926</v>
      </c>
      <c r="R15" s="1115">
        <f>'[24]Monthly Margin'!$Q$36</f>
        <v>511672.37933789124</v>
      </c>
      <c r="S15" s="1115">
        <f>'[24]Monthly Margin'!$Q$77</f>
        <v>360784.67333999998</v>
      </c>
      <c r="T15" s="1115">
        <f>'[24]Monthly Margin'!$Q$85</f>
        <v>823615.79209999996</v>
      </c>
      <c r="U15" s="1115">
        <f>'[24]Monthly Margin'!$Q$52</f>
        <v>160512.61187958997</v>
      </c>
      <c r="V15" s="1115">
        <f>'[24]Monthly Margin'!$Q$60</f>
        <v>81130.03459599179</v>
      </c>
      <c r="W15" s="1115">
        <f>'[24]Monthly Margin'!$Q$93</f>
        <v>0</v>
      </c>
      <c r="X15" s="1115">
        <f>'[24]Monthly Margin'!$Q$101</f>
        <v>825480.07319999998</v>
      </c>
      <c r="Y15" s="1116">
        <f>'[24]Monthly Margin'!$Q$103</f>
        <v>0</v>
      </c>
      <c r="Z15" s="1117">
        <f>'[24]Monthly Margin'!$Q$104</f>
        <v>0</v>
      </c>
      <c r="AA15" s="1117">
        <f>'[24]Monthly Margin'!$Q$106</f>
        <v>242994.60207180592</v>
      </c>
    </row>
    <row r="16" spans="1:27" x14ac:dyDescent="0.2">
      <c r="B16" s="3">
        <v>3</v>
      </c>
      <c r="C16" s="8" t="s">
        <v>152</v>
      </c>
      <c r="D16" s="17">
        <f>D15/$D$15</f>
        <v>1</v>
      </c>
      <c r="E16" s="17">
        <f>E15/$D$15</f>
        <v>4.2059377384215772E-3</v>
      </c>
      <c r="F16" s="17">
        <f t="shared" ref="F16:Z16" si="0">F15/$D$15</f>
        <v>7.5807790770254769E-4</v>
      </c>
      <c r="G16" s="17">
        <f t="shared" si="0"/>
        <v>0.68134595122377928</v>
      </c>
      <c r="H16" s="17">
        <f t="shared" si="0"/>
        <v>0.19889501922889424</v>
      </c>
      <c r="I16" s="17">
        <f t="shared" si="0"/>
        <v>2.8603770481783553E-3</v>
      </c>
      <c r="J16" s="17">
        <f t="shared" si="0"/>
        <v>4.0709323784673219E-3</v>
      </c>
      <c r="K16" s="17">
        <f t="shared" si="0"/>
        <v>3.1092656018701537E-2</v>
      </c>
      <c r="L16" s="17">
        <f t="shared" si="0"/>
        <v>7.9148281600715416E-3</v>
      </c>
      <c r="M16" s="17">
        <f t="shared" si="0"/>
        <v>0</v>
      </c>
      <c r="N16" s="17">
        <f t="shared" si="0"/>
        <v>0</v>
      </c>
      <c r="O16" s="17">
        <f t="shared" si="0"/>
        <v>3.8270680497655652E-3</v>
      </c>
      <c r="P16" s="17">
        <f t="shared" si="0"/>
        <v>0</v>
      </c>
      <c r="Q16" s="17">
        <f t="shared" si="0"/>
        <v>4.4264697450442387E-3</v>
      </c>
      <c r="R16" s="17">
        <f t="shared" si="0"/>
        <v>1.0314955818438361E-2</v>
      </c>
      <c r="S16" s="17">
        <f t="shared" si="0"/>
        <v>7.2731656343995804E-3</v>
      </c>
      <c r="T16" s="17">
        <f t="shared" si="0"/>
        <v>1.6603515940948284E-2</v>
      </c>
      <c r="U16" s="17">
        <f t="shared" si="0"/>
        <v>3.2358215270141821E-3</v>
      </c>
      <c r="V16" s="17">
        <f t="shared" si="0"/>
        <v>1.6355245195938193E-3</v>
      </c>
      <c r="W16" s="17">
        <f t="shared" si="0"/>
        <v>0</v>
      </c>
      <c r="X16" s="17">
        <f t="shared" si="0"/>
        <v>1.6641098538634196E-2</v>
      </c>
      <c r="Y16" s="17">
        <f t="shared" si="0"/>
        <v>0</v>
      </c>
      <c r="Z16" s="17">
        <f t="shared" si="0"/>
        <v>0</v>
      </c>
      <c r="AA16" s="17">
        <f>AA15/$D$15</f>
        <v>4.8986005219454976E-3</v>
      </c>
    </row>
    <row r="17" spans="2:27" x14ac:dyDescent="0.2">
      <c r="B17" s="3"/>
      <c r="C17" s="8"/>
      <c r="D17" s="17"/>
      <c r="E17" s="17"/>
      <c r="F17" s="17"/>
      <c r="G17" s="17"/>
      <c r="H17" s="17"/>
      <c r="I17" s="17"/>
      <c r="J17" s="17"/>
      <c r="K17" s="17"/>
      <c r="L17" s="17"/>
      <c r="M17" s="17"/>
      <c r="N17" s="17"/>
      <c r="O17" s="17"/>
      <c r="P17" s="17"/>
      <c r="Q17" s="17"/>
      <c r="R17" s="17"/>
      <c r="S17" s="17"/>
      <c r="T17" s="17"/>
      <c r="U17" s="17"/>
      <c r="V17" s="17"/>
      <c r="W17" s="17"/>
      <c r="X17" s="17"/>
      <c r="Y17" s="17"/>
      <c r="Z17" s="17"/>
      <c r="AA17" s="17"/>
    </row>
    <row r="18" spans="2:27" x14ac:dyDescent="0.2">
      <c r="B18" s="3"/>
      <c r="C18" s="8" t="s">
        <v>155</v>
      </c>
      <c r="D18" s="22">
        <f>SUM(E18:AA18)</f>
        <v>37287356</v>
      </c>
      <c r="E18" s="21">
        <f>'WA Volumes &amp; Revenues'!Q15</f>
        <v>145254</v>
      </c>
      <c r="F18" s="21">
        <f>'WA Volumes &amp; Revenues'!Q16</f>
        <v>34043</v>
      </c>
      <c r="G18" s="21">
        <f>'WA Volumes &amp; Revenues'!Q17</f>
        <v>25177503</v>
      </c>
      <c r="H18" s="21">
        <f>'WA Volumes &amp; Revenues'!Q18</f>
        <v>7927324</v>
      </c>
      <c r="I18" s="21">
        <f>'WA Volumes &amp; Revenues'!Q19</f>
        <v>131186</v>
      </c>
      <c r="J18" s="21">
        <f>'WA Volumes &amp; Revenues'!Q20</f>
        <v>111135</v>
      </c>
      <c r="K18" s="21">
        <f>'WA Volumes &amp; Revenues'!Q21</f>
        <v>1212467</v>
      </c>
      <c r="L18" s="21">
        <f>'WA Volumes &amp; Revenues'!Q23</f>
        <v>323732</v>
      </c>
      <c r="M18" s="21">
        <f>'WA Volumes &amp; Revenues'!Q25</f>
        <v>0</v>
      </c>
      <c r="N18" s="21">
        <f>'WA Volumes &amp; Revenues'!Q27</f>
        <v>0</v>
      </c>
      <c r="O18" s="21">
        <f>'WA Volumes &amp; Revenues'!Q29</f>
        <v>142341</v>
      </c>
      <c r="P18" s="21">
        <f>'WA Volumes &amp; Revenues'!Q31</f>
        <v>0</v>
      </c>
      <c r="Q18" s="21">
        <f>'WA Volumes &amp; Revenues'!Q33</f>
        <v>101365</v>
      </c>
      <c r="R18" s="21">
        <f>'WA Volumes &amp; Revenues'!Q39</f>
        <v>256403</v>
      </c>
      <c r="S18" s="21">
        <f>'WA Volumes &amp; Revenues'!Q45</f>
        <v>266582</v>
      </c>
      <c r="T18" s="21">
        <f>'WA Volumes &amp; Revenues'!Q51</f>
        <v>607101</v>
      </c>
      <c r="U18" s="21">
        <f>'WA Volumes &amp; Revenues'!Q57</f>
        <v>111934</v>
      </c>
      <c r="V18" s="21">
        <f>'WA Volumes &amp; Revenues'!Q63</f>
        <v>43706</v>
      </c>
      <c r="W18" s="21">
        <f>'WA Volumes &amp; Revenues'!Q69</f>
        <v>0</v>
      </c>
      <c r="X18" s="21">
        <f>'WA Volumes &amp; Revenues'!Q75</f>
        <v>695280</v>
      </c>
      <c r="Y18" s="21">
        <f>'WA Volumes &amp; Revenues'!L81</f>
        <v>0</v>
      </c>
      <c r="Z18" s="21">
        <f>'WA Volumes &amp; Revenues'!Q82</f>
        <v>0</v>
      </c>
      <c r="AA18" s="21">
        <f>'WA Volumes &amp; Revenues'!Q83</f>
        <v>0</v>
      </c>
    </row>
    <row r="19" spans="2:27" x14ac:dyDescent="0.2">
      <c r="B19" s="3"/>
      <c r="C19" s="8"/>
      <c r="D19" s="22"/>
      <c r="E19" s="21"/>
      <c r="F19" s="21"/>
      <c r="G19" s="21"/>
      <c r="H19" s="21"/>
      <c r="I19" s="21"/>
      <c r="J19" s="21"/>
      <c r="K19" s="21"/>
      <c r="L19" s="21"/>
      <c r="M19" s="21"/>
      <c r="N19" s="21"/>
      <c r="O19" s="21"/>
      <c r="P19" s="21"/>
      <c r="Q19" s="21"/>
      <c r="R19" s="21"/>
      <c r="S19" s="21"/>
      <c r="T19" s="21"/>
      <c r="U19" s="21"/>
      <c r="V19" s="21"/>
      <c r="W19" s="21"/>
      <c r="X19" s="21"/>
      <c r="Y19" s="21"/>
      <c r="Z19" s="21"/>
      <c r="AA19" s="21"/>
    </row>
    <row r="20" spans="2:27" x14ac:dyDescent="0.2">
      <c r="B20" s="3">
        <v>4</v>
      </c>
      <c r="C20" s="1130" t="s">
        <v>422</v>
      </c>
      <c r="D20" s="22"/>
      <c r="E20" s="1501" t="s">
        <v>633</v>
      </c>
      <c r="F20" s="21"/>
      <c r="G20" s="21"/>
      <c r="H20" s="21"/>
      <c r="I20" s="21"/>
      <c r="J20" s="21"/>
      <c r="K20" s="21"/>
      <c r="L20" s="21"/>
      <c r="M20" s="21"/>
      <c r="N20" s="21"/>
      <c r="O20" s="21"/>
      <c r="P20" s="21"/>
      <c r="Q20" s="21"/>
      <c r="R20" s="21"/>
      <c r="S20" s="21"/>
      <c r="T20" s="21"/>
      <c r="U20" s="21"/>
      <c r="V20" s="21"/>
      <c r="W20" s="21"/>
      <c r="X20" s="21"/>
      <c r="Y20" s="21"/>
      <c r="Z20" s="21"/>
      <c r="AA20" s="21"/>
    </row>
    <row r="21" spans="2:27" x14ac:dyDescent="0.2">
      <c r="B21" s="3" t="s">
        <v>165</v>
      </c>
      <c r="C21" s="13" t="s">
        <v>629</v>
      </c>
      <c r="D21" s="15">
        <f>'[25]KTW-2 - Rev Req'!$F$12</f>
        <v>6255809.5678384118</v>
      </c>
      <c r="E21" s="1500" t="s">
        <v>632</v>
      </c>
      <c r="F21" s="21"/>
      <c r="G21" s="21"/>
      <c r="H21" s="21"/>
      <c r="I21" s="21"/>
      <c r="J21" s="21"/>
      <c r="K21" s="21"/>
      <c r="L21" s="21"/>
      <c r="M21" s="21"/>
      <c r="N21" s="21"/>
      <c r="O21" s="21"/>
      <c r="P21" s="21"/>
      <c r="Q21" s="21"/>
      <c r="R21" s="21"/>
      <c r="S21" s="21"/>
      <c r="T21" s="21"/>
      <c r="U21" s="21"/>
      <c r="V21" s="21"/>
      <c r="W21" s="21"/>
      <c r="X21" s="21"/>
      <c r="Y21" s="21"/>
      <c r="Z21" s="21"/>
      <c r="AA21" s="21"/>
    </row>
    <row r="22" spans="2:27" x14ac:dyDescent="0.2">
      <c r="B22" s="3" t="s">
        <v>166</v>
      </c>
      <c r="C22" s="29" t="s">
        <v>467</v>
      </c>
      <c r="D22" s="1134">
        <f>'Allocation = % of Margin'!S8</f>
        <v>-462252</v>
      </c>
      <c r="E22" s="1500" t="s">
        <v>631</v>
      </c>
      <c r="F22" s="1118" t="s">
        <v>468</v>
      </c>
      <c r="G22" s="11"/>
      <c r="H22" s="11"/>
      <c r="I22" s="11"/>
      <c r="J22" s="11"/>
      <c r="K22" s="11"/>
      <c r="L22" s="11"/>
      <c r="M22" s="11"/>
      <c r="N22" s="11"/>
      <c r="O22" s="11"/>
      <c r="P22" s="11"/>
      <c r="Q22" s="11"/>
      <c r="R22" s="11"/>
      <c r="S22" s="11"/>
      <c r="T22" s="11"/>
      <c r="U22" s="11"/>
      <c r="V22" s="11"/>
      <c r="W22" s="11"/>
      <c r="X22" s="11"/>
      <c r="Y22" s="11"/>
      <c r="Z22" s="11"/>
      <c r="AA22" s="11"/>
    </row>
    <row r="23" spans="2:27" x14ac:dyDescent="0.2">
      <c r="B23" s="12" t="s">
        <v>167</v>
      </c>
      <c r="C23" s="13" t="s">
        <v>454</v>
      </c>
      <c r="D23" s="615">
        <f>D21-D22</f>
        <v>6718061.5678384118</v>
      </c>
      <c r="E23" s="1500" t="s">
        <v>631</v>
      </c>
      <c r="F23" s="1118" t="s">
        <v>455</v>
      </c>
      <c r="G23" s="14"/>
      <c r="H23" s="14"/>
      <c r="I23" s="14"/>
      <c r="J23" s="14"/>
      <c r="K23" s="14"/>
      <c r="L23" s="14"/>
      <c r="M23" s="14"/>
      <c r="N23" s="14"/>
      <c r="O23" s="14"/>
      <c r="P23" s="14"/>
      <c r="Q23" s="14"/>
      <c r="R23" s="14"/>
      <c r="S23" s="14"/>
      <c r="T23" s="14"/>
      <c r="U23" s="14"/>
      <c r="V23" s="14"/>
      <c r="W23" s="14"/>
      <c r="X23" s="14"/>
      <c r="Y23" s="14"/>
      <c r="Z23" s="14"/>
      <c r="AA23" s="14"/>
    </row>
    <row r="24" spans="2:27" x14ac:dyDescent="0.2">
      <c r="B24" s="12" t="s">
        <v>193</v>
      </c>
      <c r="C24" s="13" t="s">
        <v>250</v>
      </c>
      <c r="D24" s="15">
        <v>0</v>
      </c>
      <c r="E24" s="1500"/>
      <c r="F24" s="1118" t="s">
        <v>630</v>
      </c>
      <c r="G24" s="14"/>
      <c r="H24" s="14"/>
      <c r="I24" s="14"/>
      <c r="J24" s="14"/>
      <c r="K24" s="14"/>
      <c r="L24" s="14"/>
      <c r="M24" s="14"/>
      <c r="N24" s="14"/>
      <c r="O24" s="14"/>
      <c r="P24" s="14"/>
      <c r="Q24" s="14"/>
      <c r="R24" s="14"/>
      <c r="S24" s="14"/>
      <c r="T24" s="14"/>
      <c r="U24" s="14"/>
      <c r="V24" s="14"/>
      <c r="W24" s="14"/>
      <c r="X24" s="14"/>
      <c r="Y24" s="14"/>
      <c r="Z24" s="14"/>
      <c r="AA24" s="14"/>
    </row>
    <row r="25" spans="2:27" x14ac:dyDescent="0.2">
      <c r="B25" s="12" t="s">
        <v>249</v>
      </c>
      <c r="C25" s="13" t="s">
        <v>480</v>
      </c>
      <c r="D25" s="922">
        <f>D23+D24</f>
        <v>6718061.5678384118</v>
      </c>
      <c r="E25" s="51"/>
      <c r="F25" s="11"/>
      <c r="G25" s="14"/>
      <c r="H25" s="14"/>
      <c r="I25" s="14"/>
      <c r="J25" s="919"/>
      <c r="K25" s="919"/>
      <c r="L25" s="14"/>
      <c r="M25" s="14"/>
      <c r="N25" s="14"/>
      <c r="O25" s="14"/>
      <c r="P25" s="14"/>
      <c r="Q25" s="14"/>
      <c r="R25" s="14"/>
      <c r="S25" s="14"/>
      <c r="T25" s="14"/>
      <c r="U25" s="14"/>
      <c r="V25" s="14"/>
      <c r="W25" s="14"/>
      <c r="X25" s="14"/>
      <c r="Y25" s="14"/>
      <c r="Z25" s="14"/>
      <c r="AA25" s="14"/>
    </row>
    <row r="26" spans="2:27" x14ac:dyDescent="0.2">
      <c r="B26" s="12"/>
      <c r="C26" s="13"/>
      <c r="D26" s="1131"/>
      <c r="E26" s="51"/>
      <c r="F26" s="11"/>
      <c r="G26" s="14"/>
      <c r="H26" s="14"/>
      <c r="I26" s="14"/>
      <c r="J26" s="919"/>
      <c r="K26" s="919"/>
      <c r="L26" s="14"/>
      <c r="M26" s="14"/>
      <c r="N26" s="14"/>
      <c r="O26" s="14"/>
      <c r="P26" s="14"/>
      <c r="Q26" s="14"/>
      <c r="R26" s="14"/>
      <c r="S26" s="14"/>
      <c r="T26" s="14"/>
      <c r="U26" s="14"/>
      <c r="V26" s="14"/>
      <c r="W26" s="14"/>
      <c r="X26" s="14"/>
      <c r="Y26" s="14"/>
      <c r="Z26" s="14"/>
      <c r="AA26" s="14"/>
    </row>
    <row r="27" spans="2:27" x14ac:dyDescent="0.2">
      <c r="B27" s="12">
        <v>5</v>
      </c>
      <c r="C27" s="1130" t="s">
        <v>417</v>
      </c>
      <c r="D27" s="1131"/>
      <c r="E27" s="51"/>
      <c r="F27" s="11"/>
      <c r="G27" s="14"/>
      <c r="H27" s="14"/>
      <c r="I27" s="14"/>
      <c r="J27" s="919"/>
      <c r="K27" s="919"/>
      <c r="L27" s="14"/>
      <c r="M27" s="14"/>
      <c r="N27" s="14"/>
      <c r="O27" s="14"/>
      <c r="P27" s="14"/>
      <c r="Q27" s="14"/>
      <c r="R27" s="14"/>
      <c r="S27" s="14"/>
      <c r="T27" s="14"/>
      <c r="U27" s="14"/>
      <c r="V27" s="14"/>
      <c r="W27" s="14"/>
      <c r="X27" s="14"/>
      <c r="Y27" s="14"/>
      <c r="Z27" s="14"/>
      <c r="AA27" s="14"/>
    </row>
    <row r="28" spans="2:27" x14ac:dyDescent="0.2">
      <c r="B28" s="12" t="s">
        <v>459</v>
      </c>
      <c r="C28" s="13" t="s">
        <v>629</v>
      </c>
      <c r="D28" s="15">
        <f>'[25]KTW-2 - Rev Req'!$J$12</f>
        <v>3150116.0024598953</v>
      </c>
      <c r="E28" s="1500" t="s">
        <v>632</v>
      </c>
      <c r="F28" s="11"/>
      <c r="G28" s="14"/>
      <c r="H28" s="14"/>
      <c r="I28" s="14"/>
      <c r="J28" s="919"/>
      <c r="K28" s="919"/>
      <c r="L28" s="14"/>
      <c r="M28" s="14"/>
      <c r="N28" s="14"/>
      <c r="O28" s="14"/>
      <c r="P28" s="14"/>
      <c r="Q28" s="14"/>
      <c r="R28" s="14"/>
      <c r="S28" s="14"/>
      <c r="T28" s="14"/>
      <c r="U28" s="14"/>
      <c r="V28" s="14"/>
      <c r="W28" s="14"/>
      <c r="X28" s="14"/>
      <c r="Y28" s="14"/>
      <c r="Z28" s="14"/>
      <c r="AA28" s="14"/>
    </row>
    <row r="29" spans="2:27" x14ac:dyDescent="0.2">
      <c r="B29" s="12" t="s">
        <v>460</v>
      </c>
      <c r="C29" s="13" t="s">
        <v>454</v>
      </c>
      <c r="D29" s="615">
        <f>D28</f>
        <v>3150116.0024598953</v>
      </c>
      <c r="E29" s="1500" t="s">
        <v>631</v>
      </c>
      <c r="F29" s="1118" t="s">
        <v>455</v>
      </c>
      <c r="G29" s="14"/>
      <c r="H29" s="14"/>
      <c r="I29" s="14"/>
      <c r="J29" s="919"/>
      <c r="K29" s="919"/>
      <c r="L29" s="14"/>
      <c r="M29" s="14"/>
      <c r="N29" s="14"/>
      <c r="O29" s="14"/>
      <c r="P29" s="14"/>
      <c r="Q29" s="14"/>
      <c r="R29" s="14"/>
      <c r="S29" s="14"/>
      <c r="T29" s="14"/>
      <c r="U29" s="14"/>
      <c r="V29" s="14"/>
      <c r="W29" s="14"/>
      <c r="X29" s="14"/>
      <c r="Y29" s="14"/>
      <c r="Z29" s="14"/>
      <c r="AA29" s="14"/>
    </row>
    <row r="30" spans="2:27" x14ac:dyDescent="0.2">
      <c r="B30" s="12" t="s">
        <v>461</v>
      </c>
      <c r="C30" s="13" t="s">
        <v>250</v>
      </c>
      <c r="D30" s="15">
        <v>0</v>
      </c>
      <c r="F30" s="1118" t="s">
        <v>630</v>
      </c>
      <c r="G30" s="14"/>
      <c r="H30" s="14"/>
      <c r="I30" s="14"/>
      <c r="J30" s="919"/>
      <c r="K30" s="919"/>
      <c r="L30" s="14"/>
      <c r="M30" s="14"/>
      <c r="N30" s="14"/>
      <c r="O30" s="14"/>
      <c r="P30" s="14"/>
      <c r="Q30" s="14"/>
      <c r="R30" s="14"/>
      <c r="S30" s="14"/>
      <c r="T30" s="14"/>
      <c r="U30" s="14"/>
      <c r="V30" s="14"/>
      <c r="W30" s="14"/>
      <c r="X30" s="14"/>
      <c r="Y30" s="14"/>
      <c r="Z30" s="14"/>
      <c r="AA30" s="14"/>
    </row>
    <row r="31" spans="2:27" x14ac:dyDescent="0.2">
      <c r="B31" s="12" t="s">
        <v>462</v>
      </c>
      <c r="C31" s="13" t="s">
        <v>481</v>
      </c>
      <c r="D31" s="922">
        <f>D29+D30</f>
        <v>3150116.0024598953</v>
      </c>
      <c r="E31" s="51"/>
      <c r="G31" s="14"/>
      <c r="H31" s="14"/>
      <c r="I31" s="14"/>
      <c r="J31" s="919"/>
      <c r="K31" s="919"/>
      <c r="L31" s="14"/>
      <c r="M31" s="14"/>
      <c r="N31" s="14"/>
      <c r="O31" s="14"/>
      <c r="P31" s="14"/>
      <c r="Q31" s="14"/>
      <c r="R31" s="14"/>
      <c r="S31" s="14"/>
      <c r="T31" s="14"/>
      <c r="U31" s="14"/>
      <c r="V31" s="14"/>
      <c r="W31" s="14"/>
      <c r="X31" s="14"/>
      <c r="Y31" s="14"/>
      <c r="Z31" s="14"/>
      <c r="AA31" s="14"/>
    </row>
    <row r="32" spans="2:27" x14ac:dyDescent="0.2">
      <c r="B32" s="12"/>
      <c r="C32" s="13"/>
      <c r="D32" s="1131"/>
      <c r="E32" s="51"/>
      <c r="F32" s="11"/>
      <c r="G32" s="14"/>
      <c r="H32" s="14"/>
      <c r="I32" s="14"/>
      <c r="J32" s="919"/>
      <c r="K32" s="919"/>
      <c r="L32" s="14"/>
      <c r="M32" s="14"/>
      <c r="N32" s="14"/>
      <c r="O32" s="14"/>
      <c r="P32" s="14"/>
      <c r="Q32" s="14"/>
      <c r="R32" s="14"/>
      <c r="S32" s="14"/>
      <c r="T32" s="14"/>
      <c r="U32" s="14"/>
      <c r="V32" s="14"/>
      <c r="W32" s="14"/>
      <c r="X32" s="14"/>
      <c r="Y32" s="14"/>
      <c r="Z32" s="14"/>
      <c r="AA32" s="14"/>
    </row>
    <row r="33" spans="2:27" x14ac:dyDescent="0.2">
      <c r="D33" s="616"/>
      <c r="E33" s="617"/>
      <c r="J33" s="19"/>
      <c r="K33" s="19"/>
    </row>
    <row r="34" spans="2:27" x14ac:dyDescent="0.2">
      <c r="B34" s="27" t="s">
        <v>634</v>
      </c>
      <c r="D34" s="618"/>
      <c r="E34" s="28"/>
      <c r="H34" s="1502"/>
      <c r="I34" s="28"/>
    </row>
    <row r="35" spans="2:27" x14ac:dyDescent="0.2">
      <c r="G35" s="44"/>
      <c r="H35" s="44"/>
      <c r="I35" s="44"/>
      <c r="J35" s="16"/>
      <c r="K35" s="16"/>
      <c r="L35" s="16"/>
      <c r="M35" s="8"/>
      <c r="N35" s="8"/>
      <c r="O35" s="8"/>
      <c r="P35" s="8"/>
      <c r="Q35" s="8"/>
      <c r="R35" s="8"/>
      <c r="S35" s="8"/>
      <c r="T35" s="8"/>
      <c r="U35" s="8"/>
      <c r="V35" s="8"/>
      <c r="W35" s="8"/>
      <c r="X35" s="8"/>
      <c r="Y35" s="8"/>
      <c r="Z35" s="8"/>
      <c r="AA35" s="8"/>
    </row>
    <row r="36" spans="2:27" x14ac:dyDescent="0.2">
      <c r="B36" s="1120" t="s">
        <v>170</v>
      </c>
      <c r="G36" s="48"/>
      <c r="H36" s="29"/>
      <c r="I36" s="8"/>
      <c r="J36" s="8"/>
      <c r="K36" s="8"/>
      <c r="L36" s="8"/>
      <c r="M36" s="8"/>
      <c r="N36" s="8"/>
      <c r="O36" s="8"/>
      <c r="P36" s="8"/>
      <c r="Q36" s="8"/>
      <c r="R36" s="8"/>
      <c r="S36" s="8"/>
      <c r="T36" s="8"/>
      <c r="U36" s="8"/>
      <c r="V36" s="8"/>
      <c r="W36" s="8"/>
      <c r="X36" s="8"/>
      <c r="Y36" s="8"/>
      <c r="Z36" s="8"/>
      <c r="AA36" s="8"/>
    </row>
    <row r="37" spans="2:27" x14ac:dyDescent="0.2">
      <c r="B37" s="18" t="s">
        <v>504</v>
      </c>
      <c r="C37" s="18"/>
      <c r="D37" s="18"/>
      <c r="E37" s="18"/>
      <c r="F37" s="38"/>
      <c r="G37" s="1121"/>
      <c r="H37" s="1122"/>
      <c r="I37" s="1122"/>
    </row>
    <row r="38" spans="2:27" x14ac:dyDescent="0.2">
      <c r="B38" s="1119" t="s">
        <v>456</v>
      </c>
      <c r="C38" s="45"/>
      <c r="D38" s="46"/>
      <c r="E38" s="47"/>
      <c r="F38" s="16"/>
    </row>
    <row r="42" spans="2:27" x14ac:dyDescent="0.2">
      <c r="B42" s="3">
        <v>6</v>
      </c>
      <c r="C42" s="8" t="s">
        <v>172</v>
      </c>
      <c r="D42" s="40">
        <f>SUM(E42:AA42)</f>
        <v>6718061.5678384136</v>
      </c>
      <c r="E42" s="41">
        <f>($D$23*(E15/($D$15-$AA$15)))</f>
        <v>28394.843673249547</v>
      </c>
      <c r="F42" s="41">
        <f t="shared" ref="F42:Z42" si="1">($D$23*(F15/($D$15-$AA$15)))</f>
        <v>5117.8845289888013</v>
      </c>
      <c r="G42" s="41">
        <f t="shared" si="1"/>
        <v>4599856.9107828122</v>
      </c>
      <c r="H42" s="41">
        <f t="shared" si="1"/>
        <v>1342766.6621883633</v>
      </c>
      <c r="I42" s="41">
        <f t="shared" si="1"/>
        <v>19310.784938070901</v>
      </c>
      <c r="J42" s="41">
        <f t="shared" si="1"/>
        <v>27483.404577056339</v>
      </c>
      <c r="K42" s="41">
        <f t="shared" si="1"/>
        <v>209910.64584053485</v>
      </c>
      <c r="L42" s="41">
        <f t="shared" si="1"/>
        <v>53434.054967776654</v>
      </c>
      <c r="M42" s="41">
        <f t="shared" si="1"/>
        <v>0</v>
      </c>
      <c r="N42" s="41">
        <f t="shared" si="1"/>
        <v>0</v>
      </c>
      <c r="O42" s="41">
        <f t="shared" si="1"/>
        <v>25837.044140544749</v>
      </c>
      <c r="P42" s="41">
        <f t="shared" si="1"/>
        <v>0</v>
      </c>
      <c r="Q42" s="41">
        <f t="shared" si="1"/>
        <v>29883.684507909293</v>
      </c>
      <c r="R42" s="41">
        <f t="shared" si="1"/>
        <v>69637.635214008362</v>
      </c>
      <c r="S42" s="41">
        <f t="shared" si="1"/>
        <v>49102.106127688618</v>
      </c>
      <c r="T42" s="41">
        <f t="shared" si="1"/>
        <v>112092.53890345576</v>
      </c>
      <c r="U42" s="41">
        <f t="shared" si="1"/>
        <v>21845.460424857527</v>
      </c>
      <c r="V42" s="41">
        <f t="shared" si="1"/>
        <v>11041.643016584798</v>
      </c>
      <c r="W42" s="41">
        <f t="shared" si="1"/>
        <v>0</v>
      </c>
      <c r="X42" s="41">
        <f t="shared" si="1"/>
        <v>112346.26400651128</v>
      </c>
      <c r="Y42" s="41">
        <f t="shared" si="1"/>
        <v>0</v>
      </c>
      <c r="Z42" s="41">
        <f t="shared" si="1"/>
        <v>0</v>
      </c>
      <c r="AA42" s="41">
        <v>0</v>
      </c>
    </row>
    <row r="43" spans="2:27" s="28" customFormat="1" x14ac:dyDescent="0.2">
      <c r="B43" s="31"/>
      <c r="C43" s="29"/>
      <c r="D43" s="39"/>
      <c r="E43" s="39"/>
      <c r="F43" s="39"/>
      <c r="G43" s="39"/>
      <c r="H43" s="39"/>
      <c r="I43" s="39"/>
      <c r="J43" s="39"/>
      <c r="K43" s="39"/>
      <c r="L43" s="39"/>
      <c r="M43" s="39"/>
      <c r="N43" s="39"/>
      <c r="O43" s="39"/>
      <c r="P43" s="39"/>
      <c r="Q43" s="39"/>
      <c r="R43" s="39"/>
      <c r="S43" s="39"/>
      <c r="T43" s="39"/>
      <c r="U43" s="39"/>
      <c r="V43" s="39"/>
      <c r="W43" s="39"/>
      <c r="X43" s="39"/>
      <c r="Y43" s="39"/>
      <c r="Z43" s="39"/>
      <c r="AA43" s="39"/>
    </row>
    <row r="44" spans="2:27" s="28" customFormat="1" x14ac:dyDescent="0.2">
      <c r="B44" s="42" t="s">
        <v>171</v>
      </c>
      <c r="C44" s="29"/>
      <c r="D44" s="39"/>
      <c r="E44" s="39"/>
      <c r="F44" s="39"/>
      <c r="G44" s="39"/>
      <c r="H44" s="39"/>
      <c r="I44" s="39"/>
      <c r="J44" s="39"/>
      <c r="K44" s="39"/>
      <c r="L44" s="39"/>
      <c r="M44" s="39"/>
      <c r="N44" s="39"/>
      <c r="O44" s="39"/>
      <c r="P44" s="39"/>
      <c r="Q44" s="39"/>
      <c r="R44" s="39"/>
      <c r="S44" s="39"/>
      <c r="T44" s="39"/>
      <c r="U44" s="39"/>
      <c r="V44" s="39"/>
      <c r="W44" s="39"/>
      <c r="X44" s="39"/>
      <c r="Y44" s="39"/>
      <c r="Z44" s="39"/>
      <c r="AA44" s="39"/>
    </row>
    <row r="45" spans="2:27" s="28" customFormat="1" x14ac:dyDescent="0.2">
      <c r="B45" s="18" t="s">
        <v>469</v>
      </c>
      <c r="C45" s="18"/>
      <c r="D45" s="18"/>
      <c r="E45" s="18"/>
      <c r="F45" s="1123"/>
      <c r="G45" s="39"/>
      <c r="H45" s="39"/>
      <c r="J45" s="39"/>
      <c r="K45" s="39"/>
      <c r="L45" s="39"/>
      <c r="M45" s="39"/>
      <c r="N45" s="39"/>
      <c r="O45" s="39"/>
      <c r="P45" s="39"/>
      <c r="Q45" s="39"/>
      <c r="R45" s="39"/>
      <c r="S45" s="39"/>
      <c r="T45" s="39"/>
      <c r="U45" s="39"/>
      <c r="V45" s="39"/>
      <c r="W45" s="39"/>
      <c r="X45" s="39"/>
      <c r="Y45" s="39"/>
      <c r="Z45" s="39"/>
      <c r="AA45" s="39"/>
    </row>
    <row r="46" spans="2:27" s="28" customFormat="1" x14ac:dyDescent="0.2">
      <c r="B46" s="44"/>
      <c r="C46" s="44"/>
      <c r="D46" s="44"/>
      <c r="E46" s="44"/>
      <c r="F46" s="44"/>
      <c r="G46" s="39"/>
      <c r="H46" s="39"/>
      <c r="J46" s="39"/>
      <c r="K46" s="39"/>
      <c r="L46" s="39"/>
      <c r="M46" s="39"/>
      <c r="N46" s="39"/>
      <c r="O46" s="39"/>
      <c r="P46" s="39"/>
      <c r="Q46" s="39"/>
      <c r="R46" s="39"/>
      <c r="S46" s="39"/>
      <c r="T46" s="39"/>
      <c r="U46" s="39"/>
      <c r="V46" s="39"/>
      <c r="W46" s="39"/>
      <c r="X46" s="39"/>
      <c r="Y46" s="39"/>
      <c r="Z46" s="39"/>
      <c r="AA46" s="39"/>
    </row>
    <row r="47" spans="2:27" s="28" customFormat="1" x14ac:dyDescent="0.2">
      <c r="B47" s="44"/>
      <c r="C47" s="44"/>
      <c r="D47" s="44"/>
      <c r="E47" s="44"/>
      <c r="F47" s="44"/>
      <c r="G47" s="39"/>
      <c r="H47" s="39"/>
      <c r="J47" s="39"/>
      <c r="K47" s="39"/>
      <c r="L47" s="39"/>
      <c r="M47" s="39"/>
      <c r="N47" s="39"/>
      <c r="O47" s="39"/>
      <c r="P47" s="39"/>
      <c r="Q47" s="39"/>
      <c r="R47" s="39"/>
      <c r="S47" s="39"/>
      <c r="T47" s="39"/>
      <c r="U47" s="39"/>
      <c r="V47" s="39"/>
      <c r="W47" s="39"/>
      <c r="X47" s="39"/>
      <c r="Y47" s="39"/>
      <c r="Z47" s="39"/>
      <c r="AA47" s="39"/>
    </row>
    <row r="48" spans="2:27" s="28" customFormat="1" x14ac:dyDescent="0.2">
      <c r="B48" s="31"/>
      <c r="C48" s="29"/>
      <c r="D48" s="39"/>
      <c r="E48" s="39"/>
      <c r="F48" s="39"/>
      <c r="G48" s="39"/>
      <c r="H48" s="39"/>
      <c r="I48" s="39"/>
      <c r="J48" s="39"/>
      <c r="K48" s="39"/>
      <c r="L48" s="39"/>
      <c r="M48" s="39"/>
      <c r="N48" s="39"/>
      <c r="O48" s="39"/>
      <c r="P48" s="39"/>
      <c r="Q48" s="39"/>
      <c r="R48" s="39"/>
      <c r="S48" s="39"/>
      <c r="T48" s="39"/>
      <c r="U48" s="39"/>
      <c r="V48" s="39"/>
      <c r="W48" s="39"/>
      <c r="X48" s="39"/>
      <c r="Y48" s="39"/>
      <c r="Z48" s="39"/>
      <c r="AA48" s="39"/>
    </row>
    <row r="49" spans="2:27" x14ac:dyDescent="0.2">
      <c r="B49" s="3">
        <v>7</v>
      </c>
      <c r="C49" s="8" t="s">
        <v>464</v>
      </c>
      <c r="D49" s="40">
        <f>SUM(E49:Z49)</f>
        <v>-462252.00000000012</v>
      </c>
      <c r="E49" s="41">
        <f>($D$22*(E15/($D$15-$AA$15)))</f>
        <v>-1953.7738892545167</v>
      </c>
      <c r="F49" s="41">
        <f t="shared" ref="F49:Y49" si="2">($D$22*(F15/($D$15-$AA$15)))</f>
        <v>-352.14806167001689</v>
      </c>
      <c r="G49" s="41">
        <f t="shared" si="2"/>
        <v>-316503.95508466999</v>
      </c>
      <c r="H49" s="41">
        <f t="shared" si="2"/>
        <v>-92392.21297127963</v>
      </c>
      <c r="I49" s="41">
        <f t="shared" si="2"/>
        <v>-1328.7238988590134</v>
      </c>
      <c r="J49" s="41">
        <f t="shared" si="2"/>
        <v>-1891.0601822068654</v>
      </c>
      <c r="K49" s="41">
        <f t="shared" si="2"/>
        <v>-14443.394851515121</v>
      </c>
      <c r="L49" s="41">
        <f t="shared" si="2"/>
        <v>-3676.6556137579591</v>
      </c>
      <c r="M49" s="41">
        <f t="shared" si="2"/>
        <v>0</v>
      </c>
      <c r="N49" s="41">
        <f t="shared" si="2"/>
        <v>0</v>
      </c>
      <c r="O49" s="41">
        <f t="shared" si="2"/>
        <v>-1777.7784867633948</v>
      </c>
      <c r="P49" s="41">
        <f t="shared" si="2"/>
        <v>0</v>
      </c>
      <c r="Q49" s="41">
        <f t="shared" si="2"/>
        <v>-2056.2170786408528</v>
      </c>
      <c r="R49" s="41">
        <f t="shared" si="2"/>
        <v>-4791.5809981633165</v>
      </c>
      <c r="S49" s="41">
        <f t="shared" si="2"/>
        <v>-3378.5857025182681</v>
      </c>
      <c r="T49" s="41">
        <f t="shared" si="2"/>
        <v>-7712.7903294688185</v>
      </c>
      <c r="U49" s="41">
        <f t="shared" si="2"/>
        <v>-1503.1281970761077</v>
      </c>
      <c r="V49" s="41">
        <f t="shared" si="2"/>
        <v>-759.74617323202267</v>
      </c>
      <c r="W49" s="41">
        <f t="shared" si="2"/>
        <v>0</v>
      </c>
      <c r="X49" s="41">
        <f t="shared" si="2"/>
        <v>-7730.2484809241587</v>
      </c>
      <c r="Y49" s="41">
        <f t="shared" si="2"/>
        <v>0</v>
      </c>
      <c r="Z49" s="41">
        <f>($D$22*(Z15/($D$15-$AA$15)))</f>
        <v>0</v>
      </c>
      <c r="AA49" s="41">
        <v>0</v>
      </c>
    </row>
    <row r="50" spans="2:27" s="28" customFormat="1" x14ac:dyDescent="0.2">
      <c r="B50" s="31"/>
      <c r="C50" s="29"/>
      <c r="D50" s="39"/>
      <c r="E50" s="39"/>
      <c r="F50" s="39"/>
      <c r="G50" s="39"/>
      <c r="H50" s="39"/>
      <c r="I50" s="39"/>
      <c r="J50" s="39"/>
      <c r="K50" s="39"/>
      <c r="L50" s="39"/>
      <c r="M50" s="39"/>
      <c r="N50" s="39"/>
      <c r="O50" s="39"/>
      <c r="P50" s="39"/>
      <c r="Q50" s="39"/>
      <c r="R50" s="39"/>
      <c r="S50" s="39"/>
      <c r="T50" s="39"/>
      <c r="U50" s="39"/>
      <c r="V50" s="39"/>
      <c r="W50" s="39"/>
      <c r="X50" s="39"/>
      <c r="Y50" s="39"/>
      <c r="Z50" s="39"/>
      <c r="AA50" s="39"/>
    </row>
    <row r="51" spans="2:27" s="28" customFormat="1" x14ac:dyDescent="0.2">
      <c r="B51" s="31"/>
      <c r="C51" s="29"/>
      <c r="D51" s="39"/>
      <c r="E51" s="39"/>
      <c r="F51" s="1171"/>
      <c r="G51" s="39"/>
      <c r="H51" s="1172"/>
      <c r="I51" s="1173"/>
      <c r="J51" s="39"/>
      <c r="K51" s="39"/>
      <c r="L51" s="1502"/>
      <c r="M51" s="39"/>
      <c r="N51" s="39"/>
      <c r="O51" s="39"/>
      <c r="P51" s="39"/>
      <c r="Q51" s="39"/>
      <c r="R51" s="39"/>
      <c r="S51" s="39"/>
      <c r="T51" s="39"/>
      <c r="U51" s="39"/>
      <c r="V51" s="39"/>
      <c r="W51" s="39"/>
      <c r="X51" s="39"/>
      <c r="Y51" s="39"/>
      <c r="Z51" s="39"/>
      <c r="AA51" s="39"/>
    </row>
    <row r="52" spans="2:27" s="28" customFormat="1" x14ac:dyDescent="0.2">
      <c r="B52" s="31"/>
      <c r="C52" s="29" t="s">
        <v>635</v>
      </c>
      <c r="D52" s="39"/>
      <c r="E52" s="39"/>
      <c r="F52" s="39"/>
      <c r="G52" s="39"/>
      <c r="H52" s="47"/>
      <c r="I52" s="1170"/>
      <c r="J52" s="39"/>
      <c r="K52" s="39"/>
      <c r="L52" s="39"/>
      <c r="M52" s="39"/>
      <c r="N52" s="39"/>
      <c r="O52" s="39"/>
      <c r="P52" s="39"/>
      <c r="Q52" s="39"/>
      <c r="R52" s="39"/>
      <c r="S52" s="39"/>
      <c r="T52" s="39"/>
      <c r="U52" s="39"/>
      <c r="V52" s="39"/>
      <c r="W52" s="39"/>
      <c r="X52" s="39"/>
      <c r="Y52" s="39"/>
      <c r="Z52" s="39"/>
      <c r="AA52" s="39"/>
    </row>
    <row r="53" spans="2:27" x14ac:dyDescent="0.2">
      <c r="D53" s="1171"/>
      <c r="E53" s="1171"/>
      <c r="F53" s="1171"/>
      <c r="G53" s="1171"/>
      <c r="H53" s="1174"/>
      <c r="I53" s="1170"/>
      <c r="J53" s="1171"/>
    </row>
    <row r="54" spans="2:27" x14ac:dyDescent="0.2">
      <c r="D54" s="1171"/>
      <c r="E54" s="1171"/>
      <c r="F54" s="1171"/>
      <c r="G54" s="1171"/>
      <c r="H54" s="1171"/>
      <c r="I54" s="1171"/>
      <c r="J54" s="1171"/>
    </row>
    <row r="55" spans="2:27" x14ac:dyDescent="0.2">
      <c r="D55" s="1175"/>
      <c r="E55" s="1170"/>
      <c r="F55" s="1171"/>
      <c r="G55" s="1171"/>
      <c r="H55" s="1172"/>
      <c r="I55" s="1173"/>
      <c r="J55" s="1171"/>
    </row>
    <row r="56" spans="2:27" x14ac:dyDescent="0.2">
      <c r="D56" s="50"/>
      <c r="E56" s="1170"/>
      <c r="F56" s="1171"/>
      <c r="G56" s="1171"/>
      <c r="H56" s="47"/>
      <c r="I56" s="1170"/>
      <c r="J56" s="1171"/>
    </row>
    <row r="57" spans="2:27" x14ac:dyDescent="0.2">
      <c r="D57" s="50"/>
      <c r="E57" s="1170"/>
      <c r="F57" s="1171"/>
      <c r="G57" s="1171"/>
      <c r="H57" s="1174"/>
      <c r="I57" s="1170"/>
      <c r="J57" s="1171"/>
    </row>
    <row r="58" spans="2:27" x14ac:dyDescent="0.2">
      <c r="D58" s="1175"/>
      <c r="E58" s="1170"/>
      <c r="F58" s="1171"/>
      <c r="G58" s="1171"/>
      <c r="H58" s="1169"/>
      <c r="I58" s="1170"/>
      <c r="J58" s="1171"/>
    </row>
    <row r="59" spans="2:27" x14ac:dyDescent="0.2">
      <c r="D59" s="1171"/>
      <c r="E59" s="1171"/>
      <c r="F59" s="1171"/>
      <c r="G59" s="1171"/>
      <c r="H59" s="1171"/>
      <c r="I59" s="1171"/>
      <c r="J59" s="1171"/>
    </row>
    <row r="62" spans="2:27" x14ac:dyDescent="0.2">
      <c r="C62" s="1130"/>
    </row>
    <row r="63" spans="2:27" s="28" customFormat="1" x14ac:dyDescent="0.2">
      <c r="B63" s="20">
        <v>8</v>
      </c>
      <c r="C63" s="43" t="s">
        <v>636</v>
      </c>
      <c r="D63" s="40">
        <f>SUM(E63:AA63)</f>
        <v>6255809.5678384118</v>
      </c>
      <c r="E63" s="25">
        <f>E42+E49</f>
        <v>26441.06978399503</v>
      </c>
      <c r="F63" s="25">
        <f t="shared" ref="F63:AA63" si="3">F42+F49</f>
        <v>4765.736467318784</v>
      </c>
      <c r="G63" s="25">
        <f t="shared" si="3"/>
        <v>4283352.9556981418</v>
      </c>
      <c r="H63" s="25">
        <f t="shared" si="3"/>
        <v>1250374.4492170836</v>
      </c>
      <c r="I63" s="25">
        <f t="shared" si="3"/>
        <v>17982.061039211887</v>
      </c>
      <c r="J63" s="25">
        <f t="shared" si="3"/>
        <v>25592.344394849475</v>
      </c>
      <c r="K63" s="25">
        <f t="shared" si="3"/>
        <v>195467.25098901973</v>
      </c>
      <c r="L63" s="25">
        <f t="shared" si="3"/>
        <v>49757.399354018693</v>
      </c>
      <c r="M63" s="25">
        <f t="shared" si="3"/>
        <v>0</v>
      </c>
      <c r="N63" s="25">
        <f t="shared" si="3"/>
        <v>0</v>
      </c>
      <c r="O63" s="25">
        <f t="shared" si="3"/>
        <v>24059.265653781353</v>
      </c>
      <c r="P63" s="25">
        <f t="shared" si="3"/>
        <v>0</v>
      </c>
      <c r="Q63" s="25">
        <f t="shared" si="3"/>
        <v>27827.467429268439</v>
      </c>
      <c r="R63" s="25">
        <f t="shared" si="3"/>
        <v>64846.054215845048</v>
      </c>
      <c r="S63" s="25">
        <f t="shared" si="3"/>
        <v>45723.520425170347</v>
      </c>
      <c r="T63" s="25">
        <f t="shared" si="3"/>
        <v>104379.74857398694</v>
      </c>
      <c r="U63" s="25">
        <f t="shared" si="3"/>
        <v>20342.332227781419</v>
      </c>
      <c r="V63" s="25">
        <f t="shared" si="3"/>
        <v>10281.896843352775</v>
      </c>
      <c r="W63" s="25">
        <f t="shared" si="3"/>
        <v>0</v>
      </c>
      <c r="X63" s="25">
        <f t="shared" si="3"/>
        <v>104616.01552558712</v>
      </c>
      <c r="Y63" s="25">
        <f t="shared" si="3"/>
        <v>0</v>
      </c>
      <c r="Z63" s="25">
        <f t="shared" si="3"/>
        <v>0</v>
      </c>
      <c r="AA63" s="25">
        <f t="shared" si="3"/>
        <v>0</v>
      </c>
    </row>
    <row r="64" spans="2:27" s="28" customFormat="1" x14ac:dyDescent="0.2">
      <c r="B64" s="20" t="s">
        <v>251</v>
      </c>
      <c r="C64" s="43"/>
      <c r="D64" s="39"/>
      <c r="E64" s="612"/>
      <c r="F64" s="612"/>
      <c r="G64" s="612"/>
      <c r="H64" s="612"/>
      <c r="I64" s="612"/>
      <c r="J64" s="612"/>
      <c r="K64" s="612"/>
      <c r="L64" s="612"/>
      <c r="M64" s="612"/>
      <c r="N64" s="612"/>
      <c r="O64" s="612"/>
      <c r="P64" s="612"/>
      <c r="Q64" s="612"/>
      <c r="R64" s="612"/>
      <c r="S64" s="612"/>
      <c r="T64" s="612"/>
      <c r="U64" s="612"/>
      <c r="V64" s="612"/>
      <c r="W64" s="612"/>
      <c r="X64" s="612"/>
      <c r="Y64" s="612"/>
      <c r="Z64" s="612"/>
      <c r="AA64" s="612"/>
    </row>
    <row r="65" spans="2:27" s="28" customFormat="1" x14ac:dyDescent="0.2">
      <c r="B65" s="20" t="s">
        <v>252</v>
      </c>
      <c r="C65" s="29" t="s">
        <v>371</v>
      </c>
      <c r="D65" s="39">
        <f>SUM(E65:Z65)</f>
        <v>0</v>
      </c>
      <c r="E65" s="50">
        <f t="shared" ref="E65:AA65" si="4">ROUND((E63/$D$63)*$D$24,2)</f>
        <v>0</v>
      </c>
      <c r="F65" s="50">
        <f t="shared" si="4"/>
        <v>0</v>
      </c>
      <c r="G65" s="50">
        <f t="shared" si="4"/>
        <v>0</v>
      </c>
      <c r="H65" s="50">
        <f t="shared" si="4"/>
        <v>0</v>
      </c>
      <c r="I65" s="50">
        <f t="shared" si="4"/>
        <v>0</v>
      </c>
      <c r="J65" s="50">
        <f t="shared" si="4"/>
        <v>0</v>
      </c>
      <c r="K65" s="50">
        <f t="shared" si="4"/>
        <v>0</v>
      </c>
      <c r="L65" s="50">
        <f t="shared" si="4"/>
        <v>0</v>
      </c>
      <c r="M65" s="50">
        <f t="shared" si="4"/>
        <v>0</v>
      </c>
      <c r="N65" s="50">
        <f t="shared" si="4"/>
        <v>0</v>
      </c>
      <c r="O65" s="50">
        <f t="shared" si="4"/>
        <v>0</v>
      </c>
      <c r="P65" s="50">
        <f t="shared" si="4"/>
        <v>0</v>
      </c>
      <c r="Q65" s="50">
        <f t="shared" si="4"/>
        <v>0</v>
      </c>
      <c r="R65" s="50">
        <f t="shared" si="4"/>
        <v>0</v>
      </c>
      <c r="S65" s="50">
        <f t="shared" si="4"/>
        <v>0</v>
      </c>
      <c r="T65" s="50">
        <f t="shared" si="4"/>
        <v>0</v>
      </c>
      <c r="U65" s="50">
        <f t="shared" si="4"/>
        <v>0</v>
      </c>
      <c r="V65" s="50">
        <f t="shared" si="4"/>
        <v>0</v>
      </c>
      <c r="W65" s="50">
        <f t="shared" si="4"/>
        <v>0</v>
      </c>
      <c r="X65" s="50">
        <f t="shared" si="4"/>
        <v>0</v>
      </c>
      <c r="Y65" s="50">
        <f t="shared" si="4"/>
        <v>0</v>
      </c>
      <c r="Z65" s="50">
        <f t="shared" si="4"/>
        <v>0</v>
      </c>
      <c r="AA65" s="50">
        <f t="shared" si="4"/>
        <v>0</v>
      </c>
    </row>
    <row r="66" spans="2:27" s="28" customFormat="1" x14ac:dyDescent="0.2">
      <c r="B66" s="20"/>
      <c r="C66" s="29"/>
      <c r="D66" s="39"/>
      <c r="E66" s="50"/>
      <c r="F66" s="50"/>
      <c r="G66" s="50"/>
      <c r="H66" s="50"/>
      <c r="I66" s="50"/>
      <c r="J66" s="50"/>
      <c r="K66" s="50"/>
      <c r="L66" s="50"/>
      <c r="M66" s="50"/>
      <c r="N66" s="50"/>
      <c r="O66" s="50"/>
      <c r="P66" s="50"/>
      <c r="Q66" s="50"/>
      <c r="R66" s="50"/>
      <c r="S66" s="50"/>
      <c r="T66" s="50"/>
      <c r="U66" s="50"/>
      <c r="V66" s="50"/>
      <c r="W66" s="50"/>
      <c r="X66" s="50"/>
      <c r="Y66" s="50"/>
      <c r="Z66" s="50"/>
      <c r="AA66" s="50"/>
    </row>
    <row r="67" spans="2:27" s="28" customFormat="1" x14ac:dyDescent="0.2">
      <c r="B67" s="20"/>
      <c r="C67" s="1130" t="s">
        <v>422</v>
      </c>
      <c r="D67" s="39"/>
      <c r="E67" s="612"/>
      <c r="F67" s="612"/>
      <c r="G67" s="612"/>
      <c r="H67" s="612"/>
      <c r="I67" s="612"/>
      <c r="J67" s="612"/>
      <c r="K67" s="612"/>
      <c r="L67" s="612"/>
      <c r="M67" s="612"/>
      <c r="N67" s="612"/>
      <c r="O67" s="612"/>
      <c r="P67" s="612"/>
      <c r="Q67" s="612"/>
      <c r="R67" s="612"/>
      <c r="S67" s="612"/>
      <c r="T67" s="612"/>
      <c r="U67" s="612"/>
      <c r="V67" s="612"/>
      <c r="W67" s="612"/>
      <c r="X67" s="612"/>
      <c r="Y67" s="612"/>
      <c r="Z67" s="612"/>
      <c r="AA67" s="612"/>
    </row>
    <row r="68" spans="2:27" s="28" customFormat="1" x14ac:dyDescent="0.2">
      <c r="B68" s="20">
        <v>9</v>
      </c>
      <c r="C68" s="43" t="s">
        <v>639</v>
      </c>
      <c r="D68" s="40">
        <f t="shared" ref="D68:AA68" si="5">D63+D65</f>
        <v>6255809.5678384118</v>
      </c>
      <c r="E68" s="25">
        <f t="shared" si="5"/>
        <v>26441.06978399503</v>
      </c>
      <c r="F68" s="25">
        <f t="shared" si="5"/>
        <v>4765.736467318784</v>
      </c>
      <c r="G68" s="25">
        <f t="shared" si="5"/>
        <v>4283352.9556981418</v>
      </c>
      <c r="H68" s="25">
        <f t="shared" si="5"/>
        <v>1250374.4492170836</v>
      </c>
      <c r="I68" s="25">
        <f t="shared" si="5"/>
        <v>17982.061039211887</v>
      </c>
      <c r="J68" s="25">
        <f t="shared" si="5"/>
        <v>25592.344394849475</v>
      </c>
      <c r="K68" s="25">
        <f t="shared" si="5"/>
        <v>195467.25098901973</v>
      </c>
      <c r="L68" s="25">
        <f t="shared" si="5"/>
        <v>49757.399354018693</v>
      </c>
      <c r="M68" s="25">
        <f t="shared" si="5"/>
        <v>0</v>
      </c>
      <c r="N68" s="25">
        <f t="shared" si="5"/>
        <v>0</v>
      </c>
      <c r="O68" s="25">
        <f t="shared" si="5"/>
        <v>24059.265653781353</v>
      </c>
      <c r="P68" s="25">
        <f t="shared" si="5"/>
        <v>0</v>
      </c>
      <c r="Q68" s="25">
        <f t="shared" si="5"/>
        <v>27827.467429268439</v>
      </c>
      <c r="R68" s="25">
        <f t="shared" si="5"/>
        <v>64846.054215845048</v>
      </c>
      <c r="S68" s="25">
        <f t="shared" si="5"/>
        <v>45723.520425170347</v>
      </c>
      <c r="T68" s="25">
        <f t="shared" si="5"/>
        <v>104379.74857398694</v>
      </c>
      <c r="U68" s="25">
        <f t="shared" si="5"/>
        <v>20342.332227781419</v>
      </c>
      <c r="V68" s="25">
        <f t="shared" si="5"/>
        <v>10281.896843352775</v>
      </c>
      <c r="W68" s="25">
        <f t="shared" si="5"/>
        <v>0</v>
      </c>
      <c r="X68" s="25">
        <f t="shared" si="5"/>
        <v>104616.01552558712</v>
      </c>
      <c r="Y68" s="25">
        <f t="shared" si="5"/>
        <v>0</v>
      </c>
      <c r="Z68" s="26">
        <f t="shared" si="5"/>
        <v>0</v>
      </c>
      <c r="AA68" s="26">
        <f t="shared" si="5"/>
        <v>0</v>
      </c>
    </row>
    <row r="69" spans="2:27" s="28" customFormat="1" x14ac:dyDescent="0.2">
      <c r="B69" s="20"/>
      <c r="C69" s="43"/>
      <c r="D69" s="39"/>
      <c r="E69" s="39"/>
      <c r="F69" s="39"/>
      <c r="G69" s="39"/>
      <c r="H69" s="39"/>
      <c r="I69" s="39"/>
      <c r="J69" s="39"/>
      <c r="K69" s="39"/>
      <c r="L69" s="39"/>
      <c r="M69" s="39"/>
      <c r="N69" s="39"/>
      <c r="O69" s="39"/>
      <c r="P69" s="39"/>
      <c r="Q69" s="39"/>
      <c r="R69" s="39"/>
      <c r="S69" s="39"/>
      <c r="T69" s="39"/>
      <c r="U69" s="39"/>
      <c r="V69" s="39"/>
      <c r="W69" s="39"/>
      <c r="X69" s="39"/>
      <c r="Y69" s="39"/>
      <c r="Z69" s="39"/>
      <c r="AA69" s="39"/>
    </row>
    <row r="70" spans="2:27" s="28" customFormat="1" x14ac:dyDescent="0.2">
      <c r="B70" s="20"/>
      <c r="C70" s="43"/>
      <c r="D70" s="39"/>
      <c r="E70" s="612"/>
      <c r="F70" s="39"/>
      <c r="G70" s="39"/>
      <c r="H70" s="39"/>
      <c r="I70" s="39"/>
      <c r="J70" s="39"/>
      <c r="K70" s="39"/>
      <c r="L70" s="39"/>
      <c r="M70" s="39"/>
      <c r="N70" s="39"/>
      <c r="O70" s="39"/>
      <c r="P70" s="39"/>
      <c r="Q70" s="39"/>
      <c r="R70" s="39"/>
      <c r="S70" s="39"/>
      <c r="T70" s="39"/>
      <c r="U70" s="39"/>
      <c r="V70" s="39"/>
      <c r="W70" s="39"/>
      <c r="X70" s="39"/>
      <c r="Y70" s="39"/>
      <c r="Z70" s="39"/>
      <c r="AA70" s="39"/>
    </row>
    <row r="71" spans="2:27" x14ac:dyDescent="0.2">
      <c r="B71" s="3"/>
      <c r="C71" s="1130" t="s">
        <v>422</v>
      </c>
      <c r="D71" s="1139" t="str">
        <f t="shared" ref="D71:AA71" si="6">D11</f>
        <v>RATE SCHEDULE</v>
      </c>
      <c r="E71" s="1139" t="str">
        <f t="shared" si="6"/>
        <v>01R</v>
      </c>
      <c r="F71" s="1139" t="str">
        <f t="shared" si="6"/>
        <v>01C</v>
      </c>
      <c r="G71" s="1139" t="str">
        <f t="shared" si="6"/>
        <v>02R</v>
      </c>
      <c r="H71" s="1139" t="str">
        <f t="shared" si="6"/>
        <v>03C</v>
      </c>
      <c r="I71" s="1139" t="str">
        <f t="shared" si="6"/>
        <v>03I</v>
      </c>
      <c r="J71" s="1139" t="str">
        <f t="shared" si="6"/>
        <v>27R</v>
      </c>
      <c r="K71" s="1139" t="str">
        <f t="shared" si="6"/>
        <v>41CFS</v>
      </c>
      <c r="L71" s="1139" t="str">
        <f t="shared" si="6"/>
        <v>41IFS</v>
      </c>
      <c r="M71" s="1139" t="str">
        <f t="shared" si="6"/>
        <v>41CIS</v>
      </c>
      <c r="N71" s="1139" t="str">
        <f t="shared" si="6"/>
        <v>41IIS</v>
      </c>
      <c r="O71" s="1139" t="str">
        <f t="shared" si="6"/>
        <v>41CTF</v>
      </c>
      <c r="P71" s="1139" t="str">
        <f t="shared" si="6"/>
        <v>41ITF</v>
      </c>
      <c r="Q71" s="1139" t="str">
        <f t="shared" si="6"/>
        <v>42CFS</v>
      </c>
      <c r="R71" s="1139" t="str">
        <f t="shared" si="6"/>
        <v>42IFS</v>
      </c>
      <c r="S71" s="1139" t="str">
        <f t="shared" si="6"/>
        <v>42CFT</v>
      </c>
      <c r="T71" s="1139" t="str">
        <f t="shared" si="6"/>
        <v>42IFT</v>
      </c>
      <c r="U71" s="1139" t="str">
        <f t="shared" si="6"/>
        <v>42CIS</v>
      </c>
      <c r="V71" s="1139" t="str">
        <f t="shared" si="6"/>
        <v>42IIS</v>
      </c>
      <c r="W71" s="1139" t="str">
        <f t="shared" si="6"/>
        <v>42CIT</v>
      </c>
      <c r="X71" s="1139" t="str">
        <f t="shared" si="6"/>
        <v>42IIT</v>
      </c>
      <c r="Y71" s="1139" t="str">
        <f t="shared" si="6"/>
        <v>43 FT</v>
      </c>
      <c r="Z71" s="1139" t="str">
        <f t="shared" si="6"/>
        <v>43 IT</v>
      </c>
      <c r="AA71" s="1139" t="str">
        <f t="shared" si="6"/>
        <v>Special</v>
      </c>
    </row>
    <row r="72" spans="2:27" x14ac:dyDescent="0.2">
      <c r="B72" s="3">
        <v>10</v>
      </c>
      <c r="C72" s="10" t="s">
        <v>638</v>
      </c>
      <c r="D72" s="1125">
        <f t="shared" ref="D72:AA72" si="7">D14+D$68</f>
        <v>84589264.229976639</v>
      </c>
      <c r="E72" s="1125">
        <f t="shared" si="7"/>
        <v>310132.20190141117</v>
      </c>
      <c r="F72" s="1125">
        <f t="shared" si="7"/>
        <v>58637.117289221067</v>
      </c>
      <c r="G72" s="1125">
        <f t="shared" si="7"/>
        <v>57291550.545395687</v>
      </c>
      <c r="H72" s="1125">
        <f t="shared" si="7"/>
        <v>17362381.518050492</v>
      </c>
      <c r="I72" s="1125">
        <f t="shared" si="7"/>
        <v>259025.78609111346</v>
      </c>
      <c r="J72" s="1125">
        <f t="shared" si="7"/>
        <v>388810.54877286789</v>
      </c>
      <c r="K72" s="1125">
        <f t="shared" si="7"/>
        <v>3049303.4263040563</v>
      </c>
      <c r="L72" s="1125">
        <f t="shared" si="7"/>
        <v>797023.67982191825</v>
      </c>
      <c r="M72" s="1125">
        <f t="shared" si="7"/>
        <v>0</v>
      </c>
      <c r="N72" s="1125">
        <f t="shared" si="7"/>
        <v>0</v>
      </c>
      <c r="O72" s="1125">
        <f t="shared" si="7"/>
        <v>213900.60374378139</v>
      </c>
      <c r="P72" s="1125">
        <f t="shared" si="7"/>
        <v>0</v>
      </c>
      <c r="Q72" s="1125">
        <f t="shared" si="7"/>
        <v>498016.0682690877</v>
      </c>
      <c r="R72" s="1125">
        <f t="shared" si="7"/>
        <v>1219804.4335537362</v>
      </c>
      <c r="S72" s="1125">
        <f t="shared" si="7"/>
        <v>406508.19376517035</v>
      </c>
      <c r="T72" s="1125">
        <f t="shared" si="7"/>
        <v>927995.54067398689</v>
      </c>
      <c r="U72" s="1125">
        <f t="shared" si="7"/>
        <v>451070.94410737127</v>
      </c>
      <c r="V72" s="1125">
        <f t="shared" si="7"/>
        <v>182012.93143934454</v>
      </c>
      <c r="W72" s="1125">
        <f t="shared" si="7"/>
        <v>0</v>
      </c>
      <c r="X72" s="1125">
        <f t="shared" si="7"/>
        <v>930096.08872558712</v>
      </c>
      <c r="Y72" s="1125">
        <f t="shared" si="7"/>
        <v>0</v>
      </c>
      <c r="Z72" s="1125">
        <f t="shared" si="7"/>
        <v>0</v>
      </c>
      <c r="AA72" s="1125">
        <f t="shared" si="7"/>
        <v>242994.60207180592</v>
      </c>
    </row>
    <row r="73" spans="2:27" x14ac:dyDescent="0.2">
      <c r="B73" s="3">
        <v>11</v>
      </c>
      <c r="C73" s="8" t="s">
        <v>153</v>
      </c>
      <c r="D73" s="1126">
        <f>IFERROR((D72-D14-$AA$14)/(D14-$AA$14),0)</f>
        <v>7.6998073274784279E-2</v>
      </c>
      <c r="E73" s="1126">
        <f t="shared" ref="E73:AA73" si="8">IFERROR((E72-E14)/E14,0)</f>
        <v>9.3203723312195119E-2</v>
      </c>
      <c r="F73" s="1126">
        <f t="shared" si="8"/>
        <v>8.8465088412606585E-2</v>
      </c>
      <c r="G73" s="1126">
        <f t="shared" si="8"/>
        <v>8.0805481990782399E-2</v>
      </c>
      <c r="H73" s="1126">
        <f t="shared" si="8"/>
        <v>7.7605132859938378E-2</v>
      </c>
      <c r="I73" s="1126">
        <f t="shared" si="8"/>
        <v>7.4600826200059756E-2</v>
      </c>
      <c r="J73" s="1126">
        <f t="shared" si="8"/>
        <v>7.0459971681965397E-2</v>
      </c>
      <c r="K73" s="1126">
        <f t="shared" si="8"/>
        <v>6.8492807218494989E-2</v>
      </c>
      <c r="L73" s="1126">
        <f t="shared" si="8"/>
        <v>6.6585902046675013E-2</v>
      </c>
      <c r="M73" s="1126">
        <f t="shared" si="8"/>
        <v>0</v>
      </c>
      <c r="N73" s="1126">
        <f t="shared" si="8"/>
        <v>0</v>
      </c>
      <c r="O73" s="1126">
        <f t="shared" si="8"/>
        <v>0.12673354442105406</v>
      </c>
      <c r="P73" s="1126">
        <f t="shared" si="8"/>
        <v>0</v>
      </c>
      <c r="Q73" s="1126">
        <f t="shared" si="8"/>
        <v>5.9183628398402077E-2</v>
      </c>
      <c r="R73" s="1126">
        <f t="shared" si="8"/>
        <v>5.6145793109029243E-2</v>
      </c>
      <c r="S73" s="1126">
        <f t="shared" si="8"/>
        <v>0.12673354442105406</v>
      </c>
      <c r="T73" s="1126">
        <f t="shared" si="8"/>
        <v>0.126733544421054</v>
      </c>
      <c r="U73" s="1126">
        <f t="shared" si="8"/>
        <v>4.7227724527081363E-2</v>
      </c>
      <c r="V73" s="1126">
        <f t="shared" si="8"/>
        <v>5.9872095148914589E-2</v>
      </c>
      <c r="W73" s="1126">
        <f t="shared" si="8"/>
        <v>0</v>
      </c>
      <c r="X73" s="1126">
        <f t="shared" si="8"/>
        <v>0.12673354442105403</v>
      </c>
      <c r="Y73" s="1126">
        <f t="shared" si="8"/>
        <v>0</v>
      </c>
      <c r="Z73" s="1126">
        <f t="shared" si="8"/>
        <v>0</v>
      </c>
      <c r="AA73" s="1126">
        <f t="shared" si="8"/>
        <v>0</v>
      </c>
    </row>
    <row r="74" spans="2:27" x14ac:dyDescent="0.2">
      <c r="B74" s="3">
        <v>12</v>
      </c>
      <c r="C74" s="8" t="s">
        <v>637</v>
      </c>
      <c r="D74" s="1127">
        <f t="shared" ref="D74:AA74" si="9">D15+D$68</f>
        <v>55860712.229976639</v>
      </c>
      <c r="E74" s="1127">
        <f t="shared" si="9"/>
        <v>235076.20190141111</v>
      </c>
      <c r="F74" s="1127">
        <f t="shared" si="9"/>
        <v>42370.117289221067</v>
      </c>
      <c r="G74" s="1127">
        <f t="shared" si="9"/>
        <v>38081452.545395687</v>
      </c>
      <c r="H74" s="1127">
        <f t="shared" si="9"/>
        <v>11116542.518050492</v>
      </c>
      <c r="I74" s="1127">
        <f t="shared" si="9"/>
        <v>159870.78609111346</v>
      </c>
      <c r="J74" s="1127">
        <f t="shared" si="9"/>
        <v>227530.5487728678</v>
      </c>
      <c r="K74" s="1127">
        <f t="shared" si="9"/>
        <v>1737815.4263040556</v>
      </c>
      <c r="L74" s="1127">
        <f t="shared" si="9"/>
        <v>442371.67982191808</v>
      </c>
      <c r="M74" s="1127">
        <f t="shared" si="9"/>
        <v>0</v>
      </c>
      <c r="N74" s="1127">
        <f t="shared" si="9"/>
        <v>0</v>
      </c>
      <c r="O74" s="1127">
        <f t="shared" si="9"/>
        <v>213900.60374378139</v>
      </c>
      <c r="P74" s="1127">
        <f t="shared" si="9"/>
        <v>0</v>
      </c>
      <c r="Q74" s="1127">
        <f t="shared" si="9"/>
        <v>247402.0682690877</v>
      </c>
      <c r="R74" s="1127">
        <f t="shared" si="9"/>
        <v>576518.43355373631</v>
      </c>
      <c r="S74" s="1127">
        <f t="shared" si="9"/>
        <v>406508.19376517035</v>
      </c>
      <c r="T74" s="1127">
        <f t="shared" si="9"/>
        <v>927995.54067398689</v>
      </c>
      <c r="U74" s="1127">
        <f t="shared" si="9"/>
        <v>180854.94410737138</v>
      </c>
      <c r="V74" s="1127">
        <f t="shared" si="9"/>
        <v>91411.931439344567</v>
      </c>
      <c r="W74" s="1127">
        <f t="shared" si="9"/>
        <v>0</v>
      </c>
      <c r="X74" s="1127">
        <f t="shared" si="9"/>
        <v>930096.08872558712</v>
      </c>
      <c r="Y74" s="1127">
        <f t="shared" si="9"/>
        <v>0</v>
      </c>
      <c r="Z74" s="1127">
        <f t="shared" si="9"/>
        <v>0</v>
      </c>
      <c r="AA74" s="1127">
        <f t="shared" si="9"/>
        <v>242994.60207180592</v>
      </c>
    </row>
    <row r="75" spans="2:27" x14ac:dyDescent="0.2">
      <c r="B75" s="3">
        <v>13</v>
      </c>
      <c r="C75" s="8" t="s">
        <v>154</v>
      </c>
      <c r="D75" s="1128">
        <f>IFERROR(D68/(D15-AA15),0)</f>
        <v>0.12673354442105403</v>
      </c>
      <c r="E75" s="1128">
        <f t="shared" ref="E75:AA75" si="10">IFERROR(E68/E15,0)</f>
        <v>0.12673354442105403</v>
      </c>
      <c r="F75" s="1128">
        <f t="shared" si="10"/>
        <v>0.126733544421054</v>
      </c>
      <c r="G75" s="1128">
        <f t="shared" si="10"/>
        <v>0.12673354442105403</v>
      </c>
      <c r="H75" s="1128">
        <f t="shared" si="10"/>
        <v>0.12673354442105403</v>
      </c>
      <c r="I75" s="1128">
        <f t="shared" si="10"/>
        <v>0.12673354442105403</v>
      </c>
      <c r="J75" s="1128">
        <f t="shared" si="10"/>
        <v>0.12673354442105403</v>
      </c>
      <c r="K75" s="1128">
        <f t="shared" si="10"/>
        <v>0.12673354442105403</v>
      </c>
      <c r="L75" s="1128">
        <f t="shared" si="10"/>
        <v>0.12673354442105403</v>
      </c>
      <c r="M75" s="1128">
        <f t="shared" si="10"/>
        <v>0</v>
      </c>
      <c r="N75" s="1128">
        <f t="shared" si="10"/>
        <v>0</v>
      </c>
      <c r="O75" s="1128">
        <f t="shared" si="10"/>
        <v>0.126733544421054</v>
      </c>
      <c r="P75" s="1128">
        <f t="shared" si="10"/>
        <v>0</v>
      </c>
      <c r="Q75" s="1128">
        <f t="shared" si="10"/>
        <v>0.12673354442105403</v>
      </c>
      <c r="R75" s="1128">
        <f t="shared" si="10"/>
        <v>0.12673354442105403</v>
      </c>
      <c r="S75" s="1128">
        <f t="shared" si="10"/>
        <v>0.126733544421054</v>
      </c>
      <c r="T75" s="1128">
        <f t="shared" si="10"/>
        <v>0.12673354442105403</v>
      </c>
      <c r="U75" s="1128">
        <f t="shared" si="10"/>
        <v>0.12673354442105403</v>
      </c>
      <c r="V75" s="1128">
        <f t="shared" si="10"/>
        <v>0.12673354442105403</v>
      </c>
      <c r="W75" s="1128">
        <f t="shared" si="10"/>
        <v>0</v>
      </c>
      <c r="X75" s="1128">
        <f t="shared" si="10"/>
        <v>0.12673354442105403</v>
      </c>
      <c r="Y75" s="1128">
        <f t="shared" si="10"/>
        <v>0</v>
      </c>
      <c r="Z75" s="1128">
        <f t="shared" si="10"/>
        <v>0</v>
      </c>
      <c r="AA75" s="1128">
        <f t="shared" si="10"/>
        <v>0</v>
      </c>
    </row>
    <row r="76" spans="2:27" x14ac:dyDescent="0.2">
      <c r="B76" s="3">
        <v>14</v>
      </c>
      <c r="C76" s="8" t="s">
        <v>156</v>
      </c>
      <c r="D76" s="1129">
        <f>IF(ISERROR(D42/D18),$D$80,(D42/D18))</f>
        <v>0.18016996345459338</v>
      </c>
      <c r="E76" s="1129">
        <f t="shared" ref="E76:X76" si="11">IF(ISERROR(E42/E18),$D$80,(E42/E18))</f>
        <v>0.19548407392050854</v>
      </c>
      <c r="F76" s="1129">
        <f t="shared" si="11"/>
        <v>0.15033588488055699</v>
      </c>
      <c r="G76" s="1129">
        <f t="shared" si="11"/>
        <v>0.18269710506172165</v>
      </c>
      <c r="H76" s="1129">
        <f t="shared" si="11"/>
        <v>0.169384607237999</v>
      </c>
      <c r="I76" s="1129">
        <f t="shared" si="11"/>
        <v>0.14720156829288875</v>
      </c>
      <c r="J76" s="1129">
        <f t="shared" si="11"/>
        <v>0.2472974722369761</v>
      </c>
      <c r="K76" s="1129">
        <f t="shared" si="11"/>
        <v>0.17312689404374293</v>
      </c>
      <c r="L76" s="1129">
        <f t="shared" si="11"/>
        <v>0.16505645091550003</v>
      </c>
      <c r="M76" s="1129">
        <f t="shared" si="11"/>
        <v>0.12673354442105403</v>
      </c>
      <c r="N76" s="1129">
        <f t="shared" si="11"/>
        <v>0.12673354442105403</v>
      </c>
      <c r="O76" s="1129">
        <f t="shared" si="11"/>
        <v>0.18151512312365903</v>
      </c>
      <c r="P76" s="1129">
        <f t="shared" si="11"/>
        <v>0.12673354442105403</v>
      </c>
      <c r="Q76" s="1129">
        <f t="shared" si="11"/>
        <v>0.2948126523741853</v>
      </c>
      <c r="R76" s="1129">
        <f t="shared" si="11"/>
        <v>0.27159446345794847</v>
      </c>
      <c r="S76" s="1129">
        <f t="shared" si="11"/>
        <v>0.18419137874158276</v>
      </c>
      <c r="T76" s="1129">
        <f t="shared" si="11"/>
        <v>0.18463573425748889</v>
      </c>
      <c r="U76" s="1129">
        <f t="shared" si="11"/>
        <v>0.19516376100968005</v>
      </c>
      <c r="V76" s="1129">
        <f t="shared" si="11"/>
        <v>0.25263448992323245</v>
      </c>
      <c r="W76" s="1129">
        <f t="shared" si="11"/>
        <v>0.12673354442105403</v>
      </c>
      <c r="X76" s="1129">
        <f t="shared" si="11"/>
        <v>0.16158420205746071</v>
      </c>
      <c r="Y76" s="1129">
        <v>0</v>
      </c>
      <c r="Z76" s="1129">
        <v>0</v>
      </c>
      <c r="AA76" s="1129">
        <v>0</v>
      </c>
    </row>
    <row r="77" spans="2:27" x14ac:dyDescent="0.2">
      <c r="B77" s="3"/>
      <c r="C77" s="1148" t="s">
        <v>477</v>
      </c>
      <c r="D77" s="30"/>
      <c r="E77" s="30"/>
      <c r="F77" s="30"/>
      <c r="G77" s="30"/>
      <c r="H77" s="30"/>
      <c r="I77" s="30"/>
      <c r="J77" s="30"/>
      <c r="K77" s="30"/>
      <c r="L77" s="30"/>
      <c r="M77" s="30"/>
      <c r="N77" s="30"/>
      <c r="O77" s="30"/>
      <c r="P77" s="30"/>
      <c r="Q77" s="30"/>
      <c r="R77" s="30"/>
      <c r="S77" s="30"/>
      <c r="T77" s="30"/>
      <c r="U77" s="30"/>
      <c r="V77" s="30"/>
      <c r="W77" s="30"/>
      <c r="X77" s="30"/>
      <c r="Y77" s="30"/>
      <c r="Z77" s="30"/>
      <c r="AA77" s="30"/>
    </row>
    <row r="78" spans="2:27" x14ac:dyDescent="0.2">
      <c r="B78" s="3">
        <v>15</v>
      </c>
      <c r="C78" s="8" t="s">
        <v>156</v>
      </c>
      <c r="D78" s="1129">
        <f>IF(ISERROR(D68/D18),$D$80,(D68/D18))</f>
        <v>0.167772946084952</v>
      </c>
      <c r="E78" s="1129">
        <f t="shared" ref="E78:X78" si="12">IF(ISERROR(E68/E18),$D$80,(E68/E18))</f>
        <v>0.18203333322314724</v>
      </c>
      <c r="F78" s="1129">
        <f t="shared" si="12"/>
        <v>0.13999167133680299</v>
      </c>
      <c r="G78" s="1129">
        <f t="shared" si="12"/>
        <v>0.17012620178014246</v>
      </c>
      <c r="H78" s="1129">
        <f t="shared" si="12"/>
        <v>0.15772970162656197</v>
      </c>
      <c r="I78" s="1129">
        <f t="shared" si="12"/>
        <v>0.1370730187612389</v>
      </c>
      <c r="J78" s="1129">
        <f t="shared" si="12"/>
        <v>0.23028158901200768</v>
      </c>
      <c r="K78" s="1129">
        <f t="shared" si="12"/>
        <v>0.16121449160184956</v>
      </c>
      <c r="L78" s="1129">
        <f t="shared" si="12"/>
        <v>0.15369935426222522</v>
      </c>
      <c r="M78" s="1129">
        <f t="shared" si="12"/>
        <v>0.12673354442105403</v>
      </c>
      <c r="N78" s="1129">
        <f t="shared" si="12"/>
        <v>0.12673354442105403</v>
      </c>
      <c r="O78" s="1129">
        <f t="shared" si="12"/>
        <v>0.16902554888458948</v>
      </c>
      <c r="P78" s="1129">
        <f t="shared" si="12"/>
        <v>0.12673354442105403</v>
      </c>
      <c r="Q78" s="1129">
        <f t="shared" si="12"/>
        <v>0.27452737561553237</v>
      </c>
      <c r="R78" s="1129">
        <f t="shared" si="12"/>
        <v>0.25290676870334999</v>
      </c>
      <c r="S78" s="1129">
        <f t="shared" si="12"/>
        <v>0.17151765845094696</v>
      </c>
      <c r="T78" s="1129">
        <f t="shared" si="12"/>
        <v>0.17193143904224659</v>
      </c>
      <c r="U78" s="1129">
        <f t="shared" si="12"/>
        <v>0.18173506019423427</v>
      </c>
      <c r="V78" s="1129">
        <f t="shared" si="12"/>
        <v>0.23525138066518958</v>
      </c>
      <c r="W78" s="1129">
        <f t="shared" si="12"/>
        <v>0.12673354442105403</v>
      </c>
      <c r="X78" s="1129">
        <f t="shared" si="12"/>
        <v>0.15046602163960868</v>
      </c>
      <c r="Y78" s="1129">
        <v>0</v>
      </c>
      <c r="Z78" s="1129">
        <v>0</v>
      </c>
      <c r="AA78" s="1129">
        <v>0</v>
      </c>
    </row>
    <row r="79" spans="2:27" x14ac:dyDescent="0.2">
      <c r="B79" s="3"/>
      <c r="C79" s="1148" t="s">
        <v>478</v>
      </c>
      <c r="D79" s="30"/>
      <c r="E79" s="30"/>
      <c r="F79" s="30"/>
      <c r="G79" s="30"/>
      <c r="H79" s="30"/>
      <c r="I79" s="30"/>
      <c r="J79" s="30"/>
      <c r="K79" s="30"/>
      <c r="L79" s="30"/>
      <c r="M79" s="30"/>
      <c r="N79" s="30"/>
      <c r="O79" s="30"/>
      <c r="P79" s="30"/>
      <c r="Q79" s="30"/>
      <c r="R79" s="30"/>
      <c r="S79" s="30"/>
      <c r="T79" s="30"/>
      <c r="U79" s="30"/>
      <c r="V79" s="30"/>
      <c r="W79" s="30"/>
      <c r="X79" s="30"/>
      <c r="Y79" s="30"/>
      <c r="Z79" s="30"/>
      <c r="AA79" s="30"/>
    </row>
    <row r="80" spans="2:27" x14ac:dyDescent="0.2">
      <c r="B80" s="3"/>
      <c r="C80" s="1124" t="s">
        <v>457</v>
      </c>
      <c r="D80" s="30">
        <f>D75</f>
        <v>0.12673354442105403</v>
      </c>
      <c r="E80" s="1140" t="s">
        <v>466</v>
      </c>
      <c r="F80" s="30"/>
      <c r="G80" s="30"/>
      <c r="H80" s="30"/>
      <c r="I80" s="30"/>
      <c r="J80" s="30"/>
      <c r="K80" s="30"/>
      <c r="L80" s="30"/>
      <c r="M80" s="30"/>
      <c r="N80" s="30"/>
      <c r="O80" s="30"/>
      <c r="P80" s="30"/>
      <c r="Q80" s="30"/>
      <c r="R80" s="30"/>
      <c r="S80" s="30"/>
      <c r="T80" s="30"/>
      <c r="U80" s="30"/>
      <c r="V80" s="30"/>
      <c r="W80" s="30"/>
      <c r="X80" s="30"/>
      <c r="Y80" s="30"/>
      <c r="Z80" s="30"/>
      <c r="AA80" s="30"/>
    </row>
    <row r="81" spans="2:27" x14ac:dyDescent="0.2">
      <c r="B81" s="3"/>
      <c r="C81" s="1124"/>
      <c r="D81" s="30"/>
      <c r="E81" s="1140"/>
      <c r="F81" s="30"/>
      <c r="G81" s="30"/>
      <c r="H81" s="30"/>
      <c r="I81" s="30"/>
      <c r="J81" s="30"/>
      <c r="K81" s="30"/>
      <c r="L81" s="30"/>
      <c r="M81" s="30"/>
      <c r="N81" s="30"/>
      <c r="O81" s="30"/>
      <c r="P81" s="30"/>
      <c r="Q81" s="30"/>
      <c r="R81" s="30"/>
      <c r="S81" s="30"/>
      <c r="T81" s="30"/>
      <c r="U81" s="30"/>
      <c r="V81" s="30"/>
      <c r="W81" s="30"/>
      <c r="X81" s="30"/>
      <c r="Y81" s="30"/>
      <c r="Z81" s="30"/>
      <c r="AA81" s="30"/>
    </row>
    <row r="82" spans="2:27" x14ac:dyDescent="0.2">
      <c r="D82" s="554"/>
      <c r="E82" s="554"/>
      <c r="F82" s="554"/>
      <c r="G82" s="554"/>
      <c r="H82" s="554"/>
      <c r="I82" s="554"/>
      <c r="J82" s="554"/>
      <c r="K82" s="554"/>
      <c r="L82" s="554"/>
      <c r="M82" s="554"/>
      <c r="N82" s="554"/>
      <c r="O82" s="554"/>
      <c r="P82" s="554"/>
      <c r="Q82" s="554"/>
      <c r="R82" s="554"/>
      <c r="S82" s="554"/>
      <c r="T82" s="554"/>
      <c r="U82" s="554"/>
      <c r="V82" s="554"/>
      <c r="W82" s="554"/>
      <c r="X82" s="554"/>
      <c r="Y82" s="554"/>
      <c r="Z82" s="554"/>
      <c r="AA82" s="554"/>
    </row>
    <row r="83" spans="2:27" x14ac:dyDescent="0.2">
      <c r="D83" s="554"/>
      <c r="E83" s="554"/>
      <c r="F83" s="554"/>
      <c r="G83" s="554"/>
      <c r="H83" s="554"/>
      <c r="I83" s="554"/>
      <c r="J83" s="554"/>
      <c r="K83" s="554"/>
      <c r="L83" s="554"/>
      <c r="M83" s="554"/>
      <c r="N83" s="554"/>
      <c r="O83" s="554"/>
      <c r="P83" s="554"/>
      <c r="Q83" s="554"/>
      <c r="R83" s="554"/>
      <c r="S83" s="554"/>
      <c r="T83" s="554"/>
      <c r="U83" s="554"/>
      <c r="V83" s="554"/>
      <c r="W83" s="554"/>
      <c r="X83" s="554"/>
      <c r="Y83" s="554"/>
      <c r="Z83" s="554"/>
      <c r="AA83" s="554"/>
    </row>
    <row r="84" spans="2:27" x14ac:dyDescent="0.2">
      <c r="B84" s="27" t="s">
        <v>458</v>
      </c>
    </row>
    <row r="86" spans="2:27" x14ac:dyDescent="0.2">
      <c r="B86" s="1120" t="s">
        <v>170</v>
      </c>
      <c r="G86" s="48"/>
      <c r="H86" s="29"/>
    </row>
    <row r="87" spans="2:27" x14ac:dyDescent="0.2">
      <c r="B87" s="18" t="s">
        <v>529</v>
      </c>
      <c r="C87" s="18"/>
      <c r="D87" s="18"/>
      <c r="E87" s="18"/>
      <c r="F87" s="18"/>
      <c r="G87" s="1121"/>
      <c r="H87" s="1122"/>
    </row>
    <row r="88" spans="2:27" x14ac:dyDescent="0.2">
      <c r="B88" s="1119" t="s">
        <v>456</v>
      </c>
      <c r="C88" s="45"/>
      <c r="D88" s="46"/>
      <c r="E88" s="47"/>
      <c r="F88" s="16"/>
    </row>
    <row r="89" spans="2:27" x14ac:dyDescent="0.2">
      <c r="B89" s="1119"/>
      <c r="C89" s="45"/>
      <c r="D89" s="46"/>
      <c r="E89" s="47"/>
      <c r="F89" s="16"/>
    </row>
    <row r="90" spans="2:27" x14ac:dyDescent="0.2">
      <c r="B90" s="3">
        <v>16</v>
      </c>
      <c r="C90" s="45" t="s">
        <v>463</v>
      </c>
      <c r="D90" s="921">
        <f t="shared" ref="D90:AA90" si="13">D15+D68</f>
        <v>55860712.229976639</v>
      </c>
      <c r="E90" s="1503">
        <f t="shared" si="13"/>
        <v>235076.20190141111</v>
      </c>
      <c r="F90" s="1503">
        <f t="shared" si="13"/>
        <v>42370.117289221067</v>
      </c>
      <c r="G90" s="1503">
        <f t="shared" si="13"/>
        <v>38081452.545395687</v>
      </c>
      <c r="H90" s="1503">
        <f t="shared" si="13"/>
        <v>11116542.518050492</v>
      </c>
      <c r="I90" s="1503">
        <f t="shared" si="13"/>
        <v>159870.78609111346</v>
      </c>
      <c r="J90" s="1503">
        <f t="shared" si="13"/>
        <v>227530.5487728678</v>
      </c>
      <c r="K90" s="1503">
        <f t="shared" si="13"/>
        <v>1737815.4263040556</v>
      </c>
      <c r="L90" s="1503">
        <f t="shared" si="13"/>
        <v>442371.67982191808</v>
      </c>
      <c r="M90" s="1503">
        <f t="shared" si="13"/>
        <v>0</v>
      </c>
      <c r="N90" s="1503">
        <f t="shared" si="13"/>
        <v>0</v>
      </c>
      <c r="O90" s="1503">
        <f t="shared" si="13"/>
        <v>213900.60374378139</v>
      </c>
      <c r="P90" s="1503">
        <f t="shared" si="13"/>
        <v>0</v>
      </c>
      <c r="Q90" s="1503">
        <f t="shared" si="13"/>
        <v>247402.0682690877</v>
      </c>
      <c r="R90" s="1503">
        <f t="shared" si="13"/>
        <v>576518.43355373631</v>
      </c>
      <c r="S90" s="1503">
        <f t="shared" si="13"/>
        <v>406508.19376517035</v>
      </c>
      <c r="T90" s="1503">
        <f t="shared" si="13"/>
        <v>927995.54067398689</v>
      </c>
      <c r="U90" s="1503">
        <f t="shared" si="13"/>
        <v>180854.94410737138</v>
      </c>
      <c r="V90" s="1503">
        <f t="shared" si="13"/>
        <v>91411.931439344567</v>
      </c>
      <c r="W90" s="1503">
        <f t="shared" si="13"/>
        <v>0</v>
      </c>
      <c r="X90" s="1503">
        <f t="shared" si="13"/>
        <v>930096.08872558712</v>
      </c>
      <c r="Y90" s="1504">
        <f t="shared" si="13"/>
        <v>0</v>
      </c>
      <c r="Z90" s="1505">
        <f t="shared" si="13"/>
        <v>0</v>
      </c>
      <c r="AA90" s="1505">
        <f t="shared" si="13"/>
        <v>242994.60207180592</v>
      </c>
    </row>
    <row r="91" spans="2:27" x14ac:dyDescent="0.2">
      <c r="B91" s="3"/>
      <c r="C91" s="45"/>
      <c r="D91" s="46"/>
      <c r="E91" s="47"/>
      <c r="F91" s="16"/>
    </row>
    <row r="92" spans="2:27" x14ac:dyDescent="0.2">
      <c r="B92" s="3"/>
      <c r="C92" s="45"/>
      <c r="D92" s="46"/>
      <c r="E92" s="47"/>
      <c r="F92" s="16"/>
    </row>
    <row r="93" spans="2:27" x14ac:dyDescent="0.2">
      <c r="B93" s="3">
        <v>17</v>
      </c>
      <c r="C93" s="8" t="s">
        <v>172</v>
      </c>
      <c r="D93" s="40">
        <f>SUM(E93:Z93)</f>
        <v>3150116.0024598953</v>
      </c>
      <c r="E93" s="25">
        <f>($D$29*(E90/($D$90-$AA$90)))</f>
        <v>13314.413769391931</v>
      </c>
      <c r="F93" s="25">
        <f t="shared" ref="F93:Z93" si="14">($D$29*(F90/($D$90-$AA$15)))</f>
        <v>2399.7889555955503</v>
      </c>
      <c r="G93" s="25">
        <f t="shared" si="14"/>
        <v>2156884.4996972792</v>
      </c>
      <c r="H93" s="25">
        <f t="shared" si="14"/>
        <v>629626.67242869828</v>
      </c>
      <c r="I93" s="25">
        <f t="shared" si="14"/>
        <v>9054.8757315202129</v>
      </c>
      <c r="J93" s="25">
        <f t="shared" si="14"/>
        <v>12887.037679846861</v>
      </c>
      <c r="K93" s="25">
        <f t="shared" si="14"/>
        <v>98427.630927729115</v>
      </c>
      <c r="L93" s="25">
        <f t="shared" si="14"/>
        <v>25055.363058316572</v>
      </c>
      <c r="M93" s="25">
        <f t="shared" si="14"/>
        <v>0</v>
      </c>
      <c r="N93" s="25">
        <f t="shared" si="14"/>
        <v>0</v>
      </c>
      <c r="O93" s="25">
        <f t="shared" si="14"/>
        <v>12115.055121410631</v>
      </c>
      <c r="P93" s="25">
        <f t="shared" si="14"/>
        <v>0</v>
      </c>
      <c r="Q93" s="25">
        <f t="shared" si="14"/>
        <v>14012.534989481685</v>
      </c>
      <c r="R93" s="25">
        <f t="shared" si="14"/>
        <v>32653.262677926807</v>
      </c>
      <c r="S93" s="25">
        <f t="shared" si="14"/>
        <v>23024.101328247372</v>
      </c>
      <c r="T93" s="25">
        <f t="shared" si="14"/>
        <v>52560.474028187338</v>
      </c>
      <c r="U93" s="25">
        <f t="shared" si="14"/>
        <v>10243.391456084857</v>
      </c>
      <c r="V93" s="25">
        <f t="shared" si="14"/>
        <v>5177.454241638462</v>
      </c>
      <c r="W93" s="25">
        <f t="shared" si="14"/>
        <v>0</v>
      </c>
      <c r="X93" s="25">
        <f t="shared" si="14"/>
        <v>52679.446368540295</v>
      </c>
      <c r="Y93" s="25">
        <f t="shared" si="14"/>
        <v>0</v>
      </c>
      <c r="Z93" s="26">
        <f t="shared" si="14"/>
        <v>0</v>
      </c>
      <c r="AA93" s="26">
        <v>0</v>
      </c>
    </row>
    <row r="94" spans="2:27" x14ac:dyDescent="0.2">
      <c r="B94" s="3"/>
      <c r="C94" s="8"/>
      <c r="D94" s="39"/>
      <c r="E94" s="39"/>
      <c r="F94" s="39"/>
      <c r="G94" s="39"/>
      <c r="H94" s="39"/>
      <c r="I94" s="39"/>
      <c r="J94" s="39"/>
      <c r="K94" s="39"/>
      <c r="L94" s="39"/>
      <c r="M94" s="39"/>
      <c r="N94" s="39"/>
      <c r="O94" s="39"/>
      <c r="P94" s="39"/>
      <c r="Q94" s="39"/>
      <c r="R94" s="39"/>
      <c r="S94" s="39"/>
      <c r="T94" s="39"/>
      <c r="U94" s="39"/>
      <c r="V94" s="39"/>
      <c r="W94" s="39"/>
      <c r="X94" s="39"/>
      <c r="Y94" s="39"/>
      <c r="Z94" s="39"/>
      <c r="AA94" s="39"/>
    </row>
    <row r="95" spans="2:27" x14ac:dyDescent="0.2">
      <c r="B95" s="3"/>
      <c r="C95" s="1130" t="s">
        <v>417</v>
      </c>
      <c r="D95" s="39"/>
      <c r="E95" s="39"/>
      <c r="F95" s="39"/>
      <c r="G95" s="39"/>
      <c r="H95" s="39"/>
      <c r="I95" s="39"/>
      <c r="J95" s="39"/>
      <c r="K95" s="39"/>
      <c r="L95" s="39"/>
      <c r="M95" s="39"/>
      <c r="N95" s="39"/>
      <c r="O95" s="39"/>
      <c r="P95" s="39"/>
      <c r="Q95" s="39"/>
      <c r="R95" s="39"/>
      <c r="S95" s="39"/>
      <c r="T95" s="39"/>
      <c r="U95" s="39"/>
      <c r="V95" s="39"/>
      <c r="W95" s="39"/>
      <c r="X95" s="39"/>
      <c r="Y95" s="39"/>
      <c r="Z95" s="39"/>
      <c r="AA95" s="39"/>
    </row>
    <row r="96" spans="2:27" x14ac:dyDescent="0.2">
      <c r="B96" s="3"/>
      <c r="C96" s="43" t="s">
        <v>641</v>
      </c>
    </row>
    <row r="97" spans="2:27" x14ac:dyDescent="0.2">
      <c r="B97" s="3"/>
    </row>
    <row r="98" spans="2:27" x14ac:dyDescent="0.2">
      <c r="B98" s="3"/>
      <c r="C98" s="1130" t="s">
        <v>417</v>
      </c>
      <c r="D98" s="1139" t="str">
        <f t="shared" ref="D98:AA98" si="15">D71</f>
        <v>RATE SCHEDULE</v>
      </c>
      <c r="E98" s="1183" t="str">
        <f t="shared" si="15"/>
        <v>01R</v>
      </c>
      <c r="F98" s="1183" t="str">
        <f t="shared" si="15"/>
        <v>01C</v>
      </c>
      <c r="G98" s="1183" t="str">
        <f t="shared" si="15"/>
        <v>02R</v>
      </c>
      <c r="H98" s="1183" t="str">
        <f t="shared" si="15"/>
        <v>03C</v>
      </c>
      <c r="I98" s="1183" t="str">
        <f t="shared" si="15"/>
        <v>03I</v>
      </c>
      <c r="J98" s="1183" t="str">
        <f t="shared" si="15"/>
        <v>27R</v>
      </c>
      <c r="K98" s="1183" t="str">
        <f t="shared" si="15"/>
        <v>41CFS</v>
      </c>
      <c r="L98" s="1183" t="str">
        <f t="shared" si="15"/>
        <v>41IFS</v>
      </c>
      <c r="M98" s="1183" t="str">
        <f t="shared" si="15"/>
        <v>41CIS</v>
      </c>
      <c r="N98" s="1183" t="str">
        <f t="shared" si="15"/>
        <v>41IIS</v>
      </c>
      <c r="O98" s="1183" t="str">
        <f t="shared" si="15"/>
        <v>41CTF</v>
      </c>
      <c r="P98" s="1183" t="str">
        <f t="shared" si="15"/>
        <v>41ITF</v>
      </c>
      <c r="Q98" s="1183" t="str">
        <f t="shared" si="15"/>
        <v>42CFS</v>
      </c>
      <c r="R98" s="1183" t="str">
        <f t="shared" si="15"/>
        <v>42IFS</v>
      </c>
      <c r="S98" s="1183" t="str">
        <f t="shared" si="15"/>
        <v>42CFT</v>
      </c>
      <c r="T98" s="1183" t="str">
        <f t="shared" si="15"/>
        <v>42IFT</v>
      </c>
      <c r="U98" s="1183" t="str">
        <f t="shared" si="15"/>
        <v>42CIS</v>
      </c>
      <c r="V98" s="1183" t="str">
        <f t="shared" si="15"/>
        <v>42IIS</v>
      </c>
      <c r="W98" s="1183" t="str">
        <f t="shared" si="15"/>
        <v>42CIT</v>
      </c>
      <c r="X98" s="1183" t="str">
        <f t="shared" si="15"/>
        <v>42IIT</v>
      </c>
      <c r="Y98" s="1183" t="str">
        <f t="shared" si="15"/>
        <v>43 FT</v>
      </c>
      <c r="Z98" s="1183" t="str">
        <f t="shared" si="15"/>
        <v>43 IT</v>
      </c>
      <c r="AA98" s="1183" t="str">
        <f t="shared" si="15"/>
        <v>Special</v>
      </c>
    </row>
    <row r="99" spans="2:27" x14ac:dyDescent="0.2">
      <c r="B99" s="3">
        <v>18</v>
      </c>
      <c r="C99" s="10" t="s">
        <v>638</v>
      </c>
      <c r="D99" s="1125">
        <f t="shared" ref="D99:AA99" si="16">D72+D93</f>
        <v>87739380.232436538</v>
      </c>
      <c r="E99" s="1125">
        <f t="shared" si="16"/>
        <v>323446.61567080312</v>
      </c>
      <c r="F99" s="1125">
        <f t="shared" si="16"/>
        <v>61036.906244816615</v>
      </c>
      <c r="G99" s="1125">
        <f t="shared" si="16"/>
        <v>59448435.04509297</v>
      </c>
      <c r="H99" s="1125">
        <f t="shared" si="16"/>
        <v>17992008.190479189</v>
      </c>
      <c r="I99" s="1125">
        <f t="shared" si="16"/>
        <v>268080.6618226337</v>
      </c>
      <c r="J99" s="1125">
        <f t="shared" si="16"/>
        <v>401697.58645271475</v>
      </c>
      <c r="K99" s="1125">
        <f t="shared" si="16"/>
        <v>3147731.0572317853</v>
      </c>
      <c r="L99" s="1125">
        <f t="shared" si="16"/>
        <v>822079.04288023477</v>
      </c>
      <c r="M99" s="1125">
        <f t="shared" si="16"/>
        <v>0</v>
      </c>
      <c r="N99" s="1125">
        <f t="shared" si="16"/>
        <v>0</v>
      </c>
      <c r="O99" s="1125">
        <f t="shared" si="16"/>
        <v>226015.65886519203</v>
      </c>
      <c r="P99" s="1125">
        <f t="shared" si="16"/>
        <v>0</v>
      </c>
      <c r="Q99" s="1125">
        <f t="shared" si="16"/>
        <v>512028.60325856938</v>
      </c>
      <c r="R99" s="1125">
        <f t="shared" si="16"/>
        <v>1252457.696231663</v>
      </c>
      <c r="S99" s="1125">
        <f t="shared" si="16"/>
        <v>429532.29509341775</v>
      </c>
      <c r="T99" s="1125">
        <f t="shared" si="16"/>
        <v>980556.01470217423</v>
      </c>
      <c r="U99" s="1125">
        <f t="shared" si="16"/>
        <v>461314.33556345612</v>
      </c>
      <c r="V99" s="1125">
        <f t="shared" si="16"/>
        <v>187190.38568098299</v>
      </c>
      <c r="W99" s="1125">
        <f t="shared" si="16"/>
        <v>0</v>
      </c>
      <c r="X99" s="1125">
        <f t="shared" si="16"/>
        <v>982775.53509412741</v>
      </c>
      <c r="Y99" s="1125">
        <f t="shared" si="16"/>
        <v>0</v>
      </c>
      <c r="Z99" s="1125">
        <f t="shared" si="16"/>
        <v>0</v>
      </c>
      <c r="AA99" s="1125">
        <f t="shared" si="16"/>
        <v>242994.60207180592</v>
      </c>
    </row>
    <row r="100" spans="2:27" x14ac:dyDescent="0.2">
      <c r="B100" s="3">
        <v>19</v>
      </c>
      <c r="C100" s="8" t="s">
        <v>471</v>
      </c>
      <c r="D100" s="1126">
        <f t="shared" ref="D100:AA100" si="17">IFERROR((D99-D72)/D72,0)</f>
        <v>3.7240139527582795E-2</v>
      </c>
      <c r="E100" s="1126">
        <f t="shared" si="17"/>
        <v>4.2931413402934875E-2</v>
      </c>
      <c r="F100" s="1126">
        <f t="shared" si="17"/>
        <v>4.0926107328210823E-2</v>
      </c>
      <c r="G100" s="1126">
        <f t="shared" si="17"/>
        <v>3.7647514845810436E-2</v>
      </c>
      <c r="H100" s="1126">
        <f t="shared" si="17"/>
        <v>3.6263842709257206E-2</v>
      </c>
      <c r="I100" s="1126">
        <f t="shared" si="17"/>
        <v>3.4957429791700918E-2</v>
      </c>
      <c r="J100" s="1126">
        <f t="shared" si="17"/>
        <v>3.3144773773550851E-2</v>
      </c>
      <c r="K100" s="1126">
        <f t="shared" si="17"/>
        <v>3.2278726373593233E-2</v>
      </c>
      <c r="L100" s="1126">
        <f t="shared" si="17"/>
        <v>3.1436158915522719E-2</v>
      </c>
      <c r="M100" s="1126">
        <f t="shared" si="17"/>
        <v>0</v>
      </c>
      <c r="N100" s="1126">
        <f t="shared" si="17"/>
        <v>0</v>
      </c>
      <c r="O100" s="1126">
        <f t="shared" si="17"/>
        <v>5.6638714007196216E-2</v>
      </c>
      <c r="P100" s="1126">
        <f t="shared" si="17"/>
        <v>0</v>
      </c>
      <c r="Q100" s="1126">
        <f t="shared" si="17"/>
        <v>2.8136712612875842E-2</v>
      </c>
      <c r="R100" s="1126">
        <f t="shared" si="17"/>
        <v>2.6769260530391675E-2</v>
      </c>
      <c r="S100" s="1126">
        <f t="shared" si="17"/>
        <v>5.663871400719625E-2</v>
      </c>
      <c r="T100" s="1126">
        <f t="shared" si="17"/>
        <v>5.6638714007196188E-2</v>
      </c>
      <c r="U100" s="1126">
        <f t="shared" si="17"/>
        <v>2.2709047412387863E-2</v>
      </c>
      <c r="V100" s="1126">
        <f t="shared" si="17"/>
        <v>2.8445529670312612E-2</v>
      </c>
      <c r="W100" s="1126">
        <f t="shared" si="17"/>
        <v>0</v>
      </c>
      <c r="X100" s="1126">
        <f t="shared" si="17"/>
        <v>5.6638714007196174E-2</v>
      </c>
      <c r="Y100" s="1126">
        <f t="shared" si="17"/>
        <v>0</v>
      </c>
      <c r="Z100" s="1126">
        <f t="shared" si="17"/>
        <v>0</v>
      </c>
      <c r="AA100" s="1126">
        <f t="shared" si="17"/>
        <v>0</v>
      </c>
    </row>
    <row r="101" spans="2:27" x14ac:dyDescent="0.2">
      <c r="B101" s="3">
        <v>20</v>
      </c>
      <c r="C101" s="8" t="s">
        <v>640</v>
      </c>
      <c r="D101" s="1127">
        <f>D90+D$93</f>
        <v>59010828.232436538</v>
      </c>
      <c r="E101" s="1127">
        <f t="shared" ref="E101:AA101" si="18">E90+E$93</f>
        <v>248390.61567080303</v>
      </c>
      <c r="F101" s="1127">
        <f t="shared" si="18"/>
        <v>44769.906244816615</v>
      </c>
      <c r="G101" s="1127">
        <f t="shared" si="18"/>
        <v>40238337.04509297</v>
      </c>
      <c r="H101" s="1127">
        <f t="shared" si="18"/>
        <v>11746169.190479189</v>
      </c>
      <c r="I101" s="1127">
        <f t="shared" si="18"/>
        <v>168925.66182263367</v>
      </c>
      <c r="J101" s="1127">
        <f t="shared" si="18"/>
        <v>240417.58645271466</v>
      </c>
      <c r="K101" s="1127">
        <f t="shared" si="18"/>
        <v>1836243.0572317848</v>
      </c>
      <c r="L101" s="1127">
        <f t="shared" si="18"/>
        <v>467427.04288023466</v>
      </c>
      <c r="M101" s="1127">
        <f t="shared" si="18"/>
        <v>0</v>
      </c>
      <c r="N101" s="1127">
        <f t="shared" si="18"/>
        <v>0</v>
      </c>
      <c r="O101" s="1127">
        <f t="shared" si="18"/>
        <v>226015.65886519203</v>
      </c>
      <c r="P101" s="1127">
        <f t="shared" si="18"/>
        <v>0</v>
      </c>
      <c r="Q101" s="1127">
        <f t="shared" si="18"/>
        <v>261414.60325856938</v>
      </c>
      <c r="R101" s="1127">
        <f t="shared" si="18"/>
        <v>609171.69623166311</v>
      </c>
      <c r="S101" s="1127">
        <f t="shared" si="18"/>
        <v>429532.29509341775</v>
      </c>
      <c r="T101" s="1127">
        <f t="shared" si="18"/>
        <v>980556.01470217423</v>
      </c>
      <c r="U101" s="1127">
        <f t="shared" si="18"/>
        <v>191098.33556345623</v>
      </c>
      <c r="V101" s="1127">
        <f t="shared" si="18"/>
        <v>96589.385680983032</v>
      </c>
      <c r="W101" s="1127">
        <f t="shared" si="18"/>
        <v>0</v>
      </c>
      <c r="X101" s="1127">
        <f t="shared" si="18"/>
        <v>982775.53509412741</v>
      </c>
      <c r="Y101" s="1127">
        <f t="shared" si="18"/>
        <v>0</v>
      </c>
      <c r="Z101" s="1127">
        <f t="shared" si="18"/>
        <v>0</v>
      </c>
      <c r="AA101" s="1127">
        <f t="shared" si="18"/>
        <v>242994.60207180592</v>
      </c>
    </row>
    <row r="102" spans="2:27" x14ac:dyDescent="0.2">
      <c r="B102" s="3">
        <v>21</v>
      </c>
      <c r="C102" s="8" t="s">
        <v>472</v>
      </c>
      <c r="D102" s="1128">
        <f>IFERROR(D93/(D90-AA90),0)</f>
        <v>5.6638714007196181E-2</v>
      </c>
      <c r="E102" s="1128">
        <f t="shared" ref="E102:AA102" si="19">IFERROR(E93/(E90-AB90),0)</f>
        <v>5.6638714007196181E-2</v>
      </c>
      <c r="F102" s="1128">
        <f t="shared" si="19"/>
        <v>5.6638714007196181E-2</v>
      </c>
      <c r="G102" s="1128">
        <f t="shared" si="19"/>
        <v>5.6638714007196174E-2</v>
      </c>
      <c r="H102" s="1128">
        <f t="shared" si="19"/>
        <v>5.6638714007196181E-2</v>
      </c>
      <c r="I102" s="1128">
        <f t="shared" si="19"/>
        <v>5.6638714007196181E-2</v>
      </c>
      <c r="J102" s="1128">
        <f t="shared" si="19"/>
        <v>5.6638714007196181E-2</v>
      </c>
      <c r="K102" s="1128">
        <f t="shared" si="19"/>
        <v>5.6638714007196181E-2</v>
      </c>
      <c r="L102" s="1128">
        <f t="shared" si="19"/>
        <v>5.6638714007196174E-2</v>
      </c>
      <c r="M102" s="1128">
        <f t="shared" si="19"/>
        <v>0</v>
      </c>
      <c r="N102" s="1128">
        <f t="shared" si="19"/>
        <v>0</v>
      </c>
      <c r="O102" s="1128">
        <f t="shared" si="19"/>
        <v>5.6638714007196181E-2</v>
      </c>
      <c r="P102" s="1128">
        <f t="shared" si="19"/>
        <v>0</v>
      </c>
      <c r="Q102" s="1128">
        <f t="shared" si="19"/>
        <v>5.6638714007196188E-2</v>
      </c>
      <c r="R102" s="1128">
        <f t="shared" si="19"/>
        <v>5.6638714007196181E-2</v>
      </c>
      <c r="S102" s="1128">
        <f t="shared" si="19"/>
        <v>5.6638714007196181E-2</v>
      </c>
      <c r="T102" s="1128">
        <f t="shared" si="19"/>
        <v>5.6638714007196188E-2</v>
      </c>
      <c r="U102" s="1128">
        <f t="shared" si="19"/>
        <v>5.6638714007196174E-2</v>
      </c>
      <c r="V102" s="1128">
        <f t="shared" si="19"/>
        <v>5.6638714007196181E-2</v>
      </c>
      <c r="W102" s="1128">
        <f t="shared" si="19"/>
        <v>0</v>
      </c>
      <c r="X102" s="1128">
        <f t="shared" si="19"/>
        <v>5.6638714007196181E-2</v>
      </c>
      <c r="Y102" s="1128">
        <f t="shared" si="19"/>
        <v>0</v>
      </c>
      <c r="Z102" s="1128">
        <f t="shared" si="19"/>
        <v>0</v>
      </c>
      <c r="AA102" s="1128">
        <f t="shared" si="19"/>
        <v>0</v>
      </c>
    </row>
    <row r="103" spans="2:27" x14ac:dyDescent="0.2">
      <c r="B103" s="3">
        <v>22</v>
      </c>
      <c r="C103" s="8" t="s">
        <v>473</v>
      </c>
      <c r="D103" s="1129">
        <f t="shared" ref="D103:X103" si="20">IF(ISERROR(D93/(D18+D68)),$D$105,(D93/(D18+D68)))</f>
        <v>7.2344671348070627E-2</v>
      </c>
      <c r="E103" s="1129">
        <f t="shared" si="20"/>
        <v>7.75468613405291E-2</v>
      </c>
      <c r="F103" s="1129">
        <f t="shared" si="20"/>
        <v>6.1836307338076726E-2</v>
      </c>
      <c r="G103" s="1129">
        <f t="shared" si="20"/>
        <v>7.3211874866796173E-2</v>
      </c>
      <c r="H103" s="1129">
        <f t="shared" si="20"/>
        <v>6.8603983440141195E-2</v>
      </c>
      <c r="I103" s="1129">
        <f t="shared" si="20"/>
        <v>6.0702510097922047E-2</v>
      </c>
      <c r="J103" s="1129">
        <f t="shared" si="20"/>
        <v>9.425355064771021E-2</v>
      </c>
      <c r="K103" s="1129">
        <f t="shared" si="20"/>
        <v>6.9909252409043596E-2</v>
      </c>
      <c r="L103" s="1129">
        <f t="shared" si="20"/>
        <v>6.708453600464144E-2</v>
      </c>
      <c r="M103" s="1129">
        <f t="shared" si="20"/>
        <v>5.6638714007196181E-2</v>
      </c>
      <c r="N103" s="1129">
        <f t="shared" si="20"/>
        <v>5.6638714007196181E-2</v>
      </c>
      <c r="O103" s="1129">
        <f t="shared" si="20"/>
        <v>7.2806705408858363E-2</v>
      </c>
      <c r="P103" s="1129">
        <f t="shared" si="20"/>
        <v>5.6638714007196181E-2</v>
      </c>
      <c r="Q103" s="1129">
        <f t="shared" si="20"/>
        <v>0.10846247670866264</v>
      </c>
      <c r="R103" s="1129">
        <f t="shared" si="20"/>
        <v>0.10164469669064706</v>
      </c>
      <c r="S103" s="1129">
        <f t="shared" si="20"/>
        <v>7.3723004629897462E-2</v>
      </c>
      <c r="T103" s="1129">
        <f t="shared" si="20"/>
        <v>7.3874766300470837E-2</v>
      </c>
      <c r="U103" s="1129">
        <f t="shared" si="20"/>
        <v>7.7439336906058268E-2</v>
      </c>
      <c r="V103" s="1129">
        <f t="shared" si="20"/>
        <v>9.5900276624239944E-2</v>
      </c>
      <c r="W103" s="1129">
        <f t="shared" si="20"/>
        <v>5.6638714007196181E-2</v>
      </c>
      <c r="X103" s="1129">
        <f t="shared" si="20"/>
        <v>6.5857868205439485E-2</v>
      </c>
      <c r="Y103" s="1129">
        <v>0</v>
      </c>
      <c r="Z103" s="1129">
        <v>0</v>
      </c>
      <c r="AA103" s="1129">
        <v>0</v>
      </c>
    </row>
    <row r="104" spans="2:27" x14ac:dyDescent="0.2">
      <c r="B104" s="3">
        <v>23</v>
      </c>
    </row>
    <row r="105" spans="2:27" x14ac:dyDescent="0.2">
      <c r="B105" s="31">
        <v>24</v>
      </c>
      <c r="D105" s="30">
        <f>D102</f>
        <v>5.6638714007196181E-2</v>
      </c>
      <c r="E105" s="1140" t="s">
        <v>466</v>
      </c>
    </row>
    <row r="106" spans="2:27" x14ac:dyDescent="0.2">
      <c r="B106" s="31">
        <v>25</v>
      </c>
    </row>
    <row r="108" spans="2:27" x14ac:dyDescent="0.2">
      <c r="C108" s="29" t="s">
        <v>635</v>
      </c>
    </row>
  </sheetData>
  <customSheetViews>
    <customSheetView guid="{80646397-1CEF-4A79-B348-594AB32B8020}" topLeftCell="C1">
      <pane xSplit="2" ySplit="10" topLeftCell="E68" activePane="bottomRight" state="frozen"/>
      <selection pane="bottomRight" activeCell="E67" sqref="E67"/>
      <pageMargins left="0.5" right="0.5" top="0.5" bottom="0.5" header="0.25" footer="0.25"/>
      <pageSetup scale="51" orientation="portrait" r:id="rId1"/>
      <headerFooter alignWithMargins="0">
        <oddHeader>&amp;RUG 388 - NW Natural/2500
Wyman/WP02</oddHeader>
        <oddFooter xml:space="preserve">&amp;C&amp;F &amp;D &amp;T
&amp;A </oddFooter>
      </headerFooter>
    </customSheetView>
    <customSheetView guid="{37B35166-7378-4B00-BB4E-9E442A0D870E}" topLeftCell="C1">
      <pane xSplit="2" ySplit="10" topLeftCell="E67" activePane="bottomRight" state="frozen"/>
      <selection pane="bottomRight" activeCell="E67" sqref="E67"/>
      <pageMargins left="0.5" right="0.5" top="0.5" bottom="0.5" header="0.25" footer="0.25"/>
      <pageSetup scale="51" orientation="portrait" r:id="rId2"/>
      <headerFooter alignWithMargins="0">
        <oddHeader>&amp;RUG 388 - NW Natural/2500
Wyman/WP02</oddHeader>
        <oddFooter xml:space="preserve">&amp;C&amp;F &amp;D &amp;T
&amp;A </oddFooter>
      </headerFooter>
    </customSheetView>
  </customSheetViews>
  <pageMargins left="0.5" right="0.5" top="0.5" bottom="0.5" header="0.25" footer="0.25"/>
  <pageSetup scale="51" orientation="portrait" r:id="rId3"/>
  <headerFooter alignWithMargins="0">
    <oddHeader>&amp;RExh. RJW-3 Wyman WP1</oddHeader>
    <oddFooter xml:space="preserve">&amp;C&amp;F &amp;D &amp;T
&amp;A </oddFooter>
  </headerFooter>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E66389-B281-44D3-8216-6376AF3EC115}">
  <sheetPr>
    <tabColor theme="9" tint="0.79998168889431442"/>
  </sheetPr>
  <dimension ref="A1:X92"/>
  <sheetViews>
    <sheetView workbookViewId="0">
      <pane xSplit="3" ySplit="16" topLeftCell="D17" activePane="bottomRight" state="frozen"/>
      <selection pane="topRight" activeCell="D1" sqref="D1"/>
      <selection pane="bottomLeft" activeCell="A17" sqref="A17"/>
      <selection pane="bottomRight" activeCell="I33" sqref="I33"/>
    </sheetView>
  </sheetViews>
  <sheetFormatPr defaultColWidth="10.1640625" defaultRowHeight="12.75" x14ac:dyDescent="0.2"/>
  <cols>
    <col min="1" max="1" width="7.33203125" style="529" customWidth="1"/>
    <col min="2" max="2" width="16" style="491" customWidth="1"/>
    <col min="3" max="3" width="10.1640625" style="502"/>
    <col min="4" max="4" width="17.1640625" style="503" customWidth="1"/>
    <col min="5" max="5" width="16.5" style="503" customWidth="1"/>
    <col min="6" max="6" width="17.1640625" style="503" customWidth="1"/>
    <col min="7" max="7" width="17.5" style="503" customWidth="1"/>
    <col min="8" max="8" width="28.6640625" style="503" bestFit="1" customWidth="1"/>
    <col min="9" max="9" width="15.1640625" style="514" customWidth="1"/>
    <col min="10" max="10" width="16.83203125" style="506" customWidth="1"/>
    <col min="11" max="11" width="13.83203125" style="506" customWidth="1"/>
    <col min="12" max="12" width="13.83203125" style="514" customWidth="1"/>
    <col min="13" max="13" width="16.1640625" style="506" customWidth="1"/>
    <col min="14" max="16" width="13.83203125" style="506" customWidth="1"/>
    <col min="17" max="17" width="13.83203125" style="514" customWidth="1"/>
    <col min="18" max="18" width="16.1640625" style="506" customWidth="1"/>
    <col min="19" max="20" width="13.83203125" style="506" customWidth="1"/>
    <col min="21" max="21" width="13.83203125" style="514" customWidth="1"/>
    <col min="22" max="22" width="16.1640625" style="506" customWidth="1"/>
    <col min="23" max="24" width="13.83203125" style="506" customWidth="1"/>
    <col min="25" max="16384" width="10.1640625" style="506"/>
  </cols>
  <sheetData>
    <row r="1" spans="1:24" x14ac:dyDescent="0.2">
      <c r="A1" s="139" t="str">
        <f>+'WA Volumes &amp; Revenues'!A1</f>
        <v>NW Natural</v>
      </c>
      <c r="H1" s="504"/>
      <c r="I1" s="1548"/>
      <c r="J1" s="1548"/>
      <c r="K1" s="495"/>
      <c r="L1" s="505"/>
      <c r="Q1" s="505"/>
      <c r="U1" s="505"/>
    </row>
    <row r="2" spans="1:24" x14ac:dyDescent="0.2">
      <c r="A2" s="139" t="str">
        <f>+'WA Volumes &amp; Revenues'!A2</f>
        <v>Rates &amp; Regulatory Affairs</v>
      </c>
      <c r="H2" s="504"/>
      <c r="I2" s="1550"/>
      <c r="J2" s="1550"/>
      <c r="K2" s="496"/>
      <c r="L2" s="505"/>
      <c r="Q2" s="505"/>
      <c r="U2" s="505"/>
    </row>
    <row r="3" spans="1:24" x14ac:dyDescent="0.2">
      <c r="A3" s="139" t="e">
        <f>+'WA Volumes &amp; Revenues'!#REF!</f>
        <v>#REF!</v>
      </c>
      <c r="H3" s="504"/>
      <c r="I3" s="507"/>
      <c r="J3" s="508"/>
      <c r="K3" s="509"/>
      <c r="L3" s="507"/>
      <c r="Q3" s="507"/>
      <c r="U3" s="507"/>
    </row>
    <row r="4" spans="1:24" x14ac:dyDescent="0.2">
      <c r="A4" s="139" t="str">
        <f>+'WA Volumes &amp; Revenues'!A3</f>
        <v>Test Year Ending September 30, 2020</v>
      </c>
      <c r="H4" s="504"/>
      <c r="I4" s="510"/>
      <c r="J4" s="508"/>
      <c r="K4" s="511"/>
      <c r="L4" s="510"/>
      <c r="M4" s="512"/>
      <c r="Q4" s="510"/>
      <c r="R4" s="512"/>
      <c r="U4" s="510"/>
      <c r="V4" s="512"/>
    </row>
    <row r="5" spans="1:24" x14ac:dyDescent="0.2">
      <c r="A5" s="435" t="s">
        <v>194</v>
      </c>
      <c r="D5" s="502"/>
      <c r="E5" s="502"/>
      <c r="F5" s="502"/>
      <c r="G5" s="502"/>
      <c r="H5" s="504"/>
      <c r="I5" s="507"/>
      <c r="K5" s="511"/>
      <c r="L5" s="507"/>
      <c r="M5" s="512"/>
      <c r="Q5" s="507"/>
      <c r="R5" s="512"/>
      <c r="U5" s="507"/>
      <c r="V5" s="512"/>
    </row>
    <row r="6" spans="1:24" x14ac:dyDescent="0.2">
      <c r="A6" s="55">
        <f>'WA Volumes &amp; Revenues'!A7</f>
        <v>0</v>
      </c>
      <c r="D6" s="502"/>
      <c r="E6" s="502"/>
      <c r="F6" s="502"/>
      <c r="G6" s="502"/>
      <c r="H6" s="504"/>
      <c r="I6" s="507"/>
      <c r="K6" s="338"/>
      <c r="L6" s="338"/>
      <c r="M6" s="338"/>
      <c r="N6" s="338"/>
      <c r="O6" s="338"/>
      <c r="P6" s="338"/>
      <c r="Q6" s="507"/>
      <c r="U6" s="507"/>
    </row>
    <row r="7" spans="1:24" x14ac:dyDescent="0.2">
      <c r="D7" s="502"/>
      <c r="E7" s="502"/>
      <c r="F7" s="502"/>
      <c r="G7" s="502"/>
      <c r="H7" s="504"/>
      <c r="I7" s="507"/>
      <c r="K7" s="513"/>
      <c r="L7" s="513"/>
      <c r="M7" s="513"/>
      <c r="N7" s="513"/>
      <c r="O7" s="513"/>
      <c r="P7" s="513"/>
      <c r="Q7" s="507"/>
      <c r="S7" s="511"/>
      <c r="U7" s="507"/>
      <c r="W7" s="511"/>
    </row>
    <row r="8" spans="1:24" x14ac:dyDescent="0.2">
      <c r="D8" s="502"/>
      <c r="E8" s="502"/>
      <c r="F8" s="502"/>
      <c r="G8" s="502"/>
      <c r="H8" s="504"/>
      <c r="K8" s="338"/>
      <c r="L8" s="338"/>
      <c r="M8" s="338"/>
      <c r="N8" s="338"/>
      <c r="O8" s="338"/>
      <c r="P8" s="338"/>
      <c r="Q8" s="1548"/>
      <c r="R8" s="1548"/>
      <c r="S8" s="1548"/>
      <c r="U8" s="1548"/>
      <c r="V8" s="1548"/>
      <c r="W8" s="1548"/>
    </row>
    <row r="9" spans="1:24" x14ac:dyDescent="0.2">
      <c r="A9" s="515"/>
      <c r="D9" s="502"/>
      <c r="E9" s="502"/>
      <c r="F9" s="502"/>
      <c r="G9" s="502"/>
      <c r="H9" s="504"/>
      <c r="L9" s="1549"/>
      <c r="M9" s="1549"/>
      <c r="N9" s="1549"/>
      <c r="O9" s="541"/>
      <c r="P9" s="541"/>
      <c r="Q9" s="1550"/>
      <c r="R9" s="1550"/>
      <c r="S9" s="1550"/>
      <c r="U9" s="1550"/>
      <c r="V9" s="1550"/>
      <c r="W9" s="1550"/>
    </row>
    <row r="10" spans="1:24" ht="15" customHeight="1" thickBot="1" x14ac:dyDescent="0.25">
      <c r="A10" s="115">
        <v>1</v>
      </c>
      <c r="D10" s="516"/>
      <c r="E10" s="516"/>
      <c r="F10" s="516"/>
      <c r="G10" s="516"/>
      <c r="H10" s="517"/>
      <c r="I10" s="1551" t="s">
        <v>375</v>
      </c>
      <c r="J10" s="1552"/>
      <c r="K10" s="1553"/>
      <c r="L10" s="1551" t="s">
        <v>375</v>
      </c>
      <c r="M10" s="1552"/>
      <c r="N10" s="1552"/>
      <c r="O10" s="1552"/>
      <c r="P10" s="1553"/>
      <c r="Q10" s="1551" t="s">
        <v>375</v>
      </c>
      <c r="R10" s="1552"/>
      <c r="S10" s="1552"/>
      <c r="T10" s="1552"/>
      <c r="U10" s="1551" t="s">
        <v>375</v>
      </c>
      <c r="V10" s="1552"/>
      <c r="W10" s="1552"/>
      <c r="X10" s="1553"/>
    </row>
    <row r="11" spans="1:24" ht="15" customHeight="1" thickBot="1" x14ac:dyDescent="0.25">
      <c r="A11" s="115">
        <f t="shared" ref="A11:A88" si="0">+A10+1</f>
        <v>2</v>
      </c>
      <c r="D11" s="442" t="s">
        <v>272</v>
      </c>
      <c r="E11" s="518" t="s">
        <v>18</v>
      </c>
      <c r="F11" s="61" t="str">
        <f>D11</f>
        <v>UG XXXXXX</v>
      </c>
      <c r="G11" s="61" t="str">
        <f>F11</f>
        <v>UG XXXXXX</v>
      </c>
      <c r="H11" s="519" t="s">
        <v>29</v>
      </c>
      <c r="I11" s="918"/>
      <c r="J11" s="521" t="s">
        <v>180</v>
      </c>
      <c r="K11" s="522"/>
      <c r="L11" s="523"/>
      <c r="M11" s="521" t="s">
        <v>180</v>
      </c>
      <c r="N11" s="521"/>
      <c r="O11" s="521"/>
      <c r="P11" s="521"/>
      <c r="Q11" s="520"/>
      <c r="R11" s="521" t="s">
        <v>180</v>
      </c>
      <c r="S11" s="521"/>
      <c r="T11" s="522"/>
      <c r="U11" s="520"/>
      <c r="V11" s="521" t="s">
        <v>180</v>
      </c>
      <c r="W11" s="521"/>
      <c r="X11" s="522"/>
    </row>
    <row r="12" spans="1:24" ht="15" customHeight="1" thickBot="1" x14ac:dyDescent="0.25">
      <c r="A12" s="115">
        <f t="shared" si="0"/>
        <v>3</v>
      </c>
      <c r="D12" s="61" t="s">
        <v>279</v>
      </c>
      <c r="E12" s="144" t="str">
        <f>'Allocation = % of Margin'!G9</f>
        <v>MARGIN</v>
      </c>
      <c r="F12" s="61" t="str">
        <f>D12</f>
        <v>WA GRC</v>
      </c>
      <c r="G12" s="61" t="str">
        <f>F12</f>
        <v>WA GRC</v>
      </c>
      <c r="H12" s="519" t="s">
        <v>24</v>
      </c>
      <c r="I12" s="447">
        <v>4.1579999999999999E-2</v>
      </c>
      <c r="J12" s="521" t="str">
        <f>IF(I12="&lt; n/a &gt;","rev sensitive factor is built in","add revenue sensitive factor")</f>
        <v>add revenue sensitive factor</v>
      </c>
      <c r="K12" s="522"/>
      <c r="L12" s="524">
        <f>I12</f>
        <v>4.1579999999999999E-2</v>
      </c>
      <c r="M12" s="521" t="str">
        <f>IF(L12="&lt; n/a &gt;","rev sensitive factor is built in","add revenue sensitive factor")</f>
        <v>add revenue sensitive factor</v>
      </c>
      <c r="N12" s="521"/>
      <c r="O12" s="521"/>
      <c r="P12" s="521"/>
      <c r="Q12" s="447">
        <f>I12</f>
        <v>4.1579999999999999E-2</v>
      </c>
      <c r="R12" s="521" t="str">
        <f>IF(Q12="&lt; n/a &gt;","rev sensitive factor is built in","add revenue sensitive factor")</f>
        <v>add revenue sensitive factor</v>
      </c>
      <c r="S12" s="521"/>
      <c r="T12" s="522"/>
      <c r="U12" s="447">
        <f>I12</f>
        <v>4.1579999999999999E-2</v>
      </c>
      <c r="V12" s="521" t="str">
        <f>IF(U12="&lt; n/a &gt;","rev sensitive factor is built in","add revenue sensitive factor")</f>
        <v>add revenue sensitive factor</v>
      </c>
      <c r="W12" s="521"/>
      <c r="X12" s="522"/>
    </row>
    <row r="13" spans="1:24" s="528" customFormat="1" ht="15" customHeight="1" thickBot="1" x14ac:dyDescent="0.25">
      <c r="A13" s="115">
        <f t="shared" si="0"/>
        <v>4</v>
      </c>
      <c r="B13" s="491"/>
      <c r="C13" s="502"/>
      <c r="D13" s="358" t="s">
        <v>174</v>
      </c>
      <c r="E13" s="451" t="str">
        <f>'Allocation = % of Margin'!G10</f>
        <v>Rate</v>
      </c>
      <c r="F13" s="358" t="s">
        <v>221</v>
      </c>
      <c r="G13" s="358" t="s">
        <v>219</v>
      </c>
      <c r="H13" s="519" t="s">
        <v>25</v>
      </c>
      <c r="I13" s="525">
        <f>IF(I12="&lt; n/a &gt;",I11,ROUND(+I11/(1-I12),0))</f>
        <v>0</v>
      </c>
      <c r="J13" s="523" t="s">
        <v>182</v>
      </c>
      <c r="K13" s="526"/>
      <c r="L13" s="527">
        <f>IF(L12="&lt; n/a &gt;",L11,ROUND(+L11/(1-L12),0))</f>
        <v>0</v>
      </c>
      <c r="M13" s="523" t="s">
        <v>182</v>
      </c>
      <c r="N13" s="523"/>
      <c r="O13" s="523"/>
      <c r="P13" s="523"/>
      <c r="Q13" s="525">
        <f>IF(Q12="&lt; n/a &gt;",Q11,ROUND(+Q11/(1-Q12),0))</f>
        <v>0</v>
      </c>
      <c r="R13" s="523" t="s">
        <v>182</v>
      </c>
      <c r="S13" s="523"/>
      <c r="T13" s="526"/>
      <c r="U13" s="525">
        <f>IF(U12="&lt; n/a &gt;",U11,ROUND(+U11/(1-U12),0))</f>
        <v>0</v>
      </c>
      <c r="V13" s="523" t="s">
        <v>182</v>
      </c>
      <c r="W13" s="523"/>
      <c r="X13" s="526"/>
    </row>
    <row r="14" spans="1:24" s="528" customFormat="1" x14ac:dyDescent="0.2">
      <c r="A14" s="115">
        <f t="shared" si="0"/>
        <v>5</v>
      </c>
      <c r="B14" s="529"/>
      <c r="C14" s="506"/>
      <c r="E14" s="542"/>
      <c r="H14" s="757"/>
      <c r="I14" s="530" t="s">
        <v>22</v>
      </c>
      <c r="J14" s="456" t="s">
        <v>174</v>
      </c>
      <c r="K14" s="457" t="s">
        <v>23</v>
      </c>
      <c r="L14" s="456" t="s">
        <v>22</v>
      </c>
      <c r="M14" s="456" t="s">
        <v>174</v>
      </c>
      <c r="N14" s="456" t="s">
        <v>218</v>
      </c>
      <c r="O14" s="456" t="s">
        <v>218</v>
      </c>
      <c r="P14" s="457" t="s">
        <v>220</v>
      </c>
      <c r="Q14" s="530" t="s">
        <v>22</v>
      </c>
      <c r="R14" s="456" t="s">
        <v>174</v>
      </c>
      <c r="S14" s="456" t="s">
        <v>218</v>
      </c>
      <c r="T14" s="457" t="s">
        <v>218</v>
      </c>
      <c r="U14" s="530" t="s">
        <v>22</v>
      </c>
      <c r="V14" s="755" t="s">
        <v>247</v>
      </c>
      <c r="W14" s="456" t="s">
        <v>218</v>
      </c>
      <c r="X14" s="457" t="s">
        <v>218</v>
      </c>
    </row>
    <row r="15" spans="1:24" s="528" customFormat="1" x14ac:dyDescent="0.2">
      <c r="A15" s="115">
        <f t="shared" si="0"/>
        <v>6</v>
      </c>
      <c r="B15" s="529"/>
      <c r="C15" s="506"/>
      <c r="E15" s="516"/>
      <c r="H15" s="758"/>
      <c r="I15" s="530"/>
      <c r="J15" s="456"/>
      <c r="K15" s="457"/>
      <c r="L15" s="456"/>
      <c r="M15" s="456"/>
      <c r="N15" s="456" t="s">
        <v>23</v>
      </c>
      <c r="O15" s="456" t="s">
        <v>28</v>
      </c>
      <c r="P15" s="457" t="s">
        <v>28</v>
      </c>
      <c r="Q15" s="530"/>
      <c r="R15" s="456"/>
      <c r="S15" s="456" t="s">
        <v>23</v>
      </c>
      <c r="T15" s="457" t="s">
        <v>28</v>
      </c>
      <c r="U15" s="530"/>
      <c r="V15" s="456"/>
      <c r="W15" s="456" t="s">
        <v>23</v>
      </c>
      <c r="X15" s="457" t="s">
        <v>28</v>
      </c>
    </row>
    <row r="16" spans="1:24" s="528" customFormat="1" x14ac:dyDescent="0.2">
      <c r="A16" s="115">
        <f t="shared" si="0"/>
        <v>7</v>
      </c>
      <c r="B16" s="706" t="s">
        <v>2</v>
      </c>
      <c r="C16" s="456" t="s">
        <v>3</v>
      </c>
      <c r="D16" s="460" t="s">
        <v>35</v>
      </c>
      <c r="E16" s="460" t="s">
        <v>36</v>
      </c>
      <c r="F16" s="460" t="s">
        <v>13</v>
      </c>
      <c r="G16" s="460" t="s">
        <v>37</v>
      </c>
      <c r="H16" s="759"/>
      <c r="I16" s="531" t="s">
        <v>38</v>
      </c>
      <c r="J16" s="460" t="s">
        <v>39</v>
      </c>
      <c r="K16" s="461" t="s">
        <v>40</v>
      </c>
      <c r="L16" s="460" t="s">
        <v>129</v>
      </c>
      <c r="M16" s="460" t="s">
        <v>130</v>
      </c>
      <c r="N16" s="460" t="s">
        <v>43</v>
      </c>
      <c r="O16" s="460" t="s">
        <v>131</v>
      </c>
      <c r="P16" s="461" t="s">
        <v>132</v>
      </c>
      <c r="Q16" s="531" t="s">
        <v>133</v>
      </c>
      <c r="R16" s="460" t="s">
        <v>134</v>
      </c>
      <c r="S16" s="460" t="s">
        <v>135</v>
      </c>
      <c r="T16" s="461" t="s">
        <v>89</v>
      </c>
      <c r="U16" s="531" t="s">
        <v>133</v>
      </c>
      <c r="V16" s="460" t="s">
        <v>134</v>
      </c>
      <c r="W16" s="460" t="s">
        <v>135</v>
      </c>
      <c r="X16" s="461" t="s">
        <v>89</v>
      </c>
    </row>
    <row r="17" spans="1:24" x14ac:dyDescent="0.2">
      <c r="A17" s="115">
        <f t="shared" si="0"/>
        <v>8</v>
      </c>
      <c r="B17" s="724" t="str">
        <f>'WA Volumes &amp; Revenues'!B15</f>
        <v>1R</v>
      </c>
      <c r="C17" s="724" t="str">
        <f>'WA Volumes &amp; Revenues'!C15</f>
        <v>n/a</v>
      </c>
      <c r="D17" s="466">
        <f>'WA Volumes &amp; Revenues'!E15</f>
        <v>214704.20066131229</v>
      </c>
      <c r="E17" s="463">
        <f>'Allocation = % of Margin'!E14</f>
        <v>0.67652999999999996</v>
      </c>
      <c r="F17" s="467">
        <f>'Allocation = % of Margin'!H14</f>
        <v>145254</v>
      </c>
      <c r="G17" s="467">
        <f>'Allocation = % of Margin'!K14</f>
        <v>208635.2992440185</v>
      </c>
      <c r="H17" s="760"/>
      <c r="I17" s="532">
        <v>1</v>
      </c>
      <c r="J17" s="533">
        <f>+$D17*I17</f>
        <v>214704.20066131229</v>
      </c>
      <c r="K17" s="470">
        <f>+I17*$K$87</f>
        <v>0</v>
      </c>
      <c r="L17" s="534">
        <v>1</v>
      </c>
      <c r="M17" s="533">
        <f>+$D17*L17</f>
        <v>214704.20066131229</v>
      </c>
      <c r="N17" s="468">
        <f>M17*O17</f>
        <v>0</v>
      </c>
      <c r="O17" s="469">
        <f>+$O$87*L17</f>
        <v>0</v>
      </c>
      <c r="P17" s="470">
        <f>O17</f>
        <v>0</v>
      </c>
      <c r="Q17" s="532">
        <v>1</v>
      </c>
      <c r="R17" s="533">
        <f>+$D17*Q17</f>
        <v>214704.20066131229</v>
      </c>
      <c r="S17" s="467">
        <f>R17*T17</f>
        <v>0</v>
      </c>
      <c r="T17" s="470">
        <f>+$T$87*Q17</f>
        <v>0</v>
      </c>
      <c r="U17" s="532">
        <v>1</v>
      </c>
      <c r="V17" s="533">
        <f>'WA Volumes &amp; Revenues'!F15*U17</f>
        <v>218577.4</v>
      </c>
      <c r="W17" s="467">
        <f>V17*X17</f>
        <v>0</v>
      </c>
      <c r="X17" s="470">
        <f>+$X$86*U17</f>
        <v>0</v>
      </c>
    </row>
    <row r="18" spans="1:24" x14ac:dyDescent="0.2">
      <c r="A18" s="115">
        <f t="shared" si="0"/>
        <v>9</v>
      </c>
      <c r="B18" s="724" t="str">
        <f>'WA Volumes &amp; Revenues'!B16</f>
        <v>1C</v>
      </c>
      <c r="C18" s="724" t="str">
        <f>'WA Volumes &amp; Revenues'!C16</f>
        <v>n/a</v>
      </c>
      <c r="D18" s="466">
        <f>'WA Volumes &amp; Revenues'!E16</f>
        <v>46539.057144390383</v>
      </c>
      <c r="E18" s="463">
        <f>'Allocation = % of Margin'!E15</f>
        <v>0.73148999999999997</v>
      </c>
      <c r="F18" s="467">
        <f>'Allocation = % of Margin'!H15</f>
        <v>34043</v>
      </c>
      <c r="G18" s="467">
        <f>'Allocation = % of Margin'!K15</f>
        <v>37604.525911352161</v>
      </c>
      <c r="H18" s="760"/>
      <c r="I18" s="532">
        <v>1</v>
      </c>
      <c r="J18" s="533">
        <f t="shared" ref="J18:J80" si="1">+$D18*I18</f>
        <v>46539.057144390383</v>
      </c>
      <c r="K18" s="470">
        <f t="shared" ref="K18:K81" si="2">+I18*$K$87</f>
        <v>0</v>
      </c>
      <c r="L18" s="534">
        <v>1</v>
      </c>
      <c r="M18" s="533">
        <f t="shared" ref="M18:M81" si="3">+$D18*L18</f>
        <v>46539.057144390383</v>
      </c>
      <c r="N18" s="467">
        <f t="shared" ref="N18:N81" si="4">M18*O18</f>
        <v>0</v>
      </c>
      <c r="O18" s="469">
        <f t="shared" ref="O18:O81" si="5">+$O$87*L18</f>
        <v>0</v>
      </c>
      <c r="P18" s="470">
        <f t="shared" ref="P18:P81" si="6">O18</f>
        <v>0</v>
      </c>
      <c r="Q18" s="532">
        <v>1</v>
      </c>
      <c r="R18" s="533">
        <f t="shared" ref="R18:R81" si="7">+$D18*Q18</f>
        <v>46539.057144390383</v>
      </c>
      <c r="S18" s="467">
        <f t="shared" ref="S18:S81" si="8">R18*T18</f>
        <v>0</v>
      </c>
      <c r="T18" s="470">
        <f t="shared" ref="T18:T81" si="9">+$T$87*Q18</f>
        <v>0</v>
      </c>
      <c r="U18" s="532">
        <v>1</v>
      </c>
      <c r="V18" s="533">
        <f>'WA Volumes &amp; Revenues'!F16*U18</f>
        <v>38726</v>
      </c>
      <c r="W18" s="467">
        <f t="shared" ref="W18:W81" si="10">V18*X18</f>
        <v>0</v>
      </c>
      <c r="X18" s="470">
        <f t="shared" ref="X18:X81" si="11">+$X$86*U18</f>
        <v>0</v>
      </c>
    </row>
    <row r="19" spans="1:24" x14ac:dyDescent="0.2">
      <c r="A19" s="115">
        <f t="shared" si="0"/>
        <v>10</v>
      </c>
      <c r="B19" s="724" t="str">
        <f>'WA Volumes &amp; Revenues'!B17</f>
        <v>2R</v>
      </c>
      <c r="C19" s="724" t="str">
        <f>'WA Volumes &amp; Revenues'!C17</f>
        <v>n/a</v>
      </c>
      <c r="D19" s="466">
        <f>'WA Volumes &amp; Revenues'!E17</f>
        <v>54953515.785084128</v>
      </c>
      <c r="E19" s="463">
        <f>'Allocation = % of Margin'!E16</f>
        <v>0.45815999999999979</v>
      </c>
      <c r="F19" s="467">
        <f>'Allocation = % of Margin'!H16</f>
        <v>25177503</v>
      </c>
      <c r="G19" s="467">
        <f>'Allocation = % of Margin'!K16</f>
        <v>33798099.797603399</v>
      </c>
      <c r="H19" s="760"/>
      <c r="I19" s="532">
        <v>1</v>
      </c>
      <c r="J19" s="533">
        <f t="shared" si="1"/>
        <v>54953515.785084128</v>
      </c>
      <c r="K19" s="470">
        <f t="shared" si="2"/>
        <v>0</v>
      </c>
      <c r="L19" s="534">
        <v>1</v>
      </c>
      <c r="M19" s="533">
        <f t="shared" si="3"/>
        <v>54953515.785084128</v>
      </c>
      <c r="N19" s="467">
        <f t="shared" si="4"/>
        <v>0</v>
      </c>
      <c r="O19" s="469">
        <f t="shared" si="5"/>
        <v>0</v>
      </c>
      <c r="P19" s="470">
        <f t="shared" si="6"/>
        <v>0</v>
      </c>
      <c r="Q19" s="532">
        <v>1</v>
      </c>
      <c r="R19" s="533">
        <f t="shared" si="7"/>
        <v>54953515.785084128</v>
      </c>
      <c r="S19" s="467">
        <f t="shared" si="8"/>
        <v>0</v>
      </c>
      <c r="T19" s="470">
        <f t="shared" si="9"/>
        <v>0</v>
      </c>
      <c r="U19" s="532">
        <v>1</v>
      </c>
      <c r="V19" s="533">
        <f>'WA Volumes &amp; Revenues'!F17*U19</f>
        <v>55009539.100000001</v>
      </c>
      <c r="W19" s="467">
        <f t="shared" si="10"/>
        <v>0</v>
      </c>
      <c r="X19" s="470">
        <f t="shared" si="11"/>
        <v>0</v>
      </c>
    </row>
    <row r="20" spans="1:24" x14ac:dyDescent="0.2">
      <c r="A20" s="115">
        <f t="shared" si="0"/>
        <v>11</v>
      </c>
      <c r="B20" s="724" t="str">
        <f>'WA Volumes &amp; Revenues'!B18</f>
        <v>3 CFS</v>
      </c>
      <c r="C20" s="724" t="str">
        <f>'WA Volumes &amp; Revenues'!C18</f>
        <v>n/a</v>
      </c>
      <c r="D20" s="466">
        <f>'WA Volumes &amp; Revenues'!E18</f>
        <v>17867210.60654201</v>
      </c>
      <c r="E20" s="463">
        <f>'Allocation = % of Margin'!E17</f>
        <v>0.44368000000000019</v>
      </c>
      <c r="F20" s="467">
        <f>'Allocation = % of Margin'!H17</f>
        <v>7927324</v>
      </c>
      <c r="G20" s="467">
        <f>'Allocation = % of Margin'!K17</f>
        <v>9866168.066922849</v>
      </c>
      <c r="H20" s="760"/>
      <c r="I20" s="535">
        <v>1</v>
      </c>
      <c r="J20" s="533">
        <f t="shared" si="1"/>
        <v>17867210.60654201</v>
      </c>
      <c r="K20" s="470">
        <f t="shared" si="2"/>
        <v>0</v>
      </c>
      <c r="L20" s="534">
        <v>1</v>
      </c>
      <c r="M20" s="533">
        <f t="shared" si="3"/>
        <v>17867210.60654201</v>
      </c>
      <c r="N20" s="467">
        <f t="shared" si="4"/>
        <v>0</v>
      </c>
      <c r="O20" s="469">
        <f t="shared" si="5"/>
        <v>0</v>
      </c>
      <c r="P20" s="470">
        <f t="shared" si="6"/>
        <v>0</v>
      </c>
      <c r="Q20" s="535">
        <v>1</v>
      </c>
      <c r="R20" s="533">
        <f t="shared" si="7"/>
        <v>17867210.60654201</v>
      </c>
      <c r="S20" s="467">
        <f t="shared" si="8"/>
        <v>0</v>
      </c>
      <c r="T20" s="470">
        <f t="shared" si="9"/>
        <v>0</v>
      </c>
      <c r="U20" s="535">
        <v>1</v>
      </c>
      <c r="V20" s="533">
        <f>'WA Volumes &amp; Revenues'!F18*U20</f>
        <v>18385904.899999999</v>
      </c>
      <c r="W20" s="467">
        <f t="shared" si="10"/>
        <v>0</v>
      </c>
      <c r="X20" s="470">
        <f t="shared" si="11"/>
        <v>0</v>
      </c>
    </row>
    <row r="21" spans="1:24" x14ac:dyDescent="0.2">
      <c r="A21" s="115">
        <f t="shared" si="0"/>
        <v>12</v>
      </c>
      <c r="B21" s="724" t="str">
        <f>'WA Volumes &amp; Revenues'!B19</f>
        <v>3 IFS</v>
      </c>
      <c r="C21" s="724" t="str">
        <f>'WA Volumes &amp; Revenues'!C19</f>
        <v>n/a</v>
      </c>
      <c r="D21" s="466">
        <f>'WA Volumes &amp; Revenues'!E19</f>
        <v>283651.99999999994</v>
      </c>
      <c r="E21" s="463">
        <f>'Allocation = % of Margin'!E18</f>
        <v>0.46249000000000001</v>
      </c>
      <c r="F21" s="467">
        <f>'Allocation = % of Margin'!H18</f>
        <v>131186</v>
      </c>
      <c r="G21" s="467">
        <f>'Allocation = % of Margin'!K18</f>
        <v>141888.51157190159</v>
      </c>
      <c r="H21" s="760"/>
      <c r="I21" s="535">
        <v>1</v>
      </c>
      <c r="J21" s="533">
        <f t="shared" si="1"/>
        <v>283651.99999999994</v>
      </c>
      <c r="K21" s="470">
        <f t="shared" si="2"/>
        <v>0</v>
      </c>
      <c r="L21" s="536">
        <v>1</v>
      </c>
      <c r="M21" s="533">
        <f t="shared" si="3"/>
        <v>283651.99999999994</v>
      </c>
      <c r="N21" s="467">
        <f t="shared" si="4"/>
        <v>0</v>
      </c>
      <c r="O21" s="469">
        <f t="shared" si="5"/>
        <v>0</v>
      </c>
      <c r="P21" s="470">
        <f t="shared" si="6"/>
        <v>0</v>
      </c>
      <c r="Q21" s="535">
        <v>1</v>
      </c>
      <c r="R21" s="533">
        <f t="shared" si="7"/>
        <v>283651.99999999994</v>
      </c>
      <c r="S21" s="467">
        <f t="shared" si="8"/>
        <v>0</v>
      </c>
      <c r="T21" s="470">
        <f t="shared" si="9"/>
        <v>0</v>
      </c>
      <c r="U21" s="535">
        <v>1</v>
      </c>
      <c r="V21" s="533">
        <f>'WA Volumes &amp; Revenues'!F19*U21</f>
        <v>263842</v>
      </c>
      <c r="W21" s="467">
        <f t="shared" si="10"/>
        <v>0</v>
      </c>
      <c r="X21" s="470">
        <f t="shared" si="11"/>
        <v>0</v>
      </c>
    </row>
    <row r="22" spans="1:24" x14ac:dyDescent="0.2">
      <c r="A22" s="115">
        <f t="shared" si="0"/>
        <v>13</v>
      </c>
      <c r="B22" s="724" t="str">
        <f>'WA Volumes &amp; Revenues'!B20</f>
        <v>27R</v>
      </c>
      <c r="C22" s="724" t="str">
        <f>'WA Volumes &amp; Revenues'!C20</f>
        <v>n/a</v>
      </c>
      <c r="D22" s="466">
        <f>'WA Volumes &amp; Revenues'!E20</f>
        <v>461371.76933137607</v>
      </c>
      <c r="E22" s="463">
        <f>'Allocation = % of Margin'!E19</f>
        <v>0.24087999999999973</v>
      </c>
      <c r="F22" s="467">
        <f>'Allocation = % of Margin'!H19</f>
        <v>111135</v>
      </c>
      <c r="G22" s="467">
        <f>'Allocation = % of Margin'!K19</f>
        <v>201937.97258147644</v>
      </c>
      <c r="H22" s="761"/>
      <c r="I22" s="535">
        <v>1</v>
      </c>
      <c r="J22" s="533">
        <f t="shared" si="1"/>
        <v>461371.76933137607</v>
      </c>
      <c r="K22" s="470">
        <f t="shared" si="2"/>
        <v>0</v>
      </c>
      <c r="L22" s="536">
        <v>1</v>
      </c>
      <c r="M22" s="533">
        <f t="shared" si="3"/>
        <v>461371.76933137607</v>
      </c>
      <c r="N22" s="467">
        <f t="shared" si="4"/>
        <v>0</v>
      </c>
      <c r="O22" s="469">
        <f t="shared" si="5"/>
        <v>0</v>
      </c>
      <c r="P22" s="470">
        <f t="shared" si="6"/>
        <v>0</v>
      </c>
      <c r="Q22" s="535">
        <v>1</v>
      </c>
      <c r="R22" s="533">
        <f t="shared" si="7"/>
        <v>461371.76933137607</v>
      </c>
      <c r="S22" s="467">
        <f t="shared" si="8"/>
        <v>0</v>
      </c>
      <c r="T22" s="470">
        <f t="shared" si="9"/>
        <v>0</v>
      </c>
      <c r="U22" s="535">
        <v>1</v>
      </c>
      <c r="V22" s="533">
        <f>'WA Volumes &amp; Revenues'!F20*U22</f>
        <v>591910</v>
      </c>
      <c r="W22" s="467">
        <f t="shared" si="10"/>
        <v>0</v>
      </c>
      <c r="X22" s="470">
        <f t="shared" si="11"/>
        <v>0</v>
      </c>
    </row>
    <row r="23" spans="1:24" x14ac:dyDescent="0.2">
      <c r="A23" s="115">
        <f t="shared" si="0"/>
        <v>14</v>
      </c>
      <c r="B23" s="725" t="str">
        <f>'WA Volumes &amp; Revenues'!B21</f>
        <v>41C Firm Sales</v>
      </c>
      <c r="C23" s="726" t="s">
        <v>4</v>
      </c>
      <c r="D23" s="472">
        <f>'WA Volumes &amp; Revenues'!E21</f>
        <v>1777065.1510316674</v>
      </c>
      <c r="E23" s="473">
        <f>'Allocation = % of Margin'!E20</f>
        <v>0.34474000000000016</v>
      </c>
      <c r="F23" s="281">
        <f>'Allocation = % of Margin'!H20</f>
        <v>612625</v>
      </c>
      <c r="G23" s="281">
        <f>'Allocation = % of Margin'!K20</f>
        <v>1542347.3405315941</v>
      </c>
      <c r="H23" s="760"/>
      <c r="I23" s="537">
        <v>1</v>
      </c>
      <c r="J23" s="529">
        <f t="shared" si="1"/>
        <v>1777065.1510316674</v>
      </c>
      <c r="K23" s="478">
        <f t="shared" si="2"/>
        <v>0</v>
      </c>
      <c r="L23" s="538">
        <v>1</v>
      </c>
      <c r="M23" s="529">
        <f t="shared" si="3"/>
        <v>1777065.1510316674</v>
      </c>
      <c r="N23" s="281">
        <f t="shared" si="4"/>
        <v>0</v>
      </c>
      <c r="O23" s="471">
        <f t="shared" si="5"/>
        <v>0</v>
      </c>
      <c r="P23" s="478">
        <f t="shared" si="6"/>
        <v>0</v>
      </c>
      <c r="Q23" s="537">
        <v>1</v>
      </c>
      <c r="R23" s="529">
        <f t="shared" si="7"/>
        <v>1777065.1510316674</v>
      </c>
      <c r="S23" s="281">
        <f t="shared" si="8"/>
        <v>0</v>
      </c>
      <c r="T23" s="478">
        <f t="shared" si="9"/>
        <v>0</v>
      </c>
      <c r="U23" s="537">
        <v>1</v>
      </c>
      <c r="V23" s="529">
        <f>'WA Volumes &amp; Revenues'!F21*U23</f>
        <v>1992236.2</v>
      </c>
      <c r="W23" s="281">
        <f t="shared" si="10"/>
        <v>0</v>
      </c>
      <c r="X23" s="478">
        <f t="shared" si="11"/>
        <v>0</v>
      </c>
    </row>
    <row r="24" spans="1:24" x14ac:dyDescent="0.2">
      <c r="A24" s="115">
        <f t="shared" si="0"/>
        <v>15</v>
      </c>
      <c r="B24" s="723"/>
      <c r="C24" s="727" t="s">
        <v>5</v>
      </c>
      <c r="D24" s="466">
        <f>'WA Volumes &amp; Revenues'!E22</f>
        <v>1974656.4658023661</v>
      </c>
      <c r="E24" s="463">
        <f>'Allocation = % of Margin'!E21</f>
        <v>0.30376999999999998</v>
      </c>
      <c r="F24" s="467">
        <f>'Allocation = % of Margin'!H21</f>
        <v>599841</v>
      </c>
      <c r="G24" s="467">
        <f>'Allocation = % of Margin'!K21</f>
        <v>0</v>
      </c>
      <c r="H24" s="760"/>
      <c r="I24" s="535">
        <v>1</v>
      </c>
      <c r="J24" s="533">
        <f t="shared" si="1"/>
        <v>1974656.4658023661</v>
      </c>
      <c r="K24" s="470">
        <f t="shared" si="2"/>
        <v>0</v>
      </c>
      <c r="L24" s="536">
        <v>1</v>
      </c>
      <c r="M24" s="533">
        <f t="shared" si="3"/>
        <v>1974656.4658023661</v>
      </c>
      <c r="N24" s="467">
        <f t="shared" si="4"/>
        <v>0</v>
      </c>
      <c r="O24" s="469">
        <f t="shared" si="5"/>
        <v>0</v>
      </c>
      <c r="P24" s="470">
        <f t="shared" si="6"/>
        <v>0</v>
      </c>
      <c r="Q24" s="535">
        <v>1</v>
      </c>
      <c r="R24" s="533">
        <f t="shared" si="7"/>
        <v>1974656.4658023661</v>
      </c>
      <c r="S24" s="467">
        <f t="shared" si="8"/>
        <v>0</v>
      </c>
      <c r="T24" s="470">
        <f t="shared" si="9"/>
        <v>0</v>
      </c>
      <c r="U24" s="535">
        <v>1</v>
      </c>
      <c r="V24" s="533">
        <f>'WA Volumes &amp; Revenues'!F22*U24</f>
        <v>2142067.7000000002</v>
      </c>
      <c r="W24" s="467">
        <f t="shared" si="10"/>
        <v>0</v>
      </c>
      <c r="X24" s="470">
        <f t="shared" si="11"/>
        <v>0</v>
      </c>
    </row>
    <row r="25" spans="1:24" x14ac:dyDescent="0.2">
      <c r="A25" s="115">
        <f t="shared" si="0"/>
        <v>16</v>
      </c>
      <c r="B25" s="725" t="str">
        <f>'WA Volumes &amp; Revenues'!B23</f>
        <v>41I Firm Sales</v>
      </c>
      <c r="C25" s="726" t="s">
        <v>4</v>
      </c>
      <c r="D25" s="479">
        <f>'WA Volumes &amp; Revenues'!E23</f>
        <v>392890.20000000007</v>
      </c>
      <c r="E25" s="473">
        <f>'Allocation = % of Margin'!E22</f>
        <v>0.34416000000000024</v>
      </c>
      <c r="F25" s="474">
        <f>'Allocation = % of Margin'!H22</f>
        <v>135217</v>
      </c>
      <c r="G25" s="474">
        <f>'Allocation = % of Margin'!K22</f>
        <v>392613.82673589932</v>
      </c>
      <c r="H25" s="760"/>
      <c r="I25" s="537">
        <v>1</v>
      </c>
      <c r="J25" s="529">
        <f t="shared" si="1"/>
        <v>392890.20000000007</v>
      </c>
      <c r="K25" s="478">
        <f t="shared" si="2"/>
        <v>0</v>
      </c>
      <c r="L25" s="538">
        <v>1</v>
      </c>
      <c r="M25" s="529">
        <f t="shared" si="3"/>
        <v>392890.20000000007</v>
      </c>
      <c r="N25" s="474">
        <f t="shared" si="4"/>
        <v>0</v>
      </c>
      <c r="O25" s="471">
        <f t="shared" si="5"/>
        <v>0</v>
      </c>
      <c r="P25" s="478">
        <f t="shared" si="6"/>
        <v>0</v>
      </c>
      <c r="Q25" s="537">
        <v>1</v>
      </c>
      <c r="R25" s="529">
        <f t="shared" si="7"/>
        <v>392890.20000000007</v>
      </c>
      <c r="S25" s="474">
        <f t="shared" si="8"/>
        <v>0</v>
      </c>
      <c r="T25" s="478">
        <f t="shared" si="9"/>
        <v>0</v>
      </c>
      <c r="U25" s="537">
        <v>1</v>
      </c>
      <c r="V25" s="529">
        <f>'WA Volumes &amp; Revenues'!F23*U25</f>
        <v>399967</v>
      </c>
      <c r="W25" s="474">
        <f t="shared" si="10"/>
        <v>0</v>
      </c>
      <c r="X25" s="478">
        <f t="shared" si="11"/>
        <v>0</v>
      </c>
    </row>
    <row r="26" spans="1:24" x14ac:dyDescent="0.2">
      <c r="A26" s="115">
        <f t="shared" si="0"/>
        <v>17</v>
      </c>
      <c r="B26" s="723"/>
      <c r="C26" s="727" t="s">
        <v>5</v>
      </c>
      <c r="D26" s="466">
        <f>'WA Volumes &amp; Revenues'!E24</f>
        <v>621650.00000000012</v>
      </c>
      <c r="E26" s="463">
        <f>'Allocation = % of Margin'!E23</f>
        <v>0.30325000000000002</v>
      </c>
      <c r="F26" s="467">
        <f>'Allocation = % of Margin'!H23</f>
        <v>188515</v>
      </c>
      <c r="G26" s="467">
        <f>'Allocation = % of Margin'!K23</f>
        <v>0</v>
      </c>
      <c r="H26" s="760"/>
      <c r="I26" s="535">
        <v>1</v>
      </c>
      <c r="J26" s="533">
        <f t="shared" si="1"/>
        <v>621650.00000000012</v>
      </c>
      <c r="K26" s="470">
        <f t="shared" si="2"/>
        <v>0</v>
      </c>
      <c r="L26" s="536">
        <v>1</v>
      </c>
      <c r="M26" s="533">
        <f t="shared" si="3"/>
        <v>621650.00000000012</v>
      </c>
      <c r="N26" s="467">
        <f t="shared" si="4"/>
        <v>0</v>
      </c>
      <c r="O26" s="469">
        <f t="shared" si="5"/>
        <v>0</v>
      </c>
      <c r="P26" s="470">
        <f t="shared" si="6"/>
        <v>0</v>
      </c>
      <c r="Q26" s="535">
        <v>1</v>
      </c>
      <c r="R26" s="533">
        <f t="shared" si="7"/>
        <v>621650.00000000012</v>
      </c>
      <c r="S26" s="467">
        <f t="shared" si="8"/>
        <v>0</v>
      </c>
      <c r="T26" s="470">
        <f t="shared" si="9"/>
        <v>0</v>
      </c>
      <c r="U26" s="535">
        <v>1</v>
      </c>
      <c r="V26" s="533">
        <f>'WA Volumes &amp; Revenues'!F24*U26</f>
        <v>630361</v>
      </c>
      <c r="W26" s="467">
        <f t="shared" si="10"/>
        <v>0</v>
      </c>
      <c r="X26" s="470">
        <f t="shared" si="11"/>
        <v>0</v>
      </c>
    </row>
    <row r="27" spans="1:24" x14ac:dyDescent="0.2">
      <c r="A27" s="115">
        <f t="shared" si="0"/>
        <v>18</v>
      </c>
      <c r="B27" s="725" t="str">
        <f>'WA Volumes &amp; Revenues'!B25</f>
        <v>41C Interr Sales</v>
      </c>
      <c r="C27" s="726" t="s">
        <v>4</v>
      </c>
      <c r="D27" s="479">
        <f>'WA Volumes &amp; Revenues'!E25</f>
        <v>0</v>
      </c>
      <c r="E27" s="473">
        <f>'Allocation = % of Margin'!E24</f>
        <v>0.34372999999999987</v>
      </c>
      <c r="F27" s="474">
        <f>'Allocation = % of Margin'!H24</f>
        <v>0</v>
      </c>
      <c r="G27" s="474">
        <f>'Allocation = % of Margin'!K24</f>
        <v>0</v>
      </c>
      <c r="H27" s="760"/>
      <c r="I27" s="537">
        <v>1</v>
      </c>
      <c r="J27" s="529">
        <f t="shared" si="1"/>
        <v>0</v>
      </c>
      <c r="K27" s="478">
        <f t="shared" si="2"/>
        <v>0</v>
      </c>
      <c r="L27" s="538">
        <v>0</v>
      </c>
      <c r="M27" s="529">
        <f t="shared" si="3"/>
        <v>0</v>
      </c>
      <c r="N27" s="474">
        <f t="shared" si="4"/>
        <v>0</v>
      </c>
      <c r="O27" s="471">
        <f t="shared" si="5"/>
        <v>0</v>
      </c>
      <c r="P27" s="478">
        <f t="shared" si="6"/>
        <v>0</v>
      </c>
      <c r="Q27" s="537">
        <v>0</v>
      </c>
      <c r="R27" s="529">
        <f t="shared" si="7"/>
        <v>0</v>
      </c>
      <c r="S27" s="474">
        <f t="shared" si="8"/>
        <v>0</v>
      </c>
      <c r="T27" s="478">
        <f t="shared" si="9"/>
        <v>0</v>
      </c>
      <c r="U27" s="537">
        <v>0</v>
      </c>
      <c r="V27" s="529">
        <f>'WA Volumes &amp; Revenues'!F25*U27</f>
        <v>0</v>
      </c>
      <c r="W27" s="474">
        <f t="shared" si="10"/>
        <v>0</v>
      </c>
      <c r="X27" s="478">
        <f t="shared" si="11"/>
        <v>0</v>
      </c>
    </row>
    <row r="28" spans="1:24" x14ac:dyDescent="0.2">
      <c r="A28" s="115">
        <f t="shared" si="0"/>
        <v>19</v>
      </c>
      <c r="B28" s="723"/>
      <c r="C28" s="727" t="s">
        <v>5</v>
      </c>
      <c r="D28" s="466">
        <f>'WA Volumes &amp; Revenues'!E26</f>
        <v>0</v>
      </c>
      <c r="E28" s="463">
        <f>'Allocation = % of Margin'!E25</f>
        <v>0.30284999999999984</v>
      </c>
      <c r="F28" s="467">
        <f>'Allocation = % of Margin'!H25</f>
        <v>0</v>
      </c>
      <c r="G28" s="467">
        <f>'Allocation = % of Margin'!K25</f>
        <v>0</v>
      </c>
      <c r="H28" s="760"/>
      <c r="I28" s="535">
        <v>1</v>
      </c>
      <c r="J28" s="533">
        <f t="shared" si="1"/>
        <v>0</v>
      </c>
      <c r="K28" s="470">
        <f t="shared" si="2"/>
        <v>0</v>
      </c>
      <c r="L28" s="536">
        <v>0</v>
      </c>
      <c r="M28" s="533">
        <f t="shared" si="3"/>
        <v>0</v>
      </c>
      <c r="N28" s="467">
        <f t="shared" si="4"/>
        <v>0</v>
      </c>
      <c r="O28" s="469">
        <f t="shared" si="5"/>
        <v>0</v>
      </c>
      <c r="P28" s="470">
        <f t="shared" si="6"/>
        <v>0</v>
      </c>
      <c r="Q28" s="535">
        <v>0</v>
      </c>
      <c r="R28" s="533">
        <f t="shared" si="7"/>
        <v>0</v>
      </c>
      <c r="S28" s="467">
        <f t="shared" si="8"/>
        <v>0</v>
      </c>
      <c r="T28" s="470">
        <f t="shared" si="9"/>
        <v>0</v>
      </c>
      <c r="U28" s="535">
        <v>0</v>
      </c>
      <c r="V28" s="533">
        <f>'WA Volumes &amp; Revenues'!F26*U28</f>
        <v>0</v>
      </c>
      <c r="W28" s="467">
        <f t="shared" si="10"/>
        <v>0</v>
      </c>
      <c r="X28" s="470">
        <f t="shared" si="11"/>
        <v>0</v>
      </c>
    </row>
    <row r="29" spans="1:24" x14ac:dyDescent="0.2">
      <c r="A29" s="115">
        <f t="shared" si="0"/>
        <v>20</v>
      </c>
      <c r="B29" s="725" t="str">
        <f>'WA Volumes &amp; Revenues'!B27</f>
        <v>41I Interr Sales</v>
      </c>
      <c r="C29" s="726" t="s">
        <v>4</v>
      </c>
      <c r="D29" s="479">
        <f>'WA Volumes &amp; Revenues'!E27</f>
        <v>0</v>
      </c>
      <c r="E29" s="473">
        <f>'Allocation = % of Margin'!E26</f>
        <v>0.34372999999999987</v>
      </c>
      <c r="F29" s="474">
        <f>'Allocation = % of Margin'!H26</f>
        <v>0</v>
      </c>
      <c r="G29" s="474">
        <f>'Allocation = % of Margin'!K26</f>
        <v>0</v>
      </c>
      <c r="H29" s="760"/>
      <c r="I29" s="537">
        <v>1</v>
      </c>
      <c r="J29" s="529">
        <f t="shared" si="1"/>
        <v>0</v>
      </c>
      <c r="K29" s="478">
        <f t="shared" si="2"/>
        <v>0</v>
      </c>
      <c r="L29" s="538">
        <v>1</v>
      </c>
      <c r="M29" s="529">
        <f t="shared" si="3"/>
        <v>0</v>
      </c>
      <c r="N29" s="474">
        <f t="shared" si="4"/>
        <v>0</v>
      </c>
      <c r="O29" s="471">
        <f t="shared" si="5"/>
        <v>0</v>
      </c>
      <c r="P29" s="478">
        <f t="shared" si="6"/>
        <v>0</v>
      </c>
      <c r="Q29" s="537">
        <v>1</v>
      </c>
      <c r="R29" s="529">
        <f t="shared" si="7"/>
        <v>0</v>
      </c>
      <c r="S29" s="474">
        <f t="shared" si="8"/>
        <v>0</v>
      </c>
      <c r="T29" s="478">
        <f t="shared" si="9"/>
        <v>0</v>
      </c>
      <c r="U29" s="537">
        <v>1</v>
      </c>
      <c r="V29" s="529">
        <f>'WA Volumes &amp; Revenues'!F27*U29</f>
        <v>0</v>
      </c>
      <c r="W29" s="474">
        <f t="shared" si="10"/>
        <v>0</v>
      </c>
      <c r="X29" s="478">
        <f t="shared" si="11"/>
        <v>0</v>
      </c>
    </row>
    <row r="30" spans="1:24" x14ac:dyDescent="0.2">
      <c r="A30" s="115">
        <f t="shared" si="0"/>
        <v>21</v>
      </c>
      <c r="B30" s="723"/>
      <c r="C30" s="727" t="s">
        <v>5</v>
      </c>
      <c r="D30" s="466">
        <f>'WA Volumes &amp; Revenues'!E28</f>
        <v>0</v>
      </c>
      <c r="E30" s="463">
        <f>'Allocation = % of Margin'!E27</f>
        <v>0.30284999999999984</v>
      </c>
      <c r="F30" s="467">
        <f>'Allocation = % of Margin'!H27</f>
        <v>0</v>
      </c>
      <c r="G30" s="467">
        <f>'Allocation = % of Margin'!K27</f>
        <v>0</v>
      </c>
      <c r="H30" s="760"/>
      <c r="I30" s="535">
        <v>1</v>
      </c>
      <c r="J30" s="533">
        <f t="shared" si="1"/>
        <v>0</v>
      </c>
      <c r="K30" s="470">
        <f t="shared" si="2"/>
        <v>0</v>
      </c>
      <c r="L30" s="536">
        <v>1</v>
      </c>
      <c r="M30" s="533">
        <f t="shared" si="3"/>
        <v>0</v>
      </c>
      <c r="N30" s="467">
        <f t="shared" si="4"/>
        <v>0</v>
      </c>
      <c r="O30" s="469">
        <f t="shared" si="5"/>
        <v>0</v>
      </c>
      <c r="P30" s="470">
        <f t="shared" si="6"/>
        <v>0</v>
      </c>
      <c r="Q30" s="535">
        <v>1</v>
      </c>
      <c r="R30" s="533">
        <f t="shared" si="7"/>
        <v>0</v>
      </c>
      <c r="S30" s="467">
        <f t="shared" si="8"/>
        <v>0</v>
      </c>
      <c r="T30" s="470">
        <f t="shared" si="9"/>
        <v>0</v>
      </c>
      <c r="U30" s="535">
        <v>1</v>
      </c>
      <c r="V30" s="533">
        <f>'WA Volumes &amp; Revenues'!F28*U30</f>
        <v>0</v>
      </c>
      <c r="W30" s="467">
        <f t="shared" si="10"/>
        <v>0</v>
      </c>
      <c r="X30" s="470">
        <f t="shared" si="11"/>
        <v>0</v>
      </c>
    </row>
    <row r="31" spans="1:24" x14ac:dyDescent="0.2">
      <c r="A31" s="115">
        <f t="shared" si="0"/>
        <v>22</v>
      </c>
      <c r="B31" s="725" t="str">
        <f>'WA Volumes &amp; Revenues'!B29</f>
        <v>41C Firm Transpt</v>
      </c>
      <c r="C31" s="726" t="s">
        <v>4</v>
      </c>
      <c r="D31" s="479">
        <f>'WA Volumes &amp; Revenues'!E29</f>
        <v>168721</v>
      </c>
      <c r="E31" s="473">
        <f>'Allocation = % of Margin'!E28</f>
        <v>0.34791</v>
      </c>
      <c r="F31" s="474">
        <f>'Allocation = % of Margin'!H28</f>
        <v>58700</v>
      </c>
      <c r="G31" s="474">
        <f>'Allocation = % of Margin'!K28</f>
        <v>189842</v>
      </c>
      <c r="H31" s="760"/>
      <c r="I31" s="537">
        <v>0</v>
      </c>
      <c r="J31" s="529">
        <f t="shared" si="1"/>
        <v>0</v>
      </c>
      <c r="K31" s="478">
        <f t="shared" si="2"/>
        <v>0</v>
      </c>
      <c r="L31" s="538">
        <v>1</v>
      </c>
      <c r="M31" s="529">
        <f t="shared" si="3"/>
        <v>168721</v>
      </c>
      <c r="N31" s="474">
        <f t="shared" si="4"/>
        <v>0</v>
      </c>
      <c r="O31" s="471">
        <f t="shared" si="5"/>
        <v>0</v>
      </c>
      <c r="P31" s="478">
        <f t="shared" si="6"/>
        <v>0</v>
      </c>
      <c r="Q31" s="537">
        <v>1</v>
      </c>
      <c r="R31" s="529">
        <f t="shared" si="7"/>
        <v>168721</v>
      </c>
      <c r="S31" s="474">
        <f t="shared" si="8"/>
        <v>0</v>
      </c>
      <c r="T31" s="478">
        <f t="shared" si="9"/>
        <v>0</v>
      </c>
      <c r="U31" s="537">
        <v>1</v>
      </c>
      <c r="V31" s="529">
        <f>'WA Volumes &amp; Revenues'!F29*U31</f>
        <v>169264</v>
      </c>
      <c r="W31" s="474">
        <f t="shared" si="10"/>
        <v>0</v>
      </c>
      <c r="X31" s="478">
        <f t="shared" si="11"/>
        <v>0</v>
      </c>
    </row>
    <row r="32" spans="1:24" x14ac:dyDescent="0.2">
      <c r="A32" s="115">
        <f t="shared" si="0"/>
        <v>23</v>
      </c>
      <c r="B32" s="723"/>
      <c r="C32" s="727" t="s">
        <v>5</v>
      </c>
      <c r="D32" s="466">
        <f>'WA Volumes &amp; Revenues'!E30</f>
        <v>272866</v>
      </c>
      <c r="E32" s="463">
        <f>'Allocation = % of Margin'!E29</f>
        <v>0.30653000000000008</v>
      </c>
      <c r="F32" s="467">
        <f>'Allocation = % of Margin'!H29</f>
        <v>83642</v>
      </c>
      <c r="G32" s="467">
        <f>'Allocation = % of Margin'!K29</f>
        <v>0</v>
      </c>
      <c r="H32" s="760"/>
      <c r="I32" s="535">
        <v>0</v>
      </c>
      <c r="J32" s="533">
        <f t="shared" si="1"/>
        <v>0</v>
      </c>
      <c r="K32" s="470">
        <f t="shared" si="2"/>
        <v>0</v>
      </c>
      <c r="L32" s="536">
        <v>1</v>
      </c>
      <c r="M32" s="533">
        <f t="shared" si="3"/>
        <v>272866</v>
      </c>
      <c r="N32" s="467">
        <f t="shared" si="4"/>
        <v>0</v>
      </c>
      <c r="O32" s="469">
        <f t="shared" si="5"/>
        <v>0</v>
      </c>
      <c r="P32" s="470">
        <f t="shared" si="6"/>
        <v>0</v>
      </c>
      <c r="Q32" s="535">
        <v>1</v>
      </c>
      <c r="R32" s="533">
        <f t="shared" si="7"/>
        <v>272866</v>
      </c>
      <c r="S32" s="467">
        <f t="shared" si="8"/>
        <v>0</v>
      </c>
      <c r="T32" s="470">
        <f t="shared" si="9"/>
        <v>0</v>
      </c>
      <c r="U32" s="535">
        <v>1</v>
      </c>
      <c r="V32" s="533">
        <f>'WA Volumes &amp; Revenues'!F30*U32</f>
        <v>260994</v>
      </c>
      <c r="W32" s="467">
        <f t="shared" si="10"/>
        <v>0</v>
      </c>
      <c r="X32" s="470">
        <f t="shared" si="11"/>
        <v>0</v>
      </c>
    </row>
    <row r="33" spans="1:24" x14ac:dyDescent="0.2">
      <c r="A33" s="115">
        <f t="shared" si="0"/>
        <v>24</v>
      </c>
      <c r="B33" s="725" t="str">
        <f>'WA Volumes &amp; Revenues'!B31</f>
        <v>41I Firm Transpt</v>
      </c>
      <c r="C33" s="726" t="s">
        <v>4</v>
      </c>
      <c r="D33" s="479">
        <f>'WA Volumes &amp; Revenues'!E31</f>
        <v>0</v>
      </c>
      <c r="E33" s="473">
        <f>'Allocation = % of Margin'!E30</f>
        <v>0.34791</v>
      </c>
      <c r="F33" s="474">
        <f>'Allocation = % of Margin'!H30</f>
        <v>0</v>
      </c>
      <c r="G33" s="474">
        <f>'Allocation = % of Margin'!K30</f>
        <v>0</v>
      </c>
      <c r="H33" s="760"/>
      <c r="I33" s="537">
        <v>0</v>
      </c>
      <c r="J33" s="529">
        <f t="shared" si="1"/>
        <v>0</v>
      </c>
      <c r="K33" s="478">
        <f t="shared" si="2"/>
        <v>0</v>
      </c>
      <c r="L33" s="538">
        <v>0</v>
      </c>
      <c r="M33" s="529">
        <f t="shared" si="3"/>
        <v>0</v>
      </c>
      <c r="N33" s="474">
        <f t="shared" si="4"/>
        <v>0</v>
      </c>
      <c r="O33" s="471">
        <f t="shared" si="5"/>
        <v>0</v>
      </c>
      <c r="P33" s="478">
        <f t="shared" si="6"/>
        <v>0</v>
      </c>
      <c r="Q33" s="537">
        <v>0</v>
      </c>
      <c r="R33" s="529">
        <f t="shared" si="7"/>
        <v>0</v>
      </c>
      <c r="S33" s="474">
        <f t="shared" si="8"/>
        <v>0</v>
      </c>
      <c r="T33" s="478">
        <f t="shared" si="9"/>
        <v>0</v>
      </c>
      <c r="U33" s="537">
        <v>0</v>
      </c>
      <c r="V33" s="529">
        <f>'WA Volumes &amp; Revenues'!F31*U33</f>
        <v>0</v>
      </c>
      <c r="W33" s="474">
        <f t="shared" si="10"/>
        <v>0</v>
      </c>
      <c r="X33" s="478">
        <f t="shared" si="11"/>
        <v>0</v>
      </c>
    </row>
    <row r="34" spans="1:24" x14ac:dyDescent="0.2">
      <c r="A34" s="115">
        <f t="shared" si="0"/>
        <v>25</v>
      </c>
      <c r="B34" s="723"/>
      <c r="C34" s="727" t="s">
        <v>5</v>
      </c>
      <c r="D34" s="466">
        <f>'WA Volumes &amp; Revenues'!E32</f>
        <v>0</v>
      </c>
      <c r="E34" s="463">
        <f>'Allocation = % of Margin'!E31</f>
        <v>0.30653000000000008</v>
      </c>
      <c r="F34" s="467">
        <f>'Allocation = % of Margin'!H31</f>
        <v>0</v>
      </c>
      <c r="G34" s="467">
        <f>'Allocation = % of Margin'!K31</f>
        <v>0</v>
      </c>
      <c r="H34" s="760"/>
      <c r="I34" s="535">
        <v>0</v>
      </c>
      <c r="J34" s="533">
        <f t="shared" si="1"/>
        <v>0</v>
      </c>
      <c r="K34" s="470">
        <f t="shared" si="2"/>
        <v>0</v>
      </c>
      <c r="L34" s="536">
        <v>0</v>
      </c>
      <c r="M34" s="533">
        <f t="shared" si="3"/>
        <v>0</v>
      </c>
      <c r="N34" s="467">
        <f t="shared" si="4"/>
        <v>0</v>
      </c>
      <c r="O34" s="469">
        <f t="shared" si="5"/>
        <v>0</v>
      </c>
      <c r="P34" s="470">
        <f t="shared" si="6"/>
        <v>0</v>
      </c>
      <c r="Q34" s="535">
        <v>0</v>
      </c>
      <c r="R34" s="533">
        <f t="shared" si="7"/>
        <v>0</v>
      </c>
      <c r="S34" s="467">
        <f t="shared" si="8"/>
        <v>0</v>
      </c>
      <c r="T34" s="470">
        <f t="shared" si="9"/>
        <v>0</v>
      </c>
      <c r="U34" s="535">
        <v>0</v>
      </c>
      <c r="V34" s="533">
        <f>'WA Volumes &amp; Revenues'!F32*U34</f>
        <v>0</v>
      </c>
      <c r="W34" s="467">
        <f t="shared" si="10"/>
        <v>0</v>
      </c>
      <c r="X34" s="470">
        <f t="shared" si="11"/>
        <v>0</v>
      </c>
    </row>
    <row r="35" spans="1:24" x14ac:dyDescent="0.2">
      <c r="A35" s="115">
        <f t="shared" si="0"/>
        <v>26</v>
      </c>
      <c r="B35" s="725" t="str">
        <f>'WA Volumes &amp; Revenues'!B33</f>
        <v>42C Firm Sales</v>
      </c>
      <c r="C35" s="726" t="s">
        <v>4</v>
      </c>
      <c r="D35" s="479">
        <f>'WA Volumes &amp; Revenues'!E33</f>
        <v>350769.66174469434</v>
      </c>
      <c r="E35" s="473">
        <f>'Allocation = % of Margin'!E32</f>
        <v>0.15245999999999996</v>
      </c>
      <c r="F35" s="474">
        <f>'Allocation = % of Margin'!H32</f>
        <v>53478</v>
      </c>
      <c r="G35" s="474">
        <f>'Allocation = % of Margin'!K32</f>
        <v>219575.29677293496</v>
      </c>
      <c r="H35" s="760"/>
      <c r="I35" s="537">
        <v>1</v>
      </c>
      <c r="J35" s="529">
        <f t="shared" si="1"/>
        <v>350769.66174469434</v>
      </c>
      <c r="K35" s="478">
        <f t="shared" si="2"/>
        <v>0</v>
      </c>
      <c r="L35" s="538">
        <v>1</v>
      </c>
      <c r="M35" s="529">
        <f t="shared" si="3"/>
        <v>350769.66174469434</v>
      </c>
      <c r="N35" s="474">
        <f t="shared" si="4"/>
        <v>0</v>
      </c>
      <c r="O35" s="471">
        <f t="shared" si="5"/>
        <v>0</v>
      </c>
      <c r="P35" s="478">
        <f t="shared" si="6"/>
        <v>0</v>
      </c>
      <c r="Q35" s="537">
        <v>1</v>
      </c>
      <c r="R35" s="529">
        <f t="shared" si="7"/>
        <v>350769.66174469434</v>
      </c>
      <c r="S35" s="474">
        <f t="shared" si="8"/>
        <v>0</v>
      </c>
      <c r="T35" s="478">
        <f t="shared" si="9"/>
        <v>0</v>
      </c>
      <c r="U35" s="537">
        <v>1</v>
      </c>
      <c r="V35" s="529">
        <f>'WA Volumes &amp; Revenues'!F33*U35</f>
        <v>542975.5</v>
      </c>
      <c r="W35" s="474">
        <f t="shared" si="10"/>
        <v>0</v>
      </c>
      <c r="X35" s="478">
        <f t="shared" si="11"/>
        <v>0</v>
      </c>
    </row>
    <row r="36" spans="1:24" x14ac:dyDescent="0.2">
      <c r="A36" s="115">
        <f t="shared" si="0"/>
        <v>27</v>
      </c>
      <c r="B36" s="725"/>
      <c r="C36" s="726" t="s">
        <v>5</v>
      </c>
      <c r="D36" s="479">
        <f>'WA Volumes &amp; Revenues'!E34</f>
        <v>303088.75426472601</v>
      </c>
      <c r="E36" s="473">
        <f>'Allocation = % of Margin'!E33</f>
        <v>0.1364699999999997</v>
      </c>
      <c r="F36" s="474">
        <f>'Allocation = % of Margin'!H33</f>
        <v>41363</v>
      </c>
      <c r="G36" s="474">
        <f>'Allocation = % of Margin'!K33</f>
        <v>0</v>
      </c>
      <c r="H36" s="760"/>
      <c r="I36" s="537">
        <v>1</v>
      </c>
      <c r="J36" s="529">
        <f t="shared" si="1"/>
        <v>303088.75426472601</v>
      </c>
      <c r="K36" s="478">
        <f t="shared" si="2"/>
        <v>0</v>
      </c>
      <c r="L36" s="538">
        <v>1</v>
      </c>
      <c r="M36" s="529">
        <f t="shared" si="3"/>
        <v>303088.75426472601</v>
      </c>
      <c r="N36" s="474">
        <f t="shared" si="4"/>
        <v>0</v>
      </c>
      <c r="O36" s="471">
        <f t="shared" si="5"/>
        <v>0</v>
      </c>
      <c r="P36" s="478">
        <f t="shared" si="6"/>
        <v>0</v>
      </c>
      <c r="Q36" s="537">
        <v>1</v>
      </c>
      <c r="R36" s="529">
        <f t="shared" si="7"/>
        <v>303088.75426472601</v>
      </c>
      <c r="S36" s="474">
        <f t="shared" si="8"/>
        <v>0</v>
      </c>
      <c r="T36" s="478">
        <f t="shared" si="9"/>
        <v>0</v>
      </c>
      <c r="U36" s="537">
        <v>1</v>
      </c>
      <c r="V36" s="529">
        <f>'WA Volumes &amp; Revenues'!F34*U36</f>
        <v>474167</v>
      </c>
      <c r="W36" s="474">
        <f t="shared" si="10"/>
        <v>0</v>
      </c>
      <c r="X36" s="478">
        <f t="shared" si="11"/>
        <v>0</v>
      </c>
    </row>
    <row r="37" spans="1:24" x14ac:dyDescent="0.2">
      <c r="A37" s="115">
        <f t="shared" si="0"/>
        <v>28</v>
      </c>
      <c r="B37" s="725"/>
      <c r="C37" s="726" t="s">
        <v>6</v>
      </c>
      <c r="D37" s="479">
        <f>'WA Volumes &amp; Revenues'!E35</f>
        <v>59441.942130257296</v>
      </c>
      <c r="E37" s="473">
        <f>'Allocation = % of Margin'!E34</f>
        <v>0.1046699999999999</v>
      </c>
      <c r="F37" s="474">
        <f>'Allocation = % of Margin'!H34</f>
        <v>6222</v>
      </c>
      <c r="G37" s="474">
        <f>'Allocation = % of Margin'!K34</f>
        <v>0</v>
      </c>
      <c r="H37" s="760"/>
      <c r="I37" s="537">
        <v>1</v>
      </c>
      <c r="J37" s="529">
        <f t="shared" si="1"/>
        <v>59441.942130257296</v>
      </c>
      <c r="K37" s="478">
        <f t="shared" si="2"/>
        <v>0</v>
      </c>
      <c r="L37" s="538">
        <v>1</v>
      </c>
      <c r="M37" s="529">
        <f t="shared" si="3"/>
        <v>59441.942130257296</v>
      </c>
      <c r="N37" s="474">
        <f t="shared" si="4"/>
        <v>0</v>
      </c>
      <c r="O37" s="471">
        <f t="shared" si="5"/>
        <v>0</v>
      </c>
      <c r="P37" s="478">
        <f t="shared" si="6"/>
        <v>0</v>
      </c>
      <c r="Q37" s="537">
        <v>1</v>
      </c>
      <c r="R37" s="529">
        <f t="shared" si="7"/>
        <v>59441.942130257296</v>
      </c>
      <c r="S37" s="474">
        <f t="shared" si="8"/>
        <v>0</v>
      </c>
      <c r="T37" s="478">
        <f t="shared" si="9"/>
        <v>0</v>
      </c>
      <c r="U37" s="537">
        <v>1</v>
      </c>
      <c r="V37" s="529">
        <f>'WA Volumes &amp; Revenues'!F35*U37</f>
        <v>97890.5</v>
      </c>
      <c r="W37" s="474">
        <f t="shared" si="10"/>
        <v>0</v>
      </c>
      <c r="X37" s="478">
        <f t="shared" si="11"/>
        <v>0</v>
      </c>
    </row>
    <row r="38" spans="1:24" x14ac:dyDescent="0.2">
      <c r="A38" s="115">
        <f t="shared" si="0"/>
        <v>29</v>
      </c>
      <c r="B38" s="725"/>
      <c r="C38" s="726" t="s">
        <v>7</v>
      </c>
      <c r="D38" s="479">
        <f>'WA Volumes &amp; Revenues'!E36</f>
        <v>3614.6071898605187</v>
      </c>
      <c r="E38" s="473">
        <f>'Allocation = % of Margin'!E35</f>
        <v>8.3729999999999999E-2</v>
      </c>
      <c r="F38" s="474">
        <f>'Allocation = % of Margin'!H35</f>
        <v>303</v>
      </c>
      <c r="G38" s="474">
        <f>'Allocation = % of Margin'!K35</f>
        <v>0</v>
      </c>
      <c r="H38" s="760"/>
      <c r="I38" s="537">
        <v>1</v>
      </c>
      <c r="J38" s="529">
        <f t="shared" si="1"/>
        <v>3614.6071898605187</v>
      </c>
      <c r="K38" s="478">
        <f t="shared" si="2"/>
        <v>0</v>
      </c>
      <c r="L38" s="538">
        <v>1</v>
      </c>
      <c r="M38" s="529">
        <f t="shared" si="3"/>
        <v>3614.6071898605187</v>
      </c>
      <c r="N38" s="474">
        <f t="shared" si="4"/>
        <v>0</v>
      </c>
      <c r="O38" s="471">
        <f t="shared" si="5"/>
        <v>0</v>
      </c>
      <c r="P38" s="478">
        <f t="shared" si="6"/>
        <v>0</v>
      </c>
      <c r="Q38" s="537">
        <v>1</v>
      </c>
      <c r="R38" s="529">
        <f t="shared" si="7"/>
        <v>3614.6071898605187</v>
      </c>
      <c r="S38" s="474">
        <f t="shared" si="8"/>
        <v>0</v>
      </c>
      <c r="T38" s="478">
        <f t="shared" si="9"/>
        <v>0</v>
      </c>
      <c r="U38" s="537">
        <v>1</v>
      </c>
      <c r="V38" s="529">
        <f>'WA Volumes &amp; Revenues'!F36*U38</f>
        <v>6094</v>
      </c>
      <c r="W38" s="474">
        <f t="shared" si="10"/>
        <v>0</v>
      </c>
      <c r="X38" s="478">
        <f t="shared" si="11"/>
        <v>0</v>
      </c>
    </row>
    <row r="39" spans="1:24" x14ac:dyDescent="0.2">
      <c r="A39" s="115">
        <f t="shared" si="0"/>
        <v>30</v>
      </c>
      <c r="B39" s="725"/>
      <c r="C39" s="726" t="s">
        <v>8</v>
      </c>
      <c r="D39" s="479">
        <f>'WA Volumes &amp; Revenues'!E37</f>
        <v>0</v>
      </c>
      <c r="E39" s="473">
        <f>'Allocation = % of Margin'!E36</f>
        <v>5.5809999999999992E-2</v>
      </c>
      <c r="F39" s="474">
        <f>'Allocation = % of Margin'!H36</f>
        <v>0</v>
      </c>
      <c r="G39" s="474">
        <f>'Allocation = % of Margin'!K36</f>
        <v>0</v>
      </c>
      <c r="H39" s="760"/>
      <c r="I39" s="537">
        <v>1</v>
      </c>
      <c r="J39" s="529">
        <f t="shared" si="1"/>
        <v>0</v>
      </c>
      <c r="K39" s="478">
        <f t="shared" si="2"/>
        <v>0</v>
      </c>
      <c r="L39" s="538">
        <v>1</v>
      </c>
      <c r="M39" s="529">
        <f t="shared" si="3"/>
        <v>0</v>
      </c>
      <c r="N39" s="474">
        <f t="shared" si="4"/>
        <v>0</v>
      </c>
      <c r="O39" s="471">
        <f t="shared" si="5"/>
        <v>0</v>
      </c>
      <c r="P39" s="478">
        <f t="shared" si="6"/>
        <v>0</v>
      </c>
      <c r="Q39" s="537">
        <v>1</v>
      </c>
      <c r="R39" s="529">
        <f t="shared" si="7"/>
        <v>0</v>
      </c>
      <c r="S39" s="474">
        <f t="shared" si="8"/>
        <v>0</v>
      </c>
      <c r="T39" s="478">
        <f t="shared" si="9"/>
        <v>0</v>
      </c>
      <c r="U39" s="537">
        <v>1</v>
      </c>
      <c r="V39" s="529">
        <f>'WA Volumes &amp; Revenues'!F37*U39</f>
        <v>0</v>
      </c>
      <c r="W39" s="474">
        <f t="shared" si="10"/>
        <v>0</v>
      </c>
      <c r="X39" s="478">
        <f t="shared" si="11"/>
        <v>0</v>
      </c>
    </row>
    <row r="40" spans="1:24" x14ac:dyDescent="0.2">
      <c r="A40" s="115">
        <f t="shared" si="0"/>
        <v>31</v>
      </c>
      <c r="B40" s="723"/>
      <c r="C40" s="727" t="s">
        <v>9</v>
      </c>
      <c r="D40" s="466">
        <f>'WA Volumes &amp; Revenues'!E38</f>
        <v>0</v>
      </c>
      <c r="E40" s="463">
        <f>'Allocation = % of Margin'!E37</f>
        <v>2.0920000000000029E-2</v>
      </c>
      <c r="F40" s="467">
        <f>'Allocation = % of Margin'!H37</f>
        <v>0</v>
      </c>
      <c r="G40" s="467">
        <f>'Allocation = % of Margin'!K37</f>
        <v>0</v>
      </c>
      <c r="H40" s="760"/>
      <c r="I40" s="535">
        <v>1</v>
      </c>
      <c r="J40" s="533">
        <f t="shared" si="1"/>
        <v>0</v>
      </c>
      <c r="K40" s="470">
        <f t="shared" si="2"/>
        <v>0</v>
      </c>
      <c r="L40" s="536">
        <v>1</v>
      </c>
      <c r="M40" s="533">
        <f t="shared" si="3"/>
        <v>0</v>
      </c>
      <c r="N40" s="467">
        <f t="shared" si="4"/>
        <v>0</v>
      </c>
      <c r="O40" s="469">
        <f t="shared" si="5"/>
        <v>0</v>
      </c>
      <c r="P40" s="470">
        <f t="shared" si="6"/>
        <v>0</v>
      </c>
      <c r="Q40" s="535">
        <v>1</v>
      </c>
      <c r="R40" s="533">
        <f t="shared" si="7"/>
        <v>0</v>
      </c>
      <c r="S40" s="467">
        <f t="shared" si="8"/>
        <v>0</v>
      </c>
      <c r="T40" s="470">
        <f t="shared" si="9"/>
        <v>0</v>
      </c>
      <c r="U40" s="535">
        <v>1</v>
      </c>
      <c r="V40" s="533">
        <f>'WA Volumes &amp; Revenues'!F38*U40</f>
        <v>0</v>
      </c>
      <c r="W40" s="467">
        <f t="shared" si="10"/>
        <v>0</v>
      </c>
      <c r="X40" s="470">
        <f t="shared" si="11"/>
        <v>0</v>
      </c>
    </row>
    <row r="41" spans="1:24" x14ac:dyDescent="0.2">
      <c r="A41" s="115">
        <f t="shared" si="0"/>
        <v>32</v>
      </c>
      <c r="B41" s="725" t="str">
        <f>'WA Volumes &amp; Revenues'!B39</f>
        <v>42I Firm Sales</v>
      </c>
      <c r="C41" s="726" t="s">
        <v>4</v>
      </c>
      <c r="D41" s="479">
        <f>'WA Volumes &amp; Revenues'!E39</f>
        <v>1093724.2000000002</v>
      </c>
      <c r="E41" s="473">
        <f>'Allocation = % of Margin'!E38</f>
        <v>0.14721000000000001</v>
      </c>
      <c r="F41" s="474">
        <f>'Allocation = % of Margin'!H38</f>
        <v>161007</v>
      </c>
      <c r="G41" s="474">
        <f>'Allocation = % of Margin'!K38</f>
        <v>511671.18216089124</v>
      </c>
      <c r="H41" s="760"/>
      <c r="I41" s="537">
        <v>1</v>
      </c>
      <c r="J41" s="529">
        <f t="shared" si="1"/>
        <v>1093724.2000000002</v>
      </c>
      <c r="K41" s="478">
        <f t="shared" si="2"/>
        <v>0</v>
      </c>
      <c r="L41" s="538">
        <v>1</v>
      </c>
      <c r="M41" s="529">
        <f t="shared" si="3"/>
        <v>1093724.2000000002</v>
      </c>
      <c r="N41" s="474">
        <f t="shared" si="4"/>
        <v>0</v>
      </c>
      <c r="O41" s="471">
        <f t="shared" si="5"/>
        <v>0</v>
      </c>
      <c r="P41" s="478">
        <f t="shared" si="6"/>
        <v>0</v>
      </c>
      <c r="Q41" s="537">
        <v>1</v>
      </c>
      <c r="R41" s="529">
        <f t="shared" si="7"/>
        <v>1093724.2000000002</v>
      </c>
      <c r="S41" s="474">
        <f t="shared" si="8"/>
        <v>0</v>
      </c>
      <c r="T41" s="478">
        <f t="shared" si="9"/>
        <v>0</v>
      </c>
      <c r="U41" s="537">
        <v>1</v>
      </c>
      <c r="V41" s="529">
        <f>'WA Volumes &amp; Revenues'!F39*U41</f>
        <v>1086353</v>
      </c>
      <c r="W41" s="474">
        <f t="shared" si="10"/>
        <v>0</v>
      </c>
      <c r="X41" s="478">
        <f t="shared" si="11"/>
        <v>0</v>
      </c>
    </row>
    <row r="42" spans="1:24" x14ac:dyDescent="0.2">
      <c r="A42" s="115">
        <f t="shared" si="0"/>
        <v>33</v>
      </c>
      <c r="B42" s="725"/>
      <c r="C42" s="726" t="s">
        <v>5</v>
      </c>
      <c r="D42" s="479">
        <f>'WA Volumes &amp; Revenues'!E40</f>
        <v>655939.80000000005</v>
      </c>
      <c r="E42" s="473">
        <f>'Allocation = % of Margin'!E39</f>
        <v>0.13177</v>
      </c>
      <c r="F42" s="474">
        <f>'Allocation = % of Margin'!H39</f>
        <v>86433</v>
      </c>
      <c r="G42" s="474">
        <f>'Allocation = % of Margin'!K39</f>
        <v>0</v>
      </c>
      <c r="H42" s="760"/>
      <c r="I42" s="537">
        <v>1</v>
      </c>
      <c r="J42" s="529">
        <f t="shared" si="1"/>
        <v>655939.80000000005</v>
      </c>
      <c r="K42" s="478">
        <f t="shared" si="2"/>
        <v>0</v>
      </c>
      <c r="L42" s="538">
        <v>1</v>
      </c>
      <c r="M42" s="529">
        <f t="shared" si="3"/>
        <v>655939.80000000005</v>
      </c>
      <c r="N42" s="474">
        <f t="shared" si="4"/>
        <v>0</v>
      </c>
      <c r="O42" s="471">
        <f t="shared" si="5"/>
        <v>0</v>
      </c>
      <c r="P42" s="478">
        <f t="shared" si="6"/>
        <v>0</v>
      </c>
      <c r="Q42" s="537">
        <v>1</v>
      </c>
      <c r="R42" s="529">
        <f t="shared" si="7"/>
        <v>655939.80000000005</v>
      </c>
      <c r="S42" s="474">
        <f t="shared" si="8"/>
        <v>0</v>
      </c>
      <c r="T42" s="478">
        <f t="shared" si="9"/>
        <v>0</v>
      </c>
      <c r="U42" s="537">
        <v>1</v>
      </c>
      <c r="V42" s="529">
        <f>'WA Volumes &amp; Revenues'!F40*U42</f>
        <v>638955</v>
      </c>
      <c r="W42" s="474">
        <f t="shared" si="10"/>
        <v>0</v>
      </c>
      <c r="X42" s="478">
        <f t="shared" si="11"/>
        <v>0</v>
      </c>
    </row>
    <row r="43" spans="1:24" x14ac:dyDescent="0.2">
      <c r="A43" s="115">
        <f t="shared" si="0"/>
        <v>34</v>
      </c>
      <c r="B43" s="725"/>
      <c r="C43" s="726" t="s">
        <v>6</v>
      </c>
      <c r="D43" s="479">
        <f>'WA Volumes &amp; Revenues'!E41</f>
        <v>81241.3</v>
      </c>
      <c r="E43" s="473">
        <f>'Allocation = % of Margin'!E40</f>
        <v>0.10104999999999985</v>
      </c>
      <c r="F43" s="474">
        <f>'Allocation = % of Margin'!H40</f>
        <v>8209</v>
      </c>
      <c r="G43" s="474">
        <f>'Allocation = % of Margin'!K40</f>
        <v>0</v>
      </c>
      <c r="H43" s="760"/>
      <c r="I43" s="537">
        <v>1</v>
      </c>
      <c r="J43" s="529">
        <f t="shared" si="1"/>
        <v>81241.3</v>
      </c>
      <c r="K43" s="478">
        <f t="shared" si="2"/>
        <v>0</v>
      </c>
      <c r="L43" s="538">
        <v>1</v>
      </c>
      <c r="M43" s="529">
        <f t="shared" si="3"/>
        <v>81241.3</v>
      </c>
      <c r="N43" s="474">
        <f t="shared" si="4"/>
        <v>0</v>
      </c>
      <c r="O43" s="471">
        <f t="shared" si="5"/>
        <v>0</v>
      </c>
      <c r="P43" s="478">
        <f t="shared" si="6"/>
        <v>0</v>
      </c>
      <c r="Q43" s="537">
        <v>1</v>
      </c>
      <c r="R43" s="529">
        <f t="shared" si="7"/>
        <v>81241.3</v>
      </c>
      <c r="S43" s="474">
        <f t="shared" si="8"/>
        <v>0</v>
      </c>
      <c r="T43" s="478">
        <f t="shared" si="9"/>
        <v>0</v>
      </c>
      <c r="U43" s="537">
        <v>1</v>
      </c>
      <c r="V43" s="529">
        <f>'WA Volumes &amp; Revenues'!F41*U43</f>
        <v>68923</v>
      </c>
      <c r="W43" s="474">
        <f t="shared" si="10"/>
        <v>0</v>
      </c>
      <c r="X43" s="478">
        <f t="shared" si="11"/>
        <v>0</v>
      </c>
    </row>
    <row r="44" spans="1:24" x14ac:dyDescent="0.2">
      <c r="A44" s="115">
        <f t="shared" si="0"/>
        <v>35</v>
      </c>
      <c r="B44" s="725"/>
      <c r="C44" s="726" t="s">
        <v>7</v>
      </c>
      <c r="D44" s="479">
        <f>'WA Volumes &amp; Revenues'!E42</f>
        <v>9320.1</v>
      </c>
      <c r="E44" s="473">
        <f>'Allocation = % of Margin'!E41</f>
        <v>8.0839999999999995E-2</v>
      </c>
      <c r="F44" s="474">
        <f>'Allocation = % of Margin'!H41</f>
        <v>753</v>
      </c>
      <c r="G44" s="474">
        <f>'Allocation = % of Margin'!K41</f>
        <v>0</v>
      </c>
      <c r="H44" s="760"/>
      <c r="I44" s="537">
        <v>1</v>
      </c>
      <c r="J44" s="529">
        <f t="shared" si="1"/>
        <v>9320.1</v>
      </c>
      <c r="K44" s="478">
        <f t="shared" si="2"/>
        <v>0</v>
      </c>
      <c r="L44" s="538">
        <v>1</v>
      </c>
      <c r="M44" s="529">
        <f t="shared" si="3"/>
        <v>9320.1</v>
      </c>
      <c r="N44" s="474">
        <f t="shared" si="4"/>
        <v>0</v>
      </c>
      <c r="O44" s="471">
        <f t="shared" si="5"/>
        <v>0</v>
      </c>
      <c r="P44" s="478">
        <f t="shared" si="6"/>
        <v>0</v>
      </c>
      <c r="Q44" s="537">
        <v>1</v>
      </c>
      <c r="R44" s="529">
        <f t="shared" si="7"/>
        <v>9320.1</v>
      </c>
      <c r="S44" s="474">
        <f t="shared" si="8"/>
        <v>0</v>
      </c>
      <c r="T44" s="478">
        <f t="shared" si="9"/>
        <v>0</v>
      </c>
      <c r="U44" s="537">
        <v>1</v>
      </c>
      <c r="V44" s="529">
        <f>'WA Volumes &amp; Revenues'!F42*U44</f>
        <v>0</v>
      </c>
      <c r="W44" s="474">
        <f t="shared" si="10"/>
        <v>0</v>
      </c>
      <c r="X44" s="478">
        <f t="shared" si="11"/>
        <v>0</v>
      </c>
    </row>
    <row r="45" spans="1:24" x14ac:dyDescent="0.2">
      <c r="A45" s="115">
        <f t="shared" si="0"/>
        <v>36</v>
      </c>
      <c r="B45" s="725"/>
      <c r="C45" s="726" t="s">
        <v>8</v>
      </c>
      <c r="D45" s="479">
        <f>'WA Volumes &amp; Revenues'!E43</f>
        <v>0</v>
      </c>
      <c r="E45" s="473">
        <f>'Allocation = % of Margin'!E42</f>
        <v>5.391E-2</v>
      </c>
      <c r="F45" s="474">
        <f>'Allocation = % of Margin'!H42</f>
        <v>0</v>
      </c>
      <c r="G45" s="474">
        <f>'Allocation = % of Margin'!K42</f>
        <v>0</v>
      </c>
      <c r="H45" s="760"/>
      <c r="I45" s="537">
        <v>1</v>
      </c>
      <c r="J45" s="529">
        <f t="shared" si="1"/>
        <v>0</v>
      </c>
      <c r="K45" s="478">
        <f t="shared" si="2"/>
        <v>0</v>
      </c>
      <c r="L45" s="538">
        <v>1</v>
      </c>
      <c r="M45" s="529">
        <f t="shared" si="3"/>
        <v>0</v>
      </c>
      <c r="N45" s="474">
        <f t="shared" si="4"/>
        <v>0</v>
      </c>
      <c r="O45" s="471">
        <f t="shared" si="5"/>
        <v>0</v>
      </c>
      <c r="P45" s="478">
        <f t="shared" si="6"/>
        <v>0</v>
      </c>
      <c r="Q45" s="537">
        <v>1</v>
      </c>
      <c r="R45" s="529">
        <f t="shared" si="7"/>
        <v>0</v>
      </c>
      <c r="S45" s="474">
        <f t="shared" si="8"/>
        <v>0</v>
      </c>
      <c r="T45" s="478">
        <f t="shared" si="9"/>
        <v>0</v>
      </c>
      <c r="U45" s="537">
        <v>1</v>
      </c>
      <c r="V45" s="529">
        <f>'WA Volumes &amp; Revenues'!F43*U45</f>
        <v>0</v>
      </c>
      <c r="W45" s="474">
        <f t="shared" si="10"/>
        <v>0</v>
      </c>
      <c r="X45" s="478">
        <f t="shared" si="11"/>
        <v>0</v>
      </c>
    </row>
    <row r="46" spans="1:24" x14ac:dyDescent="0.2">
      <c r="A46" s="115">
        <f t="shared" si="0"/>
        <v>37</v>
      </c>
      <c r="B46" s="723"/>
      <c r="C46" s="727" t="s">
        <v>9</v>
      </c>
      <c r="D46" s="466">
        <f>'WA Volumes &amp; Revenues'!E44</f>
        <v>0</v>
      </c>
      <c r="E46" s="463">
        <f>'Allocation = % of Margin'!E43</f>
        <v>2.0199999999999999E-2</v>
      </c>
      <c r="F46" s="467">
        <f>'Allocation = % of Margin'!H43</f>
        <v>0</v>
      </c>
      <c r="G46" s="467">
        <f>'Allocation = % of Margin'!K43</f>
        <v>0</v>
      </c>
      <c r="H46" s="760"/>
      <c r="I46" s="535">
        <v>1</v>
      </c>
      <c r="J46" s="533">
        <f t="shared" si="1"/>
        <v>0</v>
      </c>
      <c r="K46" s="470">
        <f t="shared" si="2"/>
        <v>0</v>
      </c>
      <c r="L46" s="536">
        <v>1</v>
      </c>
      <c r="M46" s="533">
        <f t="shared" si="3"/>
        <v>0</v>
      </c>
      <c r="N46" s="467">
        <f t="shared" si="4"/>
        <v>0</v>
      </c>
      <c r="O46" s="469">
        <f t="shared" si="5"/>
        <v>0</v>
      </c>
      <c r="P46" s="470">
        <f t="shared" si="6"/>
        <v>0</v>
      </c>
      <c r="Q46" s="535">
        <v>1</v>
      </c>
      <c r="R46" s="533">
        <f t="shared" si="7"/>
        <v>0</v>
      </c>
      <c r="S46" s="467">
        <f t="shared" si="8"/>
        <v>0</v>
      </c>
      <c r="T46" s="470">
        <f t="shared" si="9"/>
        <v>0</v>
      </c>
      <c r="U46" s="535">
        <v>1</v>
      </c>
      <c r="V46" s="533">
        <f>'WA Volumes &amp; Revenues'!F44*U46</f>
        <v>0</v>
      </c>
      <c r="W46" s="467">
        <f t="shared" si="10"/>
        <v>0</v>
      </c>
      <c r="X46" s="470">
        <f t="shared" si="11"/>
        <v>0</v>
      </c>
    </row>
    <row r="47" spans="1:24" x14ac:dyDescent="0.2">
      <c r="A47" s="115">
        <f t="shared" si="0"/>
        <v>38</v>
      </c>
      <c r="B47" s="725" t="str">
        <f>'WA Volumes &amp; Revenues'!B45</f>
        <v>42C Firm Transpt</v>
      </c>
      <c r="C47" s="726" t="s">
        <v>4</v>
      </c>
      <c r="D47" s="479">
        <f>'WA Volumes &amp; Revenues'!E45</f>
        <v>480000</v>
      </c>
      <c r="E47" s="473">
        <f>'Allocation = % of Margin'!E44</f>
        <v>0.13791999999999999</v>
      </c>
      <c r="F47" s="474">
        <f>'Allocation = % of Margin'!H44</f>
        <v>66202</v>
      </c>
      <c r="G47" s="474">
        <f>'Allocation = % of Margin'!K44</f>
        <v>360784.79504</v>
      </c>
      <c r="H47" s="760"/>
      <c r="I47" s="537">
        <v>0</v>
      </c>
      <c r="J47" s="529">
        <f t="shared" si="1"/>
        <v>0</v>
      </c>
      <c r="K47" s="478">
        <f t="shared" si="2"/>
        <v>0</v>
      </c>
      <c r="L47" s="538">
        <v>0</v>
      </c>
      <c r="M47" s="529">
        <f t="shared" si="3"/>
        <v>0</v>
      </c>
      <c r="N47" s="474">
        <f t="shared" si="4"/>
        <v>0</v>
      </c>
      <c r="O47" s="471">
        <f t="shared" si="5"/>
        <v>0</v>
      </c>
      <c r="P47" s="478">
        <f t="shared" si="6"/>
        <v>0</v>
      </c>
      <c r="Q47" s="537">
        <v>0</v>
      </c>
      <c r="R47" s="529">
        <f t="shared" si="7"/>
        <v>0</v>
      </c>
      <c r="S47" s="474">
        <f t="shared" si="8"/>
        <v>0</v>
      </c>
      <c r="T47" s="478">
        <f t="shared" si="9"/>
        <v>0</v>
      </c>
      <c r="U47" s="537">
        <v>0</v>
      </c>
      <c r="V47" s="529">
        <f>'WA Volumes &amp; Revenues'!F45*U47</f>
        <v>0</v>
      </c>
      <c r="W47" s="474">
        <f t="shared" si="10"/>
        <v>0</v>
      </c>
      <c r="X47" s="478">
        <f t="shared" si="11"/>
        <v>0</v>
      </c>
    </row>
    <row r="48" spans="1:24" x14ac:dyDescent="0.2">
      <c r="A48" s="115">
        <f t="shared" si="0"/>
        <v>39</v>
      </c>
      <c r="B48" s="725"/>
      <c r="C48" s="726" t="s">
        <v>5</v>
      </c>
      <c r="D48" s="479">
        <f>'WA Volumes &amp; Revenues'!E46</f>
        <v>807846</v>
      </c>
      <c r="E48" s="473">
        <f>'Allocation = % of Margin'!E45</f>
        <v>0.12346999999999998</v>
      </c>
      <c r="F48" s="474">
        <f>'Allocation = % of Margin'!H45</f>
        <v>99745</v>
      </c>
      <c r="G48" s="474">
        <f>'Allocation = % of Margin'!K45</f>
        <v>0</v>
      </c>
      <c r="H48" s="760"/>
      <c r="I48" s="537">
        <v>0</v>
      </c>
      <c r="J48" s="529">
        <f t="shared" si="1"/>
        <v>0</v>
      </c>
      <c r="K48" s="478">
        <f t="shared" si="2"/>
        <v>0</v>
      </c>
      <c r="L48" s="538">
        <v>0</v>
      </c>
      <c r="M48" s="529">
        <f t="shared" si="3"/>
        <v>0</v>
      </c>
      <c r="N48" s="474">
        <f t="shared" si="4"/>
        <v>0</v>
      </c>
      <c r="O48" s="471">
        <f t="shared" si="5"/>
        <v>0</v>
      </c>
      <c r="P48" s="478">
        <f t="shared" si="6"/>
        <v>0</v>
      </c>
      <c r="Q48" s="537">
        <v>0</v>
      </c>
      <c r="R48" s="529">
        <f t="shared" si="7"/>
        <v>0</v>
      </c>
      <c r="S48" s="474">
        <f t="shared" si="8"/>
        <v>0</v>
      </c>
      <c r="T48" s="478">
        <f t="shared" si="9"/>
        <v>0</v>
      </c>
      <c r="U48" s="537">
        <v>0</v>
      </c>
      <c r="V48" s="529">
        <f>'WA Volumes &amp; Revenues'!F46*U48</f>
        <v>0</v>
      </c>
      <c r="W48" s="474">
        <f t="shared" si="10"/>
        <v>0</v>
      </c>
      <c r="X48" s="478">
        <f t="shared" si="11"/>
        <v>0</v>
      </c>
    </row>
    <row r="49" spans="1:24" x14ac:dyDescent="0.2">
      <c r="A49" s="115">
        <f t="shared" si="0"/>
        <v>40</v>
      </c>
      <c r="B49" s="725"/>
      <c r="C49" s="726" t="s">
        <v>6</v>
      </c>
      <c r="D49" s="479">
        <f>'WA Volumes &amp; Revenues'!E47</f>
        <v>583779</v>
      </c>
      <c r="E49" s="473">
        <f>'Allocation = % of Margin'!E46</f>
        <v>9.4670000000000004E-2</v>
      </c>
      <c r="F49" s="474">
        <f>'Allocation = % of Margin'!H46</f>
        <v>55266</v>
      </c>
      <c r="G49" s="474">
        <f>'Allocation = % of Margin'!K46</f>
        <v>0</v>
      </c>
      <c r="H49" s="760"/>
      <c r="I49" s="537">
        <v>0</v>
      </c>
      <c r="J49" s="529">
        <f t="shared" si="1"/>
        <v>0</v>
      </c>
      <c r="K49" s="478">
        <f t="shared" si="2"/>
        <v>0</v>
      </c>
      <c r="L49" s="538">
        <v>0</v>
      </c>
      <c r="M49" s="529">
        <f t="shared" si="3"/>
        <v>0</v>
      </c>
      <c r="N49" s="474">
        <f t="shared" si="4"/>
        <v>0</v>
      </c>
      <c r="O49" s="471">
        <f t="shared" si="5"/>
        <v>0</v>
      </c>
      <c r="P49" s="478">
        <f t="shared" si="6"/>
        <v>0</v>
      </c>
      <c r="Q49" s="537">
        <v>0</v>
      </c>
      <c r="R49" s="529">
        <f t="shared" si="7"/>
        <v>0</v>
      </c>
      <c r="S49" s="474">
        <f t="shared" si="8"/>
        <v>0</v>
      </c>
      <c r="T49" s="478">
        <f t="shared" si="9"/>
        <v>0</v>
      </c>
      <c r="U49" s="537">
        <v>0</v>
      </c>
      <c r="V49" s="529">
        <f>'WA Volumes &amp; Revenues'!F47*U49</f>
        <v>0</v>
      </c>
      <c r="W49" s="474">
        <f t="shared" si="10"/>
        <v>0</v>
      </c>
      <c r="X49" s="478">
        <f t="shared" si="11"/>
        <v>0</v>
      </c>
    </row>
    <row r="50" spans="1:24" x14ac:dyDescent="0.2">
      <c r="A50" s="115">
        <f t="shared" si="0"/>
        <v>41</v>
      </c>
      <c r="B50" s="725"/>
      <c r="C50" s="726" t="s">
        <v>7</v>
      </c>
      <c r="D50" s="479">
        <f>'WA Volumes &amp; Revenues'!E48</f>
        <v>598933</v>
      </c>
      <c r="E50" s="473">
        <f>'Allocation = % of Margin'!E47</f>
        <v>7.5750000000000012E-2</v>
      </c>
      <c r="F50" s="474">
        <f>'Allocation = % of Margin'!H47</f>
        <v>45369</v>
      </c>
      <c r="G50" s="474">
        <f>'Allocation = % of Margin'!K47</f>
        <v>0</v>
      </c>
      <c r="H50" s="760"/>
      <c r="I50" s="537">
        <v>0</v>
      </c>
      <c r="J50" s="529">
        <f t="shared" si="1"/>
        <v>0</v>
      </c>
      <c r="K50" s="478">
        <f t="shared" si="2"/>
        <v>0</v>
      </c>
      <c r="L50" s="538">
        <v>0</v>
      </c>
      <c r="M50" s="529">
        <f t="shared" si="3"/>
        <v>0</v>
      </c>
      <c r="N50" s="474">
        <f t="shared" si="4"/>
        <v>0</v>
      </c>
      <c r="O50" s="471">
        <f t="shared" si="5"/>
        <v>0</v>
      </c>
      <c r="P50" s="478">
        <f t="shared" si="6"/>
        <v>0</v>
      </c>
      <c r="Q50" s="537">
        <v>0</v>
      </c>
      <c r="R50" s="529">
        <f t="shared" si="7"/>
        <v>0</v>
      </c>
      <c r="S50" s="474">
        <f t="shared" si="8"/>
        <v>0</v>
      </c>
      <c r="T50" s="478">
        <f t="shared" si="9"/>
        <v>0</v>
      </c>
      <c r="U50" s="537">
        <v>0</v>
      </c>
      <c r="V50" s="529">
        <f>'WA Volumes &amp; Revenues'!F48*U50</f>
        <v>0</v>
      </c>
      <c r="W50" s="474">
        <f t="shared" si="10"/>
        <v>0</v>
      </c>
      <c r="X50" s="478">
        <f t="shared" si="11"/>
        <v>0</v>
      </c>
    </row>
    <row r="51" spans="1:24" x14ac:dyDescent="0.2">
      <c r="A51" s="115">
        <f t="shared" si="0"/>
        <v>42</v>
      </c>
      <c r="B51" s="725"/>
      <c r="C51" s="726" t="s">
        <v>8</v>
      </c>
      <c r="D51" s="479">
        <f>'WA Volumes &amp; Revenues'!E49</f>
        <v>0</v>
      </c>
      <c r="E51" s="473">
        <f>'Allocation = % of Margin'!E48</f>
        <v>5.0500000000000003E-2</v>
      </c>
      <c r="F51" s="474">
        <f>'Allocation = % of Margin'!H48</f>
        <v>0</v>
      </c>
      <c r="G51" s="474">
        <f>'Allocation = % of Margin'!K48</f>
        <v>0</v>
      </c>
      <c r="H51" s="760"/>
      <c r="I51" s="537">
        <v>0</v>
      </c>
      <c r="J51" s="529">
        <f t="shared" si="1"/>
        <v>0</v>
      </c>
      <c r="K51" s="478">
        <f t="shared" si="2"/>
        <v>0</v>
      </c>
      <c r="L51" s="538">
        <v>0</v>
      </c>
      <c r="M51" s="529">
        <f t="shared" si="3"/>
        <v>0</v>
      </c>
      <c r="N51" s="474">
        <f t="shared" si="4"/>
        <v>0</v>
      </c>
      <c r="O51" s="471">
        <f t="shared" si="5"/>
        <v>0</v>
      </c>
      <c r="P51" s="478">
        <f t="shared" si="6"/>
        <v>0</v>
      </c>
      <c r="Q51" s="537">
        <v>0</v>
      </c>
      <c r="R51" s="529">
        <f t="shared" si="7"/>
        <v>0</v>
      </c>
      <c r="S51" s="474">
        <f t="shared" si="8"/>
        <v>0</v>
      </c>
      <c r="T51" s="478">
        <f t="shared" si="9"/>
        <v>0</v>
      </c>
      <c r="U51" s="537">
        <v>0</v>
      </c>
      <c r="V51" s="529">
        <f>'WA Volumes &amp; Revenues'!F49*U51</f>
        <v>0</v>
      </c>
      <c r="W51" s="474">
        <f t="shared" si="10"/>
        <v>0</v>
      </c>
      <c r="X51" s="478">
        <f t="shared" si="11"/>
        <v>0</v>
      </c>
    </row>
    <row r="52" spans="1:24" x14ac:dyDescent="0.2">
      <c r="A52" s="115">
        <f t="shared" si="0"/>
        <v>43</v>
      </c>
      <c r="B52" s="723"/>
      <c r="C52" s="727" t="s">
        <v>9</v>
      </c>
      <c r="D52" s="466">
        <f>'WA Volumes &amp; Revenues'!E50</f>
        <v>0</v>
      </c>
      <c r="E52" s="463">
        <f>'Allocation = % of Margin'!E49</f>
        <v>1.8929999999999999E-2</v>
      </c>
      <c r="F52" s="467">
        <f>'Allocation = % of Margin'!H49</f>
        <v>0</v>
      </c>
      <c r="G52" s="467">
        <f>'Allocation = % of Margin'!K49</f>
        <v>0</v>
      </c>
      <c r="H52" s="760"/>
      <c r="I52" s="535">
        <v>0</v>
      </c>
      <c r="J52" s="533">
        <f t="shared" si="1"/>
        <v>0</v>
      </c>
      <c r="K52" s="470">
        <f t="shared" si="2"/>
        <v>0</v>
      </c>
      <c r="L52" s="536">
        <v>0</v>
      </c>
      <c r="M52" s="533">
        <f t="shared" si="3"/>
        <v>0</v>
      </c>
      <c r="N52" s="467">
        <f t="shared" si="4"/>
        <v>0</v>
      </c>
      <c r="O52" s="469">
        <f t="shared" si="5"/>
        <v>0</v>
      </c>
      <c r="P52" s="470">
        <f t="shared" si="6"/>
        <v>0</v>
      </c>
      <c r="Q52" s="535">
        <v>0</v>
      </c>
      <c r="R52" s="533">
        <f t="shared" si="7"/>
        <v>0</v>
      </c>
      <c r="S52" s="467">
        <f t="shared" si="8"/>
        <v>0</v>
      </c>
      <c r="T52" s="470">
        <f t="shared" si="9"/>
        <v>0</v>
      </c>
      <c r="U52" s="535">
        <v>0</v>
      </c>
      <c r="V52" s="533">
        <f>'WA Volumes &amp; Revenues'!F50*U52</f>
        <v>0</v>
      </c>
      <c r="W52" s="467">
        <f t="shared" si="10"/>
        <v>0</v>
      </c>
      <c r="X52" s="470">
        <f t="shared" si="11"/>
        <v>0</v>
      </c>
    </row>
    <row r="53" spans="1:24" x14ac:dyDescent="0.2">
      <c r="A53" s="115">
        <f t="shared" si="0"/>
        <v>44</v>
      </c>
      <c r="B53" s="725" t="str">
        <f>'WA Volumes &amp; Revenues'!B51</f>
        <v>42I Firm Transpt</v>
      </c>
      <c r="C53" s="726" t="s">
        <v>4</v>
      </c>
      <c r="D53" s="479">
        <f>'WA Volumes &amp; Revenues'!E51</f>
        <v>924395</v>
      </c>
      <c r="E53" s="473">
        <f>'Allocation = % of Margin'!E50</f>
        <v>0.13941000000000001</v>
      </c>
      <c r="F53" s="474">
        <f>'Allocation = % of Margin'!H50</f>
        <v>128870</v>
      </c>
      <c r="G53" s="474">
        <f>'Allocation = % of Margin'!K50</f>
        <v>823616.4656</v>
      </c>
      <c r="H53" s="760"/>
      <c r="I53" s="537">
        <v>0</v>
      </c>
      <c r="J53" s="529">
        <f t="shared" si="1"/>
        <v>0</v>
      </c>
      <c r="K53" s="478">
        <f t="shared" si="2"/>
        <v>0</v>
      </c>
      <c r="L53" s="538">
        <v>0</v>
      </c>
      <c r="M53" s="529">
        <f t="shared" si="3"/>
        <v>0</v>
      </c>
      <c r="N53" s="474">
        <f t="shared" si="4"/>
        <v>0</v>
      </c>
      <c r="O53" s="471">
        <f t="shared" si="5"/>
        <v>0</v>
      </c>
      <c r="P53" s="478">
        <f t="shared" si="6"/>
        <v>0</v>
      </c>
      <c r="Q53" s="537">
        <v>0</v>
      </c>
      <c r="R53" s="529">
        <f t="shared" si="7"/>
        <v>0</v>
      </c>
      <c r="S53" s="474">
        <f t="shared" si="8"/>
        <v>0</v>
      </c>
      <c r="T53" s="478">
        <f t="shared" si="9"/>
        <v>0</v>
      </c>
      <c r="U53" s="537">
        <v>0</v>
      </c>
      <c r="V53" s="529">
        <f>'WA Volumes &amp; Revenues'!F51*U53</f>
        <v>0</v>
      </c>
      <c r="W53" s="474">
        <f t="shared" si="10"/>
        <v>0</v>
      </c>
      <c r="X53" s="478">
        <f t="shared" si="11"/>
        <v>0</v>
      </c>
    </row>
    <row r="54" spans="1:24" x14ac:dyDescent="0.2">
      <c r="A54" s="115">
        <f t="shared" si="0"/>
        <v>45</v>
      </c>
      <c r="B54" s="725"/>
      <c r="C54" s="726" t="s">
        <v>5</v>
      </c>
      <c r="D54" s="479">
        <f>'WA Volumes &amp; Revenues'!E52</f>
        <v>1036796</v>
      </c>
      <c r="E54" s="473">
        <f>'Allocation = % of Margin'!E51</f>
        <v>0.12478999999999997</v>
      </c>
      <c r="F54" s="474">
        <f>'Allocation = % of Margin'!H51</f>
        <v>129382</v>
      </c>
      <c r="G54" s="474">
        <f>'Allocation = % of Margin'!K51</f>
        <v>0</v>
      </c>
      <c r="H54" s="760"/>
      <c r="I54" s="537">
        <v>0</v>
      </c>
      <c r="J54" s="529">
        <f t="shared" si="1"/>
        <v>0</v>
      </c>
      <c r="K54" s="478">
        <f t="shared" si="2"/>
        <v>0</v>
      </c>
      <c r="L54" s="538">
        <v>0</v>
      </c>
      <c r="M54" s="529">
        <f t="shared" si="3"/>
        <v>0</v>
      </c>
      <c r="N54" s="474">
        <f t="shared" si="4"/>
        <v>0</v>
      </c>
      <c r="O54" s="471">
        <f t="shared" si="5"/>
        <v>0</v>
      </c>
      <c r="P54" s="478">
        <f t="shared" si="6"/>
        <v>0</v>
      </c>
      <c r="Q54" s="537">
        <v>0</v>
      </c>
      <c r="R54" s="529">
        <f t="shared" si="7"/>
        <v>0</v>
      </c>
      <c r="S54" s="474">
        <f t="shared" si="8"/>
        <v>0</v>
      </c>
      <c r="T54" s="478">
        <f t="shared" si="9"/>
        <v>0</v>
      </c>
      <c r="U54" s="537">
        <v>0</v>
      </c>
      <c r="V54" s="529">
        <f>'WA Volumes &amp; Revenues'!F52*U54</f>
        <v>0</v>
      </c>
      <c r="W54" s="474">
        <f t="shared" si="10"/>
        <v>0</v>
      </c>
      <c r="X54" s="478">
        <f t="shared" si="11"/>
        <v>0</v>
      </c>
    </row>
    <row r="55" spans="1:24" x14ac:dyDescent="0.2">
      <c r="A55" s="115">
        <f t="shared" si="0"/>
        <v>46</v>
      </c>
      <c r="B55" s="725"/>
      <c r="C55" s="726" t="s">
        <v>6</v>
      </c>
      <c r="D55" s="479">
        <f>'WA Volumes &amp; Revenues'!E53</f>
        <v>937215</v>
      </c>
      <c r="E55" s="473">
        <f>'Allocation = % of Margin'!E52</f>
        <v>9.5690000000000011E-2</v>
      </c>
      <c r="F55" s="474">
        <f>'Allocation = % of Margin'!H52</f>
        <v>89682</v>
      </c>
      <c r="G55" s="474">
        <f>'Allocation = % of Margin'!K52</f>
        <v>0</v>
      </c>
      <c r="H55" s="760"/>
      <c r="I55" s="537">
        <v>0</v>
      </c>
      <c r="J55" s="529">
        <f t="shared" si="1"/>
        <v>0</v>
      </c>
      <c r="K55" s="478">
        <f t="shared" si="2"/>
        <v>0</v>
      </c>
      <c r="L55" s="538">
        <v>0</v>
      </c>
      <c r="M55" s="529">
        <f t="shared" si="3"/>
        <v>0</v>
      </c>
      <c r="N55" s="474">
        <f t="shared" si="4"/>
        <v>0</v>
      </c>
      <c r="O55" s="471">
        <f t="shared" si="5"/>
        <v>0</v>
      </c>
      <c r="P55" s="478">
        <f t="shared" si="6"/>
        <v>0</v>
      </c>
      <c r="Q55" s="537">
        <v>0</v>
      </c>
      <c r="R55" s="529">
        <f t="shared" si="7"/>
        <v>0</v>
      </c>
      <c r="S55" s="474">
        <f t="shared" si="8"/>
        <v>0</v>
      </c>
      <c r="T55" s="478">
        <f t="shared" si="9"/>
        <v>0</v>
      </c>
      <c r="U55" s="537">
        <v>0</v>
      </c>
      <c r="V55" s="529">
        <f>'WA Volumes &amp; Revenues'!F53*U55</f>
        <v>0</v>
      </c>
      <c r="W55" s="474">
        <f t="shared" si="10"/>
        <v>0</v>
      </c>
      <c r="X55" s="478">
        <f t="shared" si="11"/>
        <v>0</v>
      </c>
    </row>
    <row r="56" spans="1:24" x14ac:dyDescent="0.2">
      <c r="A56" s="115">
        <f t="shared" si="0"/>
        <v>47</v>
      </c>
      <c r="B56" s="725"/>
      <c r="C56" s="726" t="s">
        <v>7</v>
      </c>
      <c r="D56" s="479">
        <f>'WA Volumes &amp; Revenues'!E54</f>
        <v>2390318</v>
      </c>
      <c r="E56" s="473">
        <f>'Allocation = % of Margin'!E53</f>
        <v>7.6560000000000017E-2</v>
      </c>
      <c r="F56" s="474">
        <f>'Allocation = % of Margin'!H53</f>
        <v>183003</v>
      </c>
      <c r="G56" s="474">
        <f>'Allocation = % of Margin'!K53</f>
        <v>0</v>
      </c>
      <c r="H56" s="760"/>
      <c r="I56" s="537">
        <v>0</v>
      </c>
      <c r="J56" s="529">
        <f t="shared" si="1"/>
        <v>0</v>
      </c>
      <c r="K56" s="478">
        <f t="shared" si="2"/>
        <v>0</v>
      </c>
      <c r="L56" s="538">
        <v>0</v>
      </c>
      <c r="M56" s="529">
        <f t="shared" si="3"/>
        <v>0</v>
      </c>
      <c r="N56" s="474">
        <f t="shared" si="4"/>
        <v>0</v>
      </c>
      <c r="O56" s="471">
        <f t="shared" si="5"/>
        <v>0</v>
      </c>
      <c r="P56" s="478">
        <f t="shared" si="6"/>
        <v>0</v>
      </c>
      <c r="Q56" s="537">
        <v>0</v>
      </c>
      <c r="R56" s="529">
        <f t="shared" si="7"/>
        <v>0</v>
      </c>
      <c r="S56" s="474">
        <f t="shared" si="8"/>
        <v>0</v>
      </c>
      <c r="T56" s="478">
        <f t="shared" si="9"/>
        <v>0</v>
      </c>
      <c r="U56" s="537">
        <v>0</v>
      </c>
      <c r="V56" s="529">
        <f>'WA Volumes &amp; Revenues'!F54*U56</f>
        <v>0</v>
      </c>
      <c r="W56" s="474">
        <f t="shared" si="10"/>
        <v>0</v>
      </c>
      <c r="X56" s="478">
        <f t="shared" si="11"/>
        <v>0</v>
      </c>
    </row>
    <row r="57" spans="1:24" x14ac:dyDescent="0.2">
      <c r="A57" s="115">
        <f t="shared" si="0"/>
        <v>48</v>
      </c>
      <c r="B57" s="725"/>
      <c r="C57" s="726" t="s">
        <v>8</v>
      </c>
      <c r="D57" s="479">
        <f>'WA Volumes &amp; Revenues'!E55</f>
        <v>1492257</v>
      </c>
      <c r="E57" s="473">
        <f>'Allocation = % of Margin'!E54</f>
        <v>5.1040000000000002E-2</v>
      </c>
      <c r="F57" s="474">
        <f>'Allocation = % of Margin'!H54</f>
        <v>76165</v>
      </c>
      <c r="G57" s="474">
        <f>'Allocation = % of Margin'!K54</f>
        <v>0</v>
      </c>
      <c r="H57" s="760"/>
      <c r="I57" s="537">
        <v>0</v>
      </c>
      <c r="J57" s="529">
        <f t="shared" si="1"/>
        <v>0</v>
      </c>
      <c r="K57" s="478">
        <f t="shared" si="2"/>
        <v>0</v>
      </c>
      <c r="L57" s="538">
        <v>0</v>
      </c>
      <c r="M57" s="529">
        <f t="shared" si="3"/>
        <v>0</v>
      </c>
      <c r="N57" s="474">
        <f t="shared" si="4"/>
        <v>0</v>
      </c>
      <c r="O57" s="471">
        <f t="shared" si="5"/>
        <v>0</v>
      </c>
      <c r="P57" s="478">
        <f t="shared" si="6"/>
        <v>0</v>
      </c>
      <c r="Q57" s="537">
        <v>0</v>
      </c>
      <c r="R57" s="529">
        <f t="shared" si="7"/>
        <v>0</v>
      </c>
      <c r="S57" s="474">
        <f t="shared" si="8"/>
        <v>0</v>
      </c>
      <c r="T57" s="478">
        <f t="shared" si="9"/>
        <v>0</v>
      </c>
      <c r="U57" s="537">
        <v>0</v>
      </c>
      <c r="V57" s="529">
        <f>'WA Volumes &amp; Revenues'!F55*U57</f>
        <v>0</v>
      </c>
      <c r="W57" s="474">
        <f t="shared" si="10"/>
        <v>0</v>
      </c>
      <c r="X57" s="478">
        <f t="shared" si="11"/>
        <v>0</v>
      </c>
    </row>
    <row r="58" spans="1:24" x14ac:dyDescent="0.2">
      <c r="A58" s="115">
        <f t="shared" si="0"/>
        <v>49</v>
      </c>
      <c r="B58" s="723"/>
      <c r="C58" s="727" t="s">
        <v>9</v>
      </c>
      <c r="D58" s="466">
        <f>'WA Volumes &amp; Revenues'!E56</f>
        <v>0</v>
      </c>
      <c r="E58" s="463">
        <f>'Allocation = % of Margin'!E55</f>
        <v>1.9140000000000001E-2</v>
      </c>
      <c r="F58" s="467">
        <f>'Allocation = % of Margin'!H55</f>
        <v>0</v>
      </c>
      <c r="G58" s="467">
        <f>'Allocation = % of Margin'!K55</f>
        <v>0</v>
      </c>
      <c r="H58" s="760"/>
      <c r="I58" s="535">
        <v>0</v>
      </c>
      <c r="J58" s="533">
        <f t="shared" si="1"/>
        <v>0</v>
      </c>
      <c r="K58" s="470">
        <f t="shared" si="2"/>
        <v>0</v>
      </c>
      <c r="L58" s="536">
        <v>0</v>
      </c>
      <c r="M58" s="533">
        <f t="shared" si="3"/>
        <v>0</v>
      </c>
      <c r="N58" s="467">
        <f t="shared" si="4"/>
        <v>0</v>
      </c>
      <c r="O58" s="469">
        <f t="shared" si="5"/>
        <v>0</v>
      </c>
      <c r="P58" s="470">
        <f t="shared" si="6"/>
        <v>0</v>
      </c>
      <c r="Q58" s="535">
        <v>0</v>
      </c>
      <c r="R58" s="533">
        <f t="shared" si="7"/>
        <v>0</v>
      </c>
      <c r="S58" s="467">
        <f t="shared" si="8"/>
        <v>0</v>
      </c>
      <c r="T58" s="470">
        <f t="shared" si="9"/>
        <v>0</v>
      </c>
      <c r="U58" s="535">
        <v>0</v>
      </c>
      <c r="V58" s="533">
        <f>'WA Volumes &amp; Revenues'!F56*U58</f>
        <v>0</v>
      </c>
      <c r="W58" s="467">
        <f t="shared" si="10"/>
        <v>0</v>
      </c>
      <c r="X58" s="470">
        <f t="shared" si="11"/>
        <v>0</v>
      </c>
    </row>
    <row r="59" spans="1:24" x14ac:dyDescent="0.2">
      <c r="A59" s="115">
        <f t="shared" si="0"/>
        <v>50</v>
      </c>
      <c r="B59" s="725" t="str">
        <f>'WA Volumes &amp; Revenues'!B57</f>
        <v>42C Interr Sales</v>
      </c>
      <c r="C59" s="726" t="s">
        <v>4</v>
      </c>
      <c r="D59" s="479">
        <f>'WA Volumes &amp; Revenues'!E57</f>
        <v>240000</v>
      </c>
      <c r="E59" s="473">
        <f>'Allocation = % of Margin'!E56</f>
        <v>0.13682000000000002</v>
      </c>
      <c r="F59" s="474">
        <f>'Allocation = % of Margin'!H56</f>
        <v>32837</v>
      </c>
      <c r="G59" s="474">
        <f>'Allocation = % of Margin'!K56</f>
        <v>160513.01702958997</v>
      </c>
      <c r="H59" s="760"/>
      <c r="I59" s="537">
        <v>1</v>
      </c>
      <c r="J59" s="529">
        <f t="shared" si="1"/>
        <v>240000</v>
      </c>
      <c r="K59" s="478">
        <f t="shared" si="2"/>
        <v>0</v>
      </c>
      <c r="L59" s="538">
        <v>1</v>
      </c>
      <c r="M59" s="529">
        <f t="shared" si="3"/>
        <v>240000</v>
      </c>
      <c r="N59" s="474">
        <f t="shared" si="4"/>
        <v>0</v>
      </c>
      <c r="O59" s="471">
        <f t="shared" si="5"/>
        <v>0</v>
      </c>
      <c r="P59" s="478">
        <f t="shared" si="6"/>
        <v>0</v>
      </c>
      <c r="Q59" s="537">
        <v>1</v>
      </c>
      <c r="R59" s="529">
        <f t="shared" si="7"/>
        <v>240000</v>
      </c>
      <c r="S59" s="474">
        <f t="shared" si="8"/>
        <v>0</v>
      </c>
      <c r="T59" s="478">
        <f t="shared" si="9"/>
        <v>0</v>
      </c>
      <c r="U59" s="537">
        <v>1</v>
      </c>
      <c r="V59" s="529">
        <f>'WA Volumes &amp; Revenues'!F57*U59</f>
        <v>239999</v>
      </c>
      <c r="W59" s="474">
        <f t="shared" si="10"/>
        <v>0</v>
      </c>
      <c r="X59" s="478">
        <f t="shared" si="11"/>
        <v>0</v>
      </c>
    </row>
    <row r="60" spans="1:24" x14ac:dyDescent="0.2">
      <c r="A60" s="115">
        <f t="shared" si="0"/>
        <v>51</v>
      </c>
      <c r="B60" s="725"/>
      <c r="C60" s="726" t="s">
        <v>5</v>
      </c>
      <c r="D60" s="479">
        <f>'WA Volumes &amp; Revenues'!E58</f>
        <v>467511</v>
      </c>
      <c r="E60" s="473">
        <f>'Allocation = % of Margin'!E57</f>
        <v>0.12246999999999988</v>
      </c>
      <c r="F60" s="474">
        <f>'Allocation = % of Margin'!H57</f>
        <v>57256</v>
      </c>
      <c r="G60" s="474">
        <f>'Allocation = % of Margin'!K57</f>
        <v>0</v>
      </c>
      <c r="H60" s="760"/>
      <c r="I60" s="537">
        <v>1</v>
      </c>
      <c r="J60" s="529">
        <f t="shared" si="1"/>
        <v>467511</v>
      </c>
      <c r="K60" s="478">
        <f t="shared" si="2"/>
        <v>0</v>
      </c>
      <c r="L60" s="538">
        <v>1</v>
      </c>
      <c r="M60" s="529">
        <f t="shared" si="3"/>
        <v>467511</v>
      </c>
      <c r="N60" s="474">
        <f t="shared" si="4"/>
        <v>0</v>
      </c>
      <c r="O60" s="471">
        <f t="shared" si="5"/>
        <v>0</v>
      </c>
      <c r="P60" s="478">
        <f t="shared" si="6"/>
        <v>0</v>
      </c>
      <c r="Q60" s="537">
        <v>1</v>
      </c>
      <c r="R60" s="529">
        <f t="shared" si="7"/>
        <v>467511</v>
      </c>
      <c r="S60" s="474">
        <f t="shared" si="8"/>
        <v>0</v>
      </c>
      <c r="T60" s="478">
        <f t="shared" si="9"/>
        <v>0</v>
      </c>
      <c r="U60" s="537">
        <v>1</v>
      </c>
      <c r="V60" s="529">
        <f>'WA Volumes &amp; Revenues'!F58*U60</f>
        <v>454151</v>
      </c>
      <c r="W60" s="474">
        <f t="shared" si="10"/>
        <v>0</v>
      </c>
      <c r="X60" s="478">
        <f t="shared" si="11"/>
        <v>0</v>
      </c>
    </row>
    <row r="61" spans="1:24" x14ac:dyDescent="0.2">
      <c r="A61" s="115">
        <f t="shared" si="0"/>
        <v>52</v>
      </c>
      <c r="B61" s="725"/>
      <c r="C61" s="726" t="s">
        <v>6</v>
      </c>
      <c r="D61" s="479">
        <f>'WA Volumes &amp; Revenues'!E59</f>
        <v>218004</v>
      </c>
      <c r="E61" s="473">
        <f>'Allocation = % of Margin'!E58</f>
        <v>9.3909999999999993E-2</v>
      </c>
      <c r="F61" s="474">
        <f>'Allocation = % of Margin'!H58</f>
        <v>20473</v>
      </c>
      <c r="G61" s="474">
        <f>'Allocation = % of Margin'!K58</f>
        <v>0</v>
      </c>
      <c r="H61" s="760"/>
      <c r="I61" s="537">
        <v>1</v>
      </c>
      <c r="J61" s="529">
        <f t="shared" si="1"/>
        <v>218004</v>
      </c>
      <c r="K61" s="478">
        <f t="shared" si="2"/>
        <v>0</v>
      </c>
      <c r="L61" s="538">
        <v>1</v>
      </c>
      <c r="M61" s="529">
        <f t="shared" si="3"/>
        <v>218004</v>
      </c>
      <c r="N61" s="474">
        <f t="shared" si="4"/>
        <v>0</v>
      </c>
      <c r="O61" s="471">
        <f t="shared" si="5"/>
        <v>0</v>
      </c>
      <c r="P61" s="478">
        <f t="shared" si="6"/>
        <v>0</v>
      </c>
      <c r="Q61" s="537">
        <v>1</v>
      </c>
      <c r="R61" s="529">
        <f t="shared" si="7"/>
        <v>218004</v>
      </c>
      <c r="S61" s="474">
        <f t="shared" si="8"/>
        <v>0</v>
      </c>
      <c r="T61" s="478">
        <f t="shared" si="9"/>
        <v>0</v>
      </c>
      <c r="U61" s="537">
        <v>1</v>
      </c>
      <c r="V61" s="529">
        <f>'WA Volumes &amp; Revenues'!F59*U61</f>
        <v>230285</v>
      </c>
      <c r="W61" s="474">
        <f t="shared" si="10"/>
        <v>0</v>
      </c>
      <c r="X61" s="478">
        <f t="shared" si="11"/>
        <v>0</v>
      </c>
    </row>
    <row r="62" spans="1:24" x14ac:dyDescent="0.2">
      <c r="A62" s="115">
        <f t="shared" si="0"/>
        <v>53</v>
      </c>
      <c r="B62" s="725"/>
      <c r="C62" s="726" t="s">
        <v>7</v>
      </c>
      <c r="D62" s="479">
        <f>'WA Volumes &amp; Revenues'!E60</f>
        <v>18208</v>
      </c>
      <c r="E62" s="473">
        <f>'Allocation = % of Margin'!E59</f>
        <v>7.5130000000000044E-2</v>
      </c>
      <c r="F62" s="474">
        <f>'Allocation = % of Margin'!H59</f>
        <v>1368</v>
      </c>
      <c r="G62" s="474">
        <f>'Allocation = % of Margin'!K59</f>
        <v>0</v>
      </c>
      <c r="H62" s="760"/>
      <c r="I62" s="537">
        <v>1</v>
      </c>
      <c r="J62" s="529">
        <f t="shared" si="1"/>
        <v>18208</v>
      </c>
      <c r="K62" s="478">
        <f t="shared" si="2"/>
        <v>0</v>
      </c>
      <c r="L62" s="538">
        <v>1</v>
      </c>
      <c r="M62" s="529">
        <f t="shared" si="3"/>
        <v>18208</v>
      </c>
      <c r="N62" s="474">
        <f t="shared" si="4"/>
        <v>0</v>
      </c>
      <c r="O62" s="471">
        <f t="shared" si="5"/>
        <v>0</v>
      </c>
      <c r="P62" s="478">
        <f t="shared" si="6"/>
        <v>0</v>
      </c>
      <c r="Q62" s="537">
        <v>1</v>
      </c>
      <c r="R62" s="529">
        <f t="shared" si="7"/>
        <v>18208</v>
      </c>
      <c r="S62" s="474">
        <f t="shared" si="8"/>
        <v>0</v>
      </c>
      <c r="T62" s="478">
        <f t="shared" si="9"/>
        <v>0</v>
      </c>
      <c r="U62" s="537">
        <v>1</v>
      </c>
      <c r="V62" s="529">
        <f>'WA Volumes &amp; Revenues'!F60*U62</f>
        <v>26942</v>
      </c>
      <c r="W62" s="474">
        <f t="shared" si="10"/>
        <v>0</v>
      </c>
      <c r="X62" s="478">
        <f t="shared" si="11"/>
        <v>0</v>
      </c>
    </row>
    <row r="63" spans="1:24" x14ac:dyDescent="0.2">
      <c r="A63" s="115">
        <f t="shared" si="0"/>
        <v>54</v>
      </c>
      <c r="B63" s="725"/>
      <c r="C63" s="726" t="s">
        <v>8</v>
      </c>
      <c r="D63" s="479">
        <f>'WA Volumes &amp; Revenues'!E61</f>
        <v>0</v>
      </c>
      <c r="E63" s="473">
        <f>'Allocation = % of Margin'!E60</f>
        <v>5.0089999999999968E-2</v>
      </c>
      <c r="F63" s="474">
        <f>'Allocation = % of Margin'!H60</f>
        <v>0</v>
      </c>
      <c r="G63" s="474">
        <f>'Allocation = % of Margin'!K60</f>
        <v>0</v>
      </c>
      <c r="H63" s="760"/>
      <c r="I63" s="537">
        <v>1</v>
      </c>
      <c r="J63" s="529">
        <f t="shared" si="1"/>
        <v>0</v>
      </c>
      <c r="K63" s="478">
        <f t="shared" si="2"/>
        <v>0</v>
      </c>
      <c r="L63" s="538">
        <v>1</v>
      </c>
      <c r="M63" s="529">
        <f t="shared" si="3"/>
        <v>0</v>
      </c>
      <c r="N63" s="474">
        <f t="shared" si="4"/>
        <v>0</v>
      </c>
      <c r="O63" s="471">
        <f t="shared" si="5"/>
        <v>0</v>
      </c>
      <c r="P63" s="478">
        <f t="shared" si="6"/>
        <v>0</v>
      </c>
      <c r="Q63" s="537">
        <v>1</v>
      </c>
      <c r="R63" s="529">
        <f t="shared" si="7"/>
        <v>0</v>
      </c>
      <c r="S63" s="474">
        <f t="shared" si="8"/>
        <v>0</v>
      </c>
      <c r="T63" s="478">
        <f t="shared" si="9"/>
        <v>0</v>
      </c>
      <c r="U63" s="537">
        <v>1</v>
      </c>
      <c r="V63" s="529">
        <f>'WA Volumes &amp; Revenues'!F61*U63</f>
        <v>0</v>
      </c>
      <c r="W63" s="474">
        <f t="shared" si="10"/>
        <v>0</v>
      </c>
      <c r="X63" s="478">
        <f t="shared" si="11"/>
        <v>0</v>
      </c>
    </row>
    <row r="64" spans="1:24" x14ac:dyDescent="0.2">
      <c r="A64" s="115">
        <f t="shared" si="0"/>
        <v>55</v>
      </c>
      <c r="B64" s="723"/>
      <c r="C64" s="727" t="s">
        <v>9</v>
      </c>
      <c r="D64" s="466">
        <f>'WA Volumes &amp; Revenues'!E62</f>
        <v>0</v>
      </c>
      <c r="E64" s="463">
        <f>'Allocation = % of Margin'!E61</f>
        <v>1.8790000000000001E-2</v>
      </c>
      <c r="F64" s="467">
        <f>'Allocation = % of Margin'!H61</f>
        <v>0</v>
      </c>
      <c r="G64" s="467">
        <f>'Allocation = % of Margin'!K61</f>
        <v>0</v>
      </c>
      <c r="H64" s="760"/>
      <c r="I64" s="535">
        <v>1</v>
      </c>
      <c r="J64" s="533">
        <f t="shared" si="1"/>
        <v>0</v>
      </c>
      <c r="K64" s="470">
        <f t="shared" si="2"/>
        <v>0</v>
      </c>
      <c r="L64" s="536">
        <v>1</v>
      </c>
      <c r="M64" s="533">
        <f t="shared" si="3"/>
        <v>0</v>
      </c>
      <c r="N64" s="467">
        <f t="shared" si="4"/>
        <v>0</v>
      </c>
      <c r="O64" s="469">
        <f t="shared" si="5"/>
        <v>0</v>
      </c>
      <c r="P64" s="470">
        <f t="shared" si="6"/>
        <v>0</v>
      </c>
      <c r="Q64" s="535">
        <v>1</v>
      </c>
      <c r="R64" s="533">
        <f t="shared" si="7"/>
        <v>0</v>
      </c>
      <c r="S64" s="467">
        <f t="shared" si="8"/>
        <v>0</v>
      </c>
      <c r="T64" s="470">
        <f t="shared" si="9"/>
        <v>0</v>
      </c>
      <c r="U64" s="535">
        <v>1</v>
      </c>
      <c r="V64" s="533">
        <f>'WA Volumes &amp; Revenues'!F62*U64</f>
        <v>0</v>
      </c>
      <c r="W64" s="467">
        <f t="shared" si="10"/>
        <v>0</v>
      </c>
      <c r="X64" s="470">
        <f t="shared" si="11"/>
        <v>0</v>
      </c>
    </row>
    <row r="65" spans="1:24" x14ac:dyDescent="0.2">
      <c r="A65" s="115">
        <f t="shared" si="0"/>
        <v>56</v>
      </c>
      <c r="B65" s="725" t="str">
        <f>'WA Volumes &amp; Revenues'!B63</f>
        <v>42I Interr Sales</v>
      </c>
      <c r="C65" s="726" t="s">
        <v>4</v>
      </c>
      <c r="D65" s="479">
        <f>'WA Volumes &amp; Revenues'!E63</f>
        <v>156740</v>
      </c>
      <c r="E65" s="473">
        <f>'Allocation = % of Margin'!E62</f>
        <v>0.14583999999999989</v>
      </c>
      <c r="F65" s="474">
        <f>'Allocation = % of Margin'!H62</f>
        <v>22859</v>
      </c>
      <c r="G65" s="474">
        <f>'Allocation = % of Margin'!K62</f>
        <v>81130.543495991747</v>
      </c>
      <c r="H65" s="760"/>
      <c r="I65" s="537">
        <v>1</v>
      </c>
      <c r="J65" s="529">
        <f t="shared" si="1"/>
        <v>156740</v>
      </c>
      <c r="K65" s="478">
        <f t="shared" si="2"/>
        <v>0</v>
      </c>
      <c r="L65" s="538">
        <v>1</v>
      </c>
      <c r="M65" s="529">
        <f t="shared" si="3"/>
        <v>156740</v>
      </c>
      <c r="N65" s="474">
        <f t="shared" si="4"/>
        <v>0</v>
      </c>
      <c r="O65" s="471">
        <f t="shared" si="5"/>
        <v>0</v>
      </c>
      <c r="P65" s="478">
        <f t="shared" si="6"/>
        <v>0</v>
      </c>
      <c r="Q65" s="537">
        <v>1</v>
      </c>
      <c r="R65" s="529">
        <f t="shared" si="7"/>
        <v>156740</v>
      </c>
      <c r="S65" s="474">
        <f t="shared" si="8"/>
        <v>0</v>
      </c>
      <c r="T65" s="478">
        <f t="shared" si="9"/>
        <v>0</v>
      </c>
      <c r="U65" s="537">
        <v>1</v>
      </c>
      <c r="V65" s="529">
        <f>'WA Volumes &amp; Revenues'!F63*U65</f>
        <v>160966</v>
      </c>
      <c r="W65" s="474">
        <f t="shared" si="10"/>
        <v>0</v>
      </c>
      <c r="X65" s="478">
        <f t="shared" si="11"/>
        <v>0</v>
      </c>
    </row>
    <row r="66" spans="1:24" x14ac:dyDescent="0.2">
      <c r="A66" s="115">
        <f t="shared" si="0"/>
        <v>57</v>
      </c>
      <c r="B66" s="725"/>
      <c r="C66" s="726" t="s">
        <v>5</v>
      </c>
      <c r="D66" s="479">
        <f>'WA Volumes &amp; Revenues'!E64</f>
        <v>159690</v>
      </c>
      <c r="E66" s="473">
        <f>'Allocation = % of Margin'!E63</f>
        <v>0.13054999999999992</v>
      </c>
      <c r="F66" s="474">
        <f>'Allocation = % of Margin'!H63</f>
        <v>20848</v>
      </c>
      <c r="G66" s="474">
        <f>'Allocation = % of Margin'!K63</f>
        <v>0</v>
      </c>
      <c r="H66" s="760"/>
      <c r="I66" s="537">
        <v>1</v>
      </c>
      <c r="J66" s="529">
        <f t="shared" si="1"/>
        <v>159690</v>
      </c>
      <c r="K66" s="478">
        <f t="shared" si="2"/>
        <v>0</v>
      </c>
      <c r="L66" s="538">
        <v>1</v>
      </c>
      <c r="M66" s="529">
        <f t="shared" si="3"/>
        <v>159690</v>
      </c>
      <c r="N66" s="474">
        <f t="shared" si="4"/>
        <v>0</v>
      </c>
      <c r="O66" s="471">
        <f t="shared" si="5"/>
        <v>0</v>
      </c>
      <c r="P66" s="478">
        <f t="shared" si="6"/>
        <v>0</v>
      </c>
      <c r="Q66" s="537">
        <v>1</v>
      </c>
      <c r="R66" s="529">
        <f t="shared" si="7"/>
        <v>159690</v>
      </c>
      <c r="S66" s="474">
        <f t="shared" si="8"/>
        <v>0</v>
      </c>
      <c r="T66" s="478">
        <f t="shared" si="9"/>
        <v>0</v>
      </c>
      <c r="U66" s="537">
        <v>1</v>
      </c>
      <c r="V66" s="529">
        <f>'WA Volumes &amp; Revenues'!F64*U66</f>
        <v>145741</v>
      </c>
      <c r="W66" s="474">
        <f t="shared" si="10"/>
        <v>0</v>
      </c>
      <c r="X66" s="478">
        <f t="shared" si="11"/>
        <v>0</v>
      </c>
    </row>
    <row r="67" spans="1:24" x14ac:dyDescent="0.2">
      <c r="A67" s="115">
        <f t="shared" si="0"/>
        <v>58</v>
      </c>
      <c r="B67" s="725"/>
      <c r="C67" s="726" t="s">
        <v>6</v>
      </c>
      <c r="D67" s="479">
        <f>'WA Volumes &amp; Revenues'!E65</f>
        <v>0</v>
      </c>
      <c r="E67" s="473">
        <f>'Allocation = % of Margin'!E64</f>
        <v>0.10011</v>
      </c>
      <c r="F67" s="474">
        <f>'Allocation = % of Margin'!H64</f>
        <v>0</v>
      </c>
      <c r="G67" s="474">
        <f>'Allocation = % of Margin'!K64</f>
        <v>0</v>
      </c>
      <c r="H67" s="760"/>
      <c r="I67" s="537">
        <v>1</v>
      </c>
      <c r="J67" s="529">
        <f t="shared" si="1"/>
        <v>0</v>
      </c>
      <c r="K67" s="478">
        <f t="shared" si="2"/>
        <v>0</v>
      </c>
      <c r="L67" s="538">
        <v>1</v>
      </c>
      <c r="M67" s="529">
        <f t="shared" si="3"/>
        <v>0</v>
      </c>
      <c r="N67" s="474">
        <f t="shared" si="4"/>
        <v>0</v>
      </c>
      <c r="O67" s="471">
        <f t="shared" si="5"/>
        <v>0</v>
      </c>
      <c r="P67" s="478">
        <f t="shared" si="6"/>
        <v>0</v>
      </c>
      <c r="Q67" s="537">
        <v>1</v>
      </c>
      <c r="R67" s="529">
        <f t="shared" si="7"/>
        <v>0</v>
      </c>
      <c r="S67" s="474">
        <f t="shared" si="8"/>
        <v>0</v>
      </c>
      <c r="T67" s="478">
        <f t="shared" si="9"/>
        <v>0</v>
      </c>
      <c r="U67" s="537">
        <v>1</v>
      </c>
      <c r="V67" s="529">
        <f>'WA Volumes &amp; Revenues'!F65*U67</f>
        <v>0</v>
      </c>
      <c r="W67" s="474">
        <f t="shared" si="10"/>
        <v>0</v>
      </c>
      <c r="X67" s="478">
        <f t="shared" si="11"/>
        <v>0</v>
      </c>
    </row>
    <row r="68" spans="1:24" x14ac:dyDescent="0.2">
      <c r="A68" s="115">
        <f t="shared" si="0"/>
        <v>59</v>
      </c>
      <c r="B68" s="725"/>
      <c r="C68" s="726" t="s">
        <v>7</v>
      </c>
      <c r="D68" s="479">
        <f>'WA Volumes &amp; Revenues'!E66</f>
        <v>0</v>
      </c>
      <c r="E68" s="473">
        <f>'Allocation = % of Margin'!E65</f>
        <v>8.0089999999999995E-2</v>
      </c>
      <c r="F68" s="474">
        <f>'Allocation = % of Margin'!H65</f>
        <v>0</v>
      </c>
      <c r="G68" s="474">
        <f>'Allocation = % of Margin'!K65</f>
        <v>0</v>
      </c>
      <c r="H68" s="760"/>
      <c r="I68" s="537">
        <v>1</v>
      </c>
      <c r="J68" s="529">
        <f t="shared" si="1"/>
        <v>0</v>
      </c>
      <c r="K68" s="478">
        <f t="shared" si="2"/>
        <v>0</v>
      </c>
      <c r="L68" s="538">
        <v>1</v>
      </c>
      <c r="M68" s="529">
        <f t="shared" si="3"/>
        <v>0</v>
      </c>
      <c r="N68" s="474">
        <f t="shared" si="4"/>
        <v>0</v>
      </c>
      <c r="O68" s="471">
        <f t="shared" si="5"/>
        <v>0</v>
      </c>
      <c r="P68" s="478">
        <f t="shared" si="6"/>
        <v>0</v>
      </c>
      <c r="Q68" s="537">
        <v>1</v>
      </c>
      <c r="R68" s="529">
        <f t="shared" si="7"/>
        <v>0</v>
      </c>
      <c r="S68" s="474">
        <f t="shared" si="8"/>
        <v>0</v>
      </c>
      <c r="T68" s="478">
        <f t="shared" si="9"/>
        <v>0</v>
      </c>
      <c r="U68" s="537">
        <v>1</v>
      </c>
      <c r="V68" s="529">
        <f>'WA Volumes &amp; Revenues'!F66*U68</f>
        <v>0</v>
      </c>
      <c r="W68" s="474">
        <f t="shared" si="10"/>
        <v>0</v>
      </c>
      <c r="X68" s="478">
        <f t="shared" si="11"/>
        <v>0</v>
      </c>
    </row>
    <row r="69" spans="1:24" x14ac:dyDescent="0.2">
      <c r="A69" s="115">
        <f t="shared" si="0"/>
        <v>60</v>
      </c>
      <c r="B69" s="725"/>
      <c r="C69" s="726" t="s">
        <v>8</v>
      </c>
      <c r="D69" s="479">
        <f>'WA Volumes &amp; Revenues'!E67</f>
        <v>0</v>
      </c>
      <c r="E69" s="473">
        <f>'Allocation = % of Margin'!E66</f>
        <v>5.339E-2</v>
      </c>
      <c r="F69" s="474">
        <f>'Allocation = % of Margin'!H66</f>
        <v>0</v>
      </c>
      <c r="G69" s="474">
        <f>'Allocation = % of Margin'!K66</f>
        <v>0</v>
      </c>
      <c r="H69" s="760"/>
      <c r="I69" s="537">
        <v>1</v>
      </c>
      <c r="J69" s="529">
        <f t="shared" si="1"/>
        <v>0</v>
      </c>
      <c r="K69" s="478">
        <f t="shared" si="2"/>
        <v>0</v>
      </c>
      <c r="L69" s="538">
        <v>1</v>
      </c>
      <c r="M69" s="529">
        <f t="shared" si="3"/>
        <v>0</v>
      </c>
      <c r="N69" s="474">
        <f t="shared" si="4"/>
        <v>0</v>
      </c>
      <c r="O69" s="471">
        <f t="shared" si="5"/>
        <v>0</v>
      </c>
      <c r="P69" s="478">
        <f t="shared" si="6"/>
        <v>0</v>
      </c>
      <c r="Q69" s="537">
        <v>1</v>
      </c>
      <c r="R69" s="529">
        <f t="shared" si="7"/>
        <v>0</v>
      </c>
      <c r="S69" s="474">
        <f t="shared" si="8"/>
        <v>0</v>
      </c>
      <c r="T69" s="478">
        <f t="shared" si="9"/>
        <v>0</v>
      </c>
      <c r="U69" s="537">
        <v>1</v>
      </c>
      <c r="V69" s="529">
        <f>'WA Volumes &amp; Revenues'!F67*U69</f>
        <v>0</v>
      </c>
      <c r="W69" s="474">
        <f t="shared" si="10"/>
        <v>0</v>
      </c>
      <c r="X69" s="478">
        <f t="shared" si="11"/>
        <v>0</v>
      </c>
    </row>
    <row r="70" spans="1:24" x14ac:dyDescent="0.2">
      <c r="A70" s="115">
        <f t="shared" si="0"/>
        <v>61</v>
      </c>
      <c r="B70" s="723"/>
      <c r="C70" s="727" t="s">
        <v>9</v>
      </c>
      <c r="D70" s="466">
        <f>'WA Volumes &amp; Revenues'!E68</f>
        <v>0</v>
      </c>
      <c r="E70" s="463">
        <f>'Allocation = % of Margin'!E67</f>
        <v>2.002E-2</v>
      </c>
      <c r="F70" s="467">
        <f>'Allocation = % of Margin'!H67</f>
        <v>0</v>
      </c>
      <c r="G70" s="467">
        <f>'Allocation = % of Margin'!K67</f>
        <v>0</v>
      </c>
      <c r="H70" s="760"/>
      <c r="I70" s="535">
        <v>1</v>
      </c>
      <c r="J70" s="533">
        <f t="shared" si="1"/>
        <v>0</v>
      </c>
      <c r="K70" s="470">
        <f t="shared" si="2"/>
        <v>0</v>
      </c>
      <c r="L70" s="536">
        <v>1</v>
      </c>
      <c r="M70" s="533">
        <f t="shared" si="3"/>
        <v>0</v>
      </c>
      <c r="N70" s="467">
        <f t="shared" si="4"/>
        <v>0</v>
      </c>
      <c r="O70" s="469">
        <f t="shared" si="5"/>
        <v>0</v>
      </c>
      <c r="P70" s="470">
        <f t="shared" si="6"/>
        <v>0</v>
      </c>
      <c r="Q70" s="535">
        <v>1</v>
      </c>
      <c r="R70" s="533">
        <f t="shared" si="7"/>
        <v>0</v>
      </c>
      <c r="S70" s="467">
        <f t="shared" si="8"/>
        <v>0</v>
      </c>
      <c r="T70" s="470">
        <f t="shared" si="9"/>
        <v>0</v>
      </c>
      <c r="U70" s="535">
        <v>1</v>
      </c>
      <c r="V70" s="533">
        <f>'WA Volumes &amp; Revenues'!F68*U70</f>
        <v>0</v>
      </c>
      <c r="W70" s="467">
        <f t="shared" si="10"/>
        <v>0</v>
      </c>
      <c r="X70" s="470">
        <f t="shared" si="11"/>
        <v>0</v>
      </c>
    </row>
    <row r="71" spans="1:24" x14ac:dyDescent="0.2">
      <c r="A71" s="115">
        <f t="shared" si="0"/>
        <v>62</v>
      </c>
      <c r="B71" s="725" t="str">
        <f>'WA Volumes &amp; Revenues'!B69</f>
        <v>42C Inter Transpt</v>
      </c>
      <c r="C71" s="726" t="s">
        <v>4</v>
      </c>
      <c r="D71" s="479">
        <f>'WA Volumes &amp; Revenues'!E69</f>
        <v>0</v>
      </c>
      <c r="E71" s="481">
        <f>'Allocation = % of Margin'!E68</f>
        <v>0.13402999999999998</v>
      </c>
      <c r="F71" s="474">
        <f>'Allocation = % of Margin'!H68</f>
        <v>0</v>
      </c>
      <c r="G71" s="474">
        <f>'Allocation = % of Margin'!K68</f>
        <v>0</v>
      </c>
      <c r="H71" s="760"/>
      <c r="I71" s="537">
        <v>0</v>
      </c>
      <c r="J71" s="529">
        <f t="shared" si="1"/>
        <v>0</v>
      </c>
      <c r="K71" s="478">
        <f t="shared" si="2"/>
        <v>0</v>
      </c>
      <c r="L71" s="538">
        <v>0</v>
      </c>
      <c r="M71" s="529">
        <f t="shared" si="3"/>
        <v>0</v>
      </c>
      <c r="N71" s="474">
        <f t="shared" si="4"/>
        <v>0</v>
      </c>
      <c r="O71" s="471">
        <f t="shared" si="5"/>
        <v>0</v>
      </c>
      <c r="P71" s="478">
        <f t="shared" si="6"/>
        <v>0</v>
      </c>
      <c r="Q71" s="537">
        <v>0</v>
      </c>
      <c r="R71" s="529">
        <f t="shared" si="7"/>
        <v>0</v>
      </c>
      <c r="S71" s="474">
        <f t="shared" si="8"/>
        <v>0</v>
      </c>
      <c r="T71" s="478">
        <f t="shared" si="9"/>
        <v>0</v>
      </c>
      <c r="U71" s="537">
        <v>0</v>
      </c>
      <c r="V71" s="529">
        <f>'WA Volumes &amp; Revenues'!F69*U71</f>
        <v>0</v>
      </c>
      <c r="W71" s="474">
        <f t="shared" si="10"/>
        <v>0</v>
      </c>
      <c r="X71" s="478">
        <f t="shared" si="11"/>
        <v>0</v>
      </c>
    </row>
    <row r="72" spans="1:24" x14ac:dyDescent="0.2">
      <c r="A72" s="115">
        <f t="shared" si="0"/>
        <v>63</v>
      </c>
      <c r="B72" s="725"/>
      <c r="C72" s="726" t="s">
        <v>5</v>
      </c>
      <c r="D72" s="479">
        <f>'WA Volumes &amp; Revenues'!E70</f>
        <v>0</v>
      </c>
      <c r="E72" s="481">
        <f>'Allocation = % of Margin'!E69</f>
        <v>0.11997999999999999</v>
      </c>
      <c r="F72" s="474">
        <f>'Allocation = % of Margin'!H69</f>
        <v>0</v>
      </c>
      <c r="G72" s="474">
        <f>'Allocation = % of Margin'!K69</f>
        <v>0</v>
      </c>
      <c r="H72" s="760"/>
      <c r="I72" s="537">
        <v>0</v>
      </c>
      <c r="J72" s="529">
        <f t="shared" si="1"/>
        <v>0</v>
      </c>
      <c r="K72" s="478">
        <f t="shared" si="2"/>
        <v>0</v>
      </c>
      <c r="L72" s="538">
        <v>0</v>
      </c>
      <c r="M72" s="529">
        <f t="shared" si="3"/>
        <v>0</v>
      </c>
      <c r="N72" s="474">
        <f t="shared" si="4"/>
        <v>0</v>
      </c>
      <c r="O72" s="471">
        <f t="shared" si="5"/>
        <v>0</v>
      </c>
      <c r="P72" s="478">
        <f t="shared" si="6"/>
        <v>0</v>
      </c>
      <c r="Q72" s="537">
        <v>0</v>
      </c>
      <c r="R72" s="529">
        <f t="shared" si="7"/>
        <v>0</v>
      </c>
      <c r="S72" s="474">
        <f t="shared" si="8"/>
        <v>0</v>
      </c>
      <c r="T72" s="478">
        <f t="shared" si="9"/>
        <v>0</v>
      </c>
      <c r="U72" s="537">
        <v>0</v>
      </c>
      <c r="V72" s="529">
        <f>'WA Volumes &amp; Revenues'!F70*U72</f>
        <v>0</v>
      </c>
      <c r="W72" s="474">
        <f t="shared" si="10"/>
        <v>0</v>
      </c>
      <c r="X72" s="478">
        <f t="shared" si="11"/>
        <v>0</v>
      </c>
    </row>
    <row r="73" spans="1:24" x14ac:dyDescent="0.2">
      <c r="A73" s="115">
        <f t="shared" si="0"/>
        <v>64</v>
      </c>
      <c r="B73" s="725"/>
      <c r="C73" s="726" t="s">
        <v>6</v>
      </c>
      <c r="D73" s="479">
        <f>'WA Volumes &amp; Revenues'!E71</f>
        <v>0</v>
      </c>
      <c r="E73" s="481">
        <f>'Allocation = % of Margin'!E70</f>
        <v>9.1999999999999998E-2</v>
      </c>
      <c r="F73" s="474">
        <f>'Allocation = % of Margin'!H70</f>
        <v>0</v>
      </c>
      <c r="G73" s="474">
        <f>'Allocation = % of Margin'!K70</f>
        <v>0</v>
      </c>
      <c r="H73" s="760"/>
      <c r="I73" s="537">
        <v>0</v>
      </c>
      <c r="J73" s="529">
        <f t="shared" si="1"/>
        <v>0</v>
      </c>
      <c r="K73" s="478">
        <f t="shared" si="2"/>
        <v>0</v>
      </c>
      <c r="L73" s="538">
        <v>0</v>
      </c>
      <c r="M73" s="529">
        <f t="shared" si="3"/>
        <v>0</v>
      </c>
      <c r="N73" s="474">
        <f t="shared" si="4"/>
        <v>0</v>
      </c>
      <c r="O73" s="471">
        <f t="shared" si="5"/>
        <v>0</v>
      </c>
      <c r="P73" s="478">
        <f t="shared" si="6"/>
        <v>0</v>
      </c>
      <c r="Q73" s="537">
        <v>0</v>
      </c>
      <c r="R73" s="529">
        <f t="shared" si="7"/>
        <v>0</v>
      </c>
      <c r="S73" s="474">
        <f t="shared" si="8"/>
        <v>0</v>
      </c>
      <c r="T73" s="478">
        <f t="shared" si="9"/>
        <v>0</v>
      </c>
      <c r="U73" s="537">
        <v>0</v>
      </c>
      <c r="V73" s="529">
        <f>'WA Volumes &amp; Revenues'!F71*U73</f>
        <v>0</v>
      </c>
      <c r="W73" s="474">
        <f t="shared" si="10"/>
        <v>0</v>
      </c>
      <c r="X73" s="478">
        <f t="shared" si="11"/>
        <v>0</v>
      </c>
    </row>
    <row r="74" spans="1:24" x14ac:dyDescent="0.2">
      <c r="A74" s="115">
        <f t="shared" si="0"/>
        <v>65</v>
      </c>
      <c r="B74" s="725"/>
      <c r="C74" s="726" t="s">
        <v>7</v>
      </c>
      <c r="D74" s="479">
        <f>'WA Volumes &amp; Revenues'!E72</f>
        <v>0</v>
      </c>
      <c r="E74" s="481">
        <f>'Allocation = % of Margin'!E71</f>
        <v>7.3609999999999995E-2</v>
      </c>
      <c r="F74" s="474">
        <f>'Allocation = % of Margin'!H71</f>
        <v>0</v>
      </c>
      <c r="G74" s="474">
        <f>'Allocation = % of Margin'!K71</f>
        <v>0</v>
      </c>
      <c r="H74" s="760"/>
      <c r="I74" s="537">
        <v>0</v>
      </c>
      <c r="J74" s="529">
        <f t="shared" si="1"/>
        <v>0</v>
      </c>
      <c r="K74" s="478">
        <f t="shared" si="2"/>
        <v>0</v>
      </c>
      <c r="L74" s="538">
        <v>0</v>
      </c>
      <c r="M74" s="529">
        <f t="shared" si="3"/>
        <v>0</v>
      </c>
      <c r="N74" s="474">
        <f t="shared" si="4"/>
        <v>0</v>
      </c>
      <c r="O74" s="471">
        <f t="shared" si="5"/>
        <v>0</v>
      </c>
      <c r="P74" s="478">
        <f t="shared" si="6"/>
        <v>0</v>
      </c>
      <c r="Q74" s="537">
        <v>0</v>
      </c>
      <c r="R74" s="529">
        <f t="shared" si="7"/>
        <v>0</v>
      </c>
      <c r="S74" s="474">
        <f t="shared" si="8"/>
        <v>0</v>
      </c>
      <c r="T74" s="478">
        <f t="shared" si="9"/>
        <v>0</v>
      </c>
      <c r="U74" s="537">
        <v>0</v>
      </c>
      <c r="V74" s="529">
        <f>'WA Volumes &amp; Revenues'!F72*U74</f>
        <v>0</v>
      </c>
      <c r="W74" s="474">
        <f t="shared" si="10"/>
        <v>0</v>
      </c>
      <c r="X74" s="478">
        <f t="shared" si="11"/>
        <v>0</v>
      </c>
    </row>
    <row r="75" spans="1:24" x14ac:dyDescent="0.2">
      <c r="A75" s="115">
        <f t="shared" si="0"/>
        <v>66</v>
      </c>
      <c r="B75" s="725"/>
      <c r="C75" s="726" t="s">
        <v>8</v>
      </c>
      <c r="D75" s="479">
        <f>'WA Volumes &amp; Revenues'!E73</f>
        <v>0</v>
      </c>
      <c r="E75" s="481">
        <f>'Allocation = % of Margin'!E72</f>
        <v>4.9079999999999999E-2</v>
      </c>
      <c r="F75" s="474">
        <f>'Allocation = % of Margin'!H72</f>
        <v>0</v>
      </c>
      <c r="G75" s="474">
        <f>'Allocation = % of Margin'!K72</f>
        <v>0</v>
      </c>
      <c r="H75" s="760"/>
      <c r="I75" s="537">
        <v>0</v>
      </c>
      <c r="J75" s="529">
        <f t="shared" si="1"/>
        <v>0</v>
      </c>
      <c r="K75" s="478">
        <f t="shared" si="2"/>
        <v>0</v>
      </c>
      <c r="L75" s="538">
        <v>0</v>
      </c>
      <c r="M75" s="529">
        <f t="shared" si="3"/>
        <v>0</v>
      </c>
      <c r="N75" s="474">
        <f t="shared" si="4"/>
        <v>0</v>
      </c>
      <c r="O75" s="471">
        <f t="shared" si="5"/>
        <v>0</v>
      </c>
      <c r="P75" s="478">
        <f t="shared" si="6"/>
        <v>0</v>
      </c>
      <c r="Q75" s="537">
        <v>0</v>
      </c>
      <c r="R75" s="529">
        <f t="shared" si="7"/>
        <v>0</v>
      </c>
      <c r="S75" s="474">
        <f t="shared" si="8"/>
        <v>0</v>
      </c>
      <c r="T75" s="478">
        <f t="shared" si="9"/>
        <v>0</v>
      </c>
      <c r="U75" s="537">
        <v>0</v>
      </c>
      <c r="V75" s="529">
        <f>'WA Volumes &amp; Revenues'!F73*U75</f>
        <v>0</v>
      </c>
      <c r="W75" s="474">
        <f t="shared" si="10"/>
        <v>0</v>
      </c>
      <c r="X75" s="478">
        <f t="shared" si="11"/>
        <v>0</v>
      </c>
    </row>
    <row r="76" spans="1:24" x14ac:dyDescent="0.2">
      <c r="A76" s="115">
        <f t="shared" si="0"/>
        <v>67</v>
      </c>
      <c r="B76" s="723"/>
      <c r="C76" s="727" t="s">
        <v>9</v>
      </c>
      <c r="D76" s="466">
        <f>'WA Volumes &amp; Revenues'!E74</f>
        <v>0</v>
      </c>
      <c r="E76" s="483">
        <f>'Allocation = % of Margin'!E73</f>
        <v>1.839E-2</v>
      </c>
      <c r="F76" s="467">
        <f>'Allocation = % of Margin'!H73</f>
        <v>0</v>
      </c>
      <c r="G76" s="467">
        <f>'Allocation = % of Margin'!K73</f>
        <v>0</v>
      </c>
      <c r="H76" s="760"/>
      <c r="I76" s="535">
        <v>0</v>
      </c>
      <c r="J76" s="533">
        <f t="shared" si="1"/>
        <v>0</v>
      </c>
      <c r="K76" s="470">
        <f t="shared" si="2"/>
        <v>0</v>
      </c>
      <c r="L76" s="536">
        <v>0</v>
      </c>
      <c r="M76" s="533">
        <f t="shared" si="3"/>
        <v>0</v>
      </c>
      <c r="N76" s="467">
        <f t="shared" si="4"/>
        <v>0</v>
      </c>
      <c r="O76" s="469">
        <f t="shared" si="5"/>
        <v>0</v>
      </c>
      <c r="P76" s="470">
        <f t="shared" si="6"/>
        <v>0</v>
      </c>
      <c r="Q76" s="535">
        <v>0</v>
      </c>
      <c r="R76" s="533">
        <f t="shared" si="7"/>
        <v>0</v>
      </c>
      <c r="S76" s="467">
        <f t="shared" si="8"/>
        <v>0</v>
      </c>
      <c r="T76" s="470">
        <f t="shared" si="9"/>
        <v>0</v>
      </c>
      <c r="U76" s="535">
        <v>0</v>
      </c>
      <c r="V76" s="533">
        <f>'WA Volumes &amp; Revenues'!F74*U76</f>
        <v>0</v>
      </c>
      <c r="W76" s="467">
        <f t="shared" si="10"/>
        <v>0</v>
      </c>
      <c r="X76" s="470">
        <f t="shared" si="11"/>
        <v>0</v>
      </c>
    </row>
    <row r="77" spans="1:24" x14ac:dyDescent="0.2">
      <c r="A77" s="115">
        <f t="shared" si="0"/>
        <v>68</v>
      </c>
      <c r="B77" s="725" t="str">
        <f>'WA Volumes &amp; Revenues'!B75</f>
        <v>42I Inter Transpt</v>
      </c>
      <c r="C77" s="726" t="s">
        <v>4</v>
      </c>
      <c r="D77" s="479">
        <f>'WA Volumes &amp; Revenues'!E75</f>
        <v>844078</v>
      </c>
      <c r="E77" s="481">
        <f>'Allocation = % of Margin'!E74</f>
        <v>0.13402999999999998</v>
      </c>
      <c r="F77" s="474">
        <f>'Allocation = % of Margin'!H74</f>
        <v>113132</v>
      </c>
      <c r="G77" s="474">
        <f>'Allocation = % of Margin'!K74</f>
        <v>825480</v>
      </c>
      <c r="H77" s="760"/>
      <c r="I77" s="537">
        <v>0</v>
      </c>
      <c r="J77" s="529">
        <f t="shared" si="1"/>
        <v>0</v>
      </c>
      <c r="K77" s="478">
        <f t="shared" si="2"/>
        <v>0</v>
      </c>
      <c r="L77" s="538">
        <v>0</v>
      </c>
      <c r="M77" s="529">
        <f t="shared" si="3"/>
        <v>0</v>
      </c>
      <c r="N77" s="474">
        <f t="shared" si="4"/>
        <v>0</v>
      </c>
      <c r="O77" s="471">
        <f t="shared" si="5"/>
        <v>0</v>
      </c>
      <c r="P77" s="478">
        <f t="shared" si="6"/>
        <v>0</v>
      </c>
      <c r="Q77" s="537">
        <v>0</v>
      </c>
      <c r="R77" s="529">
        <f t="shared" si="7"/>
        <v>0</v>
      </c>
      <c r="S77" s="474">
        <f t="shared" si="8"/>
        <v>0</v>
      </c>
      <c r="T77" s="478">
        <f t="shared" si="9"/>
        <v>0</v>
      </c>
      <c r="U77" s="537">
        <v>0</v>
      </c>
      <c r="V77" s="529">
        <f>'WA Volumes &amp; Revenues'!F75*U77</f>
        <v>0</v>
      </c>
      <c r="W77" s="474">
        <f t="shared" si="10"/>
        <v>0</v>
      </c>
      <c r="X77" s="478">
        <f t="shared" si="11"/>
        <v>0</v>
      </c>
    </row>
    <row r="78" spans="1:24" x14ac:dyDescent="0.2">
      <c r="A78" s="115">
        <f t="shared" si="0"/>
        <v>69</v>
      </c>
      <c r="B78" s="725"/>
      <c r="C78" s="726" t="s">
        <v>5</v>
      </c>
      <c r="D78" s="479">
        <f>'WA Volumes &amp; Revenues'!E76</f>
        <v>1445175</v>
      </c>
      <c r="E78" s="481">
        <f>'Allocation = % of Margin'!E75</f>
        <v>0.11997999999999999</v>
      </c>
      <c r="F78" s="474">
        <f>'Allocation = % of Margin'!H75</f>
        <v>173392</v>
      </c>
      <c r="G78" s="474">
        <f>'Allocation = % of Margin'!K75</f>
        <v>0</v>
      </c>
      <c r="H78" s="760"/>
      <c r="I78" s="537">
        <v>0</v>
      </c>
      <c r="J78" s="529">
        <f t="shared" si="1"/>
        <v>0</v>
      </c>
      <c r="K78" s="478">
        <f t="shared" si="2"/>
        <v>0</v>
      </c>
      <c r="L78" s="538">
        <v>0</v>
      </c>
      <c r="M78" s="529">
        <f t="shared" si="3"/>
        <v>0</v>
      </c>
      <c r="N78" s="474">
        <f t="shared" si="4"/>
        <v>0</v>
      </c>
      <c r="O78" s="471">
        <f t="shared" si="5"/>
        <v>0</v>
      </c>
      <c r="P78" s="478">
        <f t="shared" si="6"/>
        <v>0</v>
      </c>
      <c r="Q78" s="537">
        <v>0</v>
      </c>
      <c r="R78" s="529">
        <f t="shared" si="7"/>
        <v>0</v>
      </c>
      <c r="S78" s="474">
        <f t="shared" si="8"/>
        <v>0</v>
      </c>
      <c r="T78" s="478">
        <f t="shared" si="9"/>
        <v>0</v>
      </c>
      <c r="U78" s="537">
        <v>0</v>
      </c>
      <c r="V78" s="529">
        <f>'WA Volumes &amp; Revenues'!F76*U78</f>
        <v>0</v>
      </c>
      <c r="W78" s="474">
        <f t="shared" si="10"/>
        <v>0</v>
      </c>
      <c r="X78" s="478">
        <f t="shared" si="11"/>
        <v>0</v>
      </c>
    </row>
    <row r="79" spans="1:24" x14ac:dyDescent="0.2">
      <c r="A79" s="115">
        <f t="shared" si="0"/>
        <v>70</v>
      </c>
      <c r="B79" s="725"/>
      <c r="C79" s="726" t="s">
        <v>6</v>
      </c>
      <c r="D79" s="479">
        <f>'WA Volumes &amp; Revenues'!E77</f>
        <v>1034978</v>
      </c>
      <c r="E79" s="481">
        <f>'Allocation = % of Margin'!E76</f>
        <v>9.1999999999999998E-2</v>
      </c>
      <c r="F79" s="474">
        <f>'Allocation = % of Margin'!H76</f>
        <v>95218</v>
      </c>
      <c r="G79" s="474">
        <f>'Allocation = % of Margin'!K76</f>
        <v>0</v>
      </c>
      <c r="H79" s="760"/>
      <c r="I79" s="537">
        <v>0</v>
      </c>
      <c r="J79" s="529">
        <f t="shared" si="1"/>
        <v>0</v>
      </c>
      <c r="K79" s="478">
        <f t="shared" si="2"/>
        <v>0</v>
      </c>
      <c r="L79" s="538">
        <v>0</v>
      </c>
      <c r="M79" s="529">
        <f t="shared" si="3"/>
        <v>0</v>
      </c>
      <c r="N79" s="474">
        <f t="shared" si="4"/>
        <v>0</v>
      </c>
      <c r="O79" s="471">
        <f t="shared" si="5"/>
        <v>0</v>
      </c>
      <c r="P79" s="478">
        <f t="shared" si="6"/>
        <v>0</v>
      </c>
      <c r="Q79" s="537">
        <v>0</v>
      </c>
      <c r="R79" s="529">
        <f t="shared" si="7"/>
        <v>0</v>
      </c>
      <c r="S79" s="474">
        <f t="shared" si="8"/>
        <v>0</v>
      </c>
      <c r="T79" s="478">
        <f t="shared" si="9"/>
        <v>0</v>
      </c>
      <c r="U79" s="537">
        <v>0</v>
      </c>
      <c r="V79" s="529">
        <f>'WA Volumes &amp; Revenues'!F77*U79</f>
        <v>0</v>
      </c>
      <c r="W79" s="474">
        <f t="shared" si="10"/>
        <v>0</v>
      </c>
      <c r="X79" s="478">
        <f t="shared" si="11"/>
        <v>0</v>
      </c>
    </row>
    <row r="80" spans="1:24" x14ac:dyDescent="0.2">
      <c r="A80" s="115">
        <f t="shared" si="0"/>
        <v>71</v>
      </c>
      <c r="B80" s="725"/>
      <c r="C80" s="726" t="s">
        <v>7</v>
      </c>
      <c r="D80" s="479">
        <f>'WA Volumes &amp; Revenues'!E78</f>
        <v>3359916</v>
      </c>
      <c r="E80" s="481">
        <f>'Allocation = % of Margin'!E77</f>
        <v>7.3609999999999995E-2</v>
      </c>
      <c r="F80" s="474">
        <f>'Allocation = % of Margin'!H77</f>
        <v>247323</v>
      </c>
      <c r="G80" s="474">
        <f>'Allocation = % of Margin'!K77</f>
        <v>0</v>
      </c>
      <c r="H80" s="760"/>
      <c r="I80" s="537">
        <v>0</v>
      </c>
      <c r="J80" s="529">
        <f t="shared" si="1"/>
        <v>0</v>
      </c>
      <c r="K80" s="478">
        <f t="shared" si="2"/>
        <v>0</v>
      </c>
      <c r="L80" s="538">
        <v>0</v>
      </c>
      <c r="M80" s="529">
        <f t="shared" si="3"/>
        <v>0</v>
      </c>
      <c r="N80" s="474">
        <f t="shared" si="4"/>
        <v>0</v>
      </c>
      <c r="O80" s="471">
        <f t="shared" si="5"/>
        <v>0</v>
      </c>
      <c r="P80" s="478">
        <f t="shared" si="6"/>
        <v>0</v>
      </c>
      <c r="Q80" s="537">
        <v>0</v>
      </c>
      <c r="R80" s="529">
        <f t="shared" si="7"/>
        <v>0</v>
      </c>
      <c r="S80" s="474">
        <f t="shared" si="8"/>
        <v>0</v>
      </c>
      <c r="T80" s="478">
        <f t="shared" si="9"/>
        <v>0</v>
      </c>
      <c r="U80" s="537">
        <v>0</v>
      </c>
      <c r="V80" s="529">
        <f>'WA Volumes &amp; Revenues'!F78*U80</f>
        <v>0</v>
      </c>
      <c r="W80" s="474">
        <f t="shared" si="10"/>
        <v>0</v>
      </c>
      <c r="X80" s="478">
        <f t="shared" si="11"/>
        <v>0</v>
      </c>
    </row>
    <row r="81" spans="1:24" x14ac:dyDescent="0.2">
      <c r="A81" s="115">
        <f t="shared" si="0"/>
        <v>72</v>
      </c>
      <c r="B81" s="725"/>
      <c r="C81" s="726" t="s">
        <v>8</v>
      </c>
      <c r="D81" s="479">
        <f>'WA Volumes &amp; Revenues'!E79</f>
        <v>1349120</v>
      </c>
      <c r="E81" s="481">
        <f>'Allocation = % of Margin'!E78</f>
        <v>4.9079999999999999E-2</v>
      </c>
      <c r="F81" s="474">
        <f>'Allocation = % of Margin'!H78</f>
        <v>66215</v>
      </c>
      <c r="G81" s="474">
        <f>'Allocation = % of Margin'!K78</f>
        <v>0</v>
      </c>
      <c r="H81" s="760"/>
      <c r="I81" s="537">
        <v>0</v>
      </c>
      <c r="J81" s="529">
        <f>+$D81*I81</f>
        <v>0</v>
      </c>
      <c r="K81" s="478">
        <f t="shared" si="2"/>
        <v>0</v>
      </c>
      <c r="L81" s="538">
        <v>0</v>
      </c>
      <c r="M81" s="529">
        <f t="shared" si="3"/>
        <v>0</v>
      </c>
      <c r="N81" s="474">
        <f t="shared" si="4"/>
        <v>0</v>
      </c>
      <c r="O81" s="471">
        <f t="shared" si="5"/>
        <v>0</v>
      </c>
      <c r="P81" s="478">
        <f t="shared" si="6"/>
        <v>0</v>
      </c>
      <c r="Q81" s="537">
        <v>0</v>
      </c>
      <c r="R81" s="529">
        <f t="shared" si="7"/>
        <v>0</v>
      </c>
      <c r="S81" s="474">
        <f t="shared" si="8"/>
        <v>0</v>
      </c>
      <c r="T81" s="478">
        <f t="shared" si="9"/>
        <v>0</v>
      </c>
      <c r="U81" s="537">
        <v>0</v>
      </c>
      <c r="V81" s="529">
        <f>'WA Volumes &amp; Revenues'!F79*U81</f>
        <v>0</v>
      </c>
      <c r="W81" s="474">
        <f t="shared" si="10"/>
        <v>0</v>
      </c>
      <c r="X81" s="478">
        <f t="shared" si="11"/>
        <v>0</v>
      </c>
    </row>
    <row r="82" spans="1:24" x14ac:dyDescent="0.2">
      <c r="A82" s="115">
        <f t="shared" si="0"/>
        <v>73</v>
      </c>
      <c r="B82" s="723"/>
      <c r="C82" s="727" t="s">
        <v>9</v>
      </c>
      <c r="D82" s="466">
        <f>'WA Volumes &amp; Revenues'!E80</f>
        <v>0</v>
      </c>
      <c r="E82" s="483">
        <f>'Allocation = % of Margin'!E79</f>
        <v>1.839E-2</v>
      </c>
      <c r="F82" s="467">
        <f>'Allocation = % of Margin'!H79</f>
        <v>0</v>
      </c>
      <c r="G82" s="467">
        <f>'Allocation = % of Margin'!K79</f>
        <v>0</v>
      </c>
      <c r="H82" s="760"/>
      <c r="I82" s="535">
        <v>0</v>
      </c>
      <c r="J82" s="533">
        <f t="shared" ref="J82:J85" si="12">+$D82*I82</f>
        <v>0</v>
      </c>
      <c r="K82" s="470">
        <f t="shared" ref="K82:K85" si="13">+I82*$K$87</f>
        <v>0</v>
      </c>
      <c r="L82" s="536">
        <v>0</v>
      </c>
      <c r="M82" s="533">
        <f t="shared" ref="M82:M85" si="14">+$D82*L82</f>
        <v>0</v>
      </c>
      <c r="N82" s="467">
        <f t="shared" ref="N82:N85" si="15">M82*O82</f>
        <v>0</v>
      </c>
      <c r="O82" s="469">
        <f t="shared" ref="O82:O85" si="16">+$O$87*L82</f>
        <v>0</v>
      </c>
      <c r="P82" s="470">
        <f t="shared" ref="P82:P85" si="17">O82</f>
        <v>0</v>
      </c>
      <c r="Q82" s="535">
        <v>0</v>
      </c>
      <c r="R82" s="533">
        <f t="shared" ref="R82:R85" si="18">+$D82*Q82</f>
        <v>0</v>
      </c>
      <c r="S82" s="467">
        <f t="shared" ref="S82:S85" si="19">R82*T82</f>
        <v>0</v>
      </c>
      <c r="T82" s="470">
        <f t="shared" ref="T82:T85" si="20">+$T$87*Q82</f>
        <v>0</v>
      </c>
      <c r="U82" s="535">
        <v>0</v>
      </c>
      <c r="V82" s="533">
        <f>'WA Volumes &amp; Revenues'!F80*U82</f>
        <v>0</v>
      </c>
      <c r="W82" s="467">
        <f t="shared" ref="W82:W85" si="21">V82*X82</f>
        <v>0</v>
      </c>
      <c r="X82" s="470">
        <f t="shared" ref="X82:X85" si="22">+$X$86*U82</f>
        <v>0</v>
      </c>
    </row>
    <row r="83" spans="1:24" x14ac:dyDescent="0.2">
      <c r="A83" s="115">
        <f t="shared" si="0"/>
        <v>74</v>
      </c>
      <c r="B83" s="723" t="str">
        <f>'WA Volumes &amp; Revenues'!B81</f>
        <v>43 Firm Transpt</v>
      </c>
      <c r="C83" s="727" t="s">
        <v>283</v>
      </c>
      <c r="D83" s="466">
        <f>'WA Volumes &amp; Revenues'!E81</f>
        <v>0</v>
      </c>
      <c r="E83" s="485">
        <f>'Allocation = % of Margin'!E80</f>
        <v>4.9099999999999994E-3</v>
      </c>
      <c r="F83" s="467">
        <f>'Allocation = % of Margin'!H80</f>
        <v>0</v>
      </c>
      <c r="G83" s="467">
        <f>'Allocation = % of Margin'!K80</f>
        <v>0</v>
      </c>
      <c r="H83" s="760"/>
      <c r="I83" s="535">
        <v>0</v>
      </c>
      <c r="J83" s="533">
        <f t="shared" si="12"/>
        <v>0</v>
      </c>
      <c r="K83" s="470">
        <f t="shared" si="13"/>
        <v>0</v>
      </c>
      <c r="L83" s="536">
        <v>0</v>
      </c>
      <c r="M83" s="533">
        <f t="shared" si="14"/>
        <v>0</v>
      </c>
      <c r="N83" s="467">
        <f t="shared" si="15"/>
        <v>0</v>
      </c>
      <c r="O83" s="469">
        <f t="shared" si="16"/>
        <v>0</v>
      </c>
      <c r="P83" s="470">
        <f t="shared" si="17"/>
        <v>0</v>
      </c>
      <c r="Q83" s="535">
        <v>0</v>
      </c>
      <c r="R83" s="533">
        <f t="shared" si="18"/>
        <v>0</v>
      </c>
      <c r="S83" s="467">
        <f t="shared" si="19"/>
        <v>0</v>
      </c>
      <c r="T83" s="470">
        <f t="shared" si="20"/>
        <v>0</v>
      </c>
      <c r="U83" s="535">
        <v>0</v>
      </c>
      <c r="V83" s="533">
        <f>'WA Volumes &amp; Revenues'!F81*U83</f>
        <v>0</v>
      </c>
      <c r="W83" s="467">
        <f t="shared" si="21"/>
        <v>0</v>
      </c>
      <c r="X83" s="470">
        <f t="shared" si="22"/>
        <v>0</v>
      </c>
    </row>
    <row r="84" spans="1:24" x14ac:dyDescent="0.2">
      <c r="A84" s="115">
        <f t="shared" si="0"/>
        <v>75</v>
      </c>
      <c r="B84" s="724" t="str">
        <f>'WA Volumes &amp; Revenues'!B82</f>
        <v>43 Interr Transpt</v>
      </c>
      <c r="C84" s="727" t="s">
        <v>283</v>
      </c>
      <c r="D84" s="466">
        <f>'WA Volumes &amp; Revenues'!E82</f>
        <v>0</v>
      </c>
      <c r="E84" s="485">
        <f>'Allocation = % of Margin'!E81</f>
        <v>4.9099999999999994E-3</v>
      </c>
      <c r="F84" s="467">
        <f>'Allocation = % of Margin'!H81</f>
        <v>0</v>
      </c>
      <c r="G84" s="756">
        <f>'Allocation = % of Margin'!K81</f>
        <v>0</v>
      </c>
      <c r="H84" s="762"/>
      <c r="I84" s="532">
        <v>0</v>
      </c>
      <c r="J84" s="364">
        <f t="shared" si="12"/>
        <v>0</v>
      </c>
      <c r="K84" s="470">
        <f t="shared" si="13"/>
        <v>0</v>
      </c>
      <c r="L84" s="536">
        <v>0</v>
      </c>
      <c r="M84" s="364">
        <f t="shared" si="14"/>
        <v>0</v>
      </c>
      <c r="N84" s="467">
        <f t="shared" si="15"/>
        <v>0</v>
      </c>
      <c r="O84" s="469">
        <f t="shared" si="16"/>
        <v>0</v>
      </c>
      <c r="P84" s="470">
        <f t="shared" si="17"/>
        <v>0</v>
      </c>
      <c r="Q84" s="535">
        <v>0</v>
      </c>
      <c r="R84" s="533">
        <f t="shared" si="18"/>
        <v>0</v>
      </c>
      <c r="S84" s="467">
        <f t="shared" si="19"/>
        <v>0</v>
      </c>
      <c r="T84" s="470">
        <f t="shared" si="20"/>
        <v>0</v>
      </c>
      <c r="U84" s="535">
        <v>0</v>
      </c>
      <c r="V84" s="539">
        <f>'WA Volumes &amp; Revenues'!F82*U84</f>
        <v>0</v>
      </c>
      <c r="W84" s="467">
        <f t="shared" si="21"/>
        <v>0</v>
      </c>
      <c r="X84" s="470">
        <f t="shared" si="22"/>
        <v>0</v>
      </c>
    </row>
    <row r="85" spans="1:24" x14ac:dyDescent="0.2">
      <c r="A85" s="115">
        <f t="shared" si="0"/>
        <v>76</v>
      </c>
      <c r="B85" s="724" t="str">
        <f>'WA Volumes &amp; Revenues'!B83</f>
        <v>Special Contract</v>
      </c>
      <c r="C85" s="727" t="s">
        <v>283</v>
      </c>
      <c r="D85" s="466">
        <f>'WA Volumes &amp; Revenues'!E83</f>
        <v>2895114</v>
      </c>
      <c r="E85" s="485">
        <f>'Allocation = % of Margin'!E82</f>
        <v>0</v>
      </c>
      <c r="F85" s="467">
        <f>'Allocation = % of Margin'!H82</f>
        <v>0</v>
      </c>
      <c r="G85" s="467">
        <f>'Allocation = % of Margin'!K82</f>
        <v>242994.60207180592</v>
      </c>
      <c r="H85" s="763"/>
      <c r="I85" s="535">
        <v>0</v>
      </c>
      <c r="J85" s="364">
        <f t="shared" si="12"/>
        <v>0</v>
      </c>
      <c r="K85" s="470">
        <f t="shared" si="13"/>
        <v>0</v>
      </c>
      <c r="L85" s="536">
        <v>0</v>
      </c>
      <c r="M85" s="364">
        <f t="shared" si="14"/>
        <v>0</v>
      </c>
      <c r="N85" s="467">
        <f t="shared" si="15"/>
        <v>0</v>
      </c>
      <c r="O85" s="469">
        <f t="shared" si="16"/>
        <v>0</v>
      </c>
      <c r="P85" s="470">
        <f t="shared" si="17"/>
        <v>0</v>
      </c>
      <c r="Q85" s="535">
        <v>0</v>
      </c>
      <c r="R85" s="533">
        <f t="shared" si="18"/>
        <v>0</v>
      </c>
      <c r="S85" s="467">
        <f t="shared" si="19"/>
        <v>0</v>
      </c>
      <c r="T85" s="470">
        <f t="shared" si="20"/>
        <v>0</v>
      </c>
      <c r="U85" s="535">
        <v>0</v>
      </c>
      <c r="V85" s="364">
        <f>'WA Volumes &amp; Revenues'!F83*U85</f>
        <v>0</v>
      </c>
      <c r="W85" s="467">
        <f t="shared" si="21"/>
        <v>0</v>
      </c>
      <c r="X85" s="470">
        <f t="shared" si="22"/>
        <v>0</v>
      </c>
    </row>
    <row r="86" spans="1:24" s="713" customFormat="1" x14ac:dyDescent="0.2">
      <c r="A86" s="115">
        <f t="shared" si="0"/>
        <v>77</v>
      </c>
      <c r="B86" s="707"/>
      <c r="C86" s="708"/>
      <c r="D86" s="707"/>
      <c r="E86" s="709"/>
      <c r="F86" s="709"/>
      <c r="G86" s="709"/>
      <c r="H86" s="710"/>
      <c r="I86" s="711"/>
      <c r="J86" s="712"/>
      <c r="L86" s="711"/>
      <c r="M86" s="712"/>
      <c r="O86" s="714"/>
      <c r="Q86" s="711"/>
      <c r="R86" s="712"/>
      <c r="T86" s="714"/>
      <c r="U86" s="711"/>
      <c r="V86" s="712"/>
      <c r="X86" s="714"/>
    </row>
    <row r="87" spans="1:24" x14ac:dyDescent="0.2">
      <c r="A87" s="115">
        <f t="shared" si="0"/>
        <v>78</v>
      </c>
      <c r="B87" s="707" t="s">
        <v>181</v>
      </c>
      <c r="D87" s="753">
        <f>SUM(D17:D85)</f>
        <v>103032055.6009268</v>
      </c>
      <c r="E87" s="272"/>
      <c r="F87" s="611">
        <f t="shared" ref="F87:G87" si="23">SUM(F17:F85)</f>
        <v>37287358</v>
      </c>
      <c r="G87" s="611">
        <f t="shared" si="23"/>
        <v>49604903.243273698</v>
      </c>
      <c r="H87" s="504"/>
      <c r="I87" s="538"/>
      <c r="J87" s="753">
        <f>SUM(J17:J85)</f>
        <v>82410548.600926802</v>
      </c>
      <c r="K87" s="1014">
        <f>ROUND(I13/J87,5)</f>
        <v>0</v>
      </c>
      <c r="L87" s="538"/>
      <c r="M87" s="753">
        <f t="shared" ref="M87" si="24">SUM(M17:M85)</f>
        <v>82852135.600926802</v>
      </c>
      <c r="N87" s="671">
        <f>L13-(N17+N20+N22)</f>
        <v>0</v>
      </c>
      <c r="O87" s="714">
        <f>ROUND(L13/M87,5)</f>
        <v>0</v>
      </c>
      <c r="P87" s="754">
        <f>N87/G87</f>
        <v>0</v>
      </c>
      <c r="Q87" s="538"/>
      <c r="R87" s="753">
        <f t="shared" ref="R87" si="25">SUM(R17:R85)</f>
        <v>82852135.600926802</v>
      </c>
      <c r="S87" s="474">
        <f>Q13-(S17+S20+S22)</f>
        <v>0</v>
      </c>
      <c r="T87" s="714">
        <f>ROUND(Q13/R87,5)</f>
        <v>0</v>
      </c>
      <c r="U87" s="538"/>
      <c r="V87" s="753">
        <f t="shared" ref="V87" si="26">SUM(V17:V85)</f>
        <v>84276831.300000012</v>
      </c>
      <c r="W87" s="671">
        <f>U13-(W17+W20+W22)</f>
        <v>0</v>
      </c>
      <c r="X87" s="714">
        <f>ROUND(U13/V87,5)</f>
        <v>0</v>
      </c>
    </row>
    <row r="88" spans="1:24" x14ac:dyDescent="0.2">
      <c r="A88" s="115">
        <f t="shared" si="0"/>
        <v>79</v>
      </c>
      <c r="D88" s="540"/>
      <c r="E88" s="540"/>
      <c r="F88" s="540"/>
      <c r="G88" s="540"/>
      <c r="I88" s="538"/>
      <c r="L88" s="538"/>
      <c r="Q88" s="538"/>
      <c r="U88" s="538"/>
    </row>
    <row r="89" spans="1:24" x14ac:dyDescent="0.2">
      <c r="A89" s="115">
        <f t="shared" ref="A89:A92" si="27">+A88+1</f>
        <v>80</v>
      </c>
      <c r="B89" s="168" t="s">
        <v>79</v>
      </c>
      <c r="C89" s="56"/>
      <c r="D89" s="429"/>
      <c r="E89" s="56"/>
      <c r="F89" s="56"/>
      <c r="G89" s="56"/>
      <c r="H89" s="429"/>
      <c r="I89" s="56"/>
      <c r="J89" s="429"/>
      <c r="K89" s="56"/>
      <c r="L89" s="56"/>
      <c r="M89" s="140"/>
      <c r="Q89" s="506"/>
      <c r="U89" s="506"/>
    </row>
    <row r="90" spans="1:24" x14ac:dyDescent="0.2">
      <c r="A90" s="115">
        <f t="shared" si="27"/>
        <v>81</v>
      </c>
      <c r="B90" s="764" t="s">
        <v>80</v>
      </c>
      <c r="C90" s="765"/>
      <c r="D90" s="765"/>
      <c r="E90" s="765"/>
      <c r="F90" s="765"/>
      <c r="G90" s="765"/>
      <c r="H90" s="765"/>
      <c r="I90" s="765"/>
      <c r="J90" s="765"/>
      <c r="K90" s="765"/>
      <c r="L90" s="765"/>
      <c r="M90" s="766"/>
      <c r="N90" s="766"/>
      <c r="O90" s="766"/>
      <c r="P90" s="766"/>
      <c r="Q90" s="766"/>
      <c r="R90" s="766"/>
      <c r="S90" s="766"/>
      <c r="T90" s="766"/>
      <c r="U90" s="766"/>
      <c r="V90" s="766"/>
      <c r="W90" s="766"/>
      <c r="X90" s="767"/>
    </row>
    <row r="91" spans="1:24" x14ac:dyDescent="0.2">
      <c r="A91" s="115">
        <f t="shared" si="27"/>
        <v>82</v>
      </c>
      <c r="B91" s="168" t="s">
        <v>95</v>
      </c>
      <c r="C91" s="56"/>
      <c r="D91" s="429"/>
      <c r="E91" s="56"/>
      <c r="F91" s="56"/>
      <c r="G91" s="56"/>
      <c r="H91" s="429"/>
      <c r="I91" s="56"/>
      <c r="J91" s="429"/>
      <c r="K91" s="56"/>
      <c r="L91" s="56"/>
      <c r="M91" s="140"/>
      <c r="Q91" s="506"/>
      <c r="U91" s="506"/>
    </row>
    <row r="92" spans="1:24" x14ac:dyDescent="0.2">
      <c r="A92" s="115">
        <f t="shared" si="27"/>
        <v>83</v>
      </c>
      <c r="B92" s="764" t="s">
        <v>96</v>
      </c>
      <c r="C92" s="765"/>
      <c r="D92" s="765"/>
      <c r="E92" s="765"/>
      <c r="F92" s="765"/>
      <c r="G92" s="765"/>
      <c r="H92" s="765"/>
      <c r="I92" s="765"/>
      <c r="J92" s="765"/>
      <c r="K92" s="765"/>
      <c r="L92" s="765"/>
      <c r="M92" s="766"/>
      <c r="N92" s="766"/>
      <c r="O92" s="766"/>
      <c r="P92" s="766"/>
      <c r="Q92" s="766"/>
      <c r="R92" s="766"/>
      <c r="S92" s="766"/>
      <c r="T92" s="766"/>
      <c r="U92" s="766"/>
      <c r="V92" s="766"/>
      <c r="W92" s="766"/>
      <c r="X92" s="767"/>
    </row>
  </sheetData>
  <customSheetViews>
    <customSheetView guid="{80646397-1CEF-4A79-B348-594AB32B8020}">
      <pane xSplit="3" ySplit="16" topLeftCell="K59" activePane="bottomRight" state="frozen"/>
      <selection pane="bottomRight" activeCell="J17" sqref="J17"/>
      <pageMargins left="0.5" right="0.5" top="0.5" bottom="0.5" header="0.25" footer="0.25"/>
      <pageSetup scale="59" orientation="portrait" r:id="rId1"/>
      <headerFooter alignWithMargins="0"/>
    </customSheetView>
    <customSheetView guid="{37B35166-7378-4B00-BB4E-9E442A0D870E}">
      <pane xSplit="3" ySplit="16" topLeftCell="K59" activePane="bottomRight" state="frozen"/>
      <selection pane="bottomRight" activeCell="J17" sqref="J17"/>
      <pageMargins left="0.5" right="0.5" top="0.5" bottom="0.5" header="0.25" footer="0.25"/>
      <pageSetup scale="59" orientation="portrait" r:id="rId2"/>
      <headerFooter alignWithMargins="0"/>
    </customSheetView>
  </customSheetViews>
  <mergeCells count="11">
    <mergeCell ref="U8:W8"/>
    <mergeCell ref="U9:W9"/>
    <mergeCell ref="U10:X10"/>
    <mergeCell ref="I10:K10"/>
    <mergeCell ref="L10:P10"/>
    <mergeCell ref="Q10:T10"/>
    <mergeCell ref="I1:J1"/>
    <mergeCell ref="L9:N9"/>
    <mergeCell ref="Q8:S8"/>
    <mergeCell ref="Q9:S9"/>
    <mergeCell ref="I2:J2"/>
  </mergeCells>
  <pageMargins left="0.5" right="0.5" top="0.5" bottom="0.5" header="0.25" footer="0.25"/>
  <pageSetup scale="59"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8DE80-7DE4-40F7-81F8-6F44BDC1E871}">
  <sheetPr>
    <tabColor theme="9" tint="0.79998168889431442"/>
  </sheetPr>
  <dimension ref="A1:AR105"/>
  <sheetViews>
    <sheetView zoomScale="95" zoomScaleNormal="95" workbookViewId="0">
      <pane xSplit="3" ySplit="13" topLeftCell="D14" activePane="bottomRight" state="frozen"/>
      <selection pane="topRight" activeCell="D1" sqref="D1"/>
      <selection pane="bottomLeft" activeCell="A15" sqref="A15"/>
      <selection pane="bottomRight" activeCell="G4" sqref="G4"/>
    </sheetView>
  </sheetViews>
  <sheetFormatPr defaultColWidth="9.33203125" defaultRowHeight="12.75" x14ac:dyDescent="0.2"/>
  <cols>
    <col min="1" max="1" width="5.6640625" style="55" customWidth="1"/>
    <col min="2" max="2" width="17.83203125" style="56" customWidth="1"/>
    <col min="3" max="3" width="8.33203125" style="56" customWidth="1"/>
    <col min="4" max="4" width="17.83203125" style="429" customWidth="1"/>
    <col min="5" max="6" width="12.6640625" style="429" bestFit="1" customWidth="1"/>
    <col min="7" max="7" width="12.5" style="429" customWidth="1"/>
    <col min="8" max="8" width="17.83203125" style="429" bestFit="1" customWidth="1"/>
    <col min="9" max="9" width="15" style="429" customWidth="1"/>
    <col min="10" max="10" width="11.33203125" style="429" customWidth="1"/>
    <col min="11" max="11" width="19.83203125" style="429" bestFit="1" customWidth="1"/>
    <col min="12" max="12" width="27.1640625" style="429" customWidth="1"/>
    <col min="13" max="13" width="16.33203125" style="430" customWidth="1"/>
    <col min="14" max="14" width="15.6640625" style="56" customWidth="1"/>
    <col min="15" max="15" width="15.6640625" style="140" customWidth="1"/>
    <col min="16" max="16" width="16.33203125" style="430" customWidth="1"/>
    <col min="17" max="17" width="15.6640625" style="56" customWidth="1"/>
    <col min="18" max="18" width="15.6640625" style="140" customWidth="1"/>
    <col min="19" max="19" width="16.33203125" style="430" customWidth="1"/>
    <col min="20" max="20" width="15.6640625" style="56" customWidth="1"/>
    <col min="21" max="21" width="15.6640625" style="140" customWidth="1"/>
    <col min="22" max="22" width="16.33203125" style="430" customWidth="1"/>
    <col min="23" max="23" width="15.6640625" style="56" customWidth="1"/>
    <col min="24" max="24" width="15.6640625" style="140" customWidth="1"/>
    <col min="25" max="25" width="16.5" style="154" customWidth="1"/>
    <col min="26" max="26" width="15.6640625" style="55" bestFit="1" customWidth="1"/>
    <col min="27" max="27" width="23.1640625" style="55" bestFit="1" customWidth="1"/>
    <col min="28" max="28" width="14.33203125" style="55" bestFit="1" customWidth="1"/>
    <col min="29" max="16384" width="9.33203125" style="55"/>
  </cols>
  <sheetData>
    <row r="1" spans="1:44" ht="14.1" customHeight="1" x14ac:dyDescent="0.2">
      <c r="A1" s="139" t="str">
        <f>+'WA Volumes &amp; Revenues'!A1</f>
        <v>NW Natural</v>
      </c>
      <c r="F1" s="1548"/>
      <c r="G1" s="1548"/>
      <c r="H1" s="1548"/>
    </row>
    <row r="2" spans="1:44" ht="14.1" customHeight="1" x14ac:dyDescent="0.2">
      <c r="A2" s="139" t="str">
        <f>+'WA Volumes &amp; Revenues'!A2</f>
        <v>Rates &amp; Regulatory Affairs</v>
      </c>
      <c r="F2" s="1550"/>
      <c r="G2" s="1550"/>
      <c r="H2" s="1550"/>
      <c r="K2" s="431"/>
    </row>
    <row r="3" spans="1:44" ht="14.1" customHeight="1" x14ac:dyDescent="0.2">
      <c r="A3" s="139" t="str">
        <f>+'WA Volumes &amp; Revenues'!A3</f>
        <v>Test Year Ending September 30, 2020</v>
      </c>
      <c r="M3" s="429"/>
      <c r="P3" s="429"/>
      <c r="S3" s="429"/>
      <c r="V3" s="429"/>
    </row>
    <row r="4" spans="1:44" ht="14.1" customHeight="1" x14ac:dyDescent="0.2">
      <c r="A4" s="435" t="s">
        <v>195</v>
      </c>
      <c r="D4" s="56"/>
      <c r="E4" s="56"/>
      <c r="F4" s="56"/>
      <c r="G4" s="56"/>
      <c r="H4" s="56"/>
      <c r="I4" s="1548"/>
      <c r="J4" s="1548"/>
      <c r="K4" s="1548"/>
      <c r="L4" s="56"/>
      <c r="M4" s="56"/>
      <c r="N4" s="130"/>
      <c r="P4" s="56"/>
      <c r="S4" s="56"/>
      <c r="V4" s="56"/>
    </row>
    <row r="5" spans="1:44" ht="14.1" customHeight="1" thickBot="1" x14ac:dyDescent="0.25">
      <c r="D5" s="56"/>
      <c r="E5" s="56"/>
      <c r="F5" s="56"/>
      <c r="G5" s="56"/>
      <c r="H5" s="56"/>
      <c r="I5" s="1550"/>
      <c r="J5" s="1550"/>
      <c r="K5" s="1550"/>
      <c r="L5" s="56"/>
      <c r="M5" s="56"/>
      <c r="P5" s="56"/>
      <c r="S5" s="56"/>
      <c r="V5" s="56"/>
    </row>
    <row r="6" spans="1:44" ht="14.1" customHeight="1" thickBot="1" x14ac:dyDescent="0.25">
      <c r="D6" s="56"/>
      <c r="E6" s="56"/>
      <c r="G6" s="56"/>
      <c r="H6" s="56"/>
      <c r="I6" s="56"/>
      <c r="J6" s="56"/>
      <c r="K6" s="56"/>
      <c r="L6" s="56"/>
      <c r="M6" s="1563" t="s">
        <v>422</v>
      </c>
      <c r="N6" s="1564"/>
      <c r="O6" s="1564"/>
      <c r="P6" s="1564"/>
      <c r="Q6" s="1564"/>
      <c r="R6" s="1564"/>
      <c r="S6" s="1564"/>
      <c r="T6" s="1564"/>
      <c r="U6" s="1565"/>
      <c r="V6" s="1573" t="s">
        <v>417</v>
      </c>
      <c r="W6" s="1574"/>
      <c r="X6" s="1575"/>
    </row>
    <row r="7" spans="1:44" s="56" customFormat="1" ht="15" customHeight="1" thickBot="1" x14ac:dyDescent="0.25">
      <c r="A7" s="86">
        <v>1</v>
      </c>
      <c r="D7" s="429"/>
      <c r="E7" s="353"/>
      <c r="F7" s="441">
        <f>'Avg Bill by RS'!AS9</f>
        <v>44866</v>
      </c>
      <c r="G7" s="441">
        <f>F7</f>
        <v>44866</v>
      </c>
      <c r="H7" s="61"/>
      <c r="I7" s="429"/>
      <c r="J7" s="61"/>
      <c r="K7" s="61"/>
      <c r="M7" s="1566" t="s">
        <v>401</v>
      </c>
      <c r="N7" s="1567"/>
      <c r="O7" s="1568"/>
      <c r="P7" s="1566" t="s">
        <v>407</v>
      </c>
      <c r="Q7" s="1567"/>
      <c r="R7" s="1568"/>
      <c r="S7" s="1566" t="s">
        <v>479</v>
      </c>
      <c r="T7" s="1567"/>
      <c r="U7" s="1568"/>
      <c r="V7" s="1569" t="s">
        <v>482</v>
      </c>
      <c r="W7" s="1570"/>
      <c r="X7" s="1571"/>
      <c r="Y7" s="899"/>
      <c r="Z7" s="55"/>
    </row>
    <row r="8" spans="1:44" s="56" customFormat="1" ht="15" customHeight="1" thickBot="1" x14ac:dyDescent="0.25">
      <c r="A8" s="86">
        <f t="shared" ref="A8:A82" si="0">+A7+1</f>
        <v>2</v>
      </c>
      <c r="D8" s="442" t="s">
        <v>557</v>
      </c>
      <c r="E8" s="61" t="s">
        <v>18</v>
      </c>
      <c r="F8" s="518" t="str">
        <f>D8</f>
        <v>UG-20XXXX</v>
      </c>
      <c r="G8" s="518" t="str">
        <f>F8</f>
        <v>UG-20XXXX</v>
      </c>
      <c r="H8" s="518" t="str">
        <f>G8</f>
        <v>UG-20XXXX</v>
      </c>
      <c r="I8" s="518" t="str">
        <f>H8</f>
        <v>UG-20XXXX</v>
      </c>
      <c r="J8" s="518" t="str">
        <f>I8</f>
        <v>UG-20XXXX</v>
      </c>
      <c r="K8" s="518" t="str">
        <f>G8</f>
        <v>UG-20XXXX</v>
      </c>
      <c r="L8" s="607" t="s">
        <v>29</v>
      </c>
      <c r="M8" s="443">
        <v>-1416284.97</v>
      </c>
      <c r="N8" s="927" t="s">
        <v>180</v>
      </c>
      <c r="O8" s="445"/>
      <c r="P8" s="592">
        <v>-839327</v>
      </c>
      <c r="Q8" s="927" t="s">
        <v>180</v>
      </c>
      <c r="R8" s="445"/>
      <c r="S8" s="443">
        <v>-462252</v>
      </c>
      <c r="T8" s="521" t="s">
        <v>90</v>
      </c>
      <c r="U8" s="445"/>
      <c r="V8" s="443">
        <v>-42692</v>
      </c>
      <c r="W8" s="927" t="s">
        <v>180</v>
      </c>
      <c r="X8" s="445"/>
      <c r="Y8" s="899"/>
      <c r="Z8" s="1572"/>
    </row>
    <row r="9" spans="1:44" s="56" customFormat="1" ht="15" customHeight="1" thickBot="1" x14ac:dyDescent="0.25">
      <c r="A9" s="86">
        <f t="shared" si="0"/>
        <v>3</v>
      </c>
      <c r="D9" s="61" t="str">
        <f>'Allocation = ¢ per Therm'!D12</f>
        <v>WA GRC</v>
      </c>
      <c r="E9" s="59" t="s">
        <v>27</v>
      </c>
      <c r="F9" s="446" t="s">
        <v>27</v>
      </c>
      <c r="G9" s="144" t="s">
        <v>27</v>
      </c>
      <c r="H9" s="61" t="s">
        <v>86</v>
      </c>
      <c r="I9" s="86" t="s">
        <v>83</v>
      </c>
      <c r="J9" s="61" t="s">
        <v>83</v>
      </c>
      <c r="K9" s="59" t="s">
        <v>32</v>
      </c>
      <c r="L9" s="607" t="s">
        <v>24</v>
      </c>
      <c r="M9" s="447">
        <v>4.1579999999999999E-2</v>
      </c>
      <c r="N9" s="448" t="str">
        <f>IF(M9="&lt; n/a &gt;","rev sensitive factor is built in","add revenue sensitive factor")</f>
        <v>add revenue sensitive factor</v>
      </c>
      <c r="O9" s="449"/>
      <c r="P9" s="447">
        <v>4.1579999999999999E-2</v>
      </c>
      <c r="Q9" s="448" t="str">
        <f>IF(P9="&lt; n/a &gt;","rev sensitive factor is built in","add revenue sensitive factor")</f>
        <v>add revenue sensitive factor</v>
      </c>
      <c r="R9" s="449"/>
      <c r="S9" s="1133" t="s">
        <v>408</v>
      </c>
      <c r="T9" s="448" t="str">
        <f>IF(S9="&lt; n/a &gt;","rev sensitive factor is built in","add revenue sensitive factor")</f>
        <v>rev sensitive factor is built in</v>
      </c>
      <c r="U9" s="449"/>
      <c r="V9" s="447">
        <f>P9</f>
        <v>4.1579999999999999E-2</v>
      </c>
      <c r="W9" s="448" t="str">
        <f>IF(V9="&lt; n/a &gt;","rev sensitive factor is built in","add revenue sensitive factor")</f>
        <v>add revenue sensitive factor</v>
      </c>
      <c r="X9" s="449"/>
      <c r="Y9" s="899"/>
      <c r="Z9" s="1572"/>
    </row>
    <row r="10" spans="1:44" s="57" customFormat="1" ht="15" customHeight="1" thickBot="1" x14ac:dyDescent="0.25">
      <c r="A10" s="86">
        <f t="shared" si="0"/>
        <v>4</v>
      </c>
      <c r="B10" s="56"/>
      <c r="C10" s="56"/>
      <c r="D10" s="358" t="s">
        <v>174</v>
      </c>
      <c r="E10" s="172" t="s">
        <v>28</v>
      </c>
      <c r="F10" s="450" t="s">
        <v>98</v>
      </c>
      <c r="G10" s="451" t="s">
        <v>28</v>
      </c>
      <c r="H10" s="358" t="s">
        <v>31</v>
      </c>
      <c r="I10" s="358" t="s">
        <v>71</v>
      </c>
      <c r="J10" s="358" t="s">
        <v>374</v>
      </c>
      <c r="K10" s="172" t="s">
        <v>31</v>
      </c>
      <c r="L10" s="608" t="s">
        <v>25</v>
      </c>
      <c r="M10" s="452">
        <f>IF(M9&lt;&gt;"&lt; n/a &gt;",ROUND(+M8/(1-M9),0),M8)</f>
        <v>-1477729</v>
      </c>
      <c r="N10" s="928" t="s">
        <v>404</v>
      </c>
      <c r="O10" s="453"/>
      <c r="P10" s="452">
        <f>IF(P9&lt;&gt;"&lt; n/a &gt;",ROUND(+P8/(1-P9),0),P8)</f>
        <v>-875740</v>
      </c>
      <c r="Q10" s="929" t="s">
        <v>406</v>
      </c>
      <c r="R10" s="453"/>
      <c r="S10" s="452">
        <f>IF(S9&lt;&gt;"&lt; n/a &gt;",ROUND(+S8/(1-S9),0),S8)</f>
        <v>-462252</v>
      </c>
      <c r="T10" s="929" t="s">
        <v>448</v>
      </c>
      <c r="U10" s="453"/>
      <c r="V10" s="452">
        <f>IF(V9&lt;&gt;"&lt; n/a &gt;",ROUND(+V8/(1-V9),0),V8)</f>
        <v>-44544</v>
      </c>
      <c r="W10" s="929" t="s">
        <v>406</v>
      </c>
      <c r="X10" s="453"/>
      <c r="Y10" s="1248"/>
      <c r="Z10" s="1572"/>
    </row>
    <row r="11" spans="1:44" s="57" customFormat="1" ht="13.5" thickBot="1" x14ac:dyDescent="0.25">
      <c r="A11" s="86">
        <f t="shared" si="0"/>
        <v>5</v>
      </c>
      <c r="B11" s="56"/>
      <c r="C11" s="56"/>
      <c r="D11" s="150"/>
      <c r="E11" s="59"/>
      <c r="F11" s="59"/>
      <c r="G11" s="59" t="s">
        <v>175</v>
      </c>
      <c r="H11" s="1136" t="s">
        <v>176</v>
      </c>
      <c r="I11" s="59"/>
      <c r="J11" s="150"/>
      <c r="K11" s="1143" t="s">
        <v>177</v>
      </c>
      <c r="L11" s="455"/>
      <c r="M11" s="498" t="s">
        <v>22</v>
      </c>
      <c r="N11" s="86" t="s">
        <v>87</v>
      </c>
      <c r="O11" s="499" t="s">
        <v>23</v>
      </c>
      <c r="P11" s="498" t="s">
        <v>22</v>
      </c>
      <c r="Q11" s="86" t="s">
        <v>87</v>
      </c>
      <c r="R11" s="499" t="s">
        <v>23</v>
      </c>
      <c r="S11" s="498" t="s">
        <v>22</v>
      </c>
      <c r="T11" s="86" t="s">
        <v>87</v>
      </c>
      <c r="U11" s="499" t="s">
        <v>23</v>
      </c>
      <c r="V11" s="498" t="s">
        <v>22</v>
      </c>
      <c r="W11" s="86" t="s">
        <v>87</v>
      </c>
      <c r="X11" s="499" t="s">
        <v>23</v>
      </c>
      <c r="Y11" s="1248"/>
      <c r="Z11" s="1572"/>
      <c r="AC11" s="1559" t="s">
        <v>401</v>
      </c>
      <c r="AD11" s="1555"/>
      <c r="AE11" s="1555"/>
      <c r="AF11" s="1556"/>
      <c r="AG11" s="1559" t="s">
        <v>407</v>
      </c>
      <c r="AH11" s="1555"/>
      <c r="AI11" s="1555"/>
      <c r="AJ11" s="1556"/>
      <c r="AK11" s="1554" t="s">
        <v>405</v>
      </c>
      <c r="AL11" s="1555"/>
      <c r="AM11" s="1555"/>
      <c r="AN11" s="1556"/>
      <c r="AO11" s="1554" t="s">
        <v>418</v>
      </c>
      <c r="AP11" s="1555"/>
      <c r="AQ11" s="1555"/>
      <c r="AR11" s="1558"/>
    </row>
    <row r="12" spans="1:44" s="57" customFormat="1" ht="12.6" customHeight="1" x14ac:dyDescent="0.2">
      <c r="A12" s="86">
        <f t="shared" si="0"/>
        <v>6</v>
      </c>
      <c r="B12" s="741" t="s">
        <v>2</v>
      </c>
      <c r="C12" s="741" t="s">
        <v>3</v>
      </c>
      <c r="D12" s="124" t="s">
        <v>35</v>
      </c>
      <c r="E12" s="124" t="s">
        <v>36</v>
      </c>
      <c r="F12" s="124" t="s">
        <v>13</v>
      </c>
      <c r="G12" s="124" t="s">
        <v>37</v>
      </c>
      <c r="H12" s="58" t="s">
        <v>38</v>
      </c>
      <c r="I12" s="124" t="s">
        <v>39</v>
      </c>
      <c r="J12" s="124" t="s">
        <v>40</v>
      </c>
      <c r="K12" s="124" t="s">
        <v>41</v>
      </c>
      <c r="L12" s="458"/>
      <c r="M12" s="459" t="s">
        <v>42</v>
      </c>
      <c r="N12" s="722" t="s">
        <v>129</v>
      </c>
      <c r="O12" s="500" t="s">
        <v>130</v>
      </c>
      <c r="P12" s="459" t="s">
        <v>42</v>
      </c>
      <c r="Q12" s="124" t="s">
        <v>129</v>
      </c>
      <c r="R12" s="500" t="s">
        <v>130</v>
      </c>
      <c r="S12" s="459" t="s">
        <v>42</v>
      </c>
      <c r="T12" s="722" t="s">
        <v>129</v>
      </c>
      <c r="U12" s="500" t="s">
        <v>130</v>
      </c>
      <c r="V12" s="459" t="s">
        <v>42</v>
      </c>
      <c r="W12" s="722" t="s">
        <v>129</v>
      </c>
      <c r="X12" s="500" t="s">
        <v>130</v>
      </c>
      <c r="Y12" s="1248"/>
      <c r="Z12" s="1211"/>
      <c r="AC12" s="1557" t="s">
        <v>465</v>
      </c>
      <c r="AD12" s="1557"/>
      <c r="AE12" s="1557"/>
      <c r="AF12" s="1557"/>
      <c r="AG12" s="1557" t="s">
        <v>465</v>
      </c>
      <c r="AH12" s="1557"/>
      <c r="AI12" s="1557"/>
      <c r="AJ12" s="1557"/>
      <c r="AK12" s="1557" t="s">
        <v>465</v>
      </c>
      <c r="AL12" s="1557"/>
      <c r="AM12" s="1557"/>
      <c r="AN12" s="1557"/>
      <c r="AO12" s="1557" t="s">
        <v>465</v>
      </c>
      <c r="AP12" s="1557"/>
      <c r="AQ12" s="1557"/>
      <c r="AR12" s="1557"/>
    </row>
    <row r="13" spans="1:44" s="57" customFormat="1" ht="12.6" customHeight="1" x14ac:dyDescent="0.2">
      <c r="A13" s="86">
        <f t="shared" si="0"/>
        <v>7</v>
      </c>
      <c r="B13" s="734"/>
      <c r="C13" s="734"/>
      <c r="D13" s="124"/>
      <c r="E13" s="124"/>
      <c r="F13" s="1141"/>
      <c r="G13" s="1141"/>
      <c r="H13" s="501"/>
      <c r="I13" s="124"/>
      <c r="J13" s="161"/>
      <c r="K13" s="124"/>
      <c r="L13" s="458"/>
      <c r="M13" s="459"/>
      <c r="N13" s="722"/>
      <c r="O13" s="500"/>
      <c r="P13" s="459"/>
      <c r="Q13" s="124"/>
      <c r="R13" s="500"/>
      <c r="S13" s="459"/>
      <c r="T13" s="722"/>
      <c r="U13" s="500"/>
      <c r="V13" s="459"/>
      <c r="W13" s="722"/>
      <c r="X13" s="500"/>
      <c r="Y13" s="1248"/>
      <c r="AD13" s="58" t="s">
        <v>265</v>
      </c>
      <c r="AE13" s="58" t="s">
        <v>86</v>
      </c>
      <c r="AH13" s="58" t="s">
        <v>265</v>
      </c>
      <c r="AI13" s="58" t="s">
        <v>86</v>
      </c>
      <c r="AL13" s="58" t="s">
        <v>265</v>
      </c>
      <c r="AM13" s="58" t="s">
        <v>86</v>
      </c>
      <c r="AP13" s="58" t="s">
        <v>265</v>
      </c>
      <c r="AQ13" s="58" t="s">
        <v>86</v>
      </c>
    </row>
    <row r="14" spans="1:44" s="56" customFormat="1" x14ac:dyDescent="0.2">
      <c r="A14" s="86">
        <f t="shared" si="0"/>
        <v>8</v>
      </c>
      <c r="B14" s="733" t="str">
        <f>'WA Volumes &amp; Revenues'!B15</f>
        <v>1R</v>
      </c>
      <c r="C14" s="733" t="s">
        <v>283</v>
      </c>
      <c r="D14" s="364">
        <f>'WA Volumes &amp; Revenues'!E15</f>
        <v>214704.20066131229</v>
      </c>
      <c r="E14" s="463">
        <f>'Rates in Detail'!E13</f>
        <v>0.67652999999999996</v>
      </c>
      <c r="F14" s="770">
        <f>'Rates in Detail'!L13+SUM('Rates in Detail'!P13:Q13)</f>
        <v>0.12315000000000001</v>
      </c>
      <c r="G14" s="463">
        <f>E14+F14</f>
        <v>0.79967999999999995</v>
      </c>
      <c r="H14" s="49">
        <f>ROUND(E14*D14,0)</f>
        <v>145254</v>
      </c>
      <c r="I14" s="621">
        <f>'WA Volumes &amp; Revenues'!N15</f>
        <v>5.5</v>
      </c>
      <c r="J14" s="740">
        <f>'WA Volumes &amp; Revenues'!H15</f>
        <v>911</v>
      </c>
      <c r="K14" s="49">
        <f>ROUND((I14*J14*12)+H14,0)+'Rev Req Proof Yr1'!Z14</f>
        <v>208635.2992440185</v>
      </c>
      <c r="L14" s="462"/>
      <c r="M14" s="923">
        <v>1</v>
      </c>
      <c r="N14" s="465">
        <f>ROUND(+$M$10*(($K14*M14)/M$84),0)</f>
        <v>-6697</v>
      </c>
      <c r="O14" s="470">
        <f>ROUND(E14*AE14,5)</f>
        <v>-3.1189999999999999E-2</v>
      </c>
      <c r="P14" s="464">
        <v>1</v>
      </c>
      <c r="Q14" s="465">
        <f>ROUND(+$P$10*(($K14*P14)/P$84),0)</f>
        <v>-3701</v>
      </c>
      <c r="R14" s="470">
        <f>ROUND(E14*AI14,5)</f>
        <v>-1.7239999999999998E-2</v>
      </c>
      <c r="S14" s="464">
        <v>1</v>
      </c>
      <c r="T14" s="465">
        <f t="shared" ref="T14:T20" si="1">ROUND(+$S$10*(($K14*S14)/S$84),0)</f>
        <v>-1954</v>
      </c>
      <c r="U14" s="470">
        <f>ROUND(E14*AM14,5)</f>
        <v>-9.1000000000000004E-3</v>
      </c>
      <c r="V14" s="464">
        <v>1</v>
      </c>
      <c r="W14" s="465">
        <f t="shared" ref="W14:W20" si="2">ROUND(+$V$10*(($K14*V14)/V$84),0)</f>
        <v>-188</v>
      </c>
      <c r="X14" s="470">
        <f>ROUND(E14*AQ14,5)</f>
        <v>-8.8000000000000003E-4</v>
      </c>
      <c r="Y14" s="899"/>
      <c r="Z14" s="899"/>
      <c r="AA14" s="899"/>
      <c r="AB14" s="899"/>
      <c r="AD14" s="433">
        <f>N14/K14</f>
        <v>-3.2099074434030608E-2</v>
      </c>
      <c r="AE14" s="433">
        <f>N14/H14</f>
        <v>-4.6105442879369934E-2</v>
      </c>
      <c r="AH14" s="433">
        <f>Q14/K14</f>
        <v>-1.7739088320195204E-2</v>
      </c>
      <c r="AI14" s="433">
        <f>Q14/H14</f>
        <v>-2.5479504867335839E-2</v>
      </c>
      <c r="AL14" s="433">
        <f>T14/K14</f>
        <v>-9.3656251223078711E-3</v>
      </c>
      <c r="AM14" s="433">
        <f>T14/H14</f>
        <v>-1.3452297354978176E-2</v>
      </c>
      <c r="AP14" s="433">
        <f>W14/K14</f>
        <v>-9.0109392169594662E-4</v>
      </c>
      <c r="AQ14" s="433">
        <f>W14/H14</f>
        <v>-1.2942844947471325E-3</v>
      </c>
    </row>
    <row r="15" spans="1:44" s="56" customFormat="1" x14ac:dyDescent="0.2">
      <c r="A15" s="86">
        <f t="shared" si="0"/>
        <v>9</v>
      </c>
      <c r="B15" s="733" t="str">
        <f>'WA Volumes &amp; Revenues'!B16</f>
        <v>1C</v>
      </c>
      <c r="C15" s="733" t="s">
        <v>283</v>
      </c>
      <c r="D15" s="364">
        <f>'WA Volumes &amp; Revenues'!E16</f>
        <v>46539.057144390383</v>
      </c>
      <c r="E15" s="463">
        <f>'Rates in Detail'!E14</f>
        <v>0.73148999999999997</v>
      </c>
      <c r="F15" s="463">
        <f>'Rates in Detail'!L14+SUM('Rates in Detail'!P14:Q14)</f>
        <v>0.10241</v>
      </c>
      <c r="G15" s="463">
        <f t="shared" ref="G15" si="3">E15+F15</f>
        <v>0.83389999999999997</v>
      </c>
      <c r="H15" s="49">
        <f t="shared" ref="H15:H78" si="4">ROUND(E15*D15,0)</f>
        <v>34043</v>
      </c>
      <c r="I15" s="621">
        <f>'WA Volumes &amp; Revenues'!N16</f>
        <v>7</v>
      </c>
      <c r="J15" s="740">
        <f>'WA Volumes &amp; Revenues'!H16</f>
        <v>34</v>
      </c>
      <c r="K15" s="49">
        <f>ROUND((I15*J15*12)+H15,0)+'Rev Req Proof Yr1'!Z15</f>
        <v>37604.525911352161</v>
      </c>
      <c r="L15" s="462"/>
      <c r="M15" s="923">
        <v>1</v>
      </c>
      <c r="N15" s="465">
        <f t="shared" ref="N15:N32" si="5">ROUND(+$M$10*(($K15*M15)/M$84),0)</f>
        <v>-1207</v>
      </c>
      <c r="O15" s="470">
        <f t="shared" ref="O15:O19" si="6">ROUND(E15*AE15,5)</f>
        <v>-2.5940000000000001E-2</v>
      </c>
      <c r="P15" s="464">
        <v>1</v>
      </c>
      <c r="Q15" s="465">
        <f t="shared" ref="Q15" si="7">ROUND(+$P$10*(($K15*P15)/P$84),0)</f>
        <v>-667</v>
      </c>
      <c r="R15" s="470">
        <f t="shared" ref="R15:R19" si="8">ROUND(E15*AI15,5)</f>
        <v>-1.4330000000000001E-2</v>
      </c>
      <c r="S15" s="464">
        <v>1</v>
      </c>
      <c r="T15" s="465">
        <f t="shared" si="1"/>
        <v>-352</v>
      </c>
      <c r="U15" s="470">
        <f t="shared" ref="U15:U19" si="9">ROUND(E15*AM15,5)</f>
        <v>-7.5599999999999999E-3</v>
      </c>
      <c r="V15" s="464">
        <v>1</v>
      </c>
      <c r="W15" s="465">
        <f t="shared" si="2"/>
        <v>-34</v>
      </c>
      <c r="X15" s="470">
        <f t="shared" ref="X15:X19" si="10">ROUND(E15*AQ15,5)</f>
        <v>-7.2999999999999996E-4</v>
      </c>
      <c r="Y15" s="899"/>
      <c r="Z15" s="899"/>
      <c r="AA15" s="899"/>
      <c r="AB15" s="899"/>
      <c r="AD15" s="433">
        <f t="shared" ref="AD15:AD20" si="11">N15/K15</f>
        <v>-3.2097200290341313E-2</v>
      </c>
      <c r="AE15" s="433">
        <f t="shared" ref="AE15:AE19" si="12">N15/H15</f>
        <v>-3.5455159651029577E-2</v>
      </c>
      <c r="AH15" s="433">
        <f t="shared" ref="AH15:AH22" si="13">Q15/K15</f>
        <v>-1.7737226672458705E-2</v>
      </c>
      <c r="AI15" s="433">
        <f t="shared" ref="AI15:AI19" si="14">Q15/H15</f>
        <v>-1.9592867843609554E-2</v>
      </c>
      <c r="AL15" s="433">
        <f t="shared" ref="AL15:AL32" si="15">T15/K15</f>
        <v>-9.3605753953605163E-3</v>
      </c>
      <c r="AM15" s="433">
        <f t="shared" ref="AM15:AM19" si="16">T15/H15</f>
        <v>-1.0339864289281204E-2</v>
      </c>
      <c r="AP15" s="433">
        <f t="shared" ref="AP15:AP32" si="17">W15/K15</f>
        <v>-9.0414648705186801E-4</v>
      </c>
      <c r="AQ15" s="433">
        <f t="shared" ref="AQ15:AQ19" si="18">W15/H15</f>
        <v>-9.9873689157829802E-4</v>
      </c>
    </row>
    <row r="16" spans="1:44" s="56" customFormat="1" x14ac:dyDescent="0.2">
      <c r="A16" s="86">
        <f t="shared" si="0"/>
        <v>10</v>
      </c>
      <c r="B16" s="733" t="str">
        <f>'WA Volumes &amp; Revenues'!B17</f>
        <v>2R</v>
      </c>
      <c r="C16" s="733" t="s">
        <v>283</v>
      </c>
      <c r="D16" s="466">
        <f>'WA Volumes &amp; Revenues'!E17</f>
        <v>54953515.785084128</v>
      </c>
      <c r="E16" s="463">
        <f>'Rates in Detail'!E15</f>
        <v>0.45815999999999979</v>
      </c>
      <c r="F16" s="463">
        <f>'Rates in Detail'!L15+SUM('Rates in Detail'!P15:Q15)</f>
        <v>7.7939999999999995E-2</v>
      </c>
      <c r="G16" s="463">
        <f>E16+F16</f>
        <v>0.5360999999999998</v>
      </c>
      <c r="H16" s="49">
        <f t="shared" si="4"/>
        <v>25177503</v>
      </c>
      <c r="I16" s="621">
        <f>'WA Volumes &amp; Revenues'!N17</f>
        <v>8</v>
      </c>
      <c r="J16" s="740">
        <f>'WA Volumes &amp; Revenues'!H17</f>
        <v>81119</v>
      </c>
      <c r="K16" s="49">
        <f>ROUND((I16*J16*12)+H16,0)+'Rev Req Proof Yr1'!Z16</f>
        <v>33798099.797603399</v>
      </c>
      <c r="L16" s="462"/>
      <c r="M16" s="923">
        <v>1</v>
      </c>
      <c r="N16" s="465">
        <f t="shared" si="5"/>
        <v>-1084926</v>
      </c>
      <c r="O16" s="470">
        <f t="shared" si="6"/>
        <v>-1.9740000000000001E-2</v>
      </c>
      <c r="P16" s="464">
        <v>1</v>
      </c>
      <c r="Q16" s="465">
        <f>ROUND(+$P$10*(($K16*P16)/P$84),0)</f>
        <v>-599619</v>
      </c>
      <c r="R16" s="470">
        <f t="shared" si="8"/>
        <v>-1.091E-2</v>
      </c>
      <c r="S16" s="464">
        <v>1</v>
      </c>
      <c r="T16" s="465">
        <f t="shared" si="1"/>
        <v>-316504</v>
      </c>
      <c r="U16" s="470">
        <f t="shared" si="9"/>
        <v>-5.7600000000000004E-3</v>
      </c>
      <c r="V16" s="464">
        <v>1</v>
      </c>
      <c r="W16" s="465">
        <f t="shared" si="2"/>
        <v>-30499</v>
      </c>
      <c r="X16" s="470">
        <f t="shared" si="10"/>
        <v>-5.5000000000000003E-4</v>
      </c>
      <c r="Y16" s="899"/>
      <c r="Z16" s="899"/>
      <c r="AA16" s="899"/>
      <c r="AB16" s="899"/>
      <c r="AD16" s="433">
        <f t="shared" si="11"/>
        <v>-3.2100207008588434E-2</v>
      </c>
      <c r="AE16" s="433">
        <f t="shared" si="12"/>
        <v>-4.3091088103534333E-2</v>
      </c>
      <c r="AH16" s="433">
        <f t="shared" si="13"/>
        <v>-1.7741204493470327E-2</v>
      </c>
      <c r="AI16" s="433">
        <f t="shared" si="14"/>
        <v>-2.3815665914129768E-2</v>
      </c>
      <c r="AL16" s="433">
        <f t="shared" si="15"/>
        <v>-9.3645501343375247E-3</v>
      </c>
      <c r="AM16" s="433">
        <f t="shared" si="16"/>
        <v>-1.2570905065526156E-2</v>
      </c>
      <c r="AP16" s="433">
        <f t="shared" si="17"/>
        <v>-9.0238800946326172E-4</v>
      </c>
      <c r="AQ16" s="433">
        <f t="shared" si="18"/>
        <v>-1.2113592042864616E-3</v>
      </c>
    </row>
    <row r="17" spans="1:43" s="56" customFormat="1" x14ac:dyDescent="0.2">
      <c r="A17" s="86">
        <f t="shared" si="0"/>
        <v>11</v>
      </c>
      <c r="B17" s="733" t="str">
        <f>'WA Volumes &amp; Revenues'!B18</f>
        <v>3 CFS</v>
      </c>
      <c r="C17" s="733" t="s">
        <v>283</v>
      </c>
      <c r="D17" s="466">
        <f>'WA Volumes &amp; Revenues'!E18</f>
        <v>17867210.60654201</v>
      </c>
      <c r="E17" s="463">
        <f>'Rates in Detail'!E16</f>
        <v>0.44368000000000019</v>
      </c>
      <c r="F17" s="463">
        <f>'Rates in Detail'!L16+SUM('Rates in Detail'!P16:Q16)</f>
        <v>6.9980000000000001E-2</v>
      </c>
      <c r="G17" s="463">
        <f t="shared" ref="G17:G80" si="19">E17+F17</f>
        <v>0.51366000000000023</v>
      </c>
      <c r="H17" s="49">
        <f t="shared" si="4"/>
        <v>7927324</v>
      </c>
      <c r="I17" s="621">
        <f>'WA Volumes &amp; Revenues'!N18</f>
        <v>22</v>
      </c>
      <c r="J17" s="740">
        <f>'WA Volumes &amp; Revenues'!H18</f>
        <v>6318</v>
      </c>
      <c r="K17" s="49">
        <f>ROUND((I17*J17*12)+H17,0)+'Rev Req Proof Yr1'!Z17</f>
        <v>9866168.066922849</v>
      </c>
      <c r="L17" s="462"/>
      <c r="M17" s="923">
        <v>1</v>
      </c>
      <c r="N17" s="465">
        <f t="shared" si="5"/>
        <v>-316706</v>
      </c>
      <c r="O17" s="470">
        <f t="shared" si="6"/>
        <v>-1.7729999999999999E-2</v>
      </c>
      <c r="P17" s="464">
        <v>1</v>
      </c>
      <c r="Q17" s="465">
        <f>ROUND(+$P$10*(($K17*P17)/P$84),0)</f>
        <v>-175038</v>
      </c>
      <c r="R17" s="470">
        <f t="shared" si="8"/>
        <v>-9.7999999999999997E-3</v>
      </c>
      <c r="S17" s="464">
        <v>1</v>
      </c>
      <c r="T17" s="465">
        <f t="shared" si="1"/>
        <v>-92392</v>
      </c>
      <c r="U17" s="470">
        <f t="shared" si="9"/>
        <v>-5.1700000000000001E-3</v>
      </c>
      <c r="V17" s="464">
        <v>1</v>
      </c>
      <c r="W17" s="465">
        <f t="shared" si="2"/>
        <v>-8903</v>
      </c>
      <c r="X17" s="470">
        <f t="shared" si="10"/>
        <v>-5.0000000000000001E-4</v>
      </c>
      <c r="Y17" s="899"/>
      <c r="Z17" s="899"/>
      <c r="AA17" s="899"/>
      <c r="AB17" s="899"/>
      <c r="AD17" s="433">
        <f t="shared" si="11"/>
        <v>-3.2100203224976802E-2</v>
      </c>
      <c r="AE17" s="433">
        <f t="shared" si="12"/>
        <v>-3.9951186554252102E-2</v>
      </c>
      <c r="AH17" s="433">
        <f t="shared" si="13"/>
        <v>-1.7741234369078863E-2</v>
      </c>
      <c r="AI17" s="433">
        <f t="shared" si="14"/>
        <v>-2.2080338838175406E-2</v>
      </c>
      <c r="AL17" s="433">
        <f t="shared" si="15"/>
        <v>-9.3645272788076533E-3</v>
      </c>
      <c r="AM17" s="433">
        <f t="shared" si="16"/>
        <v>-1.1654878745967745E-2</v>
      </c>
      <c r="AP17" s="433">
        <f t="shared" si="17"/>
        <v>-9.0237668156576919E-4</v>
      </c>
      <c r="AQ17" s="433">
        <f t="shared" si="18"/>
        <v>-1.1230775984430558E-3</v>
      </c>
    </row>
    <row r="18" spans="1:43" s="56" customFormat="1" x14ac:dyDescent="0.2">
      <c r="A18" s="86">
        <f t="shared" si="0"/>
        <v>12</v>
      </c>
      <c r="B18" s="733" t="str">
        <f>'WA Volumes &amp; Revenues'!B19</f>
        <v>3 IFS</v>
      </c>
      <c r="C18" s="733" t="s">
        <v>283</v>
      </c>
      <c r="D18" s="466">
        <f>'WA Volumes &amp; Revenues'!E19</f>
        <v>283651.99999999994</v>
      </c>
      <c r="E18" s="463">
        <f>'Rates in Detail'!E17</f>
        <v>0.46249000000000001</v>
      </c>
      <c r="F18" s="463">
        <f>'Rates in Detail'!L17+SUM('Rates in Detail'!P17:Q17)</f>
        <v>6.3390000000000002E-2</v>
      </c>
      <c r="G18" s="463">
        <f t="shared" si="19"/>
        <v>0.52588000000000001</v>
      </c>
      <c r="H18" s="49">
        <f t="shared" si="4"/>
        <v>131186</v>
      </c>
      <c r="I18" s="621">
        <f>'WA Volumes &amp; Revenues'!N19</f>
        <v>22</v>
      </c>
      <c r="J18" s="740">
        <f>'WA Volumes &amp; Revenues'!H19</f>
        <v>24.25</v>
      </c>
      <c r="K18" s="49">
        <f>ROUND((I18*J18*12)+H18,0)+'Rev Req Proof Yr1'!Z18</f>
        <v>141888.51157190159</v>
      </c>
      <c r="L18" s="462"/>
      <c r="M18" s="923">
        <v>0</v>
      </c>
      <c r="N18" s="465">
        <f t="shared" si="5"/>
        <v>0</v>
      </c>
      <c r="O18" s="470">
        <f t="shared" si="6"/>
        <v>0</v>
      </c>
      <c r="P18" s="464">
        <v>1</v>
      </c>
      <c r="Q18" s="465">
        <f>ROUND(+$P$10*(($K18*P18)/P$84),0)</f>
        <v>-2517</v>
      </c>
      <c r="R18" s="470">
        <f t="shared" si="8"/>
        <v>-8.8699999999999994E-3</v>
      </c>
      <c r="S18" s="464">
        <v>1</v>
      </c>
      <c r="T18" s="465">
        <f t="shared" si="1"/>
        <v>-1329</v>
      </c>
      <c r="U18" s="470">
        <f t="shared" si="9"/>
        <v>-4.6899999999999997E-3</v>
      </c>
      <c r="V18" s="464">
        <v>1</v>
      </c>
      <c r="W18" s="465">
        <f t="shared" si="2"/>
        <v>-128</v>
      </c>
      <c r="X18" s="470">
        <f t="shared" si="10"/>
        <v>-4.4999999999999999E-4</v>
      </c>
      <c r="Y18" s="899"/>
      <c r="Z18" s="899"/>
      <c r="AA18" s="899"/>
      <c r="AB18" s="899"/>
      <c r="AD18" s="433">
        <f t="shared" si="11"/>
        <v>0</v>
      </c>
      <c r="AE18" s="433">
        <f t="shared" si="12"/>
        <v>0</v>
      </c>
      <c r="AH18" s="433">
        <f t="shared" si="13"/>
        <v>-1.7739279749400413E-2</v>
      </c>
      <c r="AI18" s="433">
        <f t="shared" si="14"/>
        <v>-1.9186498559297487E-2</v>
      </c>
      <c r="AL18" s="433">
        <f t="shared" si="15"/>
        <v>-9.3665088545701828E-3</v>
      </c>
      <c r="AM18" s="433">
        <f t="shared" si="16"/>
        <v>-1.0130654185660054E-2</v>
      </c>
      <c r="AP18" s="433">
        <f t="shared" si="17"/>
        <v>-9.0211672940931778E-4</v>
      </c>
      <c r="AQ18" s="433">
        <f t="shared" si="18"/>
        <v>-9.7571387190706327E-4</v>
      </c>
    </row>
    <row r="19" spans="1:43" s="56" customFormat="1" x14ac:dyDescent="0.2">
      <c r="A19" s="86">
        <f t="shared" si="0"/>
        <v>13</v>
      </c>
      <c r="B19" s="724" t="str">
        <f>'WA Volumes &amp; Revenues'!B20</f>
        <v>27R</v>
      </c>
      <c r="C19" s="724" t="s">
        <v>283</v>
      </c>
      <c r="D19" s="466">
        <f>'WA Volumes &amp; Revenues'!E20</f>
        <v>461371.76933137607</v>
      </c>
      <c r="E19" s="463">
        <f>'Rates in Detail'!E18</f>
        <v>0.24087999999999973</v>
      </c>
      <c r="F19" s="770">
        <f>'Rates in Detail'!L18+SUM('Rates in Detail'!P18:Q18)</f>
        <v>5.5469999999999998E-2</v>
      </c>
      <c r="G19" s="770">
        <f t="shared" si="19"/>
        <v>0.29634999999999972</v>
      </c>
      <c r="H19" s="467">
        <f t="shared" si="4"/>
        <v>111135</v>
      </c>
      <c r="I19" s="621">
        <f>'WA Volumes &amp; Revenues'!N20</f>
        <v>9</v>
      </c>
      <c r="J19" s="740">
        <f>'WA Volumes &amp; Revenues'!H20</f>
        <v>776</v>
      </c>
      <c r="K19" s="467">
        <f>ROUND((I19*J19*12)+H19,0)+'Rev Req Proof Yr1'!Z19</f>
        <v>201937.97258147644</v>
      </c>
      <c r="L19" s="462"/>
      <c r="M19" s="923">
        <v>1</v>
      </c>
      <c r="N19" s="465">
        <f t="shared" si="5"/>
        <v>-6482</v>
      </c>
      <c r="O19" s="470">
        <f t="shared" si="6"/>
        <v>-1.405E-2</v>
      </c>
      <c r="P19" s="464">
        <v>1</v>
      </c>
      <c r="Q19" s="465">
        <f>ROUND(+$P$10*(($K19*P19)/P$84),0)</f>
        <v>-3583</v>
      </c>
      <c r="R19" s="470">
        <f t="shared" si="8"/>
        <v>-7.77E-3</v>
      </c>
      <c r="S19" s="464">
        <v>1</v>
      </c>
      <c r="T19" s="465">
        <f t="shared" si="1"/>
        <v>-1891</v>
      </c>
      <c r="U19" s="470">
        <f t="shared" si="9"/>
        <v>-4.1000000000000003E-3</v>
      </c>
      <c r="V19" s="464">
        <v>1</v>
      </c>
      <c r="W19" s="465">
        <f t="shared" si="2"/>
        <v>-182</v>
      </c>
      <c r="X19" s="470">
        <f t="shared" si="10"/>
        <v>-3.8999999999999999E-4</v>
      </c>
      <c r="Y19" s="899"/>
      <c r="Z19" s="899"/>
      <c r="AA19" s="899"/>
      <c r="AB19" s="899"/>
      <c r="AD19" s="433">
        <f t="shared" si="11"/>
        <v>-3.2098965425557548E-2</v>
      </c>
      <c r="AE19" s="433">
        <f t="shared" si="12"/>
        <v>-5.8325460026094393E-2</v>
      </c>
      <c r="AH19" s="433">
        <f t="shared" si="13"/>
        <v>-1.7743072064142655E-2</v>
      </c>
      <c r="AI19" s="433">
        <f t="shared" si="14"/>
        <v>-3.2240068385297159E-2</v>
      </c>
      <c r="AL19" s="433">
        <f t="shared" si="15"/>
        <v>-9.3642615889739777E-3</v>
      </c>
      <c r="AM19" s="433">
        <f t="shared" si="16"/>
        <v>-1.7015341701534171E-2</v>
      </c>
      <c r="AP19" s="433">
        <f t="shared" si="17"/>
        <v>-9.0126684780183174E-4</v>
      </c>
      <c r="AQ19" s="433">
        <f t="shared" si="18"/>
        <v>-1.6376479057002744E-3</v>
      </c>
    </row>
    <row r="20" spans="1:43" s="56" customFormat="1" x14ac:dyDescent="0.2">
      <c r="A20" s="86">
        <f t="shared" si="0"/>
        <v>14</v>
      </c>
      <c r="B20" s="725" t="str">
        <f>'WA Volumes &amp; Revenues'!B21</f>
        <v>41C Firm Sales</v>
      </c>
      <c r="C20" s="726" t="s">
        <v>4</v>
      </c>
      <c r="D20" s="472">
        <f>'WA Volumes &amp; Revenues'!E21</f>
        <v>1777065.1510316674</v>
      </c>
      <c r="E20" s="473">
        <f>'Rates in Detail'!E19</f>
        <v>0.34474000000000016</v>
      </c>
      <c r="F20" s="473">
        <f>'Rates in Detail'!L19+SUM('Rates in Detail'!P19:Q19)</f>
        <v>5.5569999999999994E-2</v>
      </c>
      <c r="G20" s="473">
        <f t="shared" si="19"/>
        <v>0.40031000000000017</v>
      </c>
      <c r="H20" s="281">
        <f>ROUND(E20*D20,0)</f>
        <v>612625</v>
      </c>
      <c r="I20" s="154">
        <f>'WA Volumes &amp; Revenues'!N21</f>
        <v>250</v>
      </c>
      <c r="J20" s="371">
        <f>'WA Volumes &amp; Revenues'!H21</f>
        <v>91</v>
      </c>
      <c r="K20" s="474">
        <f>ROUND((I20*J20*12)+H20+H21,0)+'Rev Req Proof Yr1'!Z22</f>
        <v>1542347.3405315941</v>
      </c>
      <c r="L20" s="475"/>
      <c r="M20" s="925">
        <v>1</v>
      </c>
      <c r="N20" s="477">
        <f t="shared" si="5"/>
        <v>-49510</v>
      </c>
      <c r="O20" s="478">
        <f>ROUND(E20*$AE$20,5)</f>
        <v>-1.4080000000000001E-2</v>
      </c>
      <c r="P20" s="476">
        <v>1</v>
      </c>
      <c r="Q20" s="477">
        <f>ROUND(+$P$10*(($K20*P20)/P$84),0)</f>
        <v>-27363</v>
      </c>
      <c r="R20" s="478">
        <f>ROUND(E20*$AI$20,5)</f>
        <v>-7.7799999999999996E-3</v>
      </c>
      <c r="S20" s="476">
        <v>1</v>
      </c>
      <c r="T20" s="477">
        <f t="shared" si="1"/>
        <v>-14443</v>
      </c>
      <c r="U20" s="478">
        <f>ROUND(E20*$AM$20,5)</f>
        <v>-4.1099999999999999E-3</v>
      </c>
      <c r="V20" s="476">
        <v>1</v>
      </c>
      <c r="W20" s="477">
        <f t="shared" si="2"/>
        <v>-1392</v>
      </c>
      <c r="X20" s="478">
        <f>ROUND(E20*$AQ$20,5)</f>
        <v>-4.0000000000000002E-4</v>
      </c>
      <c r="Y20" s="899"/>
      <c r="Z20" s="899"/>
      <c r="AA20" s="899"/>
      <c r="AB20" s="899"/>
      <c r="AD20" s="433">
        <f t="shared" si="11"/>
        <v>-3.2100421674754277E-2</v>
      </c>
      <c r="AE20" s="433">
        <f>N20/SUM($H$20:$H$21)</f>
        <v>-4.0834134730375941E-2</v>
      </c>
      <c r="AH20" s="433">
        <f t="shared" si="13"/>
        <v>-1.7741139937109702E-2</v>
      </c>
      <c r="AI20" s="433">
        <f>Q20/SUM($H$20:$H$21)</f>
        <v>-2.2568055516608301E-2</v>
      </c>
      <c r="AJ20" s="433"/>
      <c r="AL20" s="433">
        <f t="shared" si="15"/>
        <v>-9.3642979246309037E-3</v>
      </c>
      <c r="AM20" s="433">
        <f>T20/SUM($H$20:$H$21)</f>
        <v>-1.1912086606964649E-2</v>
      </c>
      <c r="AP20" s="433">
        <f t="shared" si="17"/>
        <v>-9.0252043973455777E-4</v>
      </c>
      <c r="AQ20" s="433">
        <f>W20/SUM($H$20:$H$21)</f>
        <v>-1.1480734305126907E-3</v>
      </c>
    </row>
    <row r="21" spans="1:43" s="56" customFormat="1" x14ac:dyDescent="0.2">
      <c r="A21" s="86">
        <f t="shared" si="0"/>
        <v>15</v>
      </c>
      <c r="B21" s="723"/>
      <c r="C21" s="727" t="s">
        <v>5</v>
      </c>
      <c r="D21" s="466">
        <f>'WA Volumes &amp; Revenues'!E22</f>
        <v>1974656.4658023661</v>
      </c>
      <c r="E21" s="463">
        <f>'Rates in Detail'!E20</f>
        <v>0.30376999999999998</v>
      </c>
      <c r="F21" s="463">
        <f>'Rates in Detail'!L20+SUM('Rates in Detail'!P20:Q20)</f>
        <v>4.897E-2</v>
      </c>
      <c r="G21" s="463">
        <f t="shared" si="19"/>
        <v>0.35274</v>
      </c>
      <c r="H21" s="467">
        <f t="shared" si="4"/>
        <v>599841</v>
      </c>
      <c r="I21" s="468"/>
      <c r="J21" s="740"/>
      <c r="K21" s="467"/>
      <c r="L21" s="462"/>
      <c r="M21" s="923">
        <v>1</v>
      </c>
      <c r="N21" s="465"/>
      <c r="O21" s="470">
        <f>ROUND(E21*$AE$20,5)</f>
        <v>-1.24E-2</v>
      </c>
      <c r="P21" s="464">
        <v>1</v>
      </c>
      <c r="Q21" s="465"/>
      <c r="R21" s="470">
        <f>ROUND(E21*$AI$20,5)</f>
        <v>-6.8599999999999998E-3</v>
      </c>
      <c r="S21" s="464">
        <v>1</v>
      </c>
      <c r="T21" s="465"/>
      <c r="U21" s="470">
        <f>ROUND(E21*$AM$20,5)</f>
        <v>-3.62E-3</v>
      </c>
      <c r="V21" s="464">
        <v>1</v>
      </c>
      <c r="W21" s="465"/>
      <c r="X21" s="470">
        <f>ROUND(E21*$AQ$20,5)</f>
        <v>-3.5E-4</v>
      </c>
      <c r="Y21" s="899"/>
      <c r="Z21" s="899"/>
      <c r="AA21" s="899"/>
      <c r="AB21" s="899"/>
      <c r="AH21" s="433"/>
      <c r="AI21" s="433"/>
      <c r="AJ21" s="433"/>
    </row>
    <row r="22" spans="1:43" s="56" customFormat="1" x14ac:dyDescent="0.2">
      <c r="A22" s="86">
        <f t="shared" si="0"/>
        <v>16</v>
      </c>
      <c r="B22" s="725" t="str">
        <f>'WA Volumes &amp; Revenues'!B23</f>
        <v>41I Firm Sales</v>
      </c>
      <c r="C22" s="726" t="s">
        <v>4</v>
      </c>
      <c r="D22" s="472">
        <f>'WA Volumes &amp; Revenues'!E23</f>
        <v>392890.20000000007</v>
      </c>
      <c r="E22" s="473">
        <f>'Rates in Detail'!E21</f>
        <v>0.34416000000000024</v>
      </c>
      <c r="F22" s="473">
        <f>'Rates in Detail'!L21+SUM('Rates in Detail'!P21:Q21)</f>
        <v>5.2900000000000003E-2</v>
      </c>
      <c r="G22" s="473">
        <f t="shared" si="19"/>
        <v>0.39706000000000025</v>
      </c>
      <c r="H22" s="281">
        <f t="shared" si="4"/>
        <v>135217</v>
      </c>
      <c r="I22" s="154">
        <f>'WA Volumes &amp; Revenues'!N23</f>
        <v>250</v>
      </c>
      <c r="J22" s="371">
        <f>'WA Volumes &amp; Revenues'!H23</f>
        <v>17.833333333333332</v>
      </c>
      <c r="K22" s="474">
        <f>ROUND((I22*J22*12)+H22+H23,0)+'Rev Req Proof Yr1'!Z25</f>
        <v>392613.82673589932</v>
      </c>
      <c r="L22" s="475"/>
      <c r="M22" s="925">
        <v>0</v>
      </c>
      <c r="N22" s="477">
        <f t="shared" si="5"/>
        <v>0</v>
      </c>
      <c r="O22" s="478">
        <f>ROUND(E22*$AE$22,5)</f>
        <v>0</v>
      </c>
      <c r="P22" s="476">
        <v>1</v>
      </c>
      <c r="Q22" s="477">
        <f>ROUND(+$P$10*(($K22*P22)/P$84),0)</f>
        <v>-6965</v>
      </c>
      <c r="R22" s="478">
        <f>ROUND(E22*$AI$22,5)</f>
        <v>-7.4000000000000003E-3</v>
      </c>
      <c r="S22" s="476">
        <v>1</v>
      </c>
      <c r="T22" s="477">
        <f>ROUND(+$S$10*(($K22*S22)/S$84),0)</f>
        <v>-3677</v>
      </c>
      <c r="U22" s="478">
        <f>ROUND(E22*$AM$22,5)</f>
        <v>-3.9100000000000003E-3</v>
      </c>
      <c r="V22" s="476">
        <v>1</v>
      </c>
      <c r="W22" s="477">
        <f>ROUND(+$V$10*(($K22*V22)/V$84),0)</f>
        <v>-354</v>
      </c>
      <c r="X22" s="478">
        <f>ROUND(E22*$AQ$22,5)</f>
        <v>-3.8000000000000002E-4</v>
      </c>
      <c r="Y22" s="899"/>
      <c r="Z22" s="899"/>
      <c r="AA22" s="899"/>
      <c r="AB22" s="899"/>
      <c r="AD22" s="433">
        <f t="shared" ref="AD22" si="20">N22/K22</f>
        <v>0</v>
      </c>
      <c r="AE22" s="433">
        <f>N22/SUM($H$22:$H$23)</f>
        <v>0</v>
      </c>
      <c r="AH22" s="433">
        <f t="shared" si="13"/>
        <v>-1.7740078228791385E-2</v>
      </c>
      <c r="AI22" s="433">
        <f>Q22/SUM($H$22:$H$23)</f>
        <v>-2.1514709698145378E-2</v>
      </c>
      <c r="AJ22" s="1135"/>
      <c r="AL22" s="433">
        <f t="shared" si="15"/>
        <v>-9.3654368481358094E-3</v>
      </c>
      <c r="AM22" s="433">
        <f>T22/SUM($H$22:$H$23)</f>
        <v>-1.1358160453708624E-2</v>
      </c>
      <c r="AP22" s="433">
        <f t="shared" si="17"/>
        <v>-9.0164934572751609E-4</v>
      </c>
      <c r="AQ22" s="433">
        <f>W22/SUM($H$22:$H$23)</f>
        <v>-1.0934970901857091E-3</v>
      </c>
    </row>
    <row r="23" spans="1:43" s="56" customFormat="1" x14ac:dyDescent="0.2">
      <c r="A23" s="86">
        <f t="shared" si="0"/>
        <v>17</v>
      </c>
      <c r="B23" s="723"/>
      <c r="C23" s="727" t="s">
        <v>5</v>
      </c>
      <c r="D23" s="466">
        <f>'WA Volumes &amp; Revenues'!E24</f>
        <v>621650.00000000012</v>
      </c>
      <c r="E23" s="463">
        <f>'Rates in Detail'!E22</f>
        <v>0.30325000000000002</v>
      </c>
      <c r="F23" s="463">
        <f>'Rates in Detail'!L22+SUM('Rates in Detail'!P22:Q22)</f>
        <v>4.6609999999999999E-2</v>
      </c>
      <c r="G23" s="463">
        <f t="shared" si="19"/>
        <v>0.34986</v>
      </c>
      <c r="H23" s="467">
        <f t="shared" si="4"/>
        <v>188515</v>
      </c>
      <c r="I23" s="468"/>
      <c r="J23" s="740"/>
      <c r="K23" s="467"/>
      <c r="L23" s="462"/>
      <c r="M23" s="923">
        <v>0</v>
      </c>
      <c r="N23" s="465"/>
      <c r="O23" s="470">
        <f>ROUND(E23*$AE$22,5)</f>
        <v>0</v>
      </c>
      <c r="P23" s="464">
        <v>1</v>
      </c>
      <c r="Q23" s="465"/>
      <c r="R23" s="470">
        <f>ROUND(E23*$AI$22,5)</f>
        <v>-6.5199999999999998E-3</v>
      </c>
      <c r="S23" s="464">
        <v>1</v>
      </c>
      <c r="T23" s="465"/>
      <c r="U23" s="470">
        <f>ROUND(E23*$AM$22,5)</f>
        <v>-3.4399999999999999E-3</v>
      </c>
      <c r="V23" s="464">
        <v>1</v>
      </c>
      <c r="W23" s="465"/>
      <c r="X23" s="470">
        <f>ROUND(E23*$AQ$22,5)</f>
        <v>-3.3E-4</v>
      </c>
      <c r="Y23" s="899"/>
      <c r="Z23" s="899"/>
      <c r="AA23" s="899"/>
      <c r="AB23" s="899"/>
    </row>
    <row r="24" spans="1:43" s="56" customFormat="1" x14ac:dyDescent="0.2">
      <c r="A24" s="86">
        <f t="shared" si="0"/>
        <v>18</v>
      </c>
      <c r="B24" s="725" t="str">
        <f>'WA Volumes &amp; Revenues'!B25</f>
        <v>41C Interr Sales</v>
      </c>
      <c r="C24" s="726" t="s">
        <v>4</v>
      </c>
      <c r="D24" s="479">
        <f>'WA Volumes &amp; Revenues'!E25</f>
        <v>0</v>
      </c>
      <c r="E24" s="473">
        <f>'Rates in Detail'!E23</f>
        <v>0.34372999999999987</v>
      </c>
      <c r="F24" s="473">
        <f>'Rates in Detail'!L23+SUM('Rates in Detail'!P23:Q23)</f>
        <v>4.0340000000000001E-2</v>
      </c>
      <c r="G24" s="473">
        <f t="shared" si="19"/>
        <v>0.38406999999999986</v>
      </c>
      <c r="H24" s="474">
        <f t="shared" si="4"/>
        <v>0</v>
      </c>
      <c r="I24" s="154">
        <f>'WA Volumes &amp; Revenues'!N25</f>
        <v>250</v>
      </c>
      <c r="J24" s="371">
        <f>'WA Volumes &amp; Revenues'!H25</f>
        <v>0</v>
      </c>
      <c r="K24" s="474">
        <f>ROUND((I24*J24*12)+H24+H25,0)+'Rev Req Proof Yr1'!Z28</f>
        <v>0</v>
      </c>
      <c r="L24" s="475"/>
      <c r="M24" s="925">
        <v>1</v>
      </c>
      <c r="N24" s="477">
        <f t="shared" si="5"/>
        <v>0</v>
      </c>
      <c r="O24" s="478">
        <f>ROUND(E24*$AE$24,5)</f>
        <v>-1.404E-2</v>
      </c>
      <c r="P24" s="476">
        <v>1</v>
      </c>
      <c r="Q24" s="477">
        <f>ROUND(+$P$10*(($K24*P24)/P$84),0)</f>
        <v>0</v>
      </c>
      <c r="R24" s="478">
        <f>ROUND(E24*$AI$24,5)</f>
        <v>-6.1000000000000004E-3</v>
      </c>
      <c r="S24" s="476">
        <v>1</v>
      </c>
      <c r="T24" s="477">
        <f>ROUND(+$S$10*(($K24*S24)/S$84),0)</f>
        <v>0</v>
      </c>
      <c r="U24" s="478">
        <f>ROUND(E24*$AM$24,5)</f>
        <v>-3.2200000000000002E-3</v>
      </c>
      <c r="V24" s="476">
        <v>1</v>
      </c>
      <c r="W24" s="477">
        <f>ROUND(+$V$10*(($K24*V24)/V$84),0)</f>
        <v>0</v>
      </c>
      <c r="X24" s="478">
        <f>ROUND(E24*$AQ$24,5)</f>
        <v>-3.1E-4</v>
      </c>
      <c r="Y24" s="899"/>
      <c r="Z24" s="899"/>
      <c r="AA24" s="899"/>
      <c r="AB24" s="899"/>
      <c r="AD24" s="433">
        <f>AD20</f>
        <v>-3.2100421674754277E-2</v>
      </c>
      <c r="AE24" s="433">
        <f>AE20</f>
        <v>-4.0834134730375941E-2</v>
      </c>
      <c r="AH24" s="433">
        <f>$AH$22</f>
        <v>-1.7740078228791385E-2</v>
      </c>
      <c r="AI24" s="433">
        <f>AH24</f>
        <v>-1.7740078228791385E-2</v>
      </c>
      <c r="AL24" s="433">
        <f>$AL$22</f>
        <v>-9.3654368481358094E-3</v>
      </c>
      <c r="AM24" s="1138">
        <f>AL24</f>
        <v>-9.3654368481358094E-3</v>
      </c>
      <c r="AP24" s="433">
        <f>$AP$22</f>
        <v>-9.0164934572751609E-4</v>
      </c>
      <c r="AQ24" s="1138">
        <f>AP24</f>
        <v>-9.0164934572751609E-4</v>
      </c>
    </row>
    <row r="25" spans="1:43" s="56" customFormat="1" x14ac:dyDescent="0.2">
      <c r="A25" s="86">
        <f t="shared" si="0"/>
        <v>19</v>
      </c>
      <c r="B25" s="723"/>
      <c r="C25" s="727" t="s">
        <v>5</v>
      </c>
      <c r="D25" s="466">
        <f>'WA Volumes &amp; Revenues'!E26</f>
        <v>0</v>
      </c>
      <c r="E25" s="463">
        <f>'Rates in Detail'!E24</f>
        <v>0.30284999999999984</v>
      </c>
      <c r="F25" s="463">
        <f>'Rates in Detail'!L24+SUM('Rates in Detail'!P24:Q24)</f>
        <v>3.5539999999999995E-2</v>
      </c>
      <c r="G25" s="463">
        <f t="shared" si="19"/>
        <v>0.33838999999999986</v>
      </c>
      <c r="H25" s="467">
        <f t="shared" si="4"/>
        <v>0</v>
      </c>
      <c r="I25" s="468"/>
      <c r="J25" s="740"/>
      <c r="K25" s="467"/>
      <c r="L25" s="462"/>
      <c r="M25" s="923">
        <v>1</v>
      </c>
      <c r="N25" s="465"/>
      <c r="O25" s="470">
        <f>ROUND(E25*$AE$24,5)</f>
        <v>-1.2370000000000001E-2</v>
      </c>
      <c r="P25" s="464">
        <v>1</v>
      </c>
      <c r="Q25" s="465"/>
      <c r="R25" s="470">
        <f>ROUND(E25*$AI$24,5)</f>
        <v>-5.3699999999999998E-3</v>
      </c>
      <c r="S25" s="464">
        <v>1</v>
      </c>
      <c r="T25" s="465"/>
      <c r="U25" s="470">
        <f>ROUND(E25*$AM$24,5)</f>
        <v>-2.8400000000000001E-3</v>
      </c>
      <c r="V25" s="464">
        <v>1</v>
      </c>
      <c r="W25" s="465"/>
      <c r="X25" s="470">
        <f>ROUND(E25*$AQ$24,5)</f>
        <v>-2.7E-4</v>
      </c>
      <c r="Y25" s="899"/>
      <c r="Z25" s="899"/>
      <c r="AA25" s="899"/>
      <c r="AB25" s="899"/>
    </row>
    <row r="26" spans="1:43" s="56" customFormat="1" x14ac:dyDescent="0.2">
      <c r="A26" s="86">
        <f t="shared" si="0"/>
        <v>20</v>
      </c>
      <c r="B26" s="725" t="str">
        <f>'WA Volumes &amp; Revenues'!B27</f>
        <v>41I Interr Sales</v>
      </c>
      <c r="C26" s="726" t="s">
        <v>4</v>
      </c>
      <c r="D26" s="479">
        <f>'WA Volumes &amp; Revenues'!E27</f>
        <v>0</v>
      </c>
      <c r="E26" s="473">
        <f>'Rates in Detail'!E25</f>
        <v>0.34372999999999987</v>
      </c>
      <c r="F26" s="473">
        <f>'Rates in Detail'!L25+SUM('Rates in Detail'!P25:Q25)</f>
        <v>4.0340000000000001E-2</v>
      </c>
      <c r="G26" s="473">
        <f t="shared" si="19"/>
        <v>0.38406999999999986</v>
      </c>
      <c r="H26" s="474">
        <f t="shared" si="4"/>
        <v>0</v>
      </c>
      <c r="I26" s="154">
        <f>'WA Volumes &amp; Revenues'!N27</f>
        <v>250</v>
      </c>
      <c r="J26" s="371">
        <f>'WA Volumes &amp; Revenues'!H27</f>
        <v>0</v>
      </c>
      <c r="K26" s="474">
        <f>ROUND((I26*J26*12)+H26+H27,0)+'Rev Req Proof Yr1'!Z31</f>
        <v>0</v>
      </c>
      <c r="L26" s="475"/>
      <c r="M26" s="925">
        <v>0</v>
      </c>
      <c r="N26" s="477">
        <f t="shared" si="5"/>
        <v>0</v>
      </c>
      <c r="O26" s="478">
        <f>ROUND(E26*$AE$26,5)</f>
        <v>0</v>
      </c>
      <c r="P26" s="476">
        <v>1</v>
      </c>
      <c r="Q26" s="477">
        <f>ROUND(+$P$10*(($K26*P26)/P$84),0)</f>
        <v>0</v>
      </c>
      <c r="R26" s="478">
        <f>ROUND(E26*$AI$26,5)</f>
        <v>-6.1000000000000004E-3</v>
      </c>
      <c r="S26" s="476">
        <v>1</v>
      </c>
      <c r="T26" s="477">
        <f>ROUND(+$S$10*(($K26*S26)/S$84),0)</f>
        <v>0</v>
      </c>
      <c r="U26" s="478">
        <f>ROUND(E26*$AM$26,5)</f>
        <v>-3.2200000000000002E-3</v>
      </c>
      <c r="V26" s="476">
        <v>1</v>
      </c>
      <c r="W26" s="477">
        <f>ROUND(+$V$10*(($K26*V26)/V$84),0)</f>
        <v>0</v>
      </c>
      <c r="X26" s="478">
        <f>ROUND(E26*$AQ$26,5)</f>
        <v>-3.1E-4</v>
      </c>
      <c r="Y26" s="899"/>
      <c r="Z26" s="899"/>
      <c r="AA26" s="899"/>
      <c r="AB26" s="899"/>
      <c r="AD26" s="433">
        <f>$AD$22</f>
        <v>0</v>
      </c>
      <c r="AE26" s="433">
        <f>$AE$22</f>
        <v>0</v>
      </c>
      <c r="AH26" s="433">
        <f>$AH$22</f>
        <v>-1.7740078228791385E-2</v>
      </c>
      <c r="AI26" s="433">
        <f>AH26</f>
        <v>-1.7740078228791385E-2</v>
      </c>
      <c r="AL26" s="433">
        <f>$AL$22</f>
        <v>-9.3654368481358094E-3</v>
      </c>
      <c r="AM26" s="1138">
        <f>AL26</f>
        <v>-9.3654368481358094E-3</v>
      </c>
      <c r="AP26" s="433">
        <f>$AP$22</f>
        <v>-9.0164934572751609E-4</v>
      </c>
      <c r="AQ26" s="1138">
        <f>AP26</f>
        <v>-9.0164934572751609E-4</v>
      </c>
    </row>
    <row r="27" spans="1:43" s="56" customFormat="1" x14ac:dyDescent="0.2">
      <c r="A27" s="86">
        <f t="shared" si="0"/>
        <v>21</v>
      </c>
      <c r="B27" s="723"/>
      <c r="C27" s="727" t="s">
        <v>5</v>
      </c>
      <c r="D27" s="466">
        <f>'WA Volumes &amp; Revenues'!E28</f>
        <v>0</v>
      </c>
      <c r="E27" s="463">
        <f>'Rates in Detail'!E26</f>
        <v>0.30284999999999984</v>
      </c>
      <c r="F27" s="463">
        <f>'Rates in Detail'!L26+SUM('Rates in Detail'!P26:Q26)</f>
        <v>3.5539999999999995E-2</v>
      </c>
      <c r="G27" s="463">
        <f t="shared" si="19"/>
        <v>0.33838999999999986</v>
      </c>
      <c r="H27" s="467">
        <f t="shared" si="4"/>
        <v>0</v>
      </c>
      <c r="I27" s="468"/>
      <c r="J27" s="740"/>
      <c r="K27" s="467"/>
      <c r="L27" s="462"/>
      <c r="M27" s="923">
        <v>0</v>
      </c>
      <c r="N27" s="465"/>
      <c r="O27" s="470">
        <f>ROUND(E27*$AE$26,5)</f>
        <v>0</v>
      </c>
      <c r="P27" s="464">
        <v>1</v>
      </c>
      <c r="Q27" s="465"/>
      <c r="R27" s="470">
        <f>ROUND(E27*$AI$26,5)</f>
        <v>-5.3699999999999998E-3</v>
      </c>
      <c r="S27" s="464">
        <v>1</v>
      </c>
      <c r="T27" s="465"/>
      <c r="U27" s="470">
        <f>ROUND(E27*$AM$26,5)</f>
        <v>-2.8400000000000001E-3</v>
      </c>
      <c r="V27" s="464">
        <v>1</v>
      </c>
      <c r="W27" s="465"/>
      <c r="X27" s="470">
        <f>ROUND(E27*$AQ$26,5)</f>
        <v>-2.7E-4</v>
      </c>
      <c r="Y27" s="899"/>
      <c r="Z27" s="899"/>
      <c r="AA27" s="899"/>
      <c r="AB27" s="899"/>
    </row>
    <row r="28" spans="1:43" s="56" customFormat="1" x14ac:dyDescent="0.2">
      <c r="A28" s="86">
        <f t="shared" si="0"/>
        <v>22</v>
      </c>
      <c r="B28" s="725" t="str">
        <f>'WA Volumes &amp; Revenues'!B29</f>
        <v>41C Firm Transpt</v>
      </c>
      <c r="C28" s="726" t="s">
        <v>4</v>
      </c>
      <c r="D28" s="479">
        <f>'WA Volumes &amp; Revenues'!E29</f>
        <v>168721</v>
      </c>
      <c r="E28" s="473">
        <f>'Rates in Detail'!E27</f>
        <v>0.34791</v>
      </c>
      <c r="F28" s="473">
        <f>'Rates in Detail'!L27+SUM('Rates in Detail'!P27:Q27)</f>
        <v>5.8799999999999998E-2</v>
      </c>
      <c r="G28" s="473">
        <f t="shared" si="19"/>
        <v>0.40671000000000002</v>
      </c>
      <c r="H28" s="474">
        <f t="shared" si="4"/>
        <v>58700</v>
      </c>
      <c r="I28" s="154">
        <f>'WA Volumes &amp; Revenues'!N29</f>
        <v>500</v>
      </c>
      <c r="J28" s="371">
        <f>'WA Volumes &amp; Revenues'!H29</f>
        <v>7.916666666666667</v>
      </c>
      <c r="K28" s="474">
        <f>ROUND((I28*J28*12)+H28+H29,0)+'Rev Req Proof Yr1'!Z34</f>
        <v>189842</v>
      </c>
      <c r="L28" s="475"/>
      <c r="M28" s="925">
        <v>0</v>
      </c>
      <c r="N28" s="477">
        <f t="shared" si="5"/>
        <v>0</v>
      </c>
      <c r="O28" s="478">
        <f>ROUND(E28*$AE$28,5)</f>
        <v>0</v>
      </c>
      <c r="P28" s="476">
        <v>1</v>
      </c>
      <c r="Q28" s="477">
        <f>ROUND(+$P$10*(($K28*P28)/P$84),0)</f>
        <v>-3368</v>
      </c>
      <c r="R28" s="478">
        <f>ROUND(E28*$AI$28,5)</f>
        <v>-8.2299999999999995E-3</v>
      </c>
      <c r="S28" s="476">
        <v>1</v>
      </c>
      <c r="T28" s="477">
        <f>ROUND(+$S$10*(($K28*S28)/S$84),0)</f>
        <v>-1778</v>
      </c>
      <c r="U28" s="478">
        <f>ROUND(E28*$AM$28,5)</f>
        <v>-4.3499999999999997E-3</v>
      </c>
      <c r="V28" s="476">
        <v>1</v>
      </c>
      <c r="W28" s="477">
        <f>ROUND(+$V$10*(($K28*V28)/V$84),0)</f>
        <v>-171</v>
      </c>
      <c r="X28" s="478">
        <f>ROUND(E28*$AQ$28,5)</f>
        <v>-4.2000000000000002E-4</v>
      </c>
      <c r="Y28" s="899"/>
      <c r="Z28" s="899"/>
      <c r="AA28" s="899"/>
      <c r="AB28" s="899"/>
      <c r="AD28" s="433">
        <f t="shared" ref="AD28" si="21">N28/K28</f>
        <v>0</v>
      </c>
      <c r="AE28" s="433">
        <f>N28/SUM($H$28:$H$29)</f>
        <v>0</v>
      </c>
      <c r="AH28" s="433">
        <f t="shared" ref="AH28:AH32" si="22">Q28/K28</f>
        <v>-1.7741068888865476E-2</v>
      </c>
      <c r="AI28" s="433">
        <f>Q28/SUM($H$28:$H$29)</f>
        <v>-2.3661322729763526E-2</v>
      </c>
      <c r="AL28" s="433">
        <f t="shared" si="15"/>
        <v>-9.3656830416872974E-3</v>
      </c>
      <c r="AM28" s="433">
        <f>T28/SUM($H$28:$H$29)</f>
        <v>-1.2491042699976114E-2</v>
      </c>
      <c r="AP28" s="433">
        <f t="shared" si="17"/>
        <v>-9.0074904394180425E-4</v>
      </c>
      <c r="AQ28" s="433">
        <f>W28/SUM($H$28:$H$29)</f>
        <v>-1.2013320032035521E-3</v>
      </c>
    </row>
    <row r="29" spans="1:43" s="56" customFormat="1" x14ac:dyDescent="0.2">
      <c r="A29" s="86">
        <f t="shared" si="0"/>
        <v>23</v>
      </c>
      <c r="B29" s="723"/>
      <c r="C29" s="727" t="s">
        <v>5</v>
      </c>
      <c r="D29" s="466">
        <f>'WA Volumes &amp; Revenues'!E30</f>
        <v>272866</v>
      </c>
      <c r="E29" s="463">
        <f>'Rates in Detail'!E28</f>
        <v>0.30653000000000008</v>
      </c>
      <c r="F29" s="463">
        <f>'Rates in Detail'!L28+SUM('Rates in Detail'!P28:Q28)</f>
        <v>5.1810000000000002E-2</v>
      </c>
      <c r="G29" s="463">
        <f t="shared" si="19"/>
        <v>0.3583400000000001</v>
      </c>
      <c r="H29" s="467">
        <f t="shared" si="4"/>
        <v>83642</v>
      </c>
      <c r="I29" s="468"/>
      <c r="J29" s="740"/>
      <c r="K29" s="467"/>
      <c r="L29" s="462"/>
      <c r="M29" s="923">
        <v>0</v>
      </c>
      <c r="N29" s="465"/>
      <c r="O29" s="470">
        <f>ROUND(E29*$AE$28,5)</f>
        <v>0</v>
      </c>
      <c r="P29" s="464">
        <v>1</v>
      </c>
      <c r="Q29" s="465"/>
      <c r="R29" s="470">
        <f>ROUND(E29*$AI$28,5)</f>
        <v>-7.2500000000000004E-3</v>
      </c>
      <c r="S29" s="464">
        <v>1</v>
      </c>
      <c r="T29" s="465"/>
      <c r="U29" s="470">
        <f>ROUND(E29*$AM$28,5)</f>
        <v>-3.8300000000000001E-3</v>
      </c>
      <c r="V29" s="464">
        <v>1</v>
      </c>
      <c r="W29" s="465"/>
      <c r="X29" s="470">
        <f>ROUND(E29*$AQ$28,5)</f>
        <v>-3.6999999999999999E-4</v>
      </c>
      <c r="Y29" s="899"/>
      <c r="Z29" s="899"/>
      <c r="AA29" s="899"/>
      <c r="AB29" s="899"/>
    </row>
    <row r="30" spans="1:43" s="56" customFormat="1" x14ac:dyDescent="0.2">
      <c r="A30" s="86">
        <f t="shared" si="0"/>
        <v>24</v>
      </c>
      <c r="B30" s="725" t="str">
        <f>'WA Volumes &amp; Revenues'!B31</f>
        <v>41I Firm Transpt</v>
      </c>
      <c r="C30" s="726" t="s">
        <v>4</v>
      </c>
      <c r="D30" s="479">
        <f>'WA Volumes &amp; Revenues'!E31</f>
        <v>0</v>
      </c>
      <c r="E30" s="473">
        <f>'Rates in Detail'!E29</f>
        <v>0.34791</v>
      </c>
      <c r="F30" s="473">
        <f>'Rates in Detail'!L29+SUM('Rates in Detail'!P29:Q29)</f>
        <v>4.0829999999999998E-2</v>
      </c>
      <c r="G30" s="473">
        <f t="shared" si="19"/>
        <v>0.38873999999999997</v>
      </c>
      <c r="H30" s="474">
        <f t="shared" si="4"/>
        <v>0</v>
      </c>
      <c r="I30" s="154">
        <f>'WA Volumes &amp; Revenues'!N31</f>
        <v>500</v>
      </c>
      <c r="J30" s="371">
        <f>'WA Volumes &amp; Revenues'!H31</f>
        <v>0</v>
      </c>
      <c r="K30" s="474">
        <f>ROUND((I30*J30*12)+H30+H31,0)+'Rev Req Proof Yr1'!Z37</f>
        <v>0</v>
      </c>
      <c r="L30" s="475"/>
      <c r="M30" s="925">
        <v>0</v>
      </c>
      <c r="N30" s="477">
        <f t="shared" si="5"/>
        <v>0</v>
      </c>
      <c r="O30" s="478">
        <f>ROUND(E30*$AE$30,5)</f>
        <v>0</v>
      </c>
      <c r="P30" s="476">
        <v>1</v>
      </c>
      <c r="Q30" s="477">
        <f>ROUND(+$P$10*(($K30*P30)/P$84),0)</f>
        <v>0</v>
      </c>
      <c r="R30" s="478">
        <f>ROUND(E30*$AI$30,5)</f>
        <v>-6.1700000000000001E-3</v>
      </c>
      <c r="S30" s="476">
        <v>1</v>
      </c>
      <c r="T30" s="477">
        <f>ROUND(+$S$10*(($K30*S30)/S$84),0)</f>
        <v>0</v>
      </c>
      <c r="U30" s="478">
        <f>ROUND(E30*$AM$30,5)</f>
        <v>-3.2599999999999999E-3</v>
      </c>
      <c r="V30" s="476">
        <v>1</v>
      </c>
      <c r="W30" s="477">
        <f>ROUND(+$V$10*(($K30*V30)/V$84),0)</f>
        <v>0</v>
      </c>
      <c r="X30" s="478">
        <f>ROUND(E30*$AQ$30,5)</f>
        <v>-3.1E-4</v>
      </c>
      <c r="Y30" s="899"/>
      <c r="Z30" s="899"/>
      <c r="AA30" s="899"/>
      <c r="AB30" s="899"/>
      <c r="AD30" s="433">
        <f>$AD$22</f>
        <v>0</v>
      </c>
      <c r="AE30" s="433">
        <f>$AE$22</f>
        <v>0</v>
      </c>
      <c r="AH30" s="433">
        <f>$AH$22</f>
        <v>-1.7740078228791385E-2</v>
      </c>
      <c r="AI30" s="433">
        <f>AH30</f>
        <v>-1.7740078228791385E-2</v>
      </c>
      <c r="AL30" s="433">
        <f>$AL$22</f>
        <v>-9.3654368481358094E-3</v>
      </c>
      <c r="AM30" s="1138">
        <f>AL30</f>
        <v>-9.3654368481358094E-3</v>
      </c>
      <c r="AP30" s="433">
        <f>$AP$22</f>
        <v>-9.0164934572751609E-4</v>
      </c>
      <c r="AQ30" s="1138">
        <f>AP30</f>
        <v>-9.0164934572751609E-4</v>
      </c>
    </row>
    <row r="31" spans="1:43" s="56" customFormat="1" x14ac:dyDescent="0.2">
      <c r="A31" s="86">
        <f t="shared" si="0"/>
        <v>25</v>
      </c>
      <c r="B31" s="723"/>
      <c r="C31" s="727" t="s">
        <v>5</v>
      </c>
      <c r="D31" s="466">
        <f>'WA Volumes &amp; Revenues'!E32</f>
        <v>0</v>
      </c>
      <c r="E31" s="463">
        <f>'Rates in Detail'!E30</f>
        <v>0.30653000000000008</v>
      </c>
      <c r="F31" s="463">
        <f>'Rates in Detail'!L30+SUM('Rates in Detail'!P30:Q30)</f>
        <v>3.5980000000000005E-2</v>
      </c>
      <c r="G31" s="463">
        <f t="shared" si="19"/>
        <v>0.34251000000000009</v>
      </c>
      <c r="H31" s="467">
        <f t="shared" si="4"/>
        <v>0</v>
      </c>
      <c r="I31" s="468"/>
      <c r="J31" s="740"/>
      <c r="K31" s="467"/>
      <c r="L31" s="462"/>
      <c r="M31" s="923">
        <v>0</v>
      </c>
      <c r="N31" s="465"/>
      <c r="O31" s="470">
        <f>ROUND(E31*$AE$30,5)</f>
        <v>0</v>
      </c>
      <c r="P31" s="464">
        <v>1</v>
      </c>
      <c r="Q31" s="465"/>
      <c r="R31" s="470">
        <f>ROUND(E31*$AI$30,5)</f>
        <v>-5.4400000000000004E-3</v>
      </c>
      <c r="S31" s="464">
        <v>1</v>
      </c>
      <c r="T31" s="465"/>
      <c r="U31" s="470">
        <f>ROUND(E31*$AM$30,5)</f>
        <v>-2.8700000000000002E-3</v>
      </c>
      <c r="V31" s="464">
        <v>1</v>
      </c>
      <c r="W31" s="465"/>
      <c r="X31" s="470">
        <f>ROUND(E31*$AQ$30,5)</f>
        <v>-2.7999999999999998E-4</v>
      </c>
      <c r="Y31" s="899"/>
      <c r="Z31" s="899"/>
      <c r="AA31" s="899"/>
      <c r="AB31" s="899"/>
    </row>
    <row r="32" spans="1:43" s="56" customFormat="1" x14ac:dyDescent="0.2">
      <c r="A32" s="86">
        <f t="shared" si="0"/>
        <v>26</v>
      </c>
      <c r="B32" s="725" t="str">
        <f>'WA Volumes &amp; Revenues'!B33</f>
        <v>42C Firm Sales</v>
      </c>
      <c r="C32" s="726" t="s">
        <v>4</v>
      </c>
      <c r="D32" s="479">
        <f>'WA Volumes &amp; Revenues'!E33</f>
        <v>350769.66174469434</v>
      </c>
      <c r="E32" s="473">
        <f>'Rates in Detail'!E31</f>
        <v>0.15245999999999996</v>
      </c>
      <c r="F32" s="473">
        <f>'Rates in Detail'!L31+SUM('Rates in Detail'!P31:Q31)</f>
        <v>4.1859999999999994E-2</v>
      </c>
      <c r="G32" s="473">
        <f t="shared" si="19"/>
        <v>0.19431999999999994</v>
      </c>
      <c r="H32" s="474">
        <f t="shared" si="4"/>
        <v>53478</v>
      </c>
      <c r="I32" s="154">
        <f>'WA Volumes &amp; Revenues'!N33</f>
        <v>1300</v>
      </c>
      <c r="J32" s="371">
        <f>'WA Volumes &amp; Revenues'!H33</f>
        <v>5</v>
      </c>
      <c r="K32" s="474">
        <f>ROUND((I32*J32*12)+H32+H33+H34+H35+H36+H37,0)+'Rev Req Proof Yr1'!Y44+'Rev Req Proof Yr1'!Z44</f>
        <v>219575.29677293496</v>
      </c>
      <c r="L32" s="475"/>
      <c r="M32" s="925">
        <v>1</v>
      </c>
      <c r="N32" s="480">
        <f t="shared" si="5"/>
        <v>-7048</v>
      </c>
      <c r="O32" s="478">
        <f>ROUND(E32*$AE$32,5)</f>
        <v>-1.06E-2</v>
      </c>
      <c r="P32" s="476">
        <v>1</v>
      </c>
      <c r="Q32" s="480">
        <f>ROUND(+$P$10*(($K32*P32)/P$84),0)</f>
        <v>-3896</v>
      </c>
      <c r="R32" s="478">
        <f>ROUND(E32*$AI$32,5)</f>
        <v>-5.8599999999999998E-3</v>
      </c>
      <c r="S32" s="476">
        <v>1</v>
      </c>
      <c r="T32" s="480">
        <f>ROUND(+$S$10*(($K32*S32)/S$84),0)</f>
        <v>-2056</v>
      </c>
      <c r="U32" s="478">
        <f>ROUND(E32*$AM$32,5)</f>
        <v>-3.0899999999999999E-3</v>
      </c>
      <c r="V32" s="476">
        <v>1</v>
      </c>
      <c r="W32" s="480">
        <f>ROUND(+$V$10*(($K32*V32)/V$84),0)</f>
        <v>-198</v>
      </c>
      <c r="X32" s="478">
        <f>ROUND(E32*$AQ$32,5)</f>
        <v>-2.9999999999999997E-4</v>
      </c>
      <c r="Y32" s="899"/>
      <c r="Z32" s="899"/>
      <c r="AA32" s="899"/>
      <c r="AB32" s="899"/>
      <c r="AD32" s="433">
        <f t="shared" ref="AD32" si="23">N32/K32</f>
        <v>-3.209832847129615E-2</v>
      </c>
      <c r="AE32" s="433">
        <f>N32/SUM($H$32:$H$37)</f>
        <v>-6.9530217232602651E-2</v>
      </c>
      <c r="AH32" s="433">
        <f t="shared" si="22"/>
        <v>-1.7743343888219326E-2</v>
      </c>
      <c r="AI32" s="433">
        <f>Q32/SUM($H$32:$H$37)</f>
        <v>-3.8434978197817805E-2</v>
      </c>
      <c r="AL32" s="433">
        <f t="shared" si="15"/>
        <v>-9.3635305529206712E-3</v>
      </c>
      <c r="AM32" s="433">
        <f>T32/SUM($H$32:$H$37)</f>
        <v>-2.0282935106445948E-2</v>
      </c>
      <c r="AP32" s="433">
        <f t="shared" si="17"/>
        <v>-9.0174078282018134E-4</v>
      </c>
      <c r="AQ32" s="433">
        <f>W32/SUM($H$32:$H$37)</f>
        <v>-1.9533176804845806E-3</v>
      </c>
    </row>
    <row r="33" spans="1:43" s="56" customFormat="1" x14ac:dyDescent="0.2">
      <c r="A33" s="86">
        <f t="shared" si="0"/>
        <v>27</v>
      </c>
      <c r="B33" s="725"/>
      <c r="C33" s="726" t="s">
        <v>5</v>
      </c>
      <c r="D33" s="479">
        <f>'WA Volumes &amp; Revenues'!E34</f>
        <v>303088.75426472601</v>
      </c>
      <c r="E33" s="473">
        <f>'Rates in Detail'!E32</f>
        <v>0.1364699999999997</v>
      </c>
      <c r="F33" s="473">
        <f>'Rates in Detail'!L32+SUM('Rates in Detail'!P32:Q32)</f>
        <v>3.746E-2</v>
      </c>
      <c r="G33" s="473">
        <f t="shared" si="19"/>
        <v>0.1739299999999997</v>
      </c>
      <c r="H33" s="474">
        <f t="shared" si="4"/>
        <v>41363</v>
      </c>
      <c r="I33" s="154"/>
      <c r="J33" s="371"/>
      <c r="K33" s="474"/>
      <c r="L33" s="475"/>
      <c r="M33" s="925">
        <v>1</v>
      </c>
      <c r="N33" s="270"/>
      <c r="O33" s="478">
        <f t="shared" ref="O33:O37" si="24">ROUND(E33*$AE$32,5)</f>
        <v>-9.4900000000000002E-3</v>
      </c>
      <c r="P33" s="476">
        <v>1</v>
      </c>
      <c r="Q33" s="270"/>
      <c r="R33" s="478">
        <f t="shared" ref="R33:R37" si="25">ROUND(E33*$AI$32,5)</f>
        <v>-5.2500000000000003E-3</v>
      </c>
      <c r="S33" s="476">
        <v>1</v>
      </c>
      <c r="T33" s="270"/>
      <c r="U33" s="478">
        <f t="shared" ref="U33:U37" si="26">ROUND(E33*$AM$32,5)</f>
        <v>-2.7699999999999999E-3</v>
      </c>
      <c r="V33" s="476">
        <v>1</v>
      </c>
      <c r="W33" s="270"/>
      <c r="X33" s="478">
        <f t="shared" ref="X33:X37" si="27">ROUND(E33*$AQ$32,5)</f>
        <v>-2.7E-4</v>
      </c>
      <c r="Y33" s="899"/>
      <c r="Z33" s="899"/>
      <c r="AA33" s="899"/>
      <c r="AB33" s="899"/>
      <c r="AD33" s="433"/>
      <c r="AE33" s="433"/>
    </row>
    <row r="34" spans="1:43" s="56" customFormat="1" x14ac:dyDescent="0.2">
      <c r="A34" s="86">
        <f t="shared" si="0"/>
        <v>28</v>
      </c>
      <c r="B34" s="725"/>
      <c r="C34" s="726" t="s">
        <v>6</v>
      </c>
      <c r="D34" s="479">
        <f>'WA Volumes &amp; Revenues'!E35</f>
        <v>59441.942130257296</v>
      </c>
      <c r="E34" s="473">
        <f>'Rates in Detail'!E33</f>
        <v>0.1046699999999999</v>
      </c>
      <c r="F34" s="473">
        <f>'Rates in Detail'!L33+SUM('Rates in Detail'!P33:Q33)</f>
        <v>2.8739999999999998E-2</v>
      </c>
      <c r="G34" s="473">
        <f t="shared" si="19"/>
        <v>0.13340999999999989</v>
      </c>
      <c r="H34" s="474">
        <f t="shared" si="4"/>
        <v>6222</v>
      </c>
      <c r="I34" s="154"/>
      <c r="J34" s="371"/>
      <c r="K34" s="474"/>
      <c r="L34" s="475"/>
      <c r="M34" s="925">
        <v>1</v>
      </c>
      <c r="N34" s="270"/>
      <c r="O34" s="478">
        <f t="shared" si="24"/>
        <v>-7.28E-3</v>
      </c>
      <c r="P34" s="476">
        <v>1</v>
      </c>
      <c r="Q34" s="270"/>
      <c r="R34" s="478">
        <f t="shared" si="25"/>
        <v>-4.0200000000000001E-3</v>
      </c>
      <c r="S34" s="476">
        <v>1</v>
      </c>
      <c r="T34" s="270"/>
      <c r="U34" s="478">
        <f t="shared" si="26"/>
        <v>-2.1199999999999999E-3</v>
      </c>
      <c r="V34" s="476">
        <v>1</v>
      </c>
      <c r="W34" s="270"/>
      <c r="X34" s="478">
        <f t="shared" si="27"/>
        <v>-2.0000000000000001E-4</v>
      </c>
      <c r="Y34" s="899"/>
      <c r="Z34" s="899"/>
      <c r="AA34" s="899"/>
      <c r="AB34" s="899"/>
    </row>
    <row r="35" spans="1:43" s="56" customFormat="1" x14ac:dyDescent="0.2">
      <c r="A35" s="86">
        <f t="shared" si="0"/>
        <v>29</v>
      </c>
      <c r="B35" s="725"/>
      <c r="C35" s="726" t="s">
        <v>7</v>
      </c>
      <c r="D35" s="479">
        <f>'WA Volumes &amp; Revenues'!E36</f>
        <v>3614.6071898605187</v>
      </c>
      <c r="E35" s="473">
        <f>'Rates in Detail'!E34</f>
        <v>8.3729999999999999E-2</v>
      </c>
      <c r="F35" s="1176">
        <f>'Rates in Detail'!L34+SUM('Rates in Detail'!P34:Q34)</f>
        <v>2.298E-2</v>
      </c>
      <c r="G35" s="473">
        <f t="shared" si="19"/>
        <v>0.10671</v>
      </c>
      <c r="H35" s="474">
        <f t="shared" si="4"/>
        <v>303</v>
      </c>
      <c r="I35" s="154"/>
      <c r="J35" s="371"/>
      <c r="K35" s="474"/>
      <c r="L35" s="475"/>
      <c r="M35" s="925">
        <v>1</v>
      </c>
      <c r="N35" s="270"/>
      <c r="O35" s="478">
        <f t="shared" si="24"/>
        <v>-5.8199999999999997E-3</v>
      </c>
      <c r="P35" s="476">
        <v>1</v>
      </c>
      <c r="Q35" s="270"/>
      <c r="R35" s="478">
        <f t="shared" si="25"/>
        <v>-3.2200000000000002E-3</v>
      </c>
      <c r="S35" s="476">
        <v>1</v>
      </c>
      <c r="T35" s="270"/>
      <c r="U35" s="478">
        <f t="shared" si="26"/>
        <v>-1.6999999999999999E-3</v>
      </c>
      <c r="V35" s="476">
        <v>1</v>
      </c>
      <c r="W35" s="270"/>
      <c r="X35" s="478">
        <f t="shared" si="27"/>
        <v>-1.6000000000000001E-4</v>
      </c>
      <c r="Y35" s="899"/>
      <c r="Z35" s="899"/>
      <c r="AA35" s="899"/>
      <c r="AB35" s="899"/>
    </row>
    <row r="36" spans="1:43" s="56" customFormat="1" x14ac:dyDescent="0.2">
      <c r="A36" s="86">
        <f t="shared" si="0"/>
        <v>30</v>
      </c>
      <c r="B36" s="725"/>
      <c r="C36" s="726" t="s">
        <v>8</v>
      </c>
      <c r="D36" s="479">
        <f>'WA Volumes &amp; Revenues'!E37</f>
        <v>0</v>
      </c>
      <c r="E36" s="473">
        <f>'Rates in Detail'!E35</f>
        <v>5.5809999999999992E-2</v>
      </c>
      <c r="F36" s="1176">
        <f>'Rates in Detail'!L35+SUM('Rates in Detail'!P35:Q35)</f>
        <v>1.532E-2</v>
      </c>
      <c r="G36" s="473">
        <f t="shared" si="19"/>
        <v>7.1129999999999999E-2</v>
      </c>
      <c r="H36" s="474">
        <f t="shared" si="4"/>
        <v>0</v>
      </c>
      <c r="I36" s="154"/>
      <c r="J36" s="371"/>
      <c r="K36" s="474"/>
      <c r="L36" s="475"/>
      <c r="M36" s="925">
        <v>1</v>
      </c>
      <c r="N36" s="270"/>
      <c r="O36" s="478">
        <f t="shared" si="24"/>
        <v>-3.8800000000000002E-3</v>
      </c>
      <c r="P36" s="476">
        <v>1</v>
      </c>
      <c r="Q36" s="270"/>
      <c r="R36" s="478">
        <f t="shared" si="25"/>
        <v>-2.15E-3</v>
      </c>
      <c r="S36" s="476">
        <v>1</v>
      </c>
      <c r="T36" s="270"/>
      <c r="U36" s="478">
        <f t="shared" si="26"/>
        <v>-1.1299999999999999E-3</v>
      </c>
      <c r="V36" s="476">
        <v>1</v>
      </c>
      <c r="W36" s="270"/>
      <c r="X36" s="478">
        <f t="shared" si="27"/>
        <v>-1.1E-4</v>
      </c>
      <c r="Y36" s="899"/>
      <c r="Z36" s="899"/>
      <c r="AA36" s="899"/>
      <c r="AB36" s="899"/>
    </row>
    <row r="37" spans="1:43" s="56" customFormat="1" x14ac:dyDescent="0.2">
      <c r="A37" s="86">
        <f t="shared" si="0"/>
        <v>31</v>
      </c>
      <c r="B37" s="723"/>
      <c r="C37" s="727" t="s">
        <v>9</v>
      </c>
      <c r="D37" s="466">
        <f>'WA Volumes &amp; Revenues'!E38</f>
        <v>0</v>
      </c>
      <c r="E37" s="463">
        <f>'Rates in Detail'!E36</f>
        <v>2.0920000000000029E-2</v>
      </c>
      <c r="F37" s="770">
        <f>'Rates in Detail'!L36+SUM('Rates in Detail'!P36:Q36)</f>
        <v>5.7499999999999999E-3</v>
      </c>
      <c r="G37" s="463">
        <f t="shared" si="19"/>
        <v>2.6670000000000027E-2</v>
      </c>
      <c r="H37" s="467">
        <f t="shared" si="4"/>
        <v>0</v>
      </c>
      <c r="I37" s="468"/>
      <c r="J37" s="740"/>
      <c r="K37" s="467"/>
      <c r="L37" s="462"/>
      <c r="M37" s="923">
        <v>1</v>
      </c>
      <c r="N37" s="465"/>
      <c r="O37" s="470">
        <f t="shared" si="24"/>
        <v>-1.4499999999999999E-3</v>
      </c>
      <c r="P37" s="464">
        <v>1</v>
      </c>
      <c r="Q37" s="465"/>
      <c r="R37" s="470">
        <f t="shared" si="25"/>
        <v>-8.0000000000000004E-4</v>
      </c>
      <c r="S37" s="464">
        <v>1</v>
      </c>
      <c r="T37" s="465"/>
      <c r="U37" s="470">
        <f t="shared" si="26"/>
        <v>-4.2000000000000002E-4</v>
      </c>
      <c r="V37" s="464">
        <v>1</v>
      </c>
      <c r="W37" s="465"/>
      <c r="X37" s="470">
        <f t="shared" si="27"/>
        <v>-4.0000000000000003E-5</v>
      </c>
      <c r="Y37" s="899"/>
      <c r="Z37" s="899"/>
      <c r="AA37" s="899"/>
      <c r="AB37" s="899"/>
    </row>
    <row r="38" spans="1:43" s="56" customFormat="1" x14ac:dyDescent="0.2">
      <c r="A38" s="86">
        <f t="shared" si="0"/>
        <v>32</v>
      </c>
      <c r="B38" s="725" t="str">
        <f>'WA Volumes &amp; Revenues'!B39</f>
        <v>42I Firm Sales</v>
      </c>
      <c r="C38" s="726" t="s">
        <v>4</v>
      </c>
      <c r="D38" s="479">
        <f>'WA Volumes &amp; Revenues'!E39</f>
        <v>1093724.2000000002</v>
      </c>
      <c r="E38" s="473">
        <f>'Rates in Detail'!E37</f>
        <v>0.14721000000000001</v>
      </c>
      <c r="F38" s="1176">
        <f>'Rates in Detail'!L37+SUM('Rates in Detail'!P37:Q37)</f>
        <v>3.7229999999999999E-2</v>
      </c>
      <c r="G38" s="473">
        <f t="shared" si="19"/>
        <v>0.18443999999999999</v>
      </c>
      <c r="H38" s="474">
        <f t="shared" si="4"/>
        <v>161007</v>
      </c>
      <c r="I38" s="154">
        <f>'WA Volumes &amp; Revenues'!N39</f>
        <v>1300</v>
      </c>
      <c r="J38" s="371">
        <f>'WA Volumes &amp; Revenues'!H39</f>
        <v>11.916666666666666</v>
      </c>
      <c r="K38" s="474">
        <f>ROUND((I38*J38*12)+H38+H39+H40+H41+H42+H43,0)+'Rev Req Proof Yr1'!Y51+'Rev Req Proof Yr1'!Z51</f>
        <v>511671.18216089124</v>
      </c>
      <c r="L38" s="475"/>
      <c r="M38" s="925">
        <v>0</v>
      </c>
      <c r="N38" s="480">
        <f t="shared" ref="N38" si="28">ROUND(+$M$10*(($K38*M38)/M$84),0)</f>
        <v>0</v>
      </c>
      <c r="O38" s="478">
        <f>ROUND(E38*$AE$38,5)</f>
        <v>0</v>
      </c>
      <c r="P38" s="476">
        <v>1</v>
      </c>
      <c r="Q38" s="480">
        <f>ROUND(+$P$10*(($K38*P38)/P$84),0)</f>
        <v>-9078</v>
      </c>
      <c r="R38" s="478">
        <f>ROUND(E38*$AI$38,5)</f>
        <v>-5.2100000000000002E-3</v>
      </c>
      <c r="S38" s="476">
        <v>1</v>
      </c>
      <c r="T38" s="480">
        <f>ROUND(+$S$10*(($K38*S38)/S$84),0)</f>
        <v>-4792</v>
      </c>
      <c r="U38" s="478">
        <f>ROUND(E38*$AM$38,5)</f>
        <v>-2.7499999999999998E-3</v>
      </c>
      <c r="V38" s="476">
        <v>1</v>
      </c>
      <c r="W38" s="480">
        <f>ROUND(+$V$10*(($K38*V38)/V$84),0)</f>
        <v>-462</v>
      </c>
      <c r="X38" s="478">
        <f>ROUND(E38*$AQ$38,5)</f>
        <v>-2.7E-4</v>
      </c>
      <c r="Y38" s="899"/>
      <c r="Z38" s="899"/>
      <c r="AA38" s="899"/>
      <c r="AB38" s="899"/>
      <c r="AD38" s="433">
        <f t="shared" ref="AD38" si="29">N38/K38</f>
        <v>0</v>
      </c>
      <c r="AE38" s="433">
        <f>N38/SUM($H$38:$H$43)</f>
        <v>0</v>
      </c>
      <c r="AH38" s="433">
        <f t="shared" ref="AH38" si="30">Q38/K38</f>
        <v>-1.7741862970788707E-2</v>
      </c>
      <c r="AI38" s="433">
        <f>Q38/SUM($H$38:$H$43)</f>
        <v>-3.5405340051949674E-2</v>
      </c>
      <c r="AL38" s="433">
        <f t="shared" ref="AL38" si="31">T38/K38</f>
        <v>-9.3653896624828689E-3</v>
      </c>
      <c r="AM38" s="433">
        <f>T38/SUM($H$38:$H$43)</f>
        <v>-1.8689401798737921E-2</v>
      </c>
      <c r="AP38" s="433">
        <f t="shared" ref="AP38" si="32">W38/K38</f>
        <v>-9.0292362772685425E-4</v>
      </c>
      <c r="AQ38" s="433">
        <f>W38/SUM($H$38:$H$43)</f>
        <v>-1.8018580198282384E-3</v>
      </c>
    </row>
    <row r="39" spans="1:43" s="56" customFormat="1" x14ac:dyDescent="0.2">
      <c r="A39" s="86">
        <f t="shared" si="0"/>
        <v>33</v>
      </c>
      <c r="B39" s="725"/>
      <c r="C39" s="726" t="s">
        <v>5</v>
      </c>
      <c r="D39" s="479">
        <f>'WA Volumes &amp; Revenues'!E40</f>
        <v>655939.80000000005</v>
      </c>
      <c r="E39" s="473">
        <f>'Rates in Detail'!E38</f>
        <v>0.13177</v>
      </c>
      <c r="F39" s="1176">
        <f>'Rates in Detail'!L38+SUM('Rates in Detail'!P38:Q38)</f>
        <v>3.3330000000000005E-2</v>
      </c>
      <c r="G39" s="473">
        <f t="shared" si="19"/>
        <v>0.1651</v>
      </c>
      <c r="H39" s="474">
        <f t="shared" si="4"/>
        <v>86433</v>
      </c>
      <c r="I39" s="154"/>
      <c r="J39" s="371"/>
      <c r="K39" s="474"/>
      <c r="L39" s="475"/>
      <c r="M39" s="925">
        <v>0</v>
      </c>
      <c r="N39" s="270"/>
      <c r="O39" s="478">
        <f t="shared" ref="O39:O43" si="33">ROUND(E39*$AE$38,5)</f>
        <v>0</v>
      </c>
      <c r="P39" s="476">
        <v>1</v>
      </c>
      <c r="Q39" s="270"/>
      <c r="R39" s="478">
        <f t="shared" ref="R39:R43" si="34">ROUND(E39*$AI$38,5)</f>
        <v>-4.6699999999999997E-3</v>
      </c>
      <c r="S39" s="476">
        <v>1</v>
      </c>
      <c r="T39" s="270"/>
      <c r="U39" s="478">
        <f t="shared" ref="U39:U43" si="35">ROUND(E39*$AM$38,5)</f>
        <v>-2.4599999999999999E-3</v>
      </c>
      <c r="V39" s="476">
        <v>1</v>
      </c>
      <c r="W39" s="270"/>
      <c r="X39" s="478">
        <f t="shared" ref="X39:X43" si="36">ROUND(E39*$AQ$38,5)</f>
        <v>-2.4000000000000001E-4</v>
      </c>
      <c r="Y39" s="899"/>
      <c r="Z39" s="899"/>
      <c r="AA39" s="899"/>
      <c r="AB39" s="899"/>
    </row>
    <row r="40" spans="1:43" s="56" customFormat="1" x14ac:dyDescent="0.2">
      <c r="A40" s="86">
        <f t="shared" si="0"/>
        <v>34</v>
      </c>
      <c r="B40" s="725"/>
      <c r="C40" s="726" t="s">
        <v>6</v>
      </c>
      <c r="D40" s="479">
        <f>'WA Volumes &amp; Revenues'!E41</f>
        <v>81241.3</v>
      </c>
      <c r="E40" s="473">
        <f>'Rates in Detail'!E39</f>
        <v>0.10104999999999985</v>
      </c>
      <c r="F40" s="1176">
        <f>'Rates in Detail'!L39+SUM('Rates in Detail'!P39:Q39)</f>
        <v>2.555E-2</v>
      </c>
      <c r="G40" s="473">
        <f t="shared" si="19"/>
        <v>0.12659999999999985</v>
      </c>
      <c r="H40" s="474">
        <f t="shared" si="4"/>
        <v>8209</v>
      </c>
      <c r="I40" s="154"/>
      <c r="J40" s="371"/>
      <c r="K40" s="474"/>
      <c r="L40" s="475"/>
      <c r="M40" s="925">
        <v>0</v>
      </c>
      <c r="N40" s="270"/>
      <c r="O40" s="478">
        <f t="shared" si="33"/>
        <v>0</v>
      </c>
      <c r="P40" s="476">
        <v>1</v>
      </c>
      <c r="Q40" s="270"/>
      <c r="R40" s="478">
        <f t="shared" si="34"/>
        <v>-3.5799999999999998E-3</v>
      </c>
      <c r="S40" s="476">
        <v>1</v>
      </c>
      <c r="T40" s="270"/>
      <c r="U40" s="478">
        <f t="shared" si="35"/>
        <v>-1.89E-3</v>
      </c>
      <c r="V40" s="476">
        <v>1</v>
      </c>
      <c r="W40" s="270"/>
      <c r="X40" s="478">
        <f t="shared" si="36"/>
        <v>-1.8000000000000001E-4</v>
      </c>
      <c r="Y40" s="899"/>
      <c r="Z40" s="899"/>
      <c r="AA40" s="899"/>
      <c r="AB40" s="899"/>
    </row>
    <row r="41" spans="1:43" s="56" customFormat="1" x14ac:dyDescent="0.2">
      <c r="A41" s="86">
        <f t="shared" si="0"/>
        <v>35</v>
      </c>
      <c r="B41" s="725"/>
      <c r="C41" s="726" t="s">
        <v>7</v>
      </c>
      <c r="D41" s="479">
        <f>'WA Volumes &amp; Revenues'!E42</f>
        <v>9320.1</v>
      </c>
      <c r="E41" s="473">
        <f>'Rates in Detail'!E40</f>
        <v>8.0839999999999995E-2</v>
      </c>
      <c r="F41" s="1176">
        <f>'Rates in Detail'!L40+SUM('Rates in Detail'!P40:Q40)</f>
        <v>2.0449999999999999E-2</v>
      </c>
      <c r="G41" s="473">
        <f t="shared" si="19"/>
        <v>0.10128999999999999</v>
      </c>
      <c r="H41" s="474">
        <f t="shared" si="4"/>
        <v>753</v>
      </c>
      <c r="I41" s="154"/>
      <c r="J41" s="371"/>
      <c r="K41" s="474"/>
      <c r="L41" s="475"/>
      <c r="M41" s="925">
        <v>0</v>
      </c>
      <c r="N41" s="270"/>
      <c r="O41" s="478">
        <f t="shared" si="33"/>
        <v>0</v>
      </c>
      <c r="P41" s="476">
        <v>1</v>
      </c>
      <c r="Q41" s="270"/>
      <c r="R41" s="478">
        <f t="shared" si="34"/>
        <v>-2.8600000000000001E-3</v>
      </c>
      <c r="S41" s="476">
        <v>1</v>
      </c>
      <c r="T41" s="270"/>
      <c r="U41" s="478">
        <f t="shared" si="35"/>
        <v>-1.5100000000000001E-3</v>
      </c>
      <c r="V41" s="476">
        <v>1</v>
      </c>
      <c r="W41" s="270"/>
      <c r="X41" s="478">
        <f t="shared" si="36"/>
        <v>-1.4999999999999999E-4</v>
      </c>
      <c r="Y41" s="899"/>
      <c r="Z41" s="899"/>
      <c r="AA41" s="899"/>
      <c r="AB41" s="899"/>
    </row>
    <row r="42" spans="1:43" s="56" customFormat="1" x14ac:dyDescent="0.2">
      <c r="A42" s="86">
        <f t="shared" si="0"/>
        <v>36</v>
      </c>
      <c r="B42" s="725"/>
      <c r="C42" s="726" t="s">
        <v>8</v>
      </c>
      <c r="D42" s="479">
        <f>'WA Volumes &amp; Revenues'!E43</f>
        <v>0</v>
      </c>
      <c r="E42" s="473">
        <f>'Rates in Detail'!E41</f>
        <v>5.391E-2</v>
      </c>
      <c r="F42" s="473">
        <f>'Rates in Detail'!L41+SUM('Rates in Detail'!P41:Q41)</f>
        <v>1.363E-2</v>
      </c>
      <c r="G42" s="473">
        <f t="shared" si="19"/>
        <v>6.7540000000000003E-2</v>
      </c>
      <c r="H42" s="474">
        <f t="shared" si="4"/>
        <v>0</v>
      </c>
      <c r="I42" s="154"/>
      <c r="J42" s="371"/>
      <c r="K42" s="474"/>
      <c r="L42" s="475"/>
      <c r="M42" s="925">
        <v>0</v>
      </c>
      <c r="N42" s="270"/>
      <c r="O42" s="478">
        <f t="shared" si="33"/>
        <v>0</v>
      </c>
      <c r="P42" s="476">
        <v>1</v>
      </c>
      <c r="Q42" s="270"/>
      <c r="R42" s="478">
        <f t="shared" si="34"/>
        <v>-1.91E-3</v>
      </c>
      <c r="S42" s="476">
        <v>1</v>
      </c>
      <c r="T42" s="270"/>
      <c r="U42" s="478">
        <f t="shared" si="35"/>
        <v>-1.01E-3</v>
      </c>
      <c r="V42" s="476">
        <v>1</v>
      </c>
      <c r="W42" s="270"/>
      <c r="X42" s="478">
        <f t="shared" si="36"/>
        <v>-1E-4</v>
      </c>
      <c r="Y42" s="899"/>
      <c r="Z42" s="899"/>
      <c r="AA42" s="899"/>
      <c r="AB42" s="899"/>
    </row>
    <row r="43" spans="1:43" s="56" customFormat="1" x14ac:dyDescent="0.2">
      <c r="A43" s="86">
        <f t="shared" si="0"/>
        <v>37</v>
      </c>
      <c r="B43" s="723"/>
      <c r="C43" s="727" t="s">
        <v>9</v>
      </c>
      <c r="D43" s="466">
        <f>'WA Volumes &amp; Revenues'!E44</f>
        <v>0</v>
      </c>
      <c r="E43" s="463">
        <f>'Rates in Detail'!E42</f>
        <v>2.0199999999999999E-2</v>
      </c>
      <c r="F43" s="463">
        <f>'Rates in Detail'!L42+SUM('Rates in Detail'!P42:Q42)</f>
        <v>5.11E-3</v>
      </c>
      <c r="G43" s="463">
        <f t="shared" si="19"/>
        <v>2.5309999999999999E-2</v>
      </c>
      <c r="H43" s="467">
        <f t="shared" si="4"/>
        <v>0</v>
      </c>
      <c r="I43" s="468"/>
      <c r="J43" s="740"/>
      <c r="K43" s="467"/>
      <c r="L43" s="462"/>
      <c r="M43" s="923">
        <v>0</v>
      </c>
      <c r="N43" s="465"/>
      <c r="O43" s="470">
        <f t="shared" si="33"/>
        <v>0</v>
      </c>
      <c r="P43" s="464">
        <v>1</v>
      </c>
      <c r="Q43" s="465"/>
      <c r="R43" s="470">
        <f t="shared" si="34"/>
        <v>-7.2000000000000005E-4</v>
      </c>
      <c r="S43" s="464">
        <v>1</v>
      </c>
      <c r="T43" s="465"/>
      <c r="U43" s="470">
        <f t="shared" si="35"/>
        <v>-3.8000000000000002E-4</v>
      </c>
      <c r="V43" s="464">
        <v>1</v>
      </c>
      <c r="W43" s="465"/>
      <c r="X43" s="470">
        <f t="shared" si="36"/>
        <v>-4.0000000000000003E-5</v>
      </c>
      <c r="Y43" s="899"/>
      <c r="Z43" s="899"/>
      <c r="AA43" s="899"/>
      <c r="AB43" s="899"/>
    </row>
    <row r="44" spans="1:43" s="56" customFormat="1" x14ac:dyDescent="0.2">
      <c r="A44" s="86">
        <f t="shared" si="0"/>
        <v>38</v>
      </c>
      <c r="B44" s="725" t="str">
        <f>'WA Volumes &amp; Revenues'!B45</f>
        <v>42C Firm Transpt</v>
      </c>
      <c r="C44" s="726" t="s">
        <v>4</v>
      </c>
      <c r="D44" s="479">
        <f>'WA Volumes &amp; Revenues'!E45</f>
        <v>480000</v>
      </c>
      <c r="E44" s="473">
        <f>'Rates in Detail'!E43</f>
        <v>0.13791999999999999</v>
      </c>
      <c r="F44" s="473">
        <f>'Rates in Detail'!L43+SUM('Rates in Detail'!P43:Q43)</f>
        <v>2.3649999999999997E-2</v>
      </c>
      <c r="G44" s="473">
        <f t="shared" si="19"/>
        <v>0.16156999999999999</v>
      </c>
      <c r="H44" s="474">
        <f t="shared" si="4"/>
        <v>66202</v>
      </c>
      <c r="I44" s="154">
        <f>'WA Volumes &amp; Revenues'!N45</f>
        <v>1550</v>
      </c>
      <c r="J44" s="371">
        <f>'WA Volumes &amp; Revenues'!H45</f>
        <v>4</v>
      </c>
      <c r="K44" s="474">
        <f>ROUND((I44*J44*12)+H44+H45+H46+H47+H48+H49,0)+'Rev Req Proof Yr1'!Y58+'Rev Req Proof Yr1'!Z58</f>
        <v>360784.79504</v>
      </c>
      <c r="L44" s="475"/>
      <c r="M44" s="925">
        <v>0</v>
      </c>
      <c r="N44" s="480">
        <f t="shared" ref="N44" si="37">ROUND(+$M$10*(($K44*M44)/M$84),0)</f>
        <v>0</v>
      </c>
      <c r="O44" s="478">
        <f>ROUND(E44*$AE$44,5)</f>
        <v>0</v>
      </c>
      <c r="P44" s="476">
        <v>1</v>
      </c>
      <c r="Q44" s="480">
        <f>ROUND(+$P$10*(($K44*P44)/P$84),0)</f>
        <v>-6401</v>
      </c>
      <c r="R44" s="478">
        <f>ROUND(E44*$AI$44,5)</f>
        <v>-3.31E-3</v>
      </c>
      <c r="S44" s="476">
        <v>1</v>
      </c>
      <c r="T44" s="480">
        <f>ROUND(+$S$10*(($K44*S44)/S$84),0)</f>
        <v>-3379</v>
      </c>
      <c r="U44" s="478">
        <f>ROUND(E44*$AM$44,5)</f>
        <v>-1.75E-3</v>
      </c>
      <c r="V44" s="476">
        <v>1</v>
      </c>
      <c r="W44" s="480">
        <f>ROUND(+$V$10*(($K44*V44)/V$84),0)</f>
        <v>-326</v>
      </c>
      <c r="X44" s="478">
        <f>ROUND(E44*$AQ$44,5)</f>
        <v>-1.7000000000000001E-4</v>
      </c>
      <c r="Y44" s="899"/>
      <c r="Z44" s="899"/>
      <c r="AA44" s="899"/>
      <c r="AB44" s="899"/>
      <c r="AD44" s="433">
        <f t="shared" ref="AD44" si="38">N44/K44</f>
        <v>0</v>
      </c>
      <c r="AE44" s="433">
        <f>N44/SUM($H$44:$H$49)</f>
        <v>0</v>
      </c>
      <c r="AH44" s="433">
        <f t="shared" ref="AH44" si="39">Q44/K44</f>
        <v>-1.7741878504858623E-2</v>
      </c>
      <c r="AI44" s="433">
        <f>Q44/SUM($H$44:$H$49)</f>
        <v>-2.4011373611121531E-2</v>
      </c>
      <c r="AL44" s="433">
        <f t="shared" ref="AL44" si="40">T44/K44</f>
        <v>-9.365694027170331E-3</v>
      </c>
      <c r="AM44" s="433">
        <f>T44/SUM($H$44:$H$49)</f>
        <v>-1.2675274399621879E-2</v>
      </c>
      <c r="AP44" s="433">
        <f t="shared" ref="AP44" si="41">W44/K44</f>
        <v>-9.0358575106763185E-4</v>
      </c>
      <c r="AQ44" s="433">
        <f>W44/SUM($H$44:$H$49)</f>
        <v>-1.2228882670247804E-3</v>
      </c>
    </row>
    <row r="45" spans="1:43" s="56" customFormat="1" x14ac:dyDescent="0.2">
      <c r="A45" s="86">
        <f t="shared" si="0"/>
        <v>39</v>
      </c>
      <c r="B45" s="725"/>
      <c r="C45" s="726" t="s">
        <v>5</v>
      </c>
      <c r="D45" s="479">
        <f>'WA Volumes &amp; Revenues'!E46</f>
        <v>807846</v>
      </c>
      <c r="E45" s="473">
        <f>'Rates in Detail'!E44</f>
        <v>0.12346999999999998</v>
      </c>
      <c r="F45" s="473">
        <f>'Rates in Detail'!L44+SUM('Rates in Detail'!P44:Q44)</f>
        <v>2.1170000000000001E-2</v>
      </c>
      <c r="G45" s="473">
        <f t="shared" si="19"/>
        <v>0.14463999999999999</v>
      </c>
      <c r="H45" s="474">
        <f t="shared" si="4"/>
        <v>99745</v>
      </c>
      <c r="I45" s="154"/>
      <c r="J45" s="371"/>
      <c r="K45" s="474"/>
      <c r="L45" s="475"/>
      <c r="M45" s="925">
        <v>0</v>
      </c>
      <c r="N45" s="270"/>
      <c r="O45" s="478">
        <f t="shared" ref="O45:O49" si="42">ROUND(E45*$AE$44,5)</f>
        <v>0</v>
      </c>
      <c r="P45" s="476">
        <v>1</v>
      </c>
      <c r="Q45" s="270"/>
      <c r="R45" s="478">
        <f t="shared" ref="R45:R49" si="43">ROUND(E45*$AI$44,5)</f>
        <v>-2.96E-3</v>
      </c>
      <c r="S45" s="476">
        <v>1</v>
      </c>
      <c r="T45" s="270"/>
      <c r="U45" s="478">
        <f t="shared" ref="U45:U49" si="44">ROUND(E45*$AM$44,5)</f>
        <v>-1.57E-3</v>
      </c>
      <c r="V45" s="476">
        <v>1</v>
      </c>
      <c r="W45" s="270"/>
      <c r="X45" s="478">
        <f t="shared" ref="X45:X49" si="45">ROUND(E45*$AQ$44,5)</f>
        <v>-1.4999999999999999E-4</v>
      </c>
      <c r="Y45" s="899"/>
      <c r="Z45" s="899"/>
      <c r="AA45" s="899"/>
      <c r="AB45" s="899"/>
    </row>
    <row r="46" spans="1:43" s="56" customFormat="1" x14ac:dyDescent="0.2">
      <c r="A46" s="86">
        <f t="shared" si="0"/>
        <v>40</v>
      </c>
      <c r="B46" s="725"/>
      <c r="C46" s="726" t="s">
        <v>6</v>
      </c>
      <c r="D46" s="479">
        <f>'WA Volumes &amp; Revenues'!E47</f>
        <v>583779</v>
      </c>
      <c r="E46" s="473">
        <f>'Rates in Detail'!E45</f>
        <v>9.4670000000000004E-2</v>
      </c>
      <c r="F46" s="473">
        <f>'Rates in Detail'!L45+SUM('Rates in Detail'!P45:Q45)</f>
        <v>1.6240000000000001E-2</v>
      </c>
      <c r="G46" s="473">
        <f t="shared" si="19"/>
        <v>0.11091000000000001</v>
      </c>
      <c r="H46" s="474">
        <f t="shared" si="4"/>
        <v>55266</v>
      </c>
      <c r="I46" s="154"/>
      <c r="J46" s="371"/>
      <c r="K46" s="474"/>
      <c r="L46" s="475"/>
      <c r="M46" s="925">
        <v>0</v>
      </c>
      <c r="N46" s="270"/>
      <c r="O46" s="478">
        <f t="shared" si="42"/>
        <v>0</v>
      </c>
      <c r="P46" s="476">
        <v>1</v>
      </c>
      <c r="Q46" s="270"/>
      <c r="R46" s="478">
        <f t="shared" si="43"/>
        <v>-2.2699999999999999E-3</v>
      </c>
      <c r="S46" s="476">
        <v>1</v>
      </c>
      <c r="T46" s="270"/>
      <c r="U46" s="478">
        <f t="shared" si="44"/>
        <v>-1.1999999999999999E-3</v>
      </c>
      <c r="V46" s="476">
        <v>1</v>
      </c>
      <c r="W46" s="270"/>
      <c r="X46" s="478">
        <f t="shared" si="45"/>
        <v>-1.2E-4</v>
      </c>
      <c r="Y46" s="899"/>
      <c r="Z46" s="899"/>
      <c r="AA46" s="899"/>
      <c r="AB46" s="899"/>
    </row>
    <row r="47" spans="1:43" s="56" customFormat="1" x14ac:dyDescent="0.2">
      <c r="A47" s="86">
        <f t="shared" si="0"/>
        <v>41</v>
      </c>
      <c r="B47" s="725"/>
      <c r="C47" s="726" t="s">
        <v>7</v>
      </c>
      <c r="D47" s="479">
        <f>'WA Volumes &amp; Revenues'!E48</f>
        <v>598933</v>
      </c>
      <c r="E47" s="473">
        <f>'Rates in Detail'!E46</f>
        <v>7.5750000000000012E-2</v>
      </c>
      <c r="F47" s="473">
        <f>'Rates in Detail'!L46+SUM('Rates in Detail'!P46:Q46)</f>
        <v>1.299E-2</v>
      </c>
      <c r="G47" s="473">
        <f t="shared" si="19"/>
        <v>8.8740000000000013E-2</v>
      </c>
      <c r="H47" s="474">
        <f t="shared" si="4"/>
        <v>45369</v>
      </c>
      <c r="I47" s="154"/>
      <c r="J47" s="371"/>
      <c r="K47" s="474"/>
      <c r="L47" s="475"/>
      <c r="M47" s="925">
        <v>0</v>
      </c>
      <c r="N47" s="270"/>
      <c r="O47" s="478">
        <f t="shared" si="42"/>
        <v>0</v>
      </c>
      <c r="P47" s="476">
        <v>1</v>
      </c>
      <c r="Q47" s="270"/>
      <c r="R47" s="478">
        <f t="shared" si="43"/>
        <v>-1.82E-3</v>
      </c>
      <c r="S47" s="476">
        <v>1</v>
      </c>
      <c r="T47" s="270"/>
      <c r="U47" s="478">
        <f t="shared" si="44"/>
        <v>-9.6000000000000002E-4</v>
      </c>
      <c r="V47" s="476">
        <v>1</v>
      </c>
      <c r="W47" s="270"/>
      <c r="X47" s="478">
        <f t="shared" si="45"/>
        <v>-9.0000000000000006E-5</v>
      </c>
      <c r="Y47" s="899"/>
      <c r="Z47" s="899"/>
      <c r="AA47" s="899"/>
      <c r="AB47" s="899"/>
    </row>
    <row r="48" spans="1:43" s="56" customFormat="1" x14ac:dyDescent="0.2">
      <c r="A48" s="86">
        <f t="shared" si="0"/>
        <v>42</v>
      </c>
      <c r="B48" s="725"/>
      <c r="C48" s="726" t="s">
        <v>8</v>
      </c>
      <c r="D48" s="479">
        <f>'WA Volumes &amp; Revenues'!E49</f>
        <v>0</v>
      </c>
      <c r="E48" s="473">
        <f>'Rates in Detail'!E47</f>
        <v>5.0500000000000003E-2</v>
      </c>
      <c r="F48" s="473">
        <f>'Rates in Detail'!L47+SUM('Rates in Detail'!P47:Q47)</f>
        <v>8.6599999999999993E-3</v>
      </c>
      <c r="G48" s="473">
        <f t="shared" si="19"/>
        <v>5.9160000000000004E-2</v>
      </c>
      <c r="H48" s="474">
        <f t="shared" si="4"/>
        <v>0</v>
      </c>
      <c r="I48" s="154"/>
      <c r="J48" s="371"/>
      <c r="K48" s="474"/>
      <c r="L48" s="475"/>
      <c r="M48" s="925">
        <v>0</v>
      </c>
      <c r="N48" s="270"/>
      <c r="O48" s="478">
        <f t="shared" si="42"/>
        <v>0</v>
      </c>
      <c r="P48" s="476">
        <v>1</v>
      </c>
      <c r="Q48" s="270"/>
      <c r="R48" s="478">
        <f t="shared" si="43"/>
        <v>-1.2099999999999999E-3</v>
      </c>
      <c r="S48" s="476">
        <v>1</v>
      </c>
      <c r="T48" s="270"/>
      <c r="U48" s="478">
        <f t="shared" si="44"/>
        <v>-6.4000000000000005E-4</v>
      </c>
      <c r="V48" s="476">
        <v>1</v>
      </c>
      <c r="W48" s="270"/>
      <c r="X48" s="478">
        <f t="shared" si="45"/>
        <v>-6.0000000000000002E-5</v>
      </c>
      <c r="Y48" s="899"/>
      <c r="Z48" s="899"/>
      <c r="AA48" s="899"/>
      <c r="AB48" s="899"/>
    </row>
    <row r="49" spans="1:43" s="56" customFormat="1" x14ac:dyDescent="0.2">
      <c r="A49" s="86">
        <f t="shared" si="0"/>
        <v>43</v>
      </c>
      <c r="B49" s="723"/>
      <c r="C49" s="727" t="s">
        <v>9</v>
      </c>
      <c r="D49" s="466">
        <f>'WA Volumes &amp; Revenues'!E50</f>
        <v>0</v>
      </c>
      <c r="E49" s="463">
        <f>'Rates in Detail'!E48</f>
        <v>1.8929999999999999E-2</v>
      </c>
      <c r="F49" s="463">
        <f>'Rates in Detail'!L48+SUM('Rates in Detail'!P48:Q48)</f>
        <v>3.2499999999999999E-3</v>
      </c>
      <c r="G49" s="463">
        <f t="shared" si="19"/>
        <v>2.2179999999999998E-2</v>
      </c>
      <c r="H49" s="467">
        <f t="shared" si="4"/>
        <v>0</v>
      </c>
      <c r="I49" s="468"/>
      <c r="J49" s="740"/>
      <c r="K49" s="467"/>
      <c r="L49" s="462"/>
      <c r="M49" s="923">
        <v>0</v>
      </c>
      <c r="N49" s="465"/>
      <c r="O49" s="470">
        <f t="shared" si="42"/>
        <v>0</v>
      </c>
      <c r="P49" s="464">
        <v>1</v>
      </c>
      <c r="Q49" s="465"/>
      <c r="R49" s="470">
        <f t="shared" si="43"/>
        <v>-4.4999999999999999E-4</v>
      </c>
      <c r="S49" s="464">
        <v>1</v>
      </c>
      <c r="T49" s="465"/>
      <c r="U49" s="470">
        <f t="shared" si="44"/>
        <v>-2.4000000000000001E-4</v>
      </c>
      <c r="V49" s="464">
        <v>1</v>
      </c>
      <c r="W49" s="465"/>
      <c r="X49" s="470">
        <f t="shared" si="45"/>
        <v>-2.0000000000000002E-5</v>
      </c>
      <c r="Y49" s="899"/>
      <c r="Z49" s="899"/>
      <c r="AA49" s="899"/>
      <c r="AB49" s="899"/>
    </row>
    <row r="50" spans="1:43" s="56" customFormat="1" x14ac:dyDescent="0.2">
      <c r="A50" s="86">
        <f t="shared" si="0"/>
        <v>44</v>
      </c>
      <c r="B50" s="725" t="str">
        <f>'WA Volumes &amp; Revenues'!B51</f>
        <v>42I Firm Transpt</v>
      </c>
      <c r="C50" s="726" t="s">
        <v>4</v>
      </c>
      <c r="D50" s="479">
        <f>'WA Volumes &amp; Revenues'!E51</f>
        <v>924395</v>
      </c>
      <c r="E50" s="473">
        <f>'Rates in Detail'!E49</f>
        <v>0.13941000000000001</v>
      </c>
      <c r="F50" s="473">
        <f>'Rates in Detail'!L49+SUM('Rates in Detail'!P49:Q49)</f>
        <v>2.3969999999999998E-2</v>
      </c>
      <c r="G50" s="473">
        <f t="shared" si="19"/>
        <v>0.16338</v>
      </c>
      <c r="H50" s="474">
        <f t="shared" si="4"/>
        <v>128870</v>
      </c>
      <c r="I50" s="154">
        <f>'WA Volumes &amp; Revenues'!N51</f>
        <v>1550</v>
      </c>
      <c r="J50" s="371">
        <f>'WA Volumes &amp; Revenues'!H51</f>
        <v>8.9166666666666661</v>
      </c>
      <c r="K50" s="474">
        <f>ROUND((I50*J50*12)+H50+H51+H52+H53+H54+H55,0)+'Rev Req Proof Yr1'!Y65+'Rev Req Proof Yr1'!Z65</f>
        <v>823616.4656</v>
      </c>
      <c r="L50" s="475"/>
      <c r="M50" s="925">
        <v>0</v>
      </c>
      <c r="N50" s="480">
        <f t="shared" ref="N50" si="46">ROUND(+$M$10*(($K50*M50)/M$84),0)</f>
        <v>0</v>
      </c>
      <c r="O50" s="478">
        <f>ROUND(E50*$AE$50,5)</f>
        <v>0</v>
      </c>
      <c r="P50" s="476">
        <v>1</v>
      </c>
      <c r="Q50" s="480">
        <f>ROUND(+$P$10*(($K50*P50)/P$84),0)</f>
        <v>-14612</v>
      </c>
      <c r="R50" s="478">
        <f>ROUND(E50*$AI$50,5)</f>
        <v>-3.3600000000000001E-3</v>
      </c>
      <c r="S50" s="476">
        <v>1</v>
      </c>
      <c r="T50" s="480">
        <f>ROUND(+$S$10*(($K50*S50)/S$84),0)</f>
        <v>-7713</v>
      </c>
      <c r="U50" s="478">
        <f>ROUND(E50*$AM$50,5)</f>
        <v>-1.7700000000000001E-3</v>
      </c>
      <c r="V50" s="476">
        <v>1</v>
      </c>
      <c r="W50" s="480">
        <f>ROUND(+$V$10*(($K50*V50)/V$84),0)</f>
        <v>-743</v>
      </c>
      <c r="X50" s="478">
        <f>ROUND(E50*$AQ$50,5)</f>
        <v>-1.7000000000000001E-4</v>
      </c>
      <c r="Y50" s="899"/>
      <c r="Z50" s="899"/>
      <c r="AA50" s="899"/>
      <c r="AB50" s="899"/>
      <c r="AD50" s="433">
        <f t="shared" ref="AD50" si="47">N50/K50</f>
        <v>0</v>
      </c>
      <c r="AE50" s="433">
        <f>N50/SUM($H$50:$H$55)</f>
        <v>0</v>
      </c>
      <c r="AH50" s="433">
        <f t="shared" ref="AH50" si="48">Q50/K50</f>
        <v>-1.7741267459187134E-2</v>
      </c>
      <c r="AI50" s="433">
        <f>Q50/SUM($H$50:$H$55)</f>
        <v>-2.4068443194059649E-2</v>
      </c>
      <c r="AL50" s="433">
        <f t="shared" ref="AL50" si="49">T50/K50</f>
        <v>-9.364795778313055E-3</v>
      </c>
      <c r="AM50" s="433">
        <f>T50/SUM($H$50:$H$55)</f>
        <v>-1.270461965205188E-2</v>
      </c>
      <c r="AP50" s="433">
        <f t="shared" ref="AP50" si="50">W50/K50</f>
        <v>-9.0211892432083497E-4</v>
      </c>
      <c r="AQ50" s="433">
        <f>W50/SUM($H$50:$H$55)</f>
        <v>-1.2238470635906322E-3</v>
      </c>
    </row>
    <row r="51" spans="1:43" s="56" customFormat="1" x14ac:dyDescent="0.2">
      <c r="A51" s="86">
        <f t="shared" si="0"/>
        <v>45</v>
      </c>
      <c r="B51" s="725"/>
      <c r="C51" s="726" t="s">
        <v>5</v>
      </c>
      <c r="D51" s="479">
        <f>'WA Volumes &amp; Revenues'!E52</f>
        <v>1036796</v>
      </c>
      <c r="E51" s="473">
        <f>'Rates in Detail'!E50</f>
        <v>0.12478999999999997</v>
      </c>
      <c r="F51" s="473">
        <f>'Rates in Detail'!L50+SUM('Rates in Detail'!P50:Q50)</f>
        <v>2.145E-2</v>
      </c>
      <c r="G51" s="473">
        <f t="shared" si="19"/>
        <v>0.14623999999999998</v>
      </c>
      <c r="H51" s="474">
        <f t="shared" si="4"/>
        <v>129382</v>
      </c>
      <c r="I51" s="154"/>
      <c r="J51" s="371"/>
      <c r="K51" s="474"/>
      <c r="L51" s="475"/>
      <c r="M51" s="925">
        <v>0</v>
      </c>
      <c r="N51" s="270"/>
      <c r="O51" s="478">
        <f t="shared" ref="O51:O55" si="51">ROUND(E51*$AE$50,5)</f>
        <v>0</v>
      </c>
      <c r="P51" s="476">
        <v>1</v>
      </c>
      <c r="Q51" s="270"/>
      <c r="R51" s="478">
        <f t="shared" ref="R51:R55" si="52">ROUND(E51*$AI$50,5)</f>
        <v>-3.0000000000000001E-3</v>
      </c>
      <c r="S51" s="476">
        <v>1</v>
      </c>
      <c r="T51" s="270"/>
      <c r="U51" s="478">
        <f t="shared" ref="U51:U55" si="53">ROUND(E51*$AM$50,5)</f>
        <v>-1.5900000000000001E-3</v>
      </c>
      <c r="V51" s="476">
        <v>1</v>
      </c>
      <c r="W51" s="270"/>
      <c r="X51" s="478">
        <f t="shared" ref="X51:X55" si="54">ROUND(E51*$AQ$50,5)</f>
        <v>-1.4999999999999999E-4</v>
      </c>
      <c r="Y51" s="899"/>
      <c r="Z51" s="899"/>
      <c r="AA51" s="899"/>
      <c r="AB51" s="899"/>
    </row>
    <row r="52" spans="1:43" s="56" customFormat="1" x14ac:dyDescent="0.2">
      <c r="A52" s="86">
        <f t="shared" si="0"/>
        <v>46</v>
      </c>
      <c r="B52" s="725"/>
      <c r="C52" s="726" t="s">
        <v>6</v>
      </c>
      <c r="D52" s="479">
        <f>'WA Volumes &amp; Revenues'!E53</f>
        <v>937215</v>
      </c>
      <c r="E52" s="473">
        <f>'Rates in Detail'!E51</f>
        <v>9.5690000000000011E-2</v>
      </c>
      <c r="F52" s="473">
        <f>'Rates in Detail'!L51+SUM('Rates in Detail'!P51:Q51)</f>
        <v>1.6450000000000003E-2</v>
      </c>
      <c r="G52" s="473">
        <f t="shared" si="19"/>
        <v>0.11214000000000002</v>
      </c>
      <c r="H52" s="474">
        <f t="shared" si="4"/>
        <v>89682</v>
      </c>
      <c r="I52" s="154"/>
      <c r="J52" s="371"/>
      <c r="K52" s="474"/>
      <c r="L52" s="475"/>
      <c r="M52" s="925">
        <v>0</v>
      </c>
      <c r="N52" s="270"/>
      <c r="O52" s="478">
        <f t="shared" si="51"/>
        <v>0</v>
      </c>
      <c r="P52" s="476">
        <v>1</v>
      </c>
      <c r="Q52" s="270"/>
      <c r="R52" s="478">
        <f t="shared" si="52"/>
        <v>-2.3E-3</v>
      </c>
      <c r="S52" s="476">
        <v>1</v>
      </c>
      <c r="T52" s="270"/>
      <c r="U52" s="478">
        <f t="shared" si="53"/>
        <v>-1.2199999999999999E-3</v>
      </c>
      <c r="V52" s="476">
        <v>1</v>
      </c>
      <c r="W52" s="270"/>
      <c r="X52" s="478">
        <f t="shared" si="54"/>
        <v>-1.2E-4</v>
      </c>
      <c r="Y52" s="899"/>
      <c r="Z52" s="899"/>
      <c r="AA52" s="899"/>
      <c r="AB52" s="899"/>
    </row>
    <row r="53" spans="1:43" s="56" customFormat="1" x14ac:dyDescent="0.2">
      <c r="A53" s="86">
        <f t="shared" si="0"/>
        <v>47</v>
      </c>
      <c r="B53" s="725"/>
      <c r="C53" s="726" t="s">
        <v>7</v>
      </c>
      <c r="D53" s="479">
        <f>'WA Volumes &amp; Revenues'!E54</f>
        <v>2390318</v>
      </c>
      <c r="E53" s="473">
        <f>'Rates in Detail'!E52</f>
        <v>7.6560000000000017E-2</v>
      </c>
      <c r="F53" s="473">
        <f>'Rates in Detail'!L52+SUM('Rates in Detail'!P52:Q52)</f>
        <v>1.3169999999999999E-2</v>
      </c>
      <c r="G53" s="473">
        <f t="shared" si="19"/>
        <v>8.9730000000000018E-2</v>
      </c>
      <c r="H53" s="474">
        <f t="shared" si="4"/>
        <v>183003</v>
      </c>
      <c r="I53" s="154"/>
      <c r="J53" s="371"/>
      <c r="K53" s="474"/>
      <c r="L53" s="475"/>
      <c r="M53" s="925">
        <v>0</v>
      </c>
      <c r="N53" s="270"/>
      <c r="O53" s="478">
        <f t="shared" si="51"/>
        <v>0</v>
      </c>
      <c r="P53" s="476">
        <v>1</v>
      </c>
      <c r="Q53" s="270"/>
      <c r="R53" s="478">
        <f t="shared" si="52"/>
        <v>-1.8400000000000001E-3</v>
      </c>
      <c r="S53" s="476">
        <v>1</v>
      </c>
      <c r="T53" s="270"/>
      <c r="U53" s="478">
        <f t="shared" si="53"/>
        <v>-9.7000000000000005E-4</v>
      </c>
      <c r="V53" s="476">
        <v>1</v>
      </c>
      <c r="W53" s="270"/>
      <c r="X53" s="478">
        <f t="shared" si="54"/>
        <v>-9.0000000000000006E-5</v>
      </c>
      <c r="Y53" s="899"/>
      <c r="Z53" s="899"/>
      <c r="AA53" s="899"/>
      <c r="AB53" s="899"/>
    </row>
    <row r="54" spans="1:43" s="56" customFormat="1" x14ac:dyDescent="0.2">
      <c r="A54" s="86">
        <f t="shared" si="0"/>
        <v>48</v>
      </c>
      <c r="B54" s="725"/>
      <c r="C54" s="726" t="s">
        <v>8</v>
      </c>
      <c r="D54" s="479">
        <f>'WA Volumes &amp; Revenues'!E55</f>
        <v>1492257</v>
      </c>
      <c r="E54" s="473">
        <f>'Rates in Detail'!E53</f>
        <v>5.1040000000000002E-2</v>
      </c>
      <c r="F54" s="473">
        <f>'Rates in Detail'!L53+SUM('Rates in Detail'!P53:Q53)</f>
        <v>8.77E-3</v>
      </c>
      <c r="G54" s="473">
        <f t="shared" si="19"/>
        <v>5.9810000000000002E-2</v>
      </c>
      <c r="H54" s="474">
        <f t="shared" si="4"/>
        <v>76165</v>
      </c>
      <c r="I54" s="154"/>
      <c r="J54" s="371"/>
      <c r="K54" s="474"/>
      <c r="L54" s="475"/>
      <c r="M54" s="925">
        <v>0</v>
      </c>
      <c r="N54" s="270"/>
      <c r="O54" s="478">
        <f t="shared" si="51"/>
        <v>0</v>
      </c>
      <c r="P54" s="476">
        <v>1</v>
      </c>
      <c r="Q54" s="270"/>
      <c r="R54" s="478">
        <f t="shared" si="52"/>
        <v>-1.23E-3</v>
      </c>
      <c r="S54" s="476">
        <v>1</v>
      </c>
      <c r="T54" s="270"/>
      <c r="U54" s="478">
        <f t="shared" si="53"/>
        <v>-6.4999999999999997E-4</v>
      </c>
      <c r="V54" s="476">
        <v>1</v>
      </c>
      <c r="W54" s="270"/>
      <c r="X54" s="478">
        <f t="shared" si="54"/>
        <v>-6.0000000000000002E-5</v>
      </c>
      <c r="Y54" s="899"/>
      <c r="Z54" s="899"/>
      <c r="AA54" s="899"/>
      <c r="AB54" s="899"/>
    </row>
    <row r="55" spans="1:43" s="56" customFormat="1" x14ac:dyDescent="0.2">
      <c r="A55" s="86">
        <f t="shared" si="0"/>
        <v>49</v>
      </c>
      <c r="B55" s="723"/>
      <c r="C55" s="727" t="s">
        <v>9</v>
      </c>
      <c r="D55" s="466">
        <f>'WA Volumes &amp; Revenues'!E56</f>
        <v>0</v>
      </c>
      <c r="E55" s="463">
        <f>'Rates in Detail'!E54</f>
        <v>1.9140000000000001E-2</v>
      </c>
      <c r="F55" s="463">
        <f>'Rates in Detail'!L54+SUM('Rates in Detail'!P54:Q54)</f>
        <v>3.29E-3</v>
      </c>
      <c r="G55" s="463">
        <f t="shared" si="19"/>
        <v>2.2430000000000002E-2</v>
      </c>
      <c r="H55" s="467">
        <f t="shared" si="4"/>
        <v>0</v>
      </c>
      <c r="I55" s="468"/>
      <c r="J55" s="740"/>
      <c r="K55" s="467"/>
      <c r="L55" s="462"/>
      <c r="M55" s="923">
        <v>0</v>
      </c>
      <c r="N55" s="465"/>
      <c r="O55" s="470">
        <f t="shared" si="51"/>
        <v>0</v>
      </c>
      <c r="P55" s="464">
        <v>1</v>
      </c>
      <c r="Q55" s="465"/>
      <c r="R55" s="470">
        <f t="shared" si="52"/>
        <v>-4.6000000000000001E-4</v>
      </c>
      <c r="S55" s="464">
        <v>1</v>
      </c>
      <c r="T55" s="465"/>
      <c r="U55" s="470">
        <f t="shared" si="53"/>
        <v>-2.4000000000000001E-4</v>
      </c>
      <c r="V55" s="464">
        <v>1</v>
      </c>
      <c r="W55" s="465"/>
      <c r="X55" s="470">
        <f t="shared" si="54"/>
        <v>-2.0000000000000002E-5</v>
      </c>
      <c r="Y55" s="899"/>
      <c r="Z55" s="899"/>
      <c r="AA55" s="899"/>
      <c r="AB55" s="899"/>
    </row>
    <row r="56" spans="1:43" s="56" customFormat="1" x14ac:dyDescent="0.2">
      <c r="A56" s="86">
        <f t="shared" si="0"/>
        <v>50</v>
      </c>
      <c r="B56" s="725" t="str">
        <f>'WA Volumes &amp; Revenues'!B57</f>
        <v>42C Interr Sales</v>
      </c>
      <c r="C56" s="726" t="s">
        <v>4</v>
      </c>
      <c r="D56" s="479">
        <f>'WA Volumes &amp; Revenues'!E57</f>
        <v>240000</v>
      </c>
      <c r="E56" s="473">
        <f>'Rates in Detail'!E55</f>
        <v>0.13682000000000002</v>
      </c>
      <c r="F56" s="473">
        <f>'Rates in Detail'!L55+SUM('Rates in Detail'!P55:Q55)</f>
        <v>2.486E-2</v>
      </c>
      <c r="G56" s="473">
        <f t="shared" si="19"/>
        <v>0.16168000000000002</v>
      </c>
      <c r="H56" s="474">
        <f t="shared" si="4"/>
        <v>32837</v>
      </c>
      <c r="I56" s="154">
        <f>'WA Volumes &amp; Revenues'!N57</f>
        <v>1300</v>
      </c>
      <c r="J56" s="371">
        <f>'WA Volumes &amp; Revenues'!H57</f>
        <v>2</v>
      </c>
      <c r="K56" s="474">
        <f>ROUND((I56*J56*12)+H56+H57+H58+H59+H60+H61,0)+'Rev Req Proof Yr1'!Z72</f>
        <v>160513.01702958997</v>
      </c>
      <c r="L56" s="475"/>
      <c r="M56" s="925">
        <v>1</v>
      </c>
      <c r="N56" s="480">
        <f t="shared" ref="N56" si="55">ROUND(+$M$10*(($K56*M56)/M$84),0)</f>
        <v>-5153</v>
      </c>
      <c r="O56" s="478">
        <f>ROUND(E56*$AE$56,5)</f>
        <v>-6.3E-3</v>
      </c>
      <c r="P56" s="476">
        <v>1</v>
      </c>
      <c r="Q56" s="480">
        <f>ROUND(+$P$10*(($K56*P56)/P$84),0)</f>
        <v>-2848</v>
      </c>
      <c r="R56" s="478">
        <f>ROUND(E56*$AI$56,5)</f>
        <v>-3.48E-3</v>
      </c>
      <c r="S56" s="476">
        <v>1</v>
      </c>
      <c r="T56" s="480">
        <f>ROUND(+$S$10*(($K56*S56)/S$84),0)</f>
        <v>-1503</v>
      </c>
      <c r="U56" s="478">
        <f>ROUND(E56*$AM$56,5)</f>
        <v>-1.8400000000000001E-3</v>
      </c>
      <c r="V56" s="476">
        <v>1</v>
      </c>
      <c r="W56" s="480">
        <f>ROUND(+$V$10*(($K56*V56)/V$84),0)</f>
        <v>-145</v>
      </c>
      <c r="X56" s="478">
        <f>ROUND(E56*$AQ$56,5)</f>
        <v>-1.8000000000000001E-4</v>
      </c>
      <c r="Y56" s="899"/>
      <c r="Z56" s="899"/>
      <c r="AA56" s="899"/>
      <c r="AB56" s="899"/>
      <c r="AD56" s="433">
        <f t="shared" ref="AD56" si="56">N56/K56</f>
        <v>-3.2103315328314237E-2</v>
      </c>
      <c r="AE56" s="433">
        <f>N56/SUM($H$56:$H$61)</f>
        <v>-4.6036056962138402E-2</v>
      </c>
      <c r="AH56" s="433">
        <f t="shared" ref="AH56" si="57">Q56/K56</f>
        <v>-1.7743109267424596E-2</v>
      </c>
      <c r="AI56" s="433">
        <f>Q56/SUM($H$56:$H$61)</f>
        <v>-2.5443564957921633E-2</v>
      </c>
      <c r="AL56" s="433">
        <f t="shared" ref="AL56" si="58">T56/K56</f>
        <v>-9.3637265551050446E-3</v>
      </c>
      <c r="AM56" s="433">
        <f>T56/SUM($H$56:$H$61)</f>
        <v>-1.3427555523790805E-2</v>
      </c>
      <c r="AP56" s="433">
        <f t="shared" ref="AP56" si="59">W56/K56</f>
        <v>-9.0335352660694053E-4</v>
      </c>
      <c r="AQ56" s="433">
        <f>W56/SUM($H$56:$H$61)</f>
        <v>-1.2954062215233977E-3</v>
      </c>
    </row>
    <row r="57" spans="1:43" s="56" customFormat="1" x14ac:dyDescent="0.2">
      <c r="A57" s="86">
        <f t="shared" si="0"/>
        <v>51</v>
      </c>
      <c r="B57" s="725"/>
      <c r="C57" s="726" t="s">
        <v>5</v>
      </c>
      <c r="D57" s="479">
        <f>'WA Volumes &amp; Revenues'!E58</f>
        <v>467511</v>
      </c>
      <c r="E57" s="473">
        <f>'Rates in Detail'!E56</f>
        <v>0.12246999999999988</v>
      </c>
      <c r="F57" s="473">
        <f>'Rates in Detail'!L56+SUM('Rates in Detail'!P56:Q56)</f>
        <v>2.2260000000000002E-2</v>
      </c>
      <c r="G57" s="473">
        <f t="shared" si="19"/>
        <v>0.14472999999999989</v>
      </c>
      <c r="H57" s="474">
        <f t="shared" si="4"/>
        <v>57256</v>
      </c>
      <c r="I57" s="154"/>
      <c r="J57" s="371"/>
      <c r="K57" s="474"/>
      <c r="L57" s="475"/>
      <c r="M57" s="925">
        <v>1</v>
      </c>
      <c r="N57" s="270"/>
      <c r="O57" s="478">
        <f t="shared" ref="O57:O61" si="60">ROUND(E57*$AE$56,5)</f>
        <v>-5.64E-3</v>
      </c>
      <c r="P57" s="476">
        <v>1</v>
      </c>
      <c r="Q57" s="270"/>
      <c r="R57" s="478">
        <f t="shared" ref="R57:R61" si="61">ROUND(E57*$AI$56,5)</f>
        <v>-3.1199999999999999E-3</v>
      </c>
      <c r="S57" s="476">
        <v>1</v>
      </c>
      <c r="T57" s="270"/>
      <c r="U57" s="478">
        <f t="shared" ref="U57:U61" si="62">ROUND(E57*$AM$56,5)</f>
        <v>-1.64E-3</v>
      </c>
      <c r="V57" s="476">
        <v>1</v>
      </c>
      <c r="W57" s="270"/>
      <c r="X57" s="478">
        <f t="shared" ref="X57:X61" si="63">ROUND(E57*$AQ$56,5)</f>
        <v>-1.6000000000000001E-4</v>
      </c>
      <c r="Y57" s="899"/>
      <c r="Z57" s="899"/>
      <c r="AA57" s="899"/>
      <c r="AB57" s="899"/>
      <c r="AD57" s="433"/>
    </row>
    <row r="58" spans="1:43" s="56" customFormat="1" x14ac:dyDescent="0.2">
      <c r="A58" s="86">
        <f t="shared" si="0"/>
        <v>52</v>
      </c>
      <c r="B58" s="725"/>
      <c r="C58" s="726" t="s">
        <v>6</v>
      </c>
      <c r="D58" s="479">
        <f>'WA Volumes &amp; Revenues'!E59</f>
        <v>218004</v>
      </c>
      <c r="E58" s="473">
        <f>'Rates in Detail'!E57</f>
        <v>9.3909999999999993E-2</v>
      </c>
      <c r="F58" s="473">
        <f>'Rates in Detail'!L57+SUM('Rates in Detail'!P57:Q57)</f>
        <v>1.7069999999999998E-2</v>
      </c>
      <c r="G58" s="473">
        <f t="shared" si="19"/>
        <v>0.11098</v>
      </c>
      <c r="H58" s="474">
        <f t="shared" si="4"/>
        <v>20473</v>
      </c>
      <c r="I58" s="154"/>
      <c r="J58" s="371"/>
      <c r="K58" s="474"/>
      <c r="L58" s="475"/>
      <c r="M58" s="925">
        <v>1</v>
      </c>
      <c r="N58" s="270"/>
      <c r="O58" s="478">
        <f t="shared" si="60"/>
        <v>-4.3200000000000001E-3</v>
      </c>
      <c r="P58" s="476">
        <v>1</v>
      </c>
      <c r="Q58" s="270"/>
      <c r="R58" s="478">
        <f t="shared" si="61"/>
        <v>-2.3900000000000002E-3</v>
      </c>
      <c r="S58" s="476">
        <v>1</v>
      </c>
      <c r="T58" s="270"/>
      <c r="U58" s="478">
        <f t="shared" si="62"/>
        <v>-1.2600000000000001E-3</v>
      </c>
      <c r="V58" s="476">
        <v>1</v>
      </c>
      <c r="W58" s="270"/>
      <c r="X58" s="478">
        <f t="shared" si="63"/>
        <v>-1.2E-4</v>
      </c>
      <c r="Y58" s="899"/>
      <c r="Z58" s="899"/>
      <c r="AA58" s="899"/>
      <c r="AB58" s="899"/>
    </row>
    <row r="59" spans="1:43" s="56" customFormat="1" x14ac:dyDescent="0.2">
      <c r="A59" s="86">
        <f t="shared" si="0"/>
        <v>53</v>
      </c>
      <c r="B59" s="725"/>
      <c r="C59" s="726" t="s">
        <v>7</v>
      </c>
      <c r="D59" s="479">
        <f>'WA Volumes &amp; Revenues'!E60</f>
        <v>18208</v>
      </c>
      <c r="E59" s="473">
        <f>'Rates in Detail'!E58</f>
        <v>7.5130000000000044E-2</v>
      </c>
      <c r="F59" s="473">
        <f>'Rates in Detail'!L58+SUM('Rates in Detail'!P58:Q58)</f>
        <v>1.3649999999999999E-2</v>
      </c>
      <c r="G59" s="473">
        <f t="shared" si="19"/>
        <v>8.8780000000000039E-2</v>
      </c>
      <c r="H59" s="474">
        <f t="shared" si="4"/>
        <v>1368</v>
      </c>
      <c r="I59" s="154"/>
      <c r="J59" s="371"/>
      <c r="K59" s="474"/>
      <c r="L59" s="475"/>
      <c r="M59" s="925">
        <v>1</v>
      </c>
      <c r="N59" s="270"/>
      <c r="O59" s="478">
        <f t="shared" si="60"/>
        <v>-3.46E-3</v>
      </c>
      <c r="P59" s="476">
        <v>1</v>
      </c>
      <c r="Q59" s="270"/>
      <c r="R59" s="478">
        <f t="shared" si="61"/>
        <v>-1.91E-3</v>
      </c>
      <c r="S59" s="476">
        <v>1</v>
      </c>
      <c r="T59" s="270"/>
      <c r="U59" s="478">
        <f t="shared" si="62"/>
        <v>-1.01E-3</v>
      </c>
      <c r="V59" s="476">
        <v>1</v>
      </c>
      <c r="W59" s="270"/>
      <c r="X59" s="478">
        <f t="shared" si="63"/>
        <v>-1E-4</v>
      </c>
      <c r="Y59" s="899"/>
      <c r="Z59" s="899"/>
      <c r="AA59" s="899"/>
      <c r="AB59" s="899"/>
    </row>
    <row r="60" spans="1:43" s="56" customFormat="1" x14ac:dyDescent="0.2">
      <c r="A60" s="86">
        <f t="shared" si="0"/>
        <v>54</v>
      </c>
      <c r="B60" s="725"/>
      <c r="C60" s="726" t="s">
        <v>8</v>
      </c>
      <c r="D60" s="479">
        <f>'WA Volumes &amp; Revenues'!E61</f>
        <v>0</v>
      </c>
      <c r="E60" s="473">
        <f>'Rates in Detail'!E59</f>
        <v>5.0089999999999968E-2</v>
      </c>
      <c r="F60" s="473">
        <f>'Rates in Detail'!L59+SUM('Rates in Detail'!P59:Q59)</f>
        <v>9.11E-3</v>
      </c>
      <c r="G60" s="473">
        <f t="shared" si="19"/>
        <v>5.9199999999999968E-2</v>
      </c>
      <c r="H60" s="474">
        <f t="shared" si="4"/>
        <v>0</v>
      </c>
      <c r="I60" s="154"/>
      <c r="J60" s="371"/>
      <c r="K60" s="474"/>
      <c r="L60" s="475"/>
      <c r="M60" s="925">
        <v>1</v>
      </c>
      <c r="N60" s="270"/>
      <c r="O60" s="478">
        <f t="shared" si="60"/>
        <v>-2.31E-3</v>
      </c>
      <c r="P60" s="476">
        <v>1</v>
      </c>
      <c r="Q60" s="270"/>
      <c r="R60" s="478">
        <f t="shared" si="61"/>
        <v>-1.2700000000000001E-3</v>
      </c>
      <c r="S60" s="476">
        <v>1</v>
      </c>
      <c r="T60" s="270"/>
      <c r="U60" s="478">
        <f t="shared" si="62"/>
        <v>-6.7000000000000002E-4</v>
      </c>
      <c r="V60" s="476">
        <v>1</v>
      </c>
      <c r="W60" s="270"/>
      <c r="X60" s="478">
        <f t="shared" si="63"/>
        <v>-6.0000000000000002E-5</v>
      </c>
      <c r="Y60" s="899"/>
      <c r="Z60" s="899"/>
      <c r="AA60" s="899"/>
      <c r="AB60" s="899"/>
    </row>
    <row r="61" spans="1:43" s="56" customFormat="1" x14ac:dyDescent="0.2">
      <c r="A61" s="86">
        <f t="shared" si="0"/>
        <v>55</v>
      </c>
      <c r="B61" s="723"/>
      <c r="C61" s="727" t="s">
        <v>9</v>
      </c>
      <c r="D61" s="466">
        <f>'WA Volumes &amp; Revenues'!E62</f>
        <v>0</v>
      </c>
      <c r="E61" s="463">
        <f>'Rates in Detail'!E60</f>
        <v>1.8790000000000001E-2</v>
      </c>
      <c r="F61" s="463">
        <f>'Rates in Detail'!L60+SUM('Rates in Detail'!P60:Q60)</f>
        <v>3.4200000000000003E-3</v>
      </c>
      <c r="G61" s="463">
        <f t="shared" si="19"/>
        <v>2.2210000000000001E-2</v>
      </c>
      <c r="H61" s="467">
        <f t="shared" si="4"/>
        <v>0</v>
      </c>
      <c r="I61" s="468"/>
      <c r="J61" s="740"/>
      <c r="K61" s="467"/>
      <c r="L61" s="462"/>
      <c r="M61" s="923">
        <v>1</v>
      </c>
      <c r="N61" s="465"/>
      <c r="O61" s="470">
        <f t="shared" si="60"/>
        <v>-8.7000000000000001E-4</v>
      </c>
      <c r="P61" s="464">
        <v>1</v>
      </c>
      <c r="Q61" s="465"/>
      <c r="R61" s="470">
        <f t="shared" si="61"/>
        <v>-4.8000000000000001E-4</v>
      </c>
      <c r="S61" s="464">
        <v>1</v>
      </c>
      <c r="T61" s="465"/>
      <c r="U61" s="470">
        <f t="shared" si="62"/>
        <v>-2.5000000000000001E-4</v>
      </c>
      <c r="V61" s="464">
        <v>1</v>
      </c>
      <c r="W61" s="465"/>
      <c r="X61" s="470">
        <f t="shared" si="63"/>
        <v>-2.0000000000000002E-5</v>
      </c>
      <c r="Y61" s="899"/>
      <c r="Z61" s="899"/>
      <c r="AA61" s="899"/>
      <c r="AB61" s="899"/>
    </row>
    <row r="62" spans="1:43" s="56" customFormat="1" x14ac:dyDescent="0.2">
      <c r="A62" s="86">
        <f t="shared" si="0"/>
        <v>56</v>
      </c>
      <c r="B62" s="725" t="str">
        <f>'WA Volumes &amp; Revenues'!B63</f>
        <v>42I Interr Sales</v>
      </c>
      <c r="C62" s="726" t="s">
        <v>4</v>
      </c>
      <c r="D62" s="479">
        <f>'WA Volumes &amp; Revenues'!E63</f>
        <v>156740</v>
      </c>
      <c r="E62" s="473">
        <f>'Rates in Detail'!E61</f>
        <v>0.14583999999999989</v>
      </c>
      <c r="F62" s="473">
        <f>'Rates in Detail'!L61+SUM('Rates in Detail'!P61:Q61)</f>
        <v>3.4299999999999997E-2</v>
      </c>
      <c r="G62" s="473">
        <f t="shared" si="19"/>
        <v>0.18013999999999988</v>
      </c>
      <c r="H62" s="474">
        <f t="shared" si="4"/>
        <v>22859</v>
      </c>
      <c r="I62" s="154">
        <f>'WA Volumes &amp; Revenues'!N63</f>
        <v>1300</v>
      </c>
      <c r="J62" s="371">
        <f>'WA Volumes &amp; Revenues'!H63</f>
        <v>1.9166666666666701</v>
      </c>
      <c r="K62" s="474">
        <f>ROUND((I62*J62*12)+H62+H63+H64+H65+H66+H67,0)+'Rev Req Proof Yr1'!Z79</f>
        <v>81130.543495991747</v>
      </c>
      <c r="L62" s="475"/>
      <c r="M62" s="925">
        <v>0</v>
      </c>
      <c r="N62" s="480">
        <f t="shared" ref="N62" si="64">ROUND(+$M$10*(($K62*M62)/M$84),0)</f>
        <v>0</v>
      </c>
      <c r="O62" s="478">
        <f>ROUND(E62*$AE$62,5)</f>
        <v>0</v>
      </c>
      <c r="P62" s="476">
        <v>1</v>
      </c>
      <c r="Q62" s="480">
        <f>ROUND(+$P$10*(($K62*P62)/P$84),0)</f>
        <v>-1439</v>
      </c>
      <c r="R62" s="478">
        <f>ROUND(E62*$AI$62,5)</f>
        <v>-4.7999999999999996E-3</v>
      </c>
      <c r="S62" s="476">
        <v>1</v>
      </c>
      <c r="T62" s="480">
        <f>ROUND(+$S$10*(($K62*S62)/S$84),0)</f>
        <v>-760</v>
      </c>
      <c r="U62" s="478">
        <f>ROUND(E62*$AM$62,5)</f>
        <v>-2.5400000000000002E-3</v>
      </c>
      <c r="V62" s="476">
        <v>1</v>
      </c>
      <c r="W62" s="480">
        <f>ROUND(+$V$10*(($K62*V62)/V$84),0)</f>
        <v>-73</v>
      </c>
      <c r="X62" s="478">
        <f>ROUND(E62*$AQ$62,5)</f>
        <v>-2.4000000000000001E-4</v>
      </c>
      <c r="Y62" s="899"/>
      <c r="Z62" s="899"/>
      <c r="AA62" s="899"/>
      <c r="AB62" s="899"/>
      <c r="AD62" s="433">
        <f t="shared" ref="AD62" si="65">N62/K62</f>
        <v>0</v>
      </c>
      <c r="AE62" s="433">
        <f>N62/SUM($H$62:$H$67)</f>
        <v>0</v>
      </c>
      <c r="AH62" s="433">
        <f t="shared" ref="AH62" si="66">Q62/K62</f>
        <v>-1.7736846543756898E-2</v>
      </c>
      <c r="AI62" s="433">
        <f>Q62/SUM($H$62:$H$67)</f>
        <v>-3.2923787951586701E-2</v>
      </c>
      <c r="AL62" s="433">
        <f t="shared" ref="AL62" si="67">T62/K62</f>
        <v>-9.3676187444442279E-3</v>
      </c>
      <c r="AM62" s="433">
        <f>T62/SUM($H$62:$H$67)</f>
        <v>-1.7388519001532935E-2</v>
      </c>
      <c r="AP62" s="433">
        <f t="shared" ref="AP62" si="68">W62/K62</f>
        <v>-8.9978443203214285E-4</v>
      </c>
      <c r="AQ62" s="433">
        <f>W62/SUM($H$62:$H$67)</f>
        <v>-1.6702130093577687E-3</v>
      </c>
    </row>
    <row r="63" spans="1:43" s="56" customFormat="1" x14ac:dyDescent="0.2">
      <c r="A63" s="86">
        <f t="shared" si="0"/>
        <v>57</v>
      </c>
      <c r="B63" s="725"/>
      <c r="C63" s="726" t="s">
        <v>5</v>
      </c>
      <c r="D63" s="479">
        <f>'WA Volumes &amp; Revenues'!E64</f>
        <v>159690</v>
      </c>
      <c r="E63" s="473">
        <f>'Rates in Detail'!E62</f>
        <v>0.13054999999999992</v>
      </c>
      <c r="F63" s="473">
        <f>'Rates in Detail'!L62+SUM('Rates in Detail'!P62:Q62)</f>
        <v>3.0710000000000001E-2</v>
      </c>
      <c r="G63" s="473">
        <f t="shared" si="19"/>
        <v>0.1612599999999999</v>
      </c>
      <c r="H63" s="474">
        <f t="shared" si="4"/>
        <v>20848</v>
      </c>
      <c r="I63" s="154"/>
      <c r="J63" s="371"/>
      <c r="K63" s="474"/>
      <c r="L63" s="475"/>
      <c r="M63" s="925">
        <v>0</v>
      </c>
      <c r="N63" s="270"/>
      <c r="O63" s="478">
        <f t="shared" ref="O63:O67" si="69">ROUND(E63*$AE$62,5)</f>
        <v>0</v>
      </c>
      <c r="P63" s="476">
        <v>1</v>
      </c>
      <c r="Q63" s="270"/>
      <c r="R63" s="478">
        <f t="shared" ref="R63:R67" si="70">ROUND(E63*$AI$62,5)</f>
        <v>-4.3E-3</v>
      </c>
      <c r="S63" s="476">
        <v>1</v>
      </c>
      <c r="T63" s="270"/>
      <c r="U63" s="478">
        <f t="shared" ref="U63:U67" si="71">ROUND(E63*$AM$62,5)</f>
        <v>-2.2699999999999999E-3</v>
      </c>
      <c r="V63" s="476">
        <v>1</v>
      </c>
      <c r="W63" s="270"/>
      <c r="X63" s="478">
        <f t="shared" ref="X63:X67" si="72">ROUND(E63*$AQ$62,5)</f>
        <v>-2.2000000000000001E-4</v>
      </c>
      <c r="Y63" s="899"/>
      <c r="Z63" s="899"/>
      <c r="AA63" s="899"/>
      <c r="AB63" s="899"/>
    </row>
    <row r="64" spans="1:43" s="56" customFormat="1" x14ac:dyDescent="0.2">
      <c r="A64" s="86">
        <f t="shared" si="0"/>
        <v>58</v>
      </c>
      <c r="B64" s="725"/>
      <c r="C64" s="726" t="s">
        <v>6</v>
      </c>
      <c r="D64" s="479">
        <f>'WA Volumes &amp; Revenues'!E65</f>
        <v>0</v>
      </c>
      <c r="E64" s="473">
        <f>'Rates in Detail'!E63</f>
        <v>0.10011</v>
      </c>
      <c r="F64" s="473">
        <f>'Rates in Detail'!L63+SUM('Rates in Detail'!P63:Q63)</f>
        <v>2.3550000000000001E-2</v>
      </c>
      <c r="G64" s="473">
        <f t="shared" si="19"/>
        <v>0.12366000000000001</v>
      </c>
      <c r="H64" s="474">
        <f t="shared" si="4"/>
        <v>0</v>
      </c>
      <c r="I64" s="154"/>
      <c r="J64" s="371"/>
      <c r="K64" s="474"/>
      <c r="L64" s="475"/>
      <c r="M64" s="925">
        <v>0</v>
      </c>
      <c r="N64" s="270"/>
      <c r="O64" s="478">
        <f t="shared" si="69"/>
        <v>0</v>
      </c>
      <c r="P64" s="476">
        <v>1</v>
      </c>
      <c r="Q64" s="270"/>
      <c r="R64" s="478">
        <f t="shared" si="70"/>
        <v>-3.3E-3</v>
      </c>
      <c r="S64" s="476">
        <v>1</v>
      </c>
      <c r="T64" s="270"/>
      <c r="U64" s="478">
        <f t="shared" si="71"/>
        <v>-1.74E-3</v>
      </c>
      <c r="V64" s="476">
        <v>1</v>
      </c>
      <c r="W64" s="270"/>
      <c r="X64" s="478">
        <f t="shared" si="72"/>
        <v>-1.7000000000000001E-4</v>
      </c>
      <c r="Y64" s="899"/>
      <c r="Z64" s="899"/>
      <c r="AA64" s="899"/>
      <c r="AB64" s="899"/>
    </row>
    <row r="65" spans="1:43" s="56" customFormat="1" x14ac:dyDescent="0.2">
      <c r="A65" s="86">
        <f t="shared" si="0"/>
        <v>59</v>
      </c>
      <c r="B65" s="725"/>
      <c r="C65" s="726" t="s">
        <v>7</v>
      </c>
      <c r="D65" s="479">
        <f>'WA Volumes &amp; Revenues'!E66</f>
        <v>0</v>
      </c>
      <c r="E65" s="473">
        <f>'Rates in Detail'!E64</f>
        <v>8.0089999999999995E-2</v>
      </c>
      <c r="F65" s="473">
        <f>'Rates in Detail'!L64+SUM('Rates in Detail'!P64:Q64)</f>
        <v>1.8840000000000003E-2</v>
      </c>
      <c r="G65" s="473">
        <f t="shared" si="19"/>
        <v>9.892999999999999E-2</v>
      </c>
      <c r="H65" s="474">
        <f t="shared" si="4"/>
        <v>0</v>
      </c>
      <c r="I65" s="154"/>
      <c r="J65" s="371"/>
      <c r="K65" s="474"/>
      <c r="L65" s="475"/>
      <c r="M65" s="925">
        <v>0</v>
      </c>
      <c r="N65" s="270"/>
      <c r="O65" s="478">
        <f t="shared" si="69"/>
        <v>0</v>
      </c>
      <c r="P65" s="476">
        <v>1</v>
      </c>
      <c r="Q65" s="270"/>
      <c r="R65" s="478">
        <f t="shared" si="70"/>
        <v>-2.64E-3</v>
      </c>
      <c r="S65" s="476">
        <v>1</v>
      </c>
      <c r="T65" s="270"/>
      <c r="U65" s="478">
        <f t="shared" si="71"/>
        <v>-1.39E-3</v>
      </c>
      <c r="V65" s="476">
        <v>1</v>
      </c>
      <c r="W65" s="270"/>
      <c r="X65" s="478">
        <f t="shared" si="72"/>
        <v>-1.2999999999999999E-4</v>
      </c>
      <c r="Y65" s="899"/>
      <c r="Z65" s="899"/>
      <c r="AA65" s="899"/>
      <c r="AB65" s="899"/>
    </row>
    <row r="66" spans="1:43" s="56" customFormat="1" x14ac:dyDescent="0.2">
      <c r="A66" s="86">
        <f t="shared" si="0"/>
        <v>60</v>
      </c>
      <c r="B66" s="725"/>
      <c r="C66" s="726" t="s">
        <v>8</v>
      </c>
      <c r="D66" s="479">
        <f>'WA Volumes &amp; Revenues'!E67</f>
        <v>0</v>
      </c>
      <c r="E66" s="473">
        <f>'Rates in Detail'!E65</f>
        <v>5.339E-2</v>
      </c>
      <c r="F66" s="473">
        <f>'Rates in Detail'!L65+SUM('Rates in Detail'!P65:Q65)</f>
        <v>1.256E-2</v>
      </c>
      <c r="G66" s="473">
        <f t="shared" si="19"/>
        <v>6.5949999999999995E-2</v>
      </c>
      <c r="H66" s="474">
        <f t="shared" si="4"/>
        <v>0</v>
      </c>
      <c r="I66" s="154"/>
      <c r="J66" s="371"/>
      <c r="K66" s="474"/>
      <c r="L66" s="475"/>
      <c r="M66" s="925">
        <v>0</v>
      </c>
      <c r="N66" s="270"/>
      <c r="O66" s="478">
        <f t="shared" si="69"/>
        <v>0</v>
      </c>
      <c r="P66" s="476">
        <v>1</v>
      </c>
      <c r="Q66" s="270"/>
      <c r="R66" s="478">
        <f t="shared" si="70"/>
        <v>-1.7600000000000001E-3</v>
      </c>
      <c r="S66" s="476">
        <v>1</v>
      </c>
      <c r="T66" s="270"/>
      <c r="U66" s="478">
        <f t="shared" si="71"/>
        <v>-9.3000000000000005E-4</v>
      </c>
      <c r="V66" s="476">
        <v>1</v>
      </c>
      <c r="W66" s="270"/>
      <c r="X66" s="478">
        <f t="shared" si="72"/>
        <v>-9.0000000000000006E-5</v>
      </c>
      <c r="Y66" s="899"/>
      <c r="Z66" s="899"/>
      <c r="AA66" s="899"/>
      <c r="AB66" s="899"/>
    </row>
    <row r="67" spans="1:43" s="56" customFormat="1" x14ac:dyDescent="0.2">
      <c r="A67" s="86">
        <f t="shared" si="0"/>
        <v>61</v>
      </c>
      <c r="B67" s="723"/>
      <c r="C67" s="727" t="s">
        <v>9</v>
      </c>
      <c r="D67" s="466">
        <f>'WA Volumes &amp; Revenues'!E68</f>
        <v>0</v>
      </c>
      <c r="E67" s="463">
        <f>'Rates in Detail'!E66</f>
        <v>2.002E-2</v>
      </c>
      <c r="F67" s="463">
        <f>'Rates in Detail'!L66+SUM('Rates in Detail'!P66:Q66)</f>
        <v>4.7100000000000006E-3</v>
      </c>
      <c r="G67" s="463">
        <f t="shared" si="19"/>
        <v>2.4730000000000002E-2</v>
      </c>
      <c r="H67" s="467">
        <f t="shared" si="4"/>
        <v>0</v>
      </c>
      <c r="I67" s="468"/>
      <c r="J67" s="740"/>
      <c r="K67" s="467"/>
      <c r="L67" s="462"/>
      <c r="M67" s="923">
        <v>0</v>
      </c>
      <c r="N67" s="465"/>
      <c r="O67" s="470">
        <f t="shared" si="69"/>
        <v>0</v>
      </c>
      <c r="P67" s="464">
        <v>1</v>
      </c>
      <c r="Q67" s="465"/>
      <c r="R67" s="470">
        <f t="shared" si="70"/>
        <v>-6.6E-4</v>
      </c>
      <c r="S67" s="464">
        <v>1</v>
      </c>
      <c r="T67" s="465"/>
      <c r="U67" s="470">
        <f t="shared" si="71"/>
        <v>-3.5E-4</v>
      </c>
      <c r="V67" s="464">
        <v>1</v>
      </c>
      <c r="W67" s="465"/>
      <c r="X67" s="470">
        <f t="shared" si="72"/>
        <v>-3.0000000000000001E-5</v>
      </c>
      <c r="Y67" s="899"/>
      <c r="Z67" s="899"/>
      <c r="AA67" s="899"/>
      <c r="AB67" s="899"/>
    </row>
    <row r="68" spans="1:43" s="56" customFormat="1" x14ac:dyDescent="0.2">
      <c r="A68" s="86">
        <f t="shared" si="0"/>
        <v>62</v>
      </c>
      <c r="B68" s="725" t="str">
        <f>'WA Volumes &amp; Revenues'!B69</f>
        <v>42C Inter Transpt</v>
      </c>
      <c r="C68" s="726" t="s">
        <v>4</v>
      </c>
      <c r="D68" s="479">
        <f>'WA Volumes &amp; Revenues'!E69</f>
        <v>0</v>
      </c>
      <c r="E68" s="481">
        <f>'Rates in Detail'!E67</f>
        <v>0.13402999999999998</v>
      </c>
      <c r="F68" s="481">
        <f>'Rates in Detail'!L67+SUM('Rates in Detail'!P67:Q67)</f>
        <v>1.5730000000000001E-2</v>
      </c>
      <c r="G68" s="481">
        <f t="shared" si="19"/>
        <v>0.14975999999999998</v>
      </c>
      <c r="H68" s="474">
        <f t="shared" si="4"/>
        <v>0</v>
      </c>
      <c r="I68" s="154">
        <f>'WA Volumes &amp; Revenues'!N69</f>
        <v>1550</v>
      </c>
      <c r="J68" s="371">
        <f>'WA Volumes &amp; Revenues'!H69</f>
        <v>0</v>
      </c>
      <c r="K68" s="474">
        <f>ROUND((I68*J68*12)+H68+H69+H70+H71+H72+H73,0)+'Rev Req Proof Yr1'!Z86</f>
        <v>0</v>
      </c>
      <c r="L68" s="482"/>
      <c r="M68" s="925">
        <v>0</v>
      </c>
      <c r="N68" s="480">
        <f t="shared" ref="N68" si="73">ROUND(+$M$10*(($K68*M68)/M$84),0)</f>
        <v>0</v>
      </c>
      <c r="O68" s="478">
        <f>ROUND(E68*$AE$68,5)</f>
        <v>0</v>
      </c>
      <c r="P68" s="476">
        <v>1</v>
      </c>
      <c r="Q68" s="480">
        <f>ROUND(+$P$10*(($K68*P68)/P$84),0)</f>
        <v>0</v>
      </c>
      <c r="R68" s="478">
        <f>ROUND(E68*$AI$68,5)</f>
        <v>-2.3800000000000002E-3</v>
      </c>
      <c r="S68" s="476">
        <v>1</v>
      </c>
      <c r="T68" s="480">
        <f>ROUND(+$S$10*(($K68*S68)/S$84),0)</f>
        <v>0</v>
      </c>
      <c r="U68" s="478">
        <f>ROUND(E68*$AM$68,5)</f>
        <v>-1.2600000000000001E-3</v>
      </c>
      <c r="V68" s="476">
        <v>1</v>
      </c>
      <c r="W68" s="480">
        <f>ROUND(+$V$10*(($K68*V68)/V$84),0)</f>
        <v>0</v>
      </c>
      <c r="X68" s="478">
        <f>ROUND(E68*$AQ$68,5)</f>
        <v>-1.2E-4</v>
      </c>
      <c r="Y68" s="899"/>
      <c r="Z68" s="899"/>
      <c r="AA68" s="899"/>
      <c r="AB68" s="899"/>
      <c r="AD68" s="433">
        <f>$AD$22</f>
        <v>0</v>
      </c>
      <c r="AE68" s="433">
        <f>$AE$22</f>
        <v>0</v>
      </c>
      <c r="AH68" s="433">
        <f>$AH$22</f>
        <v>-1.7740078228791385E-2</v>
      </c>
      <c r="AI68" s="433">
        <f>AH68</f>
        <v>-1.7740078228791385E-2</v>
      </c>
      <c r="AL68" s="433">
        <f>$AL$22</f>
        <v>-9.3654368481358094E-3</v>
      </c>
      <c r="AM68" s="1138">
        <f>AL68</f>
        <v>-9.3654368481358094E-3</v>
      </c>
      <c r="AP68" s="433">
        <f>$AP$22</f>
        <v>-9.0164934572751609E-4</v>
      </c>
      <c r="AQ68" s="1138">
        <f>AP68</f>
        <v>-9.0164934572751609E-4</v>
      </c>
    </row>
    <row r="69" spans="1:43" s="56" customFormat="1" x14ac:dyDescent="0.2">
      <c r="A69" s="86">
        <f t="shared" si="0"/>
        <v>63</v>
      </c>
      <c r="B69" s="725"/>
      <c r="C69" s="726" t="s">
        <v>5</v>
      </c>
      <c r="D69" s="479">
        <f>'WA Volumes &amp; Revenues'!E70</f>
        <v>0</v>
      </c>
      <c r="E69" s="481">
        <f>'Rates in Detail'!E68</f>
        <v>0.11997999999999999</v>
      </c>
      <c r="F69" s="481">
        <f>'Rates in Detail'!L68+SUM('Rates in Detail'!P68:Q68)</f>
        <v>1.409E-2</v>
      </c>
      <c r="G69" s="481">
        <f t="shared" si="19"/>
        <v>0.13406999999999999</v>
      </c>
      <c r="H69" s="474">
        <f t="shared" si="4"/>
        <v>0</v>
      </c>
      <c r="I69" s="154"/>
      <c r="J69" s="371"/>
      <c r="K69" s="474"/>
      <c r="L69" s="482"/>
      <c r="M69" s="925">
        <v>0</v>
      </c>
      <c r="N69" s="270"/>
      <c r="O69" s="478">
        <f t="shared" ref="O69:O73" si="74">ROUND(E69*$AE$68,5)</f>
        <v>0</v>
      </c>
      <c r="P69" s="476">
        <v>1</v>
      </c>
      <c r="Q69" s="270"/>
      <c r="R69" s="478">
        <f t="shared" ref="R69:R73" si="75">ROUND(E69*$AI$68,5)</f>
        <v>-2.1299999999999999E-3</v>
      </c>
      <c r="S69" s="476">
        <v>1</v>
      </c>
      <c r="T69" s="270"/>
      <c r="U69" s="478">
        <f t="shared" ref="U69:U73" si="76">ROUND(E69*$AM$68,5)</f>
        <v>-1.1199999999999999E-3</v>
      </c>
      <c r="V69" s="476">
        <v>1</v>
      </c>
      <c r="W69" s="270"/>
      <c r="X69" s="478">
        <f t="shared" ref="X69:X73" si="77">ROUND(E69*$AQ$68,5)</f>
        <v>-1.1E-4</v>
      </c>
      <c r="Y69" s="899"/>
      <c r="Z69" s="899"/>
      <c r="AA69" s="899"/>
      <c r="AB69" s="899"/>
    </row>
    <row r="70" spans="1:43" s="56" customFormat="1" x14ac:dyDescent="0.2">
      <c r="A70" s="86">
        <f t="shared" si="0"/>
        <v>64</v>
      </c>
      <c r="B70" s="725"/>
      <c r="C70" s="726" t="s">
        <v>6</v>
      </c>
      <c r="D70" s="479">
        <f>'WA Volumes &amp; Revenues'!E71</f>
        <v>0</v>
      </c>
      <c r="E70" s="481">
        <f>'Rates in Detail'!E69</f>
        <v>9.1999999999999998E-2</v>
      </c>
      <c r="F70" s="481">
        <f>'Rates in Detail'!L69+SUM('Rates in Detail'!P69:Q69)</f>
        <v>1.0800000000000001E-2</v>
      </c>
      <c r="G70" s="481">
        <f t="shared" si="19"/>
        <v>0.1028</v>
      </c>
      <c r="H70" s="474">
        <f t="shared" si="4"/>
        <v>0</v>
      </c>
      <c r="I70" s="154"/>
      <c r="J70" s="371"/>
      <c r="K70" s="474"/>
      <c r="L70" s="482"/>
      <c r="M70" s="925">
        <v>0</v>
      </c>
      <c r="N70" s="270"/>
      <c r="O70" s="478">
        <f t="shared" si="74"/>
        <v>0</v>
      </c>
      <c r="P70" s="476">
        <v>1</v>
      </c>
      <c r="Q70" s="270"/>
      <c r="R70" s="478">
        <f t="shared" si="75"/>
        <v>-1.6299999999999999E-3</v>
      </c>
      <c r="S70" s="476">
        <v>1</v>
      </c>
      <c r="T70" s="270"/>
      <c r="U70" s="478">
        <f t="shared" si="76"/>
        <v>-8.5999999999999998E-4</v>
      </c>
      <c r="V70" s="476">
        <v>1</v>
      </c>
      <c r="W70" s="270"/>
      <c r="X70" s="478">
        <f t="shared" si="77"/>
        <v>-8.0000000000000007E-5</v>
      </c>
      <c r="Y70" s="899"/>
      <c r="Z70" s="899"/>
      <c r="AA70" s="899"/>
      <c r="AB70" s="899"/>
    </row>
    <row r="71" spans="1:43" s="56" customFormat="1" x14ac:dyDescent="0.2">
      <c r="A71" s="86">
        <f t="shared" si="0"/>
        <v>65</v>
      </c>
      <c r="B71" s="725"/>
      <c r="C71" s="726" t="s">
        <v>7</v>
      </c>
      <c r="D71" s="479">
        <f>'WA Volumes &amp; Revenues'!E72</f>
        <v>0</v>
      </c>
      <c r="E71" s="481">
        <f>'Rates in Detail'!E70</f>
        <v>7.3609999999999995E-2</v>
      </c>
      <c r="F71" s="481">
        <f>'Rates in Detail'!L70+SUM('Rates in Detail'!P70:Q70)</f>
        <v>8.6400000000000001E-3</v>
      </c>
      <c r="G71" s="481">
        <f t="shared" si="19"/>
        <v>8.224999999999999E-2</v>
      </c>
      <c r="H71" s="474">
        <f t="shared" si="4"/>
        <v>0</v>
      </c>
      <c r="I71" s="154"/>
      <c r="J71" s="371"/>
      <c r="K71" s="474"/>
      <c r="L71" s="482"/>
      <c r="M71" s="925">
        <v>0</v>
      </c>
      <c r="N71" s="270"/>
      <c r="O71" s="478">
        <f t="shared" si="74"/>
        <v>0</v>
      </c>
      <c r="P71" s="476">
        <v>1</v>
      </c>
      <c r="Q71" s="270"/>
      <c r="R71" s="478">
        <f t="shared" si="75"/>
        <v>-1.31E-3</v>
      </c>
      <c r="S71" s="476">
        <v>1</v>
      </c>
      <c r="T71" s="270"/>
      <c r="U71" s="478">
        <f t="shared" si="76"/>
        <v>-6.8999999999999997E-4</v>
      </c>
      <c r="V71" s="476">
        <v>1</v>
      </c>
      <c r="W71" s="270"/>
      <c r="X71" s="478">
        <f t="shared" si="77"/>
        <v>-6.9999999999999994E-5</v>
      </c>
      <c r="Y71" s="899"/>
      <c r="Z71" s="899"/>
      <c r="AA71" s="899"/>
      <c r="AB71" s="899"/>
    </row>
    <row r="72" spans="1:43" s="56" customFormat="1" x14ac:dyDescent="0.2">
      <c r="A72" s="86">
        <f t="shared" si="0"/>
        <v>66</v>
      </c>
      <c r="B72" s="725"/>
      <c r="C72" s="726" t="s">
        <v>8</v>
      </c>
      <c r="D72" s="479">
        <f>'WA Volumes &amp; Revenues'!E73</f>
        <v>0</v>
      </c>
      <c r="E72" s="481">
        <f>'Rates in Detail'!E71</f>
        <v>4.9079999999999999E-2</v>
      </c>
      <c r="F72" s="481">
        <f>'Rates in Detail'!L71+SUM('Rates in Detail'!P71:Q71)</f>
        <v>5.7599999999999995E-3</v>
      </c>
      <c r="G72" s="481">
        <f t="shared" si="19"/>
        <v>5.484E-2</v>
      </c>
      <c r="H72" s="474">
        <f t="shared" si="4"/>
        <v>0</v>
      </c>
      <c r="I72" s="154"/>
      <c r="J72" s="371"/>
      <c r="K72" s="474"/>
      <c r="L72" s="482"/>
      <c r="M72" s="925">
        <v>0</v>
      </c>
      <c r="N72" s="270"/>
      <c r="O72" s="478">
        <f t="shared" si="74"/>
        <v>0</v>
      </c>
      <c r="P72" s="476">
        <v>1</v>
      </c>
      <c r="Q72" s="270"/>
      <c r="R72" s="478">
        <f t="shared" si="75"/>
        <v>-8.7000000000000001E-4</v>
      </c>
      <c r="S72" s="476">
        <v>1</v>
      </c>
      <c r="T72" s="270"/>
      <c r="U72" s="478">
        <f t="shared" si="76"/>
        <v>-4.6000000000000001E-4</v>
      </c>
      <c r="V72" s="476">
        <v>1</v>
      </c>
      <c r="W72" s="270"/>
      <c r="X72" s="478">
        <f t="shared" si="77"/>
        <v>-4.0000000000000003E-5</v>
      </c>
      <c r="Y72" s="899"/>
      <c r="Z72" s="899"/>
      <c r="AA72" s="899"/>
      <c r="AB72" s="899"/>
    </row>
    <row r="73" spans="1:43" s="56" customFormat="1" x14ac:dyDescent="0.2">
      <c r="A73" s="86">
        <f t="shared" si="0"/>
        <v>67</v>
      </c>
      <c r="B73" s="723"/>
      <c r="C73" s="727" t="s">
        <v>9</v>
      </c>
      <c r="D73" s="466">
        <f>'WA Volumes &amp; Revenues'!E74</f>
        <v>0</v>
      </c>
      <c r="E73" s="483">
        <f>'Rates in Detail'!E72</f>
        <v>1.839E-2</v>
      </c>
      <c r="F73" s="483">
        <f>'Rates in Detail'!L72+SUM('Rates in Detail'!P72:Q72)</f>
        <v>2.16E-3</v>
      </c>
      <c r="G73" s="483">
        <f t="shared" si="19"/>
        <v>2.0549999999999999E-2</v>
      </c>
      <c r="H73" s="467">
        <f t="shared" si="4"/>
        <v>0</v>
      </c>
      <c r="I73" s="468"/>
      <c r="J73" s="740"/>
      <c r="K73" s="467"/>
      <c r="L73" s="484"/>
      <c r="M73" s="923">
        <v>0</v>
      </c>
      <c r="N73" s="465"/>
      <c r="O73" s="470">
        <f t="shared" si="74"/>
        <v>0</v>
      </c>
      <c r="P73" s="464">
        <v>1</v>
      </c>
      <c r="Q73" s="465"/>
      <c r="R73" s="470">
        <f t="shared" si="75"/>
        <v>-3.3E-4</v>
      </c>
      <c r="S73" s="464">
        <v>1</v>
      </c>
      <c r="T73" s="465"/>
      <c r="U73" s="470">
        <f t="shared" si="76"/>
        <v>-1.7000000000000001E-4</v>
      </c>
      <c r="V73" s="464">
        <v>1</v>
      </c>
      <c r="W73" s="465"/>
      <c r="X73" s="470">
        <f t="shared" si="77"/>
        <v>-2.0000000000000002E-5</v>
      </c>
      <c r="Y73" s="899"/>
      <c r="Z73" s="899"/>
      <c r="AA73" s="899"/>
      <c r="AB73" s="899"/>
    </row>
    <row r="74" spans="1:43" s="56" customFormat="1" x14ac:dyDescent="0.2">
      <c r="A74" s="86">
        <f t="shared" si="0"/>
        <v>68</v>
      </c>
      <c r="B74" s="725" t="str">
        <f>'WA Volumes &amp; Revenues'!B75</f>
        <v>42I Inter Transpt</v>
      </c>
      <c r="C74" s="726" t="s">
        <v>4</v>
      </c>
      <c r="D74" s="479">
        <f>'WA Volumes &amp; Revenues'!E75</f>
        <v>844078</v>
      </c>
      <c r="E74" s="481">
        <f>'Rates in Detail'!E73</f>
        <v>0.13402999999999998</v>
      </c>
      <c r="F74" s="481">
        <f>'Rates in Detail'!L73+SUM('Rates in Detail'!P73:Q73)</f>
        <v>2.017E-2</v>
      </c>
      <c r="G74" s="481">
        <f t="shared" si="19"/>
        <v>0.15419999999999998</v>
      </c>
      <c r="H74" s="474">
        <f t="shared" si="4"/>
        <v>113132</v>
      </c>
      <c r="I74" s="154">
        <f>'WA Volumes &amp; Revenues'!N75</f>
        <v>1550</v>
      </c>
      <c r="J74" s="371">
        <f>'WA Volumes &amp; Revenues'!H75</f>
        <v>7</v>
      </c>
      <c r="K74" s="474">
        <f>ROUND((I74*J74*12)+H74+H75+H76+H77+H78+H79,0)+'Rev Req Proof Yr1'!Z93</f>
        <v>825480</v>
      </c>
      <c r="L74" s="482"/>
      <c r="M74" s="925">
        <v>0</v>
      </c>
      <c r="N74" s="480">
        <f t="shared" ref="N74" si="78">ROUND(+$M$10*(($K74*M74)/M$84),0)</f>
        <v>0</v>
      </c>
      <c r="O74" s="478">
        <f>ROUND(E74*$AE$74,5)</f>
        <v>0</v>
      </c>
      <c r="P74" s="476">
        <v>1</v>
      </c>
      <c r="Q74" s="480">
        <f>ROUND(+$P$10*(($K74*P74)/P$84),0)</f>
        <v>-14645</v>
      </c>
      <c r="R74" s="478">
        <f>ROUND(E74*$AI$74,5)</f>
        <v>-2.82E-3</v>
      </c>
      <c r="S74" s="476">
        <v>1</v>
      </c>
      <c r="T74" s="480">
        <f>ROUND(+$S$10*(($K74*S74)/S$84),0)</f>
        <v>-7730</v>
      </c>
      <c r="U74" s="478">
        <f>ROUND(E74*$AM$74,5)</f>
        <v>-1.49E-3</v>
      </c>
      <c r="V74" s="476">
        <v>1</v>
      </c>
      <c r="W74" s="480">
        <f>ROUND(+$V$10*(($K74*V74)/V$84),0)</f>
        <v>-745</v>
      </c>
      <c r="X74" s="478">
        <f>ROUND(E74*$AQ$74,5)</f>
        <v>-1.3999999999999999E-4</v>
      </c>
      <c r="Y74" s="899"/>
      <c r="Z74" s="899"/>
      <c r="AA74" s="899"/>
      <c r="AB74" s="899"/>
      <c r="AD74" s="433">
        <f t="shared" ref="AD74" si="79">N74/K74</f>
        <v>0</v>
      </c>
      <c r="AE74" s="433">
        <f>M74/SUM($H$74:$H$79)</f>
        <v>0</v>
      </c>
      <c r="AH74" s="433">
        <f t="shared" ref="AH74" si="80">Q74/K74</f>
        <v>-1.7741193002858941E-2</v>
      </c>
      <c r="AI74" s="433">
        <f>Q74/SUM($H$74:$H$79)</f>
        <v>-2.1063456449200321E-2</v>
      </c>
      <c r="AL74" s="433">
        <f t="shared" ref="AL74" si="81">T74/K74</f>
        <v>-9.3642486795561374E-3</v>
      </c>
      <c r="AM74" s="433">
        <f>T74/SUM($H$74:$H$79)</f>
        <v>-1.1117823035323899E-2</v>
      </c>
      <c r="AP74" s="433">
        <f t="shared" ref="AP74" si="82">W74/K74</f>
        <v>-9.0250520909046852E-4</v>
      </c>
      <c r="AQ74" s="433">
        <f>W74/SUM($H$74:$H$79)</f>
        <v>-1.0715107582556667E-3</v>
      </c>
    </row>
    <row r="75" spans="1:43" s="56" customFormat="1" x14ac:dyDescent="0.2">
      <c r="A75" s="86">
        <f t="shared" si="0"/>
        <v>69</v>
      </c>
      <c r="B75" s="725"/>
      <c r="C75" s="726" t="s">
        <v>5</v>
      </c>
      <c r="D75" s="479">
        <f>'WA Volumes &amp; Revenues'!E76</f>
        <v>1445175</v>
      </c>
      <c r="E75" s="481">
        <f>'Rates in Detail'!E74</f>
        <v>0.11997999999999999</v>
      </c>
      <c r="F75" s="481">
        <f>'Rates in Detail'!L74+SUM('Rates in Detail'!P74:Q74)</f>
        <v>1.806E-2</v>
      </c>
      <c r="G75" s="481">
        <f t="shared" si="19"/>
        <v>0.13804</v>
      </c>
      <c r="H75" s="474">
        <f t="shared" si="4"/>
        <v>173392</v>
      </c>
      <c r="I75" s="154"/>
      <c r="J75" s="371"/>
      <c r="K75" s="474"/>
      <c r="L75" s="482"/>
      <c r="M75" s="925">
        <v>0</v>
      </c>
      <c r="N75" s="270"/>
      <c r="O75" s="478">
        <f t="shared" ref="O75:O79" si="83">ROUND(E75*$AE$74,5)</f>
        <v>0</v>
      </c>
      <c r="P75" s="476">
        <v>1</v>
      </c>
      <c r="Q75" s="270"/>
      <c r="R75" s="478">
        <f t="shared" ref="R75:R79" si="84">ROUND(E75*$AI$74,5)</f>
        <v>-2.5300000000000001E-3</v>
      </c>
      <c r="S75" s="476">
        <v>1</v>
      </c>
      <c r="T75" s="270"/>
      <c r="U75" s="478">
        <f t="shared" ref="U75:U78" si="85">ROUND(E75*$AM$74,5)</f>
        <v>-1.33E-3</v>
      </c>
      <c r="V75" s="476">
        <v>1</v>
      </c>
      <c r="W75" s="270"/>
      <c r="X75" s="478">
        <f t="shared" ref="X75:X79" si="86">ROUND(E75*$AQ$74,5)</f>
        <v>-1.2999999999999999E-4</v>
      </c>
      <c r="Y75" s="899"/>
      <c r="Z75" s="899"/>
      <c r="AA75" s="899"/>
      <c r="AB75" s="899"/>
    </row>
    <row r="76" spans="1:43" s="56" customFormat="1" x14ac:dyDescent="0.2">
      <c r="A76" s="86">
        <f t="shared" si="0"/>
        <v>70</v>
      </c>
      <c r="B76" s="725"/>
      <c r="C76" s="726" t="s">
        <v>6</v>
      </c>
      <c r="D76" s="479">
        <f>'WA Volumes &amp; Revenues'!E77</f>
        <v>1034978</v>
      </c>
      <c r="E76" s="481">
        <f>'Rates in Detail'!E75</f>
        <v>9.1999999999999998E-2</v>
      </c>
      <c r="F76" s="481">
        <f>'Rates in Detail'!L75+SUM('Rates in Detail'!P75:Q75)</f>
        <v>1.3849999999999999E-2</v>
      </c>
      <c r="G76" s="481">
        <f t="shared" si="19"/>
        <v>0.10585</v>
      </c>
      <c r="H76" s="474">
        <f t="shared" si="4"/>
        <v>95218</v>
      </c>
      <c r="I76" s="154"/>
      <c r="J76" s="371"/>
      <c r="K76" s="474"/>
      <c r="L76" s="482"/>
      <c r="M76" s="925">
        <v>0</v>
      </c>
      <c r="N76" s="270"/>
      <c r="O76" s="478">
        <f t="shared" si="83"/>
        <v>0</v>
      </c>
      <c r="P76" s="476">
        <v>1</v>
      </c>
      <c r="Q76" s="270"/>
      <c r="R76" s="478">
        <f t="shared" si="84"/>
        <v>-1.9400000000000001E-3</v>
      </c>
      <c r="S76" s="476">
        <v>1</v>
      </c>
      <c r="T76" s="270"/>
      <c r="U76" s="478">
        <f t="shared" si="85"/>
        <v>-1.0200000000000001E-3</v>
      </c>
      <c r="V76" s="476">
        <v>1</v>
      </c>
      <c r="W76" s="270"/>
      <c r="X76" s="478">
        <f t="shared" si="86"/>
        <v>-1E-4</v>
      </c>
      <c r="Y76" s="899"/>
      <c r="Z76" s="899"/>
      <c r="AA76" s="899"/>
      <c r="AB76" s="899"/>
    </row>
    <row r="77" spans="1:43" s="56" customFormat="1" x14ac:dyDescent="0.2">
      <c r="A77" s="86">
        <f t="shared" si="0"/>
        <v>71</v>
      </c>
      <c r="B77" s="725"/>
      <c r="C77" s="726" t="s">
        <v>7</v>
      </c>
      <c r="D77" s="479">
        <f>'WA Volumes &amp; Revenues'!E78</f>
        <v>3359916</v>
      </c>
      <c r="E77" s="481">
        <f>'Rates in Detail'!E76</f>
        <v>7.3609999999999995E-2</v>
      </c>
      <c r="F77" s="481">
        <f>'Rates in Detail'!L76+SUM('Rates in Detail'!P76:Q76)</f>
        <v>1.107E-2</v>
      </c>
      <c r="G77" s="481">
        <f t="shared" si="19"/>
        <v>8.4679999999999991E-2</v>
      </c>
      <c r="H77" s="474">
        <f t="shared" si="4"/>
        <v>247323</v>
      </c>
      <c r="I77" s="154"/>
      <c r="J77" s="371"/>
      <c r="K77" s="474"/>
      <c r="L77" s="482"/>
      <c r="M77" s="925">
        <v>0</v>
      </c>
      <c r="N77" s="270"/>
      <c r="O77" s="478">
        <f t="shared" si="83"/>
        <v>0</v>
      </c>
      <c r="P77" s="476">
        <v>1</v>
      </c>
      <c r="Q77" s="270"/>
      <c r="R77" s="478">
        <f t="shared" si="84"/>
        <v>-1.5499999999999999E-3</v>
      </c>
      <c r="S77" s="476">
        <v>1</v>
      </c>
      <c r="T77" s="270"/>
      <c r="U77" s="478">
        <f t="shared" si="85"/>
        <v>-8.1999999999999998E-4</v>
      </c>
      <c r="V77" s="476">
        <v>1</v>
      </c>
      <c r="W77" s="270"/>
      <c r="X77" s="478">
        <f t="shared" si="86"/>
        <v>-8.0000000000000007E-5</v>
      </c>
      <c r="Y77" s="899"/>
      <c r="Z77" s="899"/>
      <c r="AA77" s="899"/>
      <c r="AB77" s="899"/>
    </row>
    <row r="78" spans="1:43" s="56" customFormat="1" x14ac:dyDescent="0.2">
      <c r="A78" s="86">
        <f t="shared" si="0"/>
        <v>72</v>
      </c>
      <c r="B78" s="725"/>
      <c r="C78" s="726" t="s">
        <v>8</v>
      </c>
      <c r="D78" s="479">
        <f>'WA Volumes &amp; Revenues'!E79</f>
        <v>1349120</v>
      </c>
      <c r="E78" s="481">
        <f>'Rates in Detail'!E77</f>
        <v>4.9079999999999999E-2</v>
      </c>
      <c r="F78" s="481">
        <f>'Rates in Detail'!L77+SUM('Rates in Detail'!P77:Q77)</f>
        <v>7.3799999999999994E-3</v>
      </c>
      <c r="G78" s="481">
        <f t="shared" si="19"/>
        <v>5.6459999999999996E-2</v>
      </c>
      <c r="H78" s="474">
        <f t="shared" si="4"/>
        <v>66215</v>
      </c>
      <c r="I78" s="154"/>
      <c r="J78" s="371"/>
      <c r="K78" s="474"/>
      <c r="L78" s="482"/>
      <c r="M78" s="925">
        <v>0</v>
      </c>
      <c r="N78" s="270"/>
      <c r="O78" s="478">
        <f t="shared" si="83"/>
        <v>0</v>
      </c>
      <c r="P78" s="476">
        <v>1</v>
      </c>
      <c r="Q78" s="270"/>
      <c r="R78" s="478">
        <f t="shared" si="84"/>
        <v>-1.0300000000000001E-3</v>
      </c>
      <c r="S78" s="476">
        <v>1</v>
      </c>
      <c r="T78" s="270"/>
      <c r="U78" s="478">
        <f t="shared" si="85"/>
        <v>-5.5000000000000003E-4</v>
      </c>
      <c r="V78" s="476">
        <v>1</v>
      </c>
      <c r="W78" s="270"/>
      <c r="X78" s="478">
        <f t="shared" si="86"/>
        <v>-5.0000000000000002E-5</v>
      </c>
      <c r="Y78" s="899"/>
      <c r="Z78" s="899"/>
      <c r="AA78" s="899"/>
      <c r="AB78" s="899"/>
    </row>
    <row r="79" spans="1:43" s="56" customFormat="1" x14ac:dyDescent="0.2">
      <c r="A79" s="86">
        <f t="shared" si="0"/>
        <v>73</v>
      </c>
      <c r="B79" s="723"/>
      <c r="C79" s="727" t="s">
        <v>9</v>
      </c>
      <c r="D79" s="466">
        <f>'WA Volumes &amp; Revenues'!E80</f>
        <v>0</v>
      </c>
      <c r="E79" s="483">
        <f>'Rates in Detail'!E78</f>
        <v>1.839E-2</v>
      </c>
      <c r="F79" s="483">
        <f>'Rates in Detail'!L78+SUM('Rates in Detail'!P78:Q78)</f>
        <v>2.7699999999999999E-3</v>
      </c>
      <c r="G79" s="483">
        <f t="shared" si="19"/>
        <v>2.1159999999999998E-2</v>
      </c>
      <c r="H79" s="467">
        <f t="shared" ref="H79:H82" si="87">ROUND(E79*D79,0)</f>
        <v>0</v>
      </c>
      <c r="I79" s="468"/>
      <c r="J79" s="740"/>
      <c r="K79" s="467"/>
      <c r="L79" s="484"/>
      <c r="M79" s="923">
        <v>0</v>
      </c>
      <c r="N79" s="465"/>
      <c r="O79" s="470">
        <f t="shared" si="83"/>
        <v>0</v>
      </c>
      <c r="P79" s="464">
        <v>1</v>
      </c>
      <c r="Q79" s="465"/>
      <c r="R79" s="470">
        <f t="shared" si="84"/>
        <v>-3.8999999999999999E-4</v>
      </c>
      <c r="S79" s="464">
        <v>1</v>
      </c>
      <c r="T79" s="465"/>
      <c r="U79" s="470">
        <f>ROUND(E79*$AM$74,5)</f>
        <v>-2.0000000000000001E-4</v>
      </c>
      <c r="V79" s="464">
        <v>1</v>
      </c>
      <c r="W79" s="465"/>
      <c r="X79" s="470">
        <f t="shared" si="86"/>
        <v>-2.0000000000000002E-5</v>
      </c>
      <c r="Y79" s="899"/>
      <c r="Z79" s="899"/>
      <c r="AA79" s="899"/>
      <c r="AB79" s="899"/>
    </row>
    <row r="80" spans="1:43" s="56" customFormat="1" x14ac:dyDescent="0.2">
      <c r="A80" s="86">
        <f t="shared" si="0"/>
        <v>74</v>
      </c>
      <c r="B80" s="723" t="str">
        <f>'WA Volumes &amp; Revenues'!B81</f>
        <v>43 Firm Transpt</v>
      </c>
      <c r="C80" s="723" t="s">
        <v>283</v>
      </c>
      <c r="D80" s="466">
        <f>'WA Volumes &amp; Revenues'!E81</f>
        <v>0</v>
      </c>
      <c r="E80" s="485">
        <f>'Rates in Detail'!E79</f>
        <v>4.9099999999999994E-3</v>
      </c>
      <c r="F80" s="485">
        <f>'Rates in Detail'!L79+SUM('Rates in Detail'!P79:Q79)</f>
        <v>0</v>
      </c>
      <c r="G80" s="485">
        <f t="shared" si="19"/>
        <v>4.9099999999999994E-3</v>
      </c>
      <c r="H80" s="467">
        <f t="shared" si="87"/>
        <v>0</v>
      </c>
      <c r="I80" s="468">
        <f>'WA Volumes &amp; Revenues'!N81</f>
        <v>38000</v>
      </c>
      <c r="J80" s="740">
        <f>'WA Volumes &amp; Revenues'!H81</f>
        <v>0</v>
      </c>
      <c r="K80" s="467">
        <f>ROUND(H80+(I80*J80*12),0)</f>
        <v>0</v>
      </c>
      <c r="L80" s="486"/>
      <c r="M80" s="926">
        <v>0</v>
      </c>
      <c r="N80" s="465">
        <f t="shared" ref="N80:N82" si="88">ROUND(+$M$10*(($K80*M80)/M$84),0)</f>
        <v>0</v>
      </c>
      <c r="O80" s="924">
        <f>AE80</f>
        <v>0</v>
      </c>
      <c r="P80" s="648">
        <v>1</v>
      </c>
      <c r="Q80" s="465">
        <f>ROUND(+$P$10*(($K80*P80)/P$84),0)</f>
        <v>0</v>
      </c>
      <c r="R80" s="924">
        <f>AI80</f>
        <v>0</v>
      </c>
      <c r="S80" s="648">
        <v>1</v>
      </c>
      <c r="T80" s="465">
        <f>ROUND(+$S$10*(($K80*S80)/S$84),0)</f>
        <v>0</v>
      </c>
      <c r="U80" s="924">
        <f>AM80</f>
        <v>0</v>
      </c>
      <c r="V80" s="648">
        <v>1</v>
      </c>
      <c r="W80" s="465">
        <f>ROUND(+$V$10*(($K80*V80)/V$84),0)</f>
        <v>0</v>
      </c>
      <c r="X80" s="924">
        <f>AQ80</f>
        <v>0</v>
      </c>
      <c r="Y80" s="899"/>
      <c r="Z80" s="899"/>
      <c r="AA80" s="899"/>
      <c r="AB80" s="899"/>
      <c r="AD80" s="433">
        <v>0</v>
      </c>
      <c r="AE80" s="433">
        <v>0</v>
      </c>
      <c r="AH80" s="433">
        <v>0</v>
      </c>
      <c r="AI80" s="433">
        <v>0</v>
      </c>
      <c r="AL80" s="433">
        <v>0</v>
      </c>
      <c r="AM80" s="433">
        <v>0</v>
      </c>
      <c r="AP80" s="433">
        <v>0</v>
      </c>
      <c r="AQ80" s="433">
        <v>0</v>
      </c>
    </row>
    <row r="81" spans="1:43" s="56" customFormat="1" x14ac:dyDescent="0.2">
      <c r="A81" s="86">
        <f t="shared" si="0"/>
        <v>75</v>
      </c>
      <c r="B81" s="724" t="str">
        <f>'WA Volumes &amp; Revenues'!B82</f>
        <v>43 Interr Transpt</v>
      </c>
      <c r="C81" s="724" t="s">
        <v>283</v>
      </c>
      <c r="D81" s="364">
        <f>'WA Volumes &amp; Revenues'!E82</f>
        <v>0</v>
      </c>
      <c r="E81" s="483">
        <f>'Rates in Detail'!E80</f>
        <v>4.9099999999999994E-3</v>
      </c>
      <c r="F81" s="463">
        <f>'Rates in Detail'!L80+SUM('Rates in Detail'!P80:Q80)</f>
        <v>0</v>
      </c>
      <c r="G81" s="463">
        <f t="shared" ref="G81:G82" si="89">E81+F81</f>
        <v>4.9099999999999994E-3</v>
      </c>
      <c r="H81" s="467">
        <f t="shared" si="87"/>
        <v>0</v>
      </c>
      <c r="I81" s="468">
        <f>'WA Volumes &amp; Revenues'!N82</f>
        <v>38000</v>
      </c>
      <c r="J81" s="740">
        <f>'WA Volumes &amp; Revenues'!H82</f>
        <v>0</v>
      </c>
      <c r="K81" s="467">
        <f t="shared" ref="K81" si="90">ROUND(H81+(I81*J81*12),0)</f>
        <v>0</v>
      </c>
      <c r="L81" s="484"/>
      <c r="M81" s="926">
        <v>0</v>
      </c>
      <c r="N81" s="465">
        <f t="shared" si="88"/>
        <v>0</v>
      </c>
      <c r="O81" s="924">
        <f t="shared" ref="O81:O82" si="91">AE81</f>
        <v>0</v>
      </c>
      <c r="P81" s="648">
        <v>1</v>
      </c>
      <c r="Q81" s="465">
        <f t="shared" ref="Q81:Q82" si="92">ROUND(+$P$10*(($K81*P81)/P$84),0)</f>
        <v>0</v>
      </c>
      <c r="R81" s="924">
        <f t="shared" ref="R81:R82" si="93">AI81</f>
        <v>0</v>
      </c>
      <c r="S81" s="648">
        <v>1</v>
      </c>
      <c r="T81" s="465">
        <f>ROUND(+$S$10*(($K81*S81)/S$84),0)</f>
        <v>0</v>
      </c>
      <c r="U81" s="924">
        <f t="shared" ref="U81:U82" si="94">AM81</f>
        <v>0</v>
      </c>
      <c r="V81" s="648">
        <v>1</v>
      </c>
      <c r="W81" s="465">
        <f>ROUND(+$V$10*(($K81*V81)/V$84),0)</f>
        <v>0</v>
      </c>
      <c r="X81" s="924">
        <f t="shared" ref="X81:X82" si="95">AQ81</f>
        <v>0</v>
      </c>
      <c r="Y81" s="899"/>
      <c r="Z81" s="899"/>
      <c r="AA81" s="899"/>
      <c r="AB81" s="899"/>
      <c r="AD81" s="433">
        <v>0</v>
      </c>
      <c r="AE81" s="433">
        <v>0</v>
      </c>
      <c r="AH81" s="433">
        <v>0</v>
      </c>
      <c r="AI81" s="433">
        <v>0</v>
      </c>
      <c r="AL81" s="433">
        <v>0</v>
      </c>
      <c r="AM81" s="433">
        <v>0</v>
      </c>
      <c r="AP81" s="433">
        <v>0</v>
      </c>
      <c r="AQ81" s="433">
        <v>0</v>
      </c>
    </row>
    <row r="82" spans="1:43" s="56" customFormat="1" x14ac:dyDescent="0.2">
      <c r="A82" s="86">
        <f t="shared" si="0"/>
        <v>76</v>
      </c>
      <c r="B82" s="724" t="str">
        <f>'WA Volumes &amp; Revenues'!B83</f>
        <v>Special Contract</v>
      </c>
      <c r="C82" s="724" t="s">
        <v>283</v>
      </c>
      <c r="D82" s="364">
        <f>'WA Volumes &amp; Revenues'!E83</f>
        <v>2895114</v>
      </c>
      <c r="E82" s="483">
        <f>'Rates in Detail'!E81</f>
        <v>0</v>
      </c>
      <c r="F82" s="483">
        <f>'Rates in Detail'!L81+SUM('Rates in Detail'!P81:Q81)</f>
        <v>0</v>
      </c>
      <c r="G82" s="483">
        <f t="shared" si="89"/>
        <v>0</v>
      </c>
      <c r="H82" s="467">
        <f t="shared" si="87"/>
        <v>0</v>
      </c>
      <c r="I82" s="468">
        <f>'WA Volumes &amp; Revenues'!N83</f>
        <v>0</v>
      </c>
      <c r="J82" s="740">
        <f>'WA Volumes &amp; Revenues'!H83</f>
        <v>1</v>
      </c>
      <c r="K82" s="467">
        <f>'WA Volumes &amp; Revenues'!R83</f>
        <v>242994.60207180592</v>
      </c>
      <c r="L82" s="484"/>
      <c r="M82" s="926">
        <v>0</v>
      </c>
      <c r="N82" s="1132">
        <f t="shared" si="88"/>
        <v>0</v>
      </c>
      <c r="O82" s="924">
        <f t="shared" si="91"/>
        <v>0</v>
      </c>
      <c r="P82" s="648">
        <v>0</v>
      </c>
      <c r="Q82" s="1132">
        <f t="shared" si="92"/>
        <v>0</v>
      </c>
      <c r="R82" s="924">
        <f t="shared" si="93"/>
        <v>0</v>
      </c>
      <c r="S82" s="648">
        <v>0</v>
      </c>
      <c r="T82" s="465">
        <f>ROUND(+$S$10*(($K82*S82)/S$84),0)</f>
        <v>0</v>
      </c>
      <c r="U82" s="924">
        <f t="shared" si="94"/>
        <v>0</v>
      </c>
      <c r="V82" s="648">
        <v>0</v>
      </c>
      <c r="W82" s="465">
        <f>ROUND(+$V$10*(($K82*V82)/V$84),0)</f>
        <v>0</v>
      </c>
      <c r="X82" s="924">
        <f t="shared" si="95"/>
        <v>0</v>
      </c>
      <c r="Y82" s="899"/>
      <c r="Z82" s="899"/>
      <c r="AA82" s="899"/>
      <c r="AB82" s="899"/>
      <c r="AD82" s="433">
        <v>0</v>
      </c>
      <c r="AE82" s="433">
        <v>0</v>
      </c>
      <c r="AH82" s="433">
        <v>0</v>
      </c>
      <c r="AI82" s="433">
        <v>0</v>
      </c>
      <c r="AL82" s="433">
        <v>0</v>
      </c>
      <c r="AM82" s="433">
        <v>0</v>
      </c>
      <c r="AP82" s="433">
        <v>0</v>
      </c>
      <c r="AQ82" s="433">
        <v>0</v>
      </c>
    </row>
    <row r="83" spans="1:43" s="56" customFormat="1" x14ac:dyDescent="0.2">
      <c r="A83" s="86">
        <f t="shared" ref="A83:A91" si="96">+A82+1</f>
        <v>77</v>
      </c>
      <c r="D83" s="429"/>
      <c r="E83" s="488"/>
      <c r="F83" s="488"/>
      <c r="G83" s="488"/>
      <c r="H83" s="489"/>
      <c r="I83" s="429"/>
      <c r="J83" s="429"/>
      <c r="K83" s="489"/>
      <c r="L83" s="429"/>
      <c r="M83" s="490"/>
      <c r="O83" s="140"/>
      <c r="P83" s="490"/>
      <c r="R83" s="140"/>
      <c r="S83" s="490"/>
      <c r="U83" s="140"/>
      <c r="V83" s="490"/>
      <c r="X83" s="140"/>
      <c r="Y83" s="899"/>
      <c r="Z83" s="899"/>
      <c r="AA83" s="899"/>
      <c r="AB83" s="899"/>
    </row>
    <row r="84" spans="1:43" s="56" customFormat="1" x14ac:dyDescent="0.2">
      <c r="A84" s="86">
        <f t="shared" si="96"/>
        <v>78</v>
      </c>
      <c r="B84" s="60" t="s">
        <v>61</v>
      </c>
      <c r="C84" s="60"/>
      <c r="D84" s="735">
        <f>SUM(D14:D82)</f>
        <v>103032055.6009268</v>
      </c>
      <c r="E84" s="736"/>
      <c r="F84" s="736"/>
      <c r="G84" s="736"/>
      <c r="H84" s="611">
        <f>SUM(H14:H82)</f>
        <v>37287358</v>
      </c>
      <c r="I84" s="611"/>
      <c r="J84" s="735">
        <f>SUM(J14:J82)</f>
        <v>89340.750000000015</v>
      </c>
      <c r="K84" s="611">
        <f>SUM(K14:K82)</f>
        <v>49604903.243273698</v>
      </c>
      <c r="L84" s="737"/>
      <c r="M84" s="930">
        <f>ROUND(($K14*M14)+($K15*M15)+($K16*M16)+($K17*M17)+($K18*M18)+($K19*M19)+($K20*M20)+(K22*M22)+($K24*M24)+($K$26*M26)+($K28*M28)+(K30*M30)+($K32*M32)+($K38*M38)+($K44*M44)+($K50*M50)+($K$56*M56)+($K62*M62)+(K68*M68)+(K74*M74)+($K80*M80)+($K81*M81)+($K82*M82),0)</f>
        <v>46034881</v>
      </c>
      <c r="N84" s="739">
        <f>SUM(N14:N83)</f>
        <v>-1477729</v>
      </c>
      <c r="O84" s="544"/>
      <c r="P84" s="930">
        <f>ROUND(($K14*P14)+($K15*P15)+($K16*P16)+($K17*P17)+($K18*P18)+($K19*P19)+($K20*P20)+(K22*P22)+($K24*P24)+($K$26*P26)+($K28*P28)+(K30*P30)+($K32*P32)+($K38*P38)+($K44*P44)+($K50*P50)+($K$56*P56)+($K62*P62)+(K68*P68)+(K74*P74)+($K80*P80)+($K81*P81)+($K82*P82),0)</f>
        <v>49361909</v>
      </c>
      <c r="Q84" s="739">
        <f>SUM(Q14:Q83)</f>
        <v>-875740</v>
      </c>
      <c r="R84" s="544"/>
      <c r="S84" s="930">
        <f>ROUND(($K14*S14)+($K15*S15)+($K16*S16)+($K17*S17)+($K18*S18)+($K19*S19)+($K20*S20)+(K22*S22)+($K24*S24)+($K$26*S26)+($K28*S28)+(K30*S30)+($K32*S32)+($K38*S38)+($K44*S44)+($K50*S50)+($K$56*S56)+($K62*S62)+(K68*S68)+(K74*S74)+($K80*S80)+($K81*S81)+($K82*S82),0)</f>
        <v>49361909</v>
      </c>
      <c r="T84" s="739">
        <f>SUM(T14:T83)</f>
        <v>-462253</v>
      </c>
      <c r="U84" s="544"/>
      <c r="V84" s="930">
        <f>ROUND(($K14*V14)+($K15*V15)+($K16*V16)+($K17*V17)+($K18*V18)+($K19*V19)+($K20*V20)+($K22*V22)+($K24*V24)+($K26*V26)+($K28*V28)+(K30*V30)+($K32*V32)+($K38*V38)+($K44*V44)+($K50*V50)+($K56*V56)+($K62*V62)+($K68*V68)+($K74*V74)+($K80*V80)+($K81*V81)+($K82*V82),0)</f>
        <v>49361909</v>
      </c>
      <c r="W84" s="739">
        <f>SUM(W14:W83)</f>
        <v>-44543</v>
      </c>
      <c r="X84" s="544"/>
      <c r="Y84" s="899"/>
      <c r="Z84" s="1249"/>
      <c r="AA84" s="901"/>
      <c r="AB84" s="901"/>
    </row>
    <row r="85" spans="1:43" s="56" customFormat="1" x14ac:dyDescent="0.2">
      <c r="A85" s="86">
        <f t="shared" si="96"/>
        <v>79</v>
      </c>
      <c r="D85" s="429"/>
      <c r="E85" s="429"/>
      <c r="F85" s="429"/>
      <c r="G85" s="429"/>
      <c r="H85" s="492"/>
      <c r="I85" s="429"/>
      <c r="J85" s="429"/>
      <c r="K85" s="431"/>
      <c r="L85" s="432"/>
      <c r="M85" s="437"/>
      <c r="O85" s="140"/>
      <c r="P85" s="437"/>
      <c r="R85" s="140"/>
      <c r="S85" s="437"/>
      <c r="U85" s="140"/>
      <c r="V85" s="437"/>
      <c r="X85" s="140"/>
      <c r="Y85" s="899"/>
      <c r="Z85" s="55"/>
    </row>
    <row r="86" spans="1:43" s="56" customFormat="1" x14ac:dyDescent="0.2">
      <c r="A86" s="86">
        <f t="shared" si="96"/>
        <v>80</v>
      </c>
      <c r="B86" s="168" t="s">
        <v>79</v>
      </c>
      <c r="D86" s="429"/>
      <c r="H86" s="429"/>
      <c r="J86" s="429"/>
      <c r="K86" s="431"/>
      <c r="O86" s="140"/>
      <c r="R86" s="140"/>
      <c r="U86" s="140"/>
      <c r="X86" s="140"/>
      <c r="Y86" s="899"/>
      <c r="Z86" s="55"/>
    </row>
    <row r="87" spans="1:43" s="56" customFormat="1" x14ac:dyDescent="0.2">
      <c r="A87" s="86">
        <f t="shared" si="96"/>
        <v>81</v>
      </c>
      <c r="B87" s="1560" t="s">
        <v>80</v>
      </c>
      <c r="C87" s="1561"/>
      <c r="D87" s="1561"/>
      <c r="E87" s="1561"/>
      <c r="F87" s="1561"/>
      <c r="G87" s="1561"/>
      <c r="H87" s="1561"/>
      <c r="I87" s="1561"/>
      <c r="J87" s="1561"/>
      <c r="K87" s="1561"/>
      <c r="L87" s="1561"/>
      <c r="M87" s="1561"/>
      <c r="N87" s="1561"/>
      <c r="O87" s="1561"/>
      <c r="P87" s="1561"/>
      <c r="Q87" s="1561"/>
      <c r="R87" s="1561"/>
      <c r="S87" s="1561"/>
      <c r="T87" s="1561"/>
      <c r="U87" s="1561"/>
      <c r="V87" s="1561"/>
      <c r="W87" s="1561"/>
      <c r="X87" s="1562"/>
      <c r="Y87" s="899"/>
      <c r="Z87" s="55"/>
    </row>
    <row r="88" spans="1:43" s="56" customFormat="1" x14ac:dyDescent="0.2">
      <c r="A88" s="86">
        <f t="shared" si="96"/>
        <v>82</v>
      </c>
      <c r="B88" s="168" t="s">
        <v>95</v>
      </c>
      <c r="D88" s="429"/>
      <c r="H88" s="429"/>
      <c r="J88" s="429"/>
      <c r="K88" s="429"/>
      <c r="O88" s="140"/>
      <c r="R88" s="140"/>
      <c r="U88" s="140"/>
      <c r="X88" s="140"/>
      <c r="Y88" s="899"/>
      <c r="Z88" s="55"/>
    </row>
    <row r="89" spans="1:43" s="56" customFormat="1" x14ac:dyDescent="0.2">
      <c r="A89" s="86">
        <f t="shared" si="96"/>
        <v>83</v>
      </c>
      <c r="B89" s="1560" t="s">
        <v>96</v>
      </c>
      <c r="C89" s="1561"/>
      <c r="D89" s="1561"/>
      <c r="E89" s="1561"/>
      <c r="F89" s="1561"/>
      <c r="G89" s="1561"/>
      <c r="H89" s="1561"/>
      <c r="I89" s="1561"/>
      <c r="J89" s="1561"/>
      <c r="K89" s="1561"/>
      <c r="L89" s="1561"/>
      <c r="M89" s="1561"/>
      <c r="N89" s="1561"/>
      <c r="O89" s="1561"/>
      <c r="P89" s="1561"/>
      <c r="Q89" s="1561"/>
      <c r="R89" s="1561"/>
      <c r="S89" s="1561"/>
      <c r="T89" s="1561"/>
      <c r="U89" s="1561"/>
      <c r="V89" s="1561"/>
      <c r="W89" s="1561"/>
      <c r="X89" s="1562"/>
      <c r="Y89" s="899"/>
      <c r="Z89" s="55"/>
    </row>
    <row r="90" spans="1:43" x14ac:dyDescent="0.2">
      <c r="A90" s="86">
        <f t="shared" si="96"/>
        <v>84</v>
      </c>
      <c r="M90" s="490"/>
      <c r="P90" s="490"/>
      <c r="S90" s="490"/>
      <c r="V90" s="490"/>
    </row>
    <row r="91" spans="1:43" x14ac:dyDescent="0.2">
      <c r="A91" s="86">
        <f t="shared" si="96"/>
        <v>85</v>
      </c>
      <c r="B91" s="56" t="s">
        <v>84</v>
      </c>
      <c r="M91" s="490"/>
      <c r="P91" s="490"/>
      <c r="S91" s="490"/>
      <c r="V91" s="490"/>
    </row>
    <row r="92" spans="1:43" x14ac:dyDescent="0.2">
      <c r="A92" s="86"/>
    </row>
    <row r="95" spans="1:43" x14ac:dyDescent="0.2">
      <c r="N95" s="493"/>
      <c r="Q95" s="493"/>
      <c r="T95" s="493"/>
      <c r="W95" s="493"/>
    </row>
    <row r="96" spans="1:43" x14ac:dyDescent="0.2">
      <c r="B96" s="55"/>
      <c r="C96" s="55"/>
      <c r="D96" s="55"/>
      <c r="E96" s="55"/>
      <c r="F96" s="55"/>
      <c r="G96" s="55"/>
      <c r="H96" s="55"/>
      <c r="I96" s="55"/>
      <c r="J96" s="55"/>
      <c r="K96" s="55"/>
      <c r="L96" s="55"/>
      <c r="N96" s="494"/>
      <c r="O96" s="55"/>
      <c r="Q96" s="494"/>
      <c r="R96" s="55"/>
      <c r="T96" s="494"/>
      <c r="U96" s="55"/>
      <c r="W96" s="494"/>
      <c r="X96" s="55"/>
    </row>
    <row r="97" spans="2:24" x14ac:dyDescent="0.2">
      <c r="B97" s="55"/>
      <c r="C97" s="55"/>
      <c r="D97" s="55"/>
      <c r="E97" s="55"/>
      <c r="F97" s="55"/>
      <c r="G97" s="55"/>
      <c r="H97" s="55"/>
      <c r="I97" s="55"/>
      <c r="J97" s="55"/>
      <c r="K97" s="55"/>
      <c r="L97" s="55"/>
      <c r="N97" s="300"/>
      <c r="O97" s="55"/>
      <c r="Q97" s="300"/>
      <c r="R97" s="55"/>
      <c r="T97" s="300"/>
      <c r="U97" s="55"/>
      <c r="W97" s="300"/>
      <c r="X97" s="55"/>
    </row>
    <row r="98" spans="2:24" x14ac:dyDescent="0.2">
      <c r="B98" s="55"/>
      <c r="C98" s="55"/>
      <c r="D98" s="55"/>
      <c r="E98" s="55"/>
      <c r="F98" s="55"/>
      <c r="G98" s="55"/>
      <c r="H98" s="55"/>
      <c r="I98" s="55"/>
      <c r="J98" s="55"/>
      <c r="K98" s="55"/>
      <c r="L98" s="55"/>
      <c r="N98" s="300"/>
      <c r="O98" s="55"/>
      <c r="Q98" s="300"/>
      <c r="R98" s="55"/>
      <c r="T98" s="300"/>
      <c r="U98" s="55"/>
      <c r="W98" s="300"/>
      <c r="X98" s="55"/>
    </row>
    <row r="99" spans="2:24" x14ac:dyDescent="0.2">
      <c r="B99" s="55"/>
      <c r="C99" s="55"/>
      <c r="D99" s="55"/>
      <c r="E99" s="55"/>
      <c r="F99" s="55"/>
      <c r="G99" s="55"/>
      <c r="H99" s="55"/>
      <c r="I99" s="55"/>
      <c r="J99" s="55"/>
      <c r="K99" s="55"/>
      <c r="L99" s="55"/>
      <c r="N99" s="493"/>
      <c r="O99" s="55"/>
      <c r="Q99" s="493"/>
      <c r="R99" s="55"/>
      <c r="T99" s="493"/>
      <c r="U99" s="55"/>
      <c r="W99" s="493"/>
      <c r="X99" s="55"/>
    </row>
    <row r="100" spans="2:24" x14ac:dyDescent="0.2">
      <c r="B100" s="55"/>
      <c r="C100" s="55"/>
      <c r="D100" s="55"/>
      <c r="E100" s="55"/>
      <c r="F100" s="55"/>
      <c r="G100" s="55"/>
      <c r="H100" s="55"/>
      <c r="I100" s="55"/>
      <c r="J100" s="55"/>
      <c r="K100" s="55"/>
      <c r="L100" s="55"/>
      <c r="N100" s="327"/>
      <c r="O100" s="55"/>
      <c r="Q100" s="327"/>
      <c r="R100" s="55"/>
      <c r="T100" s="327"/>
      <c r="U100" s="55"/>
      <c r="W100" s="327"/>
      <c r="X100" s="55"/>
    </row>
    <row r="102" spans="2:24" x14ac:dyDescent="0.2">
      <c r="B102" s="55"/>
      <c r="C102" s="55"/>
      <c r="D102" s="55"/>
      <c r="E102" s="55"/>
      <c r="F102" s="55"/>
      <c r="G102" s="55"/>
      <c r="H102" s="55"/>
      <c r="I102" s="55"/>
      <c r="J102" s="55"/>
      <c r="K102" s="55"/>
      <c r="L102" s="55"/>
      <c r="N102" s="493"/>
      <c r="O102" s="55"/>
      <c r="Q102" s="493"/>
      <c r="R102" s="55"/>
      <c r="T102" s="493"/>
      <c r="U102" s="55"/>
      <c r="W102" s="493"/>
      <c r="X102" s="55"/>
    </row>
    <row r="103" spans="2:24" x14ac:dyDescent="0.2">
      <c r="B103" s="55"/>
      <c r="C103" s="55"/>
      <c r="D103" s="55"/>
      <c r="E103" s="55"/>
      <c r="F103" s="55"/>
      <c r="G103" s="55"/>
      <c r="H103" s="55"/>
      <c r="I103" s="55"/>
      <c r="J103" s="55"/>
      <c r="K103" s="55"/>
      <c r="L103" s="55"/>
      <c r="N103" s="327"/>
      <c r="O103" s="55"/>
      <c r="Q103" s="327"/>
      <c r="R103" s="55"/>
      <c r="T103" s="327"/>
      <c r="U103" s="55"/>
      <c r="W103" s="327"/>
      <c r="X103" s="55"/>
    </row>
    <row r="104" spans="2:24" x14ac:dyDescent="0.2">
      <c r="B104" s="55"/>
      <c r="C104" s="55"/>
      <c r="D104" s="55"/>
      <c r="E104" s="55"/>
      <c r="F104" s="55"/>
      <c r="G104" s="55"/>
      <c r="H104" s="55"/>
      <c r="I104" s="55"/>
      <c r="J104" s="55"/>
      <c r="K104" s="55"/>
      <c r="L104" s="55"/>
      <c r="N104" s="327"/>
      <c r="O104" s="55"/>
      <c r="Q104" s="327"/>
      <c r="R104" s="55"/>
      <c r="T104" s="327"/>
      <c r="U104" s="55"/>
      <c r="W104" s="327"/>
      <c r="X104" s="55"/>
    </row>
    <row r="105" spans="2:24" x14ac:dyDescent="0.2">
      <c r="B105" s="55"/>
      <c r="C105" s="55"/>
      <c r="D105" s="55"/>
      <c r="E105" s="55"/>
      <c r="F105" s="55"/>
      <c r="G105" s="55"/>
      <c r="H105" s="55"/>
      <c r="I105" s="55"/>
      <c r="J105" s="55"/>
      <c r="K105" s="55"/>
      <c r="L105" s="55"/>
      <c r="N105" s="327"/>
      <c r="O105" s="55"/>
      <c r="Q105" s="327"/>
      <c r="R105" s="55"/>
      <c r="T105" s="327"/>
      <c r="U105" s="55"/>
      <c r="W105" s="327"/>
      <c r="X105" s="55"/>
    </row>
  </sheetData>
  <customSheetViews>
    <customSheetView guid="{80646397-1CEF-4A79-B348-594AB32B8020}">
      <pane xSplit="3" ySplit="14" topLeftCell="D51" activePane="bottomRight" state="frozen"/>
      <selection pane="bottomRight" activeCell="O27" sqref="O27"/>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4" topLeftCell="D51" activePane="bottomRight" state="frozen"/>
      <selection pane="bottomRight" activeCell="O27" sqref="O27"/>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21">
    <mergeCell ref="AC11:AF11"/>
    <mergeCell ref="AC12:AF12"/>
    <mergeCell ref="Z8:Z11"/>
    <mergeCell ref="V6:X6"/>
    <mergeCell ref="B87:X87"/>
    <mergeCell ref="B89:X89"/>
    <mergeCell ref="M6:U6"/>
    <mergeCell ref="S7:U7"/>
    <mergeCell ref="V7:X7"/>
    <mergeCell ref="F1:H1"/>
    <mergeCell ref="F2:H2"/>
    <mergeCell ref="P7:R7"/>
    <mergeCell ref="I4:K4"/>
    <mergeCell ref="I5:K5"/>
    <mergeCell ref="M7:O7"/>
    <mergeCell ref="AK11:AN11"/>
    <mergeCell ref="AK12:AN12"/>
    <mergeCell ref="AO11:AR11"/>
    <mergeCell ref="AO12:AR12"/>
    <mergeCell ref="AG11:AJ11"/>
    <mergeCell ref="AG12:AJ12"/>
  </mergeCells>
  <printOptions horizontalCentered="1" vertic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9" tint="0.79998168889431442"/>
  </sheetPr>
  <dimension ref="A1:R107"/>
  <sheetViews>
    <sheetView workbookViewId="0">
      <pane xSplit="3" ySplit="15" topLeftCell="D16" activePane="bottomRight" state="frozen"/>
      <selection pane="topRight" activeCell="D1" sqref="D1"/>
      <selection pane="bottomLeft" activeCell="A16" sqref="A16"/>
      <selection pane="bottomRight" activeCell="I4" sqref="I4"/>
    </sheetView>
  </sheetViews>
  <sheetFormatPr defaultColWidth="9.33203125" defaultRowHeight="12.75" x14ac:dyDescent="0.2"/>
  <cols>
    <col min="1" max="1" width="5.6640625" style="55" customWidth="1"/>
    <col min="2" max="2" width="16.5" style="56" customWidth="1"/>
    <col min="3" max="3" width="8.33203125" style="56" customWidth="1"/>
    <col min="4" max="4" width="17.6640625" style="429" customWidth="1"/>
    <col min="5" max="6" width="12.6640625" style="429" bestFit="1" customWidth="1"/>
    <col min="7" max="7" width="12.5" style="429" customWidth="1"/>
    <col min="8" max="8" width="17.83203125" style="429" bestFit="1" customWidth="1"/>
    <col min="9" max="9" width="14.6640625" style="429" customWidth="1"/>
    <col min="10" max="10" width="11.33203125" style="429" customWidth="1"/>
    <col min="11" max="11" width="19.83203125" style="429" bestFit="1" customWidth="1"/>
    <col min="12" max="12" width="28.33203125" style="429" customWidth="1"/>
    <col min="13" max="13" width="16.1640625" style="430" customWidth="1"/>
    <col min="14" max="15" width="13.83203125" style="56" customWidth="1"/>
    <col min="16" max="16" width="16.1640625" style="430" customWidth="1"/>
    <col min="17" max="18" width="13.83203125" style="56" customWidth="1"/>
    <col min="19" max="16384" width="9.33203125" style="55"/>
  </cols>
  <sheetData>
    <row r="1" spans="1:18" ht="14.1" customHeight="1" x14ac:dyDescent="0.2">
      <c r="A1" s="139" t="str">
        <f>+'WA Volumes &amp; Revenues'!A1</f>
        <v>NW Natural</v>
      </c>
      <c r="F1" s="1548"/>
      <c r="G1" s="1548"/>
      <c r="H1" s="1548"/>
    </row>
    <row r="2" spans="1:18" ht="14.1" customHeight="1" x14ac:dyDescent="0.2">
      <c r="A2" s="139" t="str">
        <f>+'WA Volumes &amp; Revenues'!A2</f>
        <v>Rates &amp; Regulatory Affairs</v>
      </c>
      <c r="F2" s="1550"/>
      <c r="G2" s="1550"/>
      <c r="H2" s="1550"/>
      <c r="K2" s="431"/>
    </row>
    <row r="3" spans="1:18" ht="14.1" customHeight="1" x14ac:dyDescent="0.2">
      <c r="A3" s="139" t="e">
        <f>+'WA Volumes &amp; Revenues'!#REF!</f>
        <v>#REF!</v>
      </c>
      <c r="M3" s="432"/>
      <c r="P3" s="432"/>
    </row>
    <row r="4" spans="1:18" ht="14.1" customHeight="1" x14ac:dyDescent="0.2">
      <c r="A4" s="139" t="str">
        <f>+'WA Volumes &amp; Revenues'!A3</f>
        <v>Test Year Ending September 30, 2020</v>
      </c>
      <c r="M4" s="429"/>
      <c r="P4" s="429"/>
    </row>
    <row r="5" spans="1:18" ht="14.1" customHeight="1" x14ac:dyDescent="0.2">
      <c r="A5" s="435" t="s">
        <v>212</v>
      </c>
      <c r="D5" s="56"/>
      <c r="E5" s="56"/>
      <c r="F5" s="56"/>
      <c r="G5" s="56"/>
      <c r="H5" s="56"/>
      <c r="I5" s="56"/>
      <c r="J5" s="56"/>
      <c r="K5" s="434"/>
      <c r="L5" s="56"/>
      <c r="M5" s="56"/>
      <c r="P5" s="56"/>
    </row>
    <row r="6" spans="1:18" ht="14.1" customHeight="1" x14ac:dyDescent="0.2">
      <c r="A6" s="55">
        <f>'WA Volumes &amp; Revenues'!A7</f>
        <v>0</v>
      </c>
      <c r="D6" s="56"/>
      <c r="E6" s="56"/>
      <c r="F6" s="56"/>
      <c r="G6" s="56"/>
      <c r="H6" s="56"/>
      <c r="I6" s="56"/>
      <c r="J6" s="56"/>
      <c r="K6" s="434"/>
      <c r="L6" s="56"/>
      <c r="M6" s="56"/>
      <c r="P6" s="56"/>
    </row>
    <row r="7" spans="1:18" ht="14.1" customHeight="1" x14ac:dyDescent="0.2">
      <c r="D7" s="56"/>
      <c r="E7" s="56"/>
      <c r="G7" s="56"/>
      <c r="H7" s="436"/>
      <c r="J7" s="56"/>
      <c r="K7" s="434"/>
      <c r="L7" s="56"/>
      <c r="M7" s="437"/>
      <c r="P7" s="437"/>
    </row>
    <row r="8" spans="1:18" ht="14.1" customHeight="1" x14ac:dyDescent="0.2">
      <c r="A8" s="438"/>
      <c r="B8" s="439"/>
      <c r="C8" s="439"/>
      <c r="D8" s="439"/>
      <c r="E8" s="440"/>
      <c r="H8" s="56"/>
      <c r="I8" s="440"/>
      <c r="J8" s="56"/>
      <c r="K8" s="56"/>
    </row>
    <row r="9" spans="1:18" ht="15" customHeight="1" thickBot="1" x14ac:dyDescent="0.25">
      <c r="A9" s="86">
        <v>1</v>
      </c>
      <c r="E9" s="353"/>
      <c r="F9" s="441">
        <f>'Avg Bill by RS'!Q9</f>
        <v>44501</v>
      </c>
      <c r="G9" s="441">
        <f>F9</f>
        <v>44501</v>
      </c>
      <c r="H9" s="61"/>
      <c r="J9" s="61"/>
      <c r="K9" s="61"/>
      <c r="L9" s="56"/>
      <c r="M9" s="1576" t="s">
        <v>375</v>
      </c>
      <c r="N9" s="1577"/>
      <c r="O9" s="1578"/>
      <c r="P9" s="1576" t="s">
        <v>375</v>
      </c>
      <c r="Q9" s="1577"/>
      <c r="R9" s="1578"/>
    </row>
    <row r="10" spans="1:18" ht="15" customHeight="1" thickBot="1" x14ac:dyDescent="0.25">
      <c r="A10" s="86">
        <f t="shared" ref="A10:A90" si="0">+A9+1</f>
        <v>2</v>
      </c>
      <c r="D10" s="442" t="str">
        <f>'Allocation = ¢ per Therm'!D11</f>
        <v>UG XXXXXX</v>
      </c>
      <c r="E10" s="61" t="s">
        <v>18</v>
      </c>
      <c r="F10" s="518" t="str">
        <f>D10</f>
        <v>UG XXXXXX</v>
      </c>
      <c r="G10" s="518" t="str">
        <f>F10</f>
        <v>UG XXXXXX</v>
      </c>
      <c r="H10" s="518" t="str">
        <f>G10</f>
        <v>UG XXXXXX</v>
      </c>
      <c r="I10" s="518" t="str">
        <f>H10</f>
        <v>UG XXXXXX</v>
      </c>
      <c r="J10" s="518" t="str">
        <f>I10</f>
        <v>UG XXXXXX</v>
      </c>
      <c r="K10" s="518" t="str">
        <f>G10</f>
        <v>UG XXXXXX</v>
      </c>
      <c r="L10" s="607" t="s">
        <v>29</v>
      </c>
      <c r="M10" s="443"/>
      <c r="N10" s="444" t="s">
        <v>180</v>
      </c>
      <c r="O10" s="445"/>
      <c r="P10" s="443"/>
      <c r="Q10" s="444" t="s">
        <v>180</v>
      </c>
      <c r="R10" s="445"/>
    </row>
    <row r="11" spans="1:18" ht="15" customHeight="1" thickBot="1" x14ac:dyDescent="0.25">
      <c r="A11" s="86">
        <f t="shared" si="0"/>
        <v>3</v>
      </c>
      <c r="D11" s="61" t="str">
        <f>'Allocation = ¢ per Therm'!D12</f>
        <v>WA GRC</v>
      </c>
      <c r="E11" s="59" t="s">
        <v>209</v>
      </c>
      <c r="F11" s="446" t="s">
        <v>209</v>
      </c>
      <c r="G11" s="144" t="s">
        <v>209</v>
      </c>
      <c r="H11" s="61" t="s">
        <v>86</v>
      </c>
      <c r="I11" s="86" t="s">
        <v>83</v>
      </c>
      <c r="J11" s="61" t="s">
        <v>83</v>
      </c>
      <c r="K11" s="59" t="s">
        <v>32</v>
      </c>
      <c r="L11" s="607" t="s">
        <v>24</v>
      </c>
      <c r="M11" s="447">
        <v>4.1579999999999999E-2</v>
      </c>
      <c r="N11" s="448" t="str">
        <f>IF(M11="&lt; n/a &gt;","rev sensitive factor is built in","add revenue sensitive factor")</f>
        <v>add revenue sensitive factor</v>
      </c>
      <c r="O11" s="449"/>
      <c r="P11" s="447">
        <v>4.1579999999999999E-2</v>
      </c>
      <c r="Q11" s="448" t="str">
        <f>IF(P11="&lt; n/a &gt;","rev sensitive factor is built in","add revenue sensitive factor")</f>
        <v>add revenue sensitive factor</v>
      </c>
      <c r="R11" s="449"/>
    </row>
    <row r="12" spans="1:18" s="57" customFormat="1" ht="15" customHeight="1" thickBot="1" x14ac:dyDescent="0.25">
      <c r="A12" s="86">
        <f t="shared" si="0"/>
        <v>4</v>
      </c>
      <c r="B12" s="56"/>
      <c r="C12" s="56"/>
      <c r="D12" s="358" t="s">
        <v>174</v>
      </c>
      <c r="E12" s="172" t="s">
        <v>28</v>
      </c>
      <c r="F12" s="450" t="s">
        <v>98</v>
      </c>
      <c r="G12" s="451" t="s">
        <v>28</v>
      </c>
      <c r="H12" s="358" t="s">
        <v>210</v>
      </c>
      <c r="I12" s="358" t="s">
        <v>71</v>
      </c>
      <c r="J12" s="358" t="s">
        <v>374</v>
      </c>
      <c r="K12" s="172" t="s">
        <v>210</v>
      </c>
      <c r="L12" s="608" t="s">
        <v>25</v>
      </c>
      <c r="M12" s="452">
        <f>IF(M11&lt;&gt;"&lt; n/a &gt;",ROUND(+M10/(1-M11),0),M10)</f>
        <v>0</v>
      </c>
      <c r="N12" s="929" t="s">
        <v>406</v>
      </c>
      <c r="O12" s="453"/>
      <c r="P12" s="452">
        <f>IF(P11&lt;&gt;"&lt; n/a &gt;",ROUND(+P10/(1-P11),0),P10)</f>
        <v>0</v>
      </c>
      <c r="Q12" s="929" t="s">
        <v>406</v>
      </c>
      <c r="R12" s="453"/>
    </row>
    <row r="13" spans="1:18" s="57" customFormat="1" x14ac:dyDescent="0.2">
      <c r="A13" s="86">
        <f t="shared" si="0"/>
        <v>5</v>
      </c>
      <c r="B13" s="56"/>
      <c r="C13" s="56"/>
      <c r="D13" s="150"/>
      <c r="E13" s="59"/>
      <c r="F13" s="59"/>
      <c r="G13" s="59" t="s">
        <v>175</v>
      </c>
      <c r="H13" s="361" t="s">
        <v>176</v>
      </c>
      <c r="I13" s="59"/>
      <c r="J13" s="150"/>
      <c r="K13" s="454" t="s">
        <v>177</v>
      </c>
      <c r="L13" s="455"/>
      <c r="M13" s="408"/>
      <c r="N13" s="456" t="s">
        <v>409</v>
      </c>
      <c r="O13" s="457" t="s">
        <v>220</v>
      </c>
      <c r="P13" s="408"/>
      <c r="Q13" s="456" t="s">
        <v>409</v>
      </c>
      <c r="R13" s="457" t="s">
        <v>220</v>
      </c>
    </row>
    <row r="14" spans="1:18" s="57" customFormat="1" ht="12.6" customHeight="1" x14ac:dyDescent="0.2">
      <c r="A14" s="86">
        <f t="shared" si="0"/>
        <v>6</v>
      </c>
      <c r="C14" s="409"/>
      <c r="D14" s="409"/>
      <c r="E14" s="409"/>
      <c r="F14" s="409"/>
      <c r="G14" s="409"/>
      <c r="H14" s="409"/>
      <c r="I14" s="409"/>
      <c r="J14" s="409"/>
      <c r="K14" s="409"/>
      <c r="L14" s="458"/>
      <c r="M14" s="459" t="s">
        <v>22</v>
      </c>
      <c r="N14" s="460" t="s">
        <v>410</v>
      </c>
      <c r="O14" s="461" t="s">
        <v>28</v>
      </c>
      <c r="P14" s="459" t="s">
        <v>22</v>
      </c>
      <c r="Q14" s="460" t="s">
        <v>410</v>
      </c>
      <c r="R14" s="461" t="s">
        <v>28</v>
      </c>
    </row>
    <row r="15" spans="1:18" x14ac:dyDescent="0.2">
      <c r="A15" s="86">
        <f t="shared" si="0"/>
        <v>7</v>
      </c>
      <c r="B15" s="741" t="s">
        <v>2</v>
      </c>
      <c r="C15" s="58" t="s">
        <v>3</v>
      </c>
      <c r="D15" s="124" t="s">
        <v>35</v>
      </c>
      <c r="E15" s="124" t="s">
        <v>36</v>
      </c>
      <c r="F15" s="124" t="s">
        <v>13</v>
      </c>
      <c r="G15" s="124" t="s">
        <v>37</v>
      </c>
      <c r="H15" s="124" t="s">
        <v>38</v>
      </c>
      <c r="I15" s="124" t="s">
        <v>39</v>
      </c>
      <c r="J15" s="124" t="s">
        <v>40</v>
      </c>
      <c r="K15" s="124" t="s">
        <v>41</v>
      </c>
      <c r="L15" s="462"/>
      <c r="M15" s="459" t="s">
        <v>42</v>
      </c>
      <c r="N15" s="124" t="s">
        <v>129</v>
      </c>
      <c r="O15" s="461" t="s">
        <v>43</v>
      </c>
      <c r="P15" s="459" t="s">
        <v>42</v>
      </c>
      <c r="Q15" s="722" t="s">
        <v>129</v>
      </c>
      <c r="R15" s="461" t="s">
        <v>43</v>
      </c>
    </row>
    <row r="16" spans="1:18" x14ac:dyDescent="0.2">
      <c r="A16" s="86">
        <f t="shared" si="0"/>
        <v>8</v>
      </c>
      <c r="B16" s="724" t="str">
        <f>'WA Volumes &amp; Revenues'!B15</f>
        <v>1R</v>
      </c>
      <c r="C16" s="724" t="s">
        <v>283</v>
      </c>
      <c r="D16" s="364">
        <f>'WA Volumes &amp; Revenues'!E15</f>
        <v>214704.20066131229</v>
      </c>
      <c r="E16" s="463">
        <f>'Rates in Detail'!J13</f>
        <v>1.1525299999999998</v>
      </c>
      <c r="F16" s="770">
        <f>'Rates in Detail'!L13+'Rates in Detail'!P13+'Rates in Detail'!S13+'Rates in Detail'!U13</f>
        <v>9.1960000000000014E-2</v>
      </c>
      <c r="G16" s="463">
        <f>E16+F16</f>
        <v>1.2444899999999999</v>
      </c>
      <c r="H16" s="467">
        <f>ROUND(G16*D16,0)</f>
        <v>267197</v>
      </c>
      <c r="I16" s="768">
        <f>'WA Volumes &amp; Revenues'!N15</f>
        <v>5.5</v>
      </c>
      <c r="J16" s="364">
        <f>'WA Volumes &amp; Revenues'!H15</f>
        <v>911</v>
      </c>
      <c r="K16" s="467">
        <f>ROUND((I16*J16*12)+H16,0)</f>
        <v>327323</v>
      </c>
      <c r="L16" s="462"/>
      <c r="M16" s="464">
        <v>1</v>
      </c>
      <c r="N16" s="465">
        <f>ROUND(+$M$12*(($K16*M16)/M$86),0)</f>
        <v>0</v>
      </c>
      <c r="O16" s="470">
        <f>IFERROR(ROUND(N16/D16,5),0)</f>
        <v>0</v>
      </c>
      <c r="P16" s="464">
        <v>1</v>
      </c>
      <c r="Q16" s="465">
        <f>ROUND(+$P$12*(($K16*P16)/P$86),0)</f>
        <v>0</v>
      </c>
      <c r="R16" s="470">
        <f>IFERROR(ROUND(Q16/$D16,5),0)</f>
        <v>0</v>
      </c>
    </row>
    <row r="17" spans="1:18" x14ac:dyDescent="0.2">
      <c r="A17" s="86">
        <f t="shared" si="0"/>
        <v>9</v>
      </c>
      <c r="B17" s="724" t="str">
        <f>'WA Volumes &amp; Revenues'!B16</f>
        <v>1C</v>
      </c>
      <c r="C17" s="724" t="s">
        <v>283</v>
      </c>
      <c r="D17" s="466">
        <f>'WA Volumes &amp; Revenues'!E16</f>
        <v>46539.057144390383</v>
      </c>
      <c r="E17" s="463">
        <f>'Rates in Detail'!J14</f>
        <v>1.18929</v>
      </c>
      <c r="F17" s="770">
        <f>'Rates in Detail'!L14+'Rates in Detail'!P14+'Rates in Detail'!S14+'Rates in Detail'!U14</f>
        <v>7.6469999999999996E-2</v>
      </c>
      <c r="G17" s="463">
        <f t="shared" ref="G17:G80" si="1">E17+F17</f>
        <v>1.26576</v>
      </c>
      <c r="H17" s="467">
        <f t="shared" ref="H17:H80" si="2">ROUND(G17*D17,0)</f>
        <v>58907</v>
      </c>
      <c r="I17" s="468">
        <f>'WA Volumes &amp; Revenues'!N16</f>
        <v>7</v>
      </c>
      <c r="J17" s="364">
        <f>'WA Volumes &amp; Revenues'!H16</f>
        <v>34</v>
      </c>
      <c r="K17" s="467">
        <f t="shared" ref="K17:K21" si="3">ROUND((I17*J17*12)+H17,0)</f>
        <v>61763</v>
      </c>
      <c r="L17" s="462"/>
      <c r="M17" s="464">
        <v>1</v>
      </c>
      <c r="N17" s="465">
        <f t="shared" ref="N17:N21" si="4">ROUND(+$M$12*(($K17*M17)/M$86),0)</f>
        <v>0</v>
      </c>
      <c r="O17" s="470">
        <f t="shared" ref="O17:O21" si="5">IFERROR(ROUND(N17/D17,5),0)</f>
        <v>0</v>
      </c>
      <c r="P17" s="464">
        <v>1</v>
      </c>
      <c r="Q17" s="465">
        <f t="shared" ref="Q17:Q21" si="6">ROUND(+$P$12*(($K17*P17)/P$86),0)</f>
        <v>0</v>
      </c>
      <c r="R17" s="470">
        <f t="shared" ref="R17:R21" si="7">IFERROR(ROUND(Q17/$D17,5),0)</f>
        <v>0</v>
      </c>
    </row>
    <row r="18" spans="1:18" x14ac:dyDescent="0.2">
      <c r="A18" s="86">
        <f t="shared" si="0"/>
        <v>10</v>
      </c>
      <c r="B18" s="724" t="str">
        <f>'WA Volumes &amp; Revenues'!B17</f>
        <v>2R</v>
      </c>
      <c r="C18" s="724" t="s">
        <v>283</v>
      </c>
      <c r="D18" s="466">
        <f>'WA Volumes &amp; Revenues'!E17</f>
        <v>54953515.785084128</v>
      </c>
      <c r="E18" s="463">
        <f>'Rates in Detail'!J15</f>
        <v>0.88947999999999972</v>
      </c>
      <c r="F18" s="770">
        <f>'Rates in Detail'!L15+'Rates in Detail'!P15+'Rates in Detail'!S15+'Rates in Detail'!U15</f>
        <v>5.8199999999999995E-2</v>
      </c>
      <c r="G18" s="463">
        <f t="shared" si="1"/>
        <v>0.94767999999999974</v>
      </c>
      <c r="H18" s="467">
        <f t="shared" si="2"/>
        <v>52078348</v>
      </c>
      <c r="I18" s="468">
        <f>'WA Volumes &amp; Revenues'!N17</f>
        <v>8</v>
      </c>
      <c r="J18" s="364">
        <f>'WA Volumes &amp; Revenues'!H17</f>
        <v>81119</v>
      </c>
      <c r="K18" s="467">
        <f t="shared" si="3"/>
        <v>59865772</v>
      </c>
      <c r="L18" s="462"/>
      <c r="M18" s="464">
        <v>1</v>
      </c>
      <c r="N18" s="465">
        <f t="shared" si="4"/>
        <v>0</v>
      </c>
      <c r="O18" s="470">
        <f t="shared" si="5"/>
        <v>0</v>
      </c>
      <c r="P18" s="464">
        <v>1</v>
      </c>
      <c r="Q18" s="465">
        <f t="shared" si="6"/>
        <v>0</v>
      </c>
      <c r="R18" s="470">
        <f t="shared" si="7"/>
        <v>0</v>
      </c>
    </row>
    <row r="19" spans="1:18" x14ac:dyDescent="0.2">
      <c r="A19" s="86">
        <f t="shared" si="0"/>
        <v>11</v>
      </c>
      <c r="B19" s="724" t="str">
        <f>'WA Volumes &amp; Revenues'!B18</f>
        <v>3 CFS</v>
      </c>
      <c r="C19" s="724" t="s">
        <v>283</v>
      </c>
      <c r="D19" s="466">
        <f>'WA Volumes &amp; Revenues'!E18</f>
        <v>17867210.60654201</v>
      </c>
      <c r="E19" s="463">
        <f>'Rates in Detail'!J16</f>
        <v>0.86690000000000011</v>
      </c>
      <c r="F19" s="770">
        <f>'Rates in Detail'!L16+'Rates in Detail'!P16+'Rates in Detail'!S16+'Rates in Detail'!U16</f>
        <v>5.2250000000000005E-2</v>
      </c>
      <c r="G19" s="463">
        <f t="shared" si="1"/>
        <v>0.91915000000000013</v>
      </c>
      <c r="H19" s="467">
        <f t="shared" si="2"/>
        <v>16422647</v>
      </c>
      <c r="I19" s="468">
        <f>'WA Volumes &amp; Revenues'!N18</f>
        <v>22</v>
      </c>
      <c r="J19" s="364">
        <f>'WA Volumes &amp; Revenues'!H18</f>
        <v>6318</v>
      </c>
      <c r="K19" s="467">
        <f t="shared" si="3"/>
        <v>18090599</v>
      </c>
      <c r="L19" s="462"/>
      <c r="M19" s="464">
        <v>1</v>
      </c>
      <c r="N19" s="465">
        <f t="shared" si="4"/>
        <v>0</v>
      </c>
      <c r="O19" s="470">
        <f t="shared" si="5"/>
        <v>0</v>
      </c>
      <c r="P19" s="464">
        <v>1</v>
      </c>
      <c r="Q19" s="465">
        <f t="shared" si="6"/>
        <v>0</v>
      </c>
      <c r="R19" s="470">
        <f t="shared" si="7"/>
        <v>0</v>
      </c>
    </row>
    <row r="20" spans="1:18" x14ac:dyDescent="0.2">
      <c r="A20" s="86">
        <f t="shared" si="0"/>
        <v>12</v>
      </c>
      <c r="B20" s="724" t="str">
        <f>'WA Volumes &amp; Revenues'!B19</f>
        <v>3 IFS</v>
      </c>
      <c r="C20" s="724" t="s">
        <v>283</v>
      </c>
      <c r="D20" s="466">
        <f>'WA Volumes &amp; Revenues'!E19</f>
        <v>283651.99999999994</v>
      </c>
      <c r="E20" s="463">
        <f>'Rates in Detail'!J17</f>
        <v>0.82713999999999999</v>
      </c>
      <c r="F20" s="463">
        <f>'Rates in Detail'!L17+'Rates in Detail'!P17+'Rates in Detail'!S17+'Rates in Detail'!U17</f>
        <v>6.3390000000000002E-2</v>
      </c>
      <c r="G20" s="463">
        <f t="shared" si="1"/>
        <v>0.89053000000000004</v>
      </c>
      <c r="H20" s="467">
        <f t="shared" si="2"/>
        <v>252601</v>
      </c>
      <c r="I20" s="468">
        <f>'WA Volumes &amp; Revenues'!N19</f>
        <v>22</v>
      </c>
      <c r="J20" s="364">
        <f>'WA Volumes &amp; Revenues'!H19</f>
        <v>24.25</v>
      </c>
      <c r="K20" s="467">
        <f t="shared" si="3"/>
        <v>259003</v>
      </c>
      <c r="L20" s="462"/>
      <c r="M20" s="464">
        <v>1</v>
      </c>
      <c r="N20" s="465">
        <f t="shared" si="4"/>
        <v>0</v>
      </c>
      <c r="O20" s="470">
        <f t="shared" si="5"/>
        <v>0</v>
      </c>
      <c r="P20" s="464">
        <v>1</v>
      </c>
      <c r="Q20" s="465">
        <f t="shared" si="6"/>
        <v>0</v>
      </c>
      <c r="R20" s="470">
        <f t="shared" si="7"/>
        <v>0</v>
      </c>
    </row>
    <row r="21" spans="1:18" x14ac:dyDescent="0.2">
      <c r="A21" s="86">
        <f t="shared" si="0"/>
        <v>13</v>
      </c>
      <c r="B21" s="724" t="str">
        <f>'WA Volumes &amp; Revenues'!B20</f>
        <v>27R</v>
      </c>
      <c r="C21" s="724" t="s">
        <v>283</v>
      </c>
      <c r="D21" s="466">
        <f>'WA Volumes &amp; Revenues'!E20</f>
        <v>461371.76933137607</v>
      </c>
      <c r="E21" s="463">
        <f>'Rates in Detail'!J18</f>
        <v>0.64432999999999974</v>
      </c>
      <c r="F21" s="463">
        <f>'Rates in Detail'!L18+'Rates in Detail'!P18+'Rates in Detail'!S18+'Rates in Detail'!U18</f>
        <v>4.1419999999999998E-2</v>
      </c>
      <c r="G21" s="463">
        <f t="shared" si="1"/>
        <v>0.68574999999999975</v>
      </c>
      <c r="H21" s="467">
        <f t="shared" si="2"/>
        <v>316386</v>
      </c>
      <c r="I21" s="468">
        <f>'WA Volumes &amp; Revenues'!N20</f>
        <v>9</v>
      </c>
      <c r="J21" s="364">
        <f>'WA Volumes &amp; Revenues'!H20</f>
        <v>776</v>
      </c>
      <c r="K21" s="467">
        <f t="shared" si="3"/>
        <v>400194</v>
      </c>
      <c r="L21" s="462"/>
      <c r="M21" s="464">
        <v>1</v>
      </c>
      <c r="N21" s="465">
        <f t="shared" si="4"/>
        <v>0</v>
      </c>
      <c r="O21" s="470">
        <f t="shared" si="5"/>
        <v>0</v>
      </c>
      <c r="P21" s="464">
        <v>1</v>
      </c>
      <c r="Q21" s="465">
        <f t="shared" si="6"/>
        <v>0</v>
      </c>
      <c r="R21" s="470">
        <f t="shared" si="7"/>
        <v>0</v>
      </c>
    </row>
    <row r="22" spans="1:18" x14ac:dyDescent="0.2">
      <c r="A22" s="86">
        <f t="shared" si="0"/>
        <v>14</v>
      </c>
      <c r="B22" s="725" t="str">
        <f>'WA Volumes &amp; Revenues'!B21</f>
        <v>41C Firm Sales</v>
      </c>
      <c r="C22" s="726" t="s">
        <v>4</v>
      </c>
      <c r="D22" s="472">
        <f>'WA Volumes &amp; Revenues'!E21</f>
        <v>1777065.1510316674</v>
      </c>
      <c r="E22" s="473">
        <f>'Rates in Detail'!J19</f>
        <v>0.65150000000000008</v>
      </c>
      <c r="F22" s="473">
        <f>'Rates in Detail'!L19+'Rates in Detail'!P19+'Rates in Detail'!S19+'Rates in Detail'!U19</f>
        <v>4.1489999999999992E-2</v>
      </c>
      <c r="G22" s="473">
        <f t="shared" si="1"/>
        <v>0.69299000000000011</v>
      </c>
      <c r="H22" s="281">
        <f t="shared" si="2"/>
        <v>1231488</v>
      </c>
      <c r="I22" s="154">
        <f>'WA Volumes &amp; Revenues'!N21</f>
        <v>250</v>
      </c>
      <c r="J22" s="299">
        <f>'WA Volumes &amp; Revenues'!H21</f>
        <v>91</v>
      </c>
      <c r="K22" s="474">
        <f>ROUND((I22*J22*12)+H22+H23,0)</f>
        <v>2769927</v>
      </c>
      <c r="L22" s="475"/>
      <c r="M22" s="476">
        <v>1</v>
      </c>
      <c r="N22" s="477">
        <f>ROUND(+$M$12*(($K22*M22)/M$86),0)</f>
        <v>0</v>
      </c>
      <c r="O22" s="478">
        <f>IFERROR(ROUND(($N$22*(D22/SUM($D$22:$D$23)))/D22,5),0)</f>
        <v>0</v>
      </c>
      <c r="P22" s="476">
        <v>1</v>
      </c>
      <c r="Q22" s="477">
        <f>ROUND(+$P$12*(($K22*P22)/P$86),0)</f>
        <v>0</v>
      </c>
      <c r="R22" s="478">
        <f>IFERROR(ROUND(($Q$22*(D22/SUM($D$22:$D$23)))/D22,5),0)</f>
        <v>0</v>
      </c>
    </row>
    <row r="23" spans="1:18" x14ac:dyDescent="0.2">
      <c r="A23" s="86">
        <f t="shared" si="0"/>
        <v>15</v>
      </c>
      <c r="B23" s="723"/>
      <c r="C23" s="727" t="s">
        <v>5</v>
      </c>
      <c r="D23" s="466">
        <f>'WA Volumes &amp; Revenues'!E22</f>
        <v>1974656.4658023661</v>
      </c>
      <c r="E23" s="463">
        <f>'Rates in Detail'!J20</f>
        <v>0.60426999999999997</v>
      </c>
      <c r="F23" s="463">
        <f>'Rates in Detail'!L20+'Rates in Detail'!P20+'Rates in Detail'!S20+'Rates in Detail'!U20</f>
        <v>3.6569999999999998E-2</v>
      </c>
      <c r="G23" s="463">
        <f t="shared" si="1"/>
        <v>0.64083999999999997</v>
      </c>
      <c r="H23" s="467">
        <f t="shared" si="2"/>
        <v>1265439</v>
      </c>
      <c r="I23" s="468"/>
      <c r="J23" s="364"/>
      <c r="K23" s="467"/>
      <c r="L23" s="462"/>
      <c r="M23" s="464">
        <v>1</v>
      </c>
      <c r="N23" s="465"/>
      <c r="O23" s="470">
        <f>IFERROR(ROUND(($N$22*(D23/SUM($D$22:$D$23)))/D23,5),0)</f>
        <v>0</v>
      </c>
      <c r="P23" s="464">
        <v>1</v>
      </c>
      <c r="Q23" s="465"/>
      <c r="R23" s="470">
        <f>IFERROR(ROUND(($Q$22*(D23/SUM($D$22:$D$23)))/D23,5),0)</f>
        <v>0</v>
      </c>
    </row>
    <row r="24" spans="1:18" x14ac:dyDescent="0.2">
      <c r="A24" s="86">
        <f t="shared" si="0"/>
        <v>16</v>
      </c>
      <c r="B24" s="725" t="str">
        <f>'WA Volumes &amp; Revenues'!B23</f>
        <v>41I Firm Sales</v>
      </c>
      <c r="C24" s="726" t="s">
        <v>4</v>
      </c>
      <c r="D24" s="472">
        <f>'WA Volumes &amp; Revenues'!E23</f>
        <v>392890.20000000007</v>
      </c>
      <c r="E24" s="473">
        <f>'Rates in Detail'!J21</f>
        <v>0.60577000000000025</v>
      </c>
      <c r="F24" s="473">
        <f>'Rates in Detail'!L21+'Rates in Detail'!P21+'Rates in Detail'!S21+'Rates in Detail'!U21</f>
        <v>5.2900000000000003E-2</v>
      </c>
      <c r="G24" s="473">
        <f t="shared" si="1"/>
        <v>0.65867000000000031</v>
      </c>
      <c r="H24" s="281">
        <f t="shared" si="2"/>
        <v>258785</v>
      </c>
      <c r="I24" s="154">
        <f>'WA Volumes &amp; Revenues'!N23</f>
        <v>250</v>
      </c>
      <c r="J24" s="299">
        <f>'WA Volumes &amp; Revenues'!H23</f>
        <v>17.833333333333332</v>
      </c>
      <c r="K24" s="474">
        <f>ROUND((I24*J24*12)+H24+H25,0)</f>
        <v>691846</v>
      </c>
      <c r="L24" s="475"/>
      <c r="M24" s="476">
        <v>1</v>
      </c>
      <c r="N24" s="477">
        <f>ROUND(+$M$12*(($K24*M24)/M$86),0)</f>
        <v>0</v>
      </c>
      <c r="O24" s="478">
        <f>IFERROR(ROUND(($N$24*(D24/SUM($D$24:$D$25)))/D24,5),0)</f>
        <v>0</v>
      </c>
      <c r="P24" s="476">
        <v>1</v>
      </c>
      <c r="Q24" s="477">
        <f>ROUND(+$P$12*(($K24*P24)/P$86),0)</f>
        <v>0</v>
      </c>
      <c r="R24" s="478">
        <f>IFERROR(ROUND(($Q$24*(D24/SUM($D$24:$D$25)))/D24,5),0)</f>
        <v>0</v>
      </c>
    </row>
    <row r="25" spans="1:18" x14ac:dyDescent="0.2">
      <c r="A25" s="86">
        <f t="shared" si="0"/>
        <v>17</v>
      </c>
      <c r="B25" s="723"/>
      <c r="C25" s="727" t="s">
        <v>5</v>
      </c>
      <c r="D25" s="466">
        <f>'WA Volumes &amp; Revenues'!E24</f>
        <v>621650.00000000012</v>
      </c>
      <c r="E25" s="463">
        <f>'Rates in Detail'!J22</f>
        <v>0.56396000000000013</v>
      </c>
      <c r="F25" s="463">
        <f>'Rates in Detail'!L22+'Rates in Detail'!P22+'Rates in Detail'!S22+'Rates in Detail'!U22</f>
        <v>4.6609999999999999E-2</v>
      </c>
      <c r="G25" s="463">
        <f t="shared" si="1"/>
        <v>0.61057000000000017</v>
      </c>
      <c r="H25" s="467">
        <f t="shared" si="2"/>
        <v>379561</v>
      </c>
      <c r="I25" s="468"/>
      <c r="J25" s="364"/>
      <c r="K25" s="467"/>
      <c r="L25" s="462"/>
      <c r="M25" s="464">
        <v>1</v>
      </c>
      <c r="N25" s="465"/>
      <c r="O25" s="470">
        <f>IFERROR(ROUND(($N$24*(D25/SUM($D$24:$D$25)))/D25,5),0)</f>
        <v>0</v>
      </c>
      <c r="P25" s="464">
        <v>1</v>
      </c>
      <c r="Q25" s="465"/>
      <c r="R25" s="470">
        <f>IFERROR(ROUND(($Q$24*(D25/SUM($D$24:$D$25)))/D25,5),0)</f>
        <v>0</v>
      </c>
    </row>
    <row r="26" spans="1:18" x14ac:dyDescent="0.2">
      <c r="A26" s="86">
        <f t="shared" si="0"/>
        <v>18</v>
      </c>
      <c r="B26" s="725" t="str">
        <f>'WA Volumes &amp; Revenues'!B25</f>
        <v>41C Interr Sales</v>
      </c>
      <c r="C26" s="726" t="s">
        <v>4</v>
      </c>
      <c r="D26" s="479">
        <f>'WA Volumes &amp; Revenues'!E25</f>
        <v>0</v>
      </c>
      <c r="E26" s="473">
        <f>'Rates in Detail'!J23</f>
        <v>0.66024999999999989</v>
      </c>
      <c r="F26" s="473">
        <f>'Rates in Detail'!L23+'Rates in Detail'!P23+'Rates in Detail'!S23+'Rates in Detail'!U23</f>
        <v>2.63E-2</v>
      </c>
      <c r="G26" s="473">
        <f t="shared" si="1"/>
        <v>0.68654999999999988</v>
      </c>
      <c r="H26" s="474">
        <f t="shared" si="2"/>
        <v>0</v>
      </c>
      <c r="I26" s="154">
        <f>'WA Volumes &amp; Revenues'!N25</f>
        <v>250</v>
      </c>
      <c r="J26" s="299">
        <f>'WA Volumes &amp; Revenues'!H25</f>
        <v>0</v>
      </c>
      <c r="K26" s="474">
        <f>ROUND((I26*J26*12)+H26+H27,0)</f>
        <v>0</v>
      </c>
      <c r="L26" s="475"/>
      <c r="M26" s="476">
        <v>1</v>
      </c>
      <c r="N26" s="477">
        <f>ROUND(+$M$12*(($K26*M26)/M$86),0)</f>
        <v>0</v>
      </c>
      <c r="O26" s="478">
        <f>IFERROR(ROUND(($N$26*(D26/SUM($D$26:$D$27)))/D26,5),0)</f>
        <v>0</v>
      </c>
      <c r="P26" s="476">
        <v>1</v>
      </c>
      <c r="Q26" s="477">
        <f>ROUND(+$P$12*(($K26*P26)/P$86),0)</f>
        <v>0</v>
      </c>
      <c r="R26" s="478">
        <f>IFERROR(ROUND(($Q$26*(D26/SUM($D$26:$D$27)))/D26,5),0)</f>
        <v>0</v>
      </c>
    </row>
    <row r="27" spans="1:18" x14ac:dyDescent="0.2">
      <c r="A27" s="86">
        <f t="shared" si="0"/>
        <v>19</v>
      </c>
      <c r="B27" s="723"/>
      <c r="C27" s="727" t="s">
        <v>5</v>
      </c>
      <c r="D27" s="466">
        <f>'WA Volumes &amp; Revenues'!E26</f>
        <v>0</v>
      </c>
      <c r="E27" s="463">
        <f>'Rates in Detail'!J24</f>
        <v>0.61316999999999988</v>
      </c>
      <c r="F27" s="463">
        <f>'Rates in Detail'!L24+'Rates in Detail'!P24+'Rates in Detail'!S24+'Rates in Detail'!U24</f>
        <v>2.3169999999999996E-2</v>
      </c>
      <c r="G27" s="463">
        <f t="shared" si="1"/>
        <v>0.63633999999999991</v>
      </c>
      <c r="H27" s="467">
        <f t="shared" si="2"/>
        <v>0</v>
      </c>
      <c r="I27" s="468"/>
      <c r="J27" s="364"/>
      <c r="K27" s="467"/>
      <c r="L27" s="462"/>
      <c r="M27" s="464">
        <v>1</v>
      </c>
      <c r="N27" s="465"/>
      <c r="O27" s="470">
        <f>IFERROR(ROUND(($N$26*(D27/SUM($D$26:$D$27)))/D27,5),0)</f>
        <v>0</v>
      </c>
      <c r="P27" s="464">
        <v>1</v>
      </c>
      <c r="Q27" s="465"/>
      <c r="R27" s="470">
        <f>IFERROR(ROUND(($Q$26*(D27/SUM($D$26:$D$27)))/D27,5),0)</f>
        <v>0</v>
      </c>
    </row>
    <row r="28" spans="1:18" x14ac:dyDescent="0.2">
      <c r="A28" s="86">
        <f t="shared" si="0"/>
        <v>20</v>
      </c>
      <c r="B28" s="725" t="str">
        <f>'WA Volumes &amp; Revenues'!B27</f>
        <v>41I Interr Sales</v>
      </c>
      <c r="C28" s="726" t="s">
        <v>4</v>
      </c>
      <c r="D28" s="479">
        <f>'WA Volumes &amp; Revenues'!E27</f>
        <v>0</v>
      </c>
      <c r="E28" s="473">
        <f>'Rates in Detail'!J25</f>
        <v>0.61580999999999997</v>
      </c>
      <c r="F28" s="473">
        <f>'Rates in Detail'!L25+'Rates in Detail'!P25+'Rates in Detail'!S25+'Rates in Detail'!U25</f>
        <v>4.0340000000000001E-2</v>
      </c>
      <c r="G28" s="473">
        <f t="shared" si="1"/>
        <v>0.65615000000000001</v>
      </c>
      <c r="H28" s="474">
        <f t="shared" si="2"/>
        <v>0</v>
      </c>
      <c r="I28" s="154">
        <f>'WA Volumes &amp; Revenues'!N27</f>
        <v>250</v>
      </c>
      <c r="J28" s="299">
        <f>'WA Volumes &amp; Revenues'!H27</f>
        <v>0</v>
      </c>
      <c r="K28" s="474">
        <f>ROUND((I28*J28*12)+H28+H29,0)</f>
        <v>0</v>
      </c>
      <c r="L28" s="475"/>
      <c r="M28" s="476">
        <v>1</v>
      </c>
      <c r="N28" s="477">
        <f>ROUND(+$M$12*(($K28*M28)/M$86),0)</f>
        <v>0</v>
      </c>
      <c r="O28" s="478">
        <f>IFERROR(ROUND(($N$28*(D28/SUM($D$28:$D$29)))/D28,5),0)</f>
        <v>0</v>
      </c>
      <c r="P28" s="476">
        <v>1</v>
      </c>
      <c r="Q28" s="477">
        <f>ROUND(+$P$12*(($K28*P28)/P$86),0)</f>
        <v>0</v>
      </c>
      <c r="R28" s="478">
        <f>IFERROR(ROUND(($Q$28*(D28/SUM($D$28:$D$29)))/D28,5),0)</f>
        <v>0</v>
      </c>
    </row>
    <row r="29" spans="1:18" x14ac:dyDescent="0.2">
      <c r="A29" s="86">
        <f t="shared" si="0"/>
        <v>21</v>
      </c>
      <c r="B29" s="723"/>
      <c r="C29" s="727" t="s">
        <v>5</v>
      </c>
      <c r="D29" s="466">
        <f>'WA Volumes &amp; Revenues'!E28</f>
        <v>0</v>
      </c>
      <c r="E29" s="463">
        <f>'Rates in Detail'!J26</f>
        <v>0.57401999999999986</v>
      </c>
      <c r="F29" s="463">
        <f>'Rates in Detail'!L26+'Rates in Detail'!P26+'Rates in Detail'!S26+'Rates in Detail'!U26</f>
        <v>3.5539999999999995E-2</v>
      </c>
      <c r="G29" s="463">
        <f t="shared" si="1"/>
        <v>0.60955999999999988</v>
      </c>
      <c r="H29" s="467">
        <f t="shared" si="2"/>
        <v>0</v>
      </c>
      <c r="I29" s="468"/>
      <c r="J29" s="364"/>
      <c r="K29" s="467"/>
      <c r="L29" s="462"/>
      <c r="M29" s="464">
        <v>1</v>
      </c>
      <c r="N29" s="465"/>
      <c r="O29" s="470">
        <f>IFERROR(ROUND(($N$28*(D29/SUM($D$28:$D$29)))/D29,5),0)</f>
        <v>0</v>
      </c>
      <c r="P29" s="464">
        <v>1</v>
      </c>
      <c r="Q29" s="465"/>
      <c r="R29" s="470">
        <f>IFERROR(ROUND(($Q$28*(D29/SUM($D$28:$D$29)))/D29,5),0)</f>
        <v>0</v>
      </c>
    </row>
    <row r="30" spans="1:18" x14ac:dyDescent="0.2">
      <c r="A30" s="86">
        <f t="shared" si="0"/>
        <v>22</v>
      </c>
      <c r="B30" s="725" t="str">
        <f>'WA Volumes &amp; Revenues'!B29</f>
        <v>41C Firm Transpt</v>
      </c>
      <c r="C30" s="726" t="s">
        <v>4</v>
      </c>
      <c r="D30" s="479">
        <f>'WA Volumes &amp; Revenues'!E29</f>
        <v>168721</v>
      </c>
      <c r="E30" s="473">
        <f>'Rates in Detail'!J27</f>
        <v>0.34945999999999999</v>
      </c>
      <c r="F30" s="473">
        <f>'Rates in Detail'!L27+'Rates in Detail'!P27+'Rates in Detail'!S27+'Rates in Detail'!U27</f>
        <v>5.8799999999999998E-2</v>
      </c>
      <c r="G30" s="473">
        <f t="shared" si="1"/>
        <v>0.40826000000000001</v>
      </c>
      <c r="H30" s="474">
        <f t="shared" si="2"/>
        <v>68882</v>
      </c>
      <c r="I30" s="154">
        <f>'WA Volumes &amp; Revenues'!N29</f>
        <v>500</v>
      </c>
      <c r="J30" s="299">
        <f>'WA Volumes &amp; Revenues'!H29</f>
        <v>7.916666666666667</v>
      </c>
      <c r="K30" s="474">
        <f>ROUND((I30*J30*12)+H30+H31,0)</f>
        <v>214532</v>
      </c>
      <c r="L30" s="475"/>
      <c r="M30" s="476">
        <v>1</v>
      </c>
      <c r="N30" s="477">
        <f>ROUND(+$M$12*(($K30*M30)/M$86),0)</f>
        <v>0</v>
      </c>
      <c r="O30" s="478">
        <f>IFERROR(ROUND(($N$30*(D30/SUM($D$30:$D$31)))/D30,5),0)</f>
        <v>0</v>
      </c>
      <c r="P30" s="476">
        <v>1</v>
      </c>
      <c r="Q30" s="477">
        <f>ROUND(+$P$12*(($K30*P30)/P$86),0)</f>
        <v>0</v>
      </c>
      <c r="R30" s="478">
        <f>IFERROR(ROUND(($Q$30*(D30/SUM($D$30:$D$31)))/D30,5),0)</f>
        <v>0</v>
      </c>
    </row>
    <row r="31" spans="1:18" x14ac:dyDescent="0.2">
      <c r="A31" s="86">
        <f t="shared" si="0"/>
        <v>23</v>
      </c>
      <c r="B31" s="723"/>
      <c r="C31" s="727" t="s">
        <v>5</v>
      </c>
      <c r="D31" s="466">
        <f>'WA Volumes &amp; Revenues'!E30</f>
        <v>272866</v>
      </c>
      <c r="E31" s="463">
        <f>'Rates in Detail'!J28</f>
        <v>0.30789000000000011</v>
      </c>
      <c r="F31" s="463">
        <f>'Rates in Detail'!L28+'Rates in Detail'!P28+'Rates in Detail'!S28+'Rates in Detail'!U28</f>
        <v>5.1810000000000002E-2</v>
      </c>
      <c r="G31" s="463">
        <f t="shared" si="1"/>
        <v>0.35970000000000013</v>
      </c>
      <c r="H31" s="467">
        <f t="shared" si="2"/>
        <v>98150</v>
      </c>
      <c r="I31" s="468"/>
      <c r="J31" s="364"/>
      <c r="K31" s="467"/>
      <c r="L31" s="462"/>
      <c r="M31" s="464">
        <v>1</v>
      </c>
      <c r="N31" s="465"/>
      <c r="O31" s="470">
        <f>IFERROR(ROUND(($N$30*(D31/SUM($D$30:$D$31)))/D31,5),0)</f>
        <v>0</v>
      </c>
      <c r="P31" s="464">
        <v>1</v>
      </c>
      <c r="Q31" s="465"/>
      <c r="R31" s="470">
        <f>IFERROR(ROUND(($Q$30*(D31/SUM($D$30:$D$31)))/D31,5),0)</f>
        <v>0</v>
      </c>
    </row>
    <row r="32" spans="1:18" x14ac:dyDescent="0.2">
      <c r="A32" s="86">
        <f t="shared" si="0"/>
        <v>24</v>
      </c>
      <c r="B32" s="725" t="str">
        <f>'WA Volumes &amp; Revenues'!B31</f>
        <v>41I Firm Transpt</v>
      </c>
      <c r="C32" s="726" t="s">
        <v>4</v>
      </c>
      <c r="D32" s="479">
        <f>'WA Volumes &amp; Revenues'!E31</f>
        <v>0</v>
      </c>
      <c r="E32" s="473">
        <f>'Rates in Detail'!J29</f>
        <v>0.34945999999999999</v>
      </c>
      <c r="F32" s="473">
        <f>'Rates in Detail'!L29+'Rates in Detail'!P29+'Rates in Detail'!S29+'Rates in Detail'!U29</f>
        <v>4.0829999999999998E-2</v>
      </c>
      <c r="G32" s="473">
        <f t="shared" si="1"/>
        <v>0.39028999999999997</v>
      </c>
      <c r="H32" s="474">
        <f t="shared" si="2"/>
        <v>0</v>
      </c>
      <c r="I32" s="154">
        <f>'WA Volumes &amp; Revenues'!N31</f>
        <v>500</v>
      </c>
      <c r="J32" s="299">
        <f>'WA Volumes &amp; Revenues'!H31</f>
        <v>0</v>
      </c>
      <c r="K32" s="474">
        <f>ROUND((I32*J32*12)+H32+H33,0)</f>
        <v>0</v>
      </c>
      <c r="L32" s="475"/>
      <c r="M32" s="476">
        <v>1</v>
      </c>
      <c r="N32" s="477">
        <f>ROUND(+$M$12*(($K32*M32)/M$86),0)</f>
        <v>0</v>
      </c>
      <c r="O32" s="478">
        <f>IFERROR(ROUND(($N$32*(D32/SUM($D$31:$D$32)))/D32,5),0)</f>
        <v>0</v>
      </c>
      <c r="P32" s="476">
        <v>1</v>
      </c>
      <c r="Q32" s="477">
        <f>ROUND(+$P$12*(($K32*P32)/P$86),0)</f>
        <v>0</v>
      </c>
      <c r="R32" s="478">
        <f>IFERROR(ROUND(($Q$32*(D32/SUM($D$32:$D$33)))/D32,5),0)</f>
        <v>0</v>
      </c>
    </row>
    <row r="33" spans="1:18" x14ac:dyDescent="0.2">
      <c r="A33" s="86">
        <f t="shared" si="0"/>
        <v>25</v>
      </c>
      <c r="B33" s="723"/>
      <c r="C33" s="727" t="s">
        <v>5</v>
      </c>
      <c r="D33" s="466">
        <f>'WA Volumes &amp; Revenues'!E32</f>
        <v>0</v>
      </c>
      <c r="E33" s="463">
        <f>'Rates in Detail'!J30</f>
        <v>0.30789000000000011</v>
      </c>
      <c r="F33" s="463">
        <f>'Rates in Detail'!L30+'Rates in Detail'!P30+'Rates in Detail'!S30+'Rates in Detail'!U30</f>
        <v>3.5980000000000005E-2</v>
      </c>
      <c r="G33" s="463">
        <f t="shared" si="1"/>
        <v>0.34387000000000012</v>
      </c>
      <c r="H33" s="467">
        <f t="shared" si="2"/>
        <v>0</v>
      </c>
      <c r="I33" s="468"/>
      <c r="J33" s="364"/>
      <c r="K33" s="467"/>
      <c r="L33" s="462"/>
      <c r="M33" s="464">
        <v>1</v>
      </c>
      <c r="N33" s="465"/>
      <c r="O33" s="470">
        <f>IFERROR(ROUND(($N$32*(D33/SUM($D$32:$D$33)))/D33,5),0)</f>
        <v>0</v>
      </c>
      <c r="P33" s="464">
        <v>1</v>
      </c>
      <c r="Q33" s="465"/>
      <c r="R33" s="470">
        <f>IFERROR(ROUND(($Q$32*(D33/SUM($D$32:$D$33)))/D33,5),0)</f>
        <v>0</v>
      </c>
    </row>
    <row r="34" spans="1:18" x14ac:dyDescent="0.2">
      <c r="A34" s="86">
        <f t="shared" si="0"/>
        <v>26</v>
      </c>
      <c r="B34" s="725" t="str">
        <f>'WA Volumes &amp; Revenues'!B33</f>
        <v>42C Firm Sales</v>
      </c>
      <c r="C34" s="726" t="s">
        <v>4</v>
      </c>
      <c r="D34" s="479">
        <f>'WA Volumes &amp; Revenues'!E33</f>
        <v>350769.66174469434</v>
      </c>
      <c r="E34" s="473">
        <f>'Rates in Detail'!J31</f>
        <v>0.43535000000000001</v>
      </c>
      <c r="F34" s="473">
        <f>'Rates in Detail'!L31+'Rates in Detail'!P31+'Rates in Detail'!S31+'Rates in Detail'!U31</f>
        <v>3.1259999999999996E-2</v>
      </c>
      <c r="G34" s="473">
        <f t="shared" si="1"/>
        <v>0.46661000000000002</v>
      </c>
      <c r="H34" s="474">
        <f t="shared" si="2"/>
        <v>163673</v>
      </c>
      <c r="I34" s="154">
        <f>'WA Volumes &amp; Revenues'!N33</f>
        <v>1300</v>
      </c>
      <c r="J34" s="299">
        <f>'WA Volumes &amp; Revenues'!H33</f>
        <v>5</v>
      </c>
      <c r="K34" s="474">
        <f>ROUND((I34*J34*12)+H34+H35+H36+H37+H38+H39,0)+'Rev Req Proof Yr1'!AD38</f>
        <v>430793.76516000001</v>
      </c>
      <c r="L34" s="475"/>
      <c r="M34" s="476">
        <v>1</v>
      </c>
      <c r="N34" s="480">
        <f>ROUND(+$M$12*(($K34*M34)/M$86),0)</f>
        <v>0</v>
      </c>
      <c r="O34" s="478">
        <f>IFERROR(ROUND(($N$34*(D34/SUM($D$34:$D$39)))/D34,5),0)</f>
        <v>0</v>
      </c>
      <c r="P34" s="476">
        <v>1</v>
      </c>
      <c r="Q34" s="480">
        <f>ROUND(+$P$12*(($K34*P34)/P$86),0)</f>
        <v>0</v>
      </c>
      <c r="R34" s="478">
        <f>IFERROR(ROUND(($Q$34*(D34/SUM($D$34:$D$39)))/D34,5),0)</f>
        <v>0</v>
      </c>
    </row>
    <row r="35" spans="1:18" x14ac:dyDescent="0.2">
      <c r="A35" s="86">
        <f t="shared" si="0"/>
        <v>27</v>
      </c>
      <c r="B35" s="725"/>
      <c r="C35" s="726" t="s">
        <v>5</v>
      </c>
      <c r="D35" s="479">
        <f>'WA Volumes &amp; Revenues'!E34</f>
        <v>303088.75426472601</v>
      </c>
      <c r="E35" s="473">
        <f>'Rates in Detail'!J32</f>
        <v>0.41633999999999971</v>
      </c>
      <c r="F35" s="473">
        <f>'Rates in Detail'!L32+'Rates in Detail'!P32+'Rates in Detail'!S32+'Rates in Detail'!U32</f>
        <v>2.7970000000000002E-2</v>
      </c>
      <c r="G35" s="473">
        <f t="shared" si="1"/>
        <v>0.44430999999999971</v>
      </c>
      <c r="H35" s="474">
        <f t="shared" si="2"/>
        <v>134665</v>
      </c>
      <c r="I35" s="154"/>
      <c r="J35" s="299"/>
      <c r="K35" s="474"/>
      <c r="L35" s="475"/>
      <c r="M35" s="476">
        <v>1</v>
      </c>
      <c r="N35" s="270"/>
      <c r="O35" s="478">
        <f t="shared" ref="O35:O39" si="8">IFERROR(ROUND(($N$34*(D35/SUM($D$34:$D$39)))/D35,5),0)</f>
        <v>0</v>
      </c>
      <c r="P35" s="476">
        <v>1</v>
      </c>
      <c r="Q35" s="270"/>
      <c r="R35" s="478">
        <f t="shared" ref="R35:R39" si="9">IFERROR(ROUND(($Q$34*(D35/SUM($D$34:$D$39)))/D35,5),0)</f>
        <v>0</v>
      </c>
    </row>
    <row r="36" spans="1:18" x14ac:dyDescent="0.2">
      <c r="A36" s="86">
        <f t="shared" si="0"/>
        <v>28</v>
      </c>
      <c r="B36" s="725"/>
      <c r="C36" s="726" t="s">
        <v>6</v>
      </c>
      <c r="D36" s="479">
        <f>'WA Volumes &amp; Revenues'!E35</f>
        <v>59441.942130257296</v>
      </c>
      <c r="E36" s="473">
        <f>'Rates in Detail'!J33</f>
        <v>0.37851999999999986</v>
      </c>
      <c r="F36" s="473">
        <f>'Rates in Detail'!L33+'Rates in Detail'!P33+'Rates in Detail'!S33+'Rates in Detail'!U33</f>
        <v>2.146E-2</v>
      </c>
      <c r="G36" s="473">
        <f t="shared" si="1"/>
        <v>0.39997999999999984</v>
      </c>
      <c r="H36" s="474">
        <f t="shared" si="2"/>
        <v>23776</v>
      </c>
      <c r="I36" s="154"/>
      <c r="J36" s="299"/>
      <c r="K36" s="474"/>
      <c r="L36" s="475"/>
      <c r="M36" s="476">
        <v>1</v>
      </c>
      <c r="N36" s="270"/>
      <c r="O36" s="478">
        <f t="shared" si="8"/>
        <v>0</v>
      </c>
      <c r="P36" s="476">
        <v>1</v>
      </c>
      <c r="Q36" s="270"/>
      <c r="R36" s="478">
        <f t="shared" si="9"/>
        <v>0</v>
      </c>
    </row>
    <row r="37" spans="1:18" x14ac:dyDescent="0.2">
      <c r="A37" s="86">
        <f t="shared" si="0"/>
        <v>29</v>
      </c>
      <c r="B37" s="725"/>
      <c r="C37" s="726" t="s">
        <v>7</v>
      </c>
      <c r="D37" s="479">
        <f>'WA Volumes &amp; Revenues'!E36</f>
        <v>3614.6071898605187</v>
      </c>
      <c r="E37" s="473">
        <f>'Rates in Detail'!J34</f>
        <v>0.35361000000000004</v>
      </c>
      <c r="F37" s="473">
        <f>'Rates in Detail'!L34+'Rates in Detail'!P34+'Rates in Detail'!S34+'Rates in Detail'!U34</f>
        <v>1.7160000000000002E-2</v>
      </c>
      <c r="G37" s="473">
        <f t="shared" si="1"/>
        <v>0.37077000000000004</v>
      </c>
      <c r="H37" s="474">
        <f t="shared" si="2"/>
        <v>1340</v>
      </c>
      <c r="I37" s="154"/>
      <c r="J37" s="299"/>
      <c r="K37" s="474"/>
      <c r="L37" s="475"/>
      <c r="M37" s="476">
        <v>1</v>
      </c>
      <c r="N37" s="270"/>
      <c r="O37" s="478">
        <f t="shared" si="8"/>
        <v>0</v>
      </c>
      <c r="P37" s="476">
        <v>1</v>
      </c>
      <c r="Q37" s="270"/>
      <c r="R37" s="478">
        <f t="shared" si="9"/>
        <v>0</v>
      </c>
    </row>
    <row r="38" spans="1:18" x14ac:dyDescent="0.2">
      <c r="A38" s="86">
        <f t="shared" si="0"/>
        <v>30</v>
      </c>
      <c r="B38" s="725"/>
      <c r="C38" s="726" t="s">
        <v>8</v>
      </c>
      <c r="D38" s="479">
        <f>'WA Volumes &amp; Revenues'!E37</f>
        <v>0</v>
      </c>
      <c r="E38" s="473">
        <f>'Rates in Detail'!J35</f>
        <v>0.32038</v>
      </c>
      <c r="F38" s="473">
        <f>'Rates in Detail'!L35+'Rates in Detail'!P35+'Rates in Detail'!S35+'Rates in Detail'!U35</f>
        <v>1.1440000000000001E-2</v>
      </c>
      <c r="G38" s="473">
        <f t="shared" si="1"/>
        <v>0.33182</v>
      </c>
      <c r="H38" s="474">
        <f t="shared" si="2"/>
        <v>0</v>
      </c>
      <c r="I38" s="154"/>
      <c r="J38" s="299"/>
      <c r="K38" s="474"/>
      <c r="L38" s="475"/>
      <c r="M38" s="476">
        <v>1</v>
      </c>
      <c r="N38" s="270"/>
      <c r="O38" s="478">
        <f t="shared" si="8"/>
        <v>0</v>
      </c>
      <c r="P38" s="476">
        <v>1</v>
      </c>
      <c r="Q38" s="270"/>
      <c r="R38" s="478">
        <f t="shared" si="9"/>
        <v>0</v>
      </c>
    </row>
    <row r="39" spans="1:18" x14ac:dyDescent="0.2">
      <c r="A39" s="86">
        <f t="shared" si="0"/>
        <v>31</v>
      </c>
      <c r="B39" s="723"/>
      <c r="C39" s="727" t="s">
        <v>9</v>
      </c>
      <c r="D39" s="466">
        <f>'WA Volumes &amp; Revenues'!E38</f>
        <v>0</v>
      </c>
      <c r="E39" s="463">
        <f>'Rates in Detail'!J36</f>
        <v>0.27890000000000004</v>
      </c>
      <c r="F39" s="463">
        <f>'Rates in Detail'!L36+'Rates in Detail'!P36+'Rates in Detail'!S36+'Rates in Detail'!U36</f>
        <v>4.3E-3</v>
      </c>
      <c r="G39" s="463">
        <f t="shared" si="1"/>
        <v>0.28320000000000006</v>
      </c>
      <c r="H39" s="467">
        <f t="shared" si="2"/>
        <v>0</v>
      </c>
      <c r="I39" s="468"/>
      <c r="J39" s="364"/>
      <c r="K39" s="467"/>
      <c r="L39" s="462"/>
      <c r="M39" s="464">
        <v>1</v>
      </c>
      <c r="N39" s="465"/>
      <c r="O39" s="470">
        <f t="shared" si="8"/>
        <v>0</v>
      </c>
      <c r="P39" s="464">
        <v>1</v>
      </c>
      <c r="Q39" s="465"/>
      <c r="R39" s="470">
        <f t="shared" si="9"/>
        <v>0</v>
      </c>
    </row>
    <row r="40" spans="1:18" x14ac:dyDescent="0.2">
      <c r="A40" s="86">
        <f t="shared" si="0"/>
        <v>32</v>
      </c>
      <c r="B40" s="725" t="str">
        <f>'WA Volumes &amp; Revenues'!B39</f>
        <v>42I Firm Sales</v>
      </c>
      <c r="C40" s="726" t="s">
        <v>4</v>
      </c>
      <c r="D40" s="479">
        <f>'WA Volumes &amp; Revenues'!E39</f>
        <v>1093724.2000000002</v>
      </c>
      <c r="E40" s="473">
        <f>'Rates in Detail'!J37</f>
        <v>0.40593000000000001</v>
      </c>
      <c r="F40" s="473">
        <f>'Rates in Detail'!L37+'Rates in Detail'!P37+'Rates in Detail'!S37+'Rates in Detail'!U37</f>
        <v>3.7229999999999999E-2</v>
      </c>
      <c r="G40" s="473">
        <f t="shared" si="1"/>
        <v>0.44316</v>
      </c>
      <c r="H40" s="474">
        <f t="shared" si="2"/>
        <v>484695</v>
      </c>
      <c r="I40" s="154">
        <f>'WA Volumes &amp; Revenues'!N39</f>
        <v>1300</v>
      </c>
      <c r="J40" s="299">
        <f>'WA Volumes &amp; Revenues'!H39</f>
        <v>11.916666666666666</v>
      </c>
      <c r="K40" s="474">
        <f>ROUND((I40*J40*12)+H40+H41+H42+H43+H44+H45,0)+'Rev Req Proof Yr1'!AD45</f>
        <v>1024256.83536</v>
      </c>
      <c r="L40" s="475"/>
      <c r="M40" s="476">
        <v>1</v>
      </c>
      <c r="N40" s="480">
        <f>ROUND(+$M$12*(($K40*M40)/M$86),0)</f>
        <v>0</v>
      </c>
      <c r="O40" s="478">
        <f>IFERROR(ROUND(($N$40*(D40/SUM($D$40:$D$45)))/D40,5),0)</f>
        <v>0</v>
      </c>
      <c r="P40" s="476">
        <v>1</v>
      </c>
      <c r="Q40" s="480">
        <f>ROUND(+$P$12*(($K40*P40)/P$86),0)</f>
        <v>0</v>
      </c>
      <c r="R40" s="478">
        <f>IFERROR(ROUND(($Q$40*(D40/SUM($D$40:$D$45)))/D40,5),0)</f>
        <v>0</v>
      </c>
    </row>
    <row r="41" spans="1:18" x14ac:dyDescent="0.2">
      <c r="A41" s="86">
        <f t="shared" si="0"/>
        <v>33</v>
      </c>
      <c r="B41" s="725"/>
      <c r="C41" s="726" t="s">
        <v>5</v>
      </c>
      <c r="D41" s="479">
        <f>'WA Volumes &amp; Revenues'!E40</f>
        <v>655939.80000000005</v>
      </c>
      <c r="E41" s="473">
        <f>'Rates in Detail'!J38</f>
        <v>0.38999</v>
      </c>
      <c r="F41" s="473">
        <f>'Rates in Detail'!L38+'Rates in Detail'!P38+'Rates in Detail'!S38+'Rates in Detail'!U38</f>
        <v>3.3330000000000005E-2</v>
      </c>
      <c r="G41" s="473">
        <f t="shared" si="1"/>
        <v>0.42332000000000003</v>
      </c>
      <c r="H41" s="474">
        <f t="shared" si="2"/>
        <v>277672</v>
      </c>
      <c r="I41" s="154"/>
      <c r="J41" s="299"/>
      <c r="K41" s="474"/>
      <c r="L41" s="475"/>
      <c r="M41" s="476">
        <v>1</v>
      </c>
      <c r="N41" s="270"/>
      <c r="O41" s="478">
        <f t="shared" ref="O41:O45" si="10">IFERROR(ROUND(($N$40*(D41/SUM($D$40:$D$45)))/D41,5),0)</f>
        <v>0</v>
      </c>
      <c r="P41" s="476">
        <v>1</v>
      </c>
      <c r="Q41" s="270"/>
      <c r="R41" s="478">
        <f t="shared" ref="R41:R45" si="11">IFERROR(ROUND(($Q$40*(D41/SUM($D$40:$D$45)))/D41,5),0)</f>
        <v>0</v>
      </c>
    </row>
    <row r="42" spans="1:18" x14ac:dyDescent="0.2">
      <c r="A42" s="86">
        <f t="shared" si="0"/>
        <v>34</v>
      </c>
      <c r="B42" s="725"/>
      <c r="C42" s="726" t="s">
        <v>6</v>
      </c>
      <c r="D42" s="479">
        <f>'WA Volumes &amp; Revenues'!E41</f>
        <v>81241.3</v>
      </c>
      <c r="E42" s="473">
        <f>'Rates in Detail'!J39</f>
        <v>0.35830999999999985</v>
      </c>
      <c r="F42" s="473">
        <f>'Rates in Detail'!L39+'Rates in Detail'!P39+'Rates in Detail'!S39+'Rates in Detail'!U39</f>
        <v>2.555E-2</v>
      </c>
      <c r="G42" s="473">
        <f t="shared" si="1"/>
        <v>0.38385999999999987</v>
      </c>
      <c r="H42" s="474">
        <f t="shared" si="2"/>
        <v>31185</v>
      </c>
      <c r="I42" s="154"/>
      <c r="J42" s="299"/>
      <c r="K42" s="474"/>
      <c r="L42" s="475"/>
      <c r="M42" s="476">
        <v>1</v>
      </c>
      <c r="N42" s="270"/>
      <c r="O42" s="478">
        <f t="shared" si="10"/>
        <v>0</v>
      </c>
      <c r="P42" s="476">
        <v>1</v>
      </c>
      <c r="Q42" s="270"/>
      <c r="R42" s="478">
        <f t="shared" si="11"/>
        <v>0</v>
      </c>
    </row>
    <row r="43" spans="1:18" x14ac:dyDescent="0.2">
      <c r="A43" s="86">
        <f t="shared" si="0"/>
        <v>35</v>
      </c>
      <c r="B43" s="725"/>
      <c r="C43" s="726" t="s">
        <v>7</v>
      </c>
      <c r="D43" s="479">
        <f>'WA Volumes &amp; Revenues'!E42</f>
        <v>9320.1</v>
      </c>
      <c r="E43" s="473">
        <f>'Rates in Detail'!J40</f>
        <v>0.33743999999999996</v>
      </c>
      <c r="F43" s="473">
        <f>'Rates in Detail'!L40+'Rates in Detail'!P40+'Rates in Detail'!S40+'Rates in Detail'!U40</f>
        <v>2.0449999999999999E-2</v>
      </c>
      <c r="G43" s="473">
        <f t="shared" si="1"/>
        <v>0.35788999999999999</v>
      </c>
      <c r="H43" s="474">
        <f t="shared" si="2"/>
        <v>3336</v>
      </c>
      <c r="I43" s="154"/>
      <c r="J43" s="299"/>
      <c r="K43" s="474"/>
      <c r="L43" s="475"/>
      <c r="M43" s="476">
        <v>1</v>
      </c>
      <c r="N43" s="270"/>
      <c r="O43" s="478">
        <f t="shared" si="10"/>
        <v>0</v>
      </c>
      <c r="P43" s="476">
        <v>1</v>
      </c>
      <c r="Q43" s="270"/>
      <c r="R43" s="478">
        <f t="shared" si="11"/>
        <v>0</v>
      </c>
    </row>
    <row r="44" spans="1:18" x14ac:dyDescent="0.2">
      <c r="A44" s="86">
        <f t="shared" si="0"/>
        <v>36</v>
      </c>
      <c r="B44" s="725"/>
      <c r="C44" s="726" t="s">
        <v>8</v>
      </c>
      <c r="D44" s="479">
        <f>'WA Volumes &amp; Revenues'!E43</f>
        <v>0</v>
      </c>
      <c r="E44" s="473">
        <f>'Rates in Detail'!J41</f>
        <v>0.30965000000000004</v>
      </c>
      <c r="F44" s="473">
        <f>'Rates in Detail'!L41+'Rates in Detail'!P41+'Rates in Detail'!S41+'Rates in Detail'!U41</f>
        <v>1.363E-2</v>
      </c>
      <c r="G44" s="473">
        <f t="shared" si="1"/>
        <v>0.32328000000000001</v>
      </c>
      <c r="H44" s="474">
        <f t="shared" si="2"/>
        <v>0</v>
      </c>
      <c r="I44" s="154"/>
      <c r="J44" s="299"/>
      <c r="K44" s="474"/>
      <c r="L44" s="475"/>
      <c r="M44" s="476">
        <v>1</v>
      </c>
      <c r="N44" s="270"/>
      <c r="O44" s="478">
        <f t="shared" si="10"/>
        <v>0</v>
      </c>
      <c r="P44" s="476">
        <v>1</v>
      </c>
      <c r="Q44" s="270"/>
      <c r="R44" s="478">
        <f t="shared" si="11"/>
        <v>0</v>
      </c>
    </row>
    <row r="45" spans="1:18" x14ac:dyDescent="0.2">
      <c r="A45" s="86">
        <f t="shared" si="0"/>
        <v>37</v>
      </c>
      <c r="B45" s="723"/>
      <c r="C45" s="727" t="s">
        <v>9</v>
      </c>
      <c r="D45" s="466">
        <f>'WA Volumes &amp; Revenues'!E44</f>
        <v>0</v>
      </c>
      <c r="E45" s="463">
        <f>'Rates in Detail'!J42</f>
        <v>0.27485999999999999</v>
      </c>
      <c r="F45" s="463">
        <f>'Rates in Detail'!L42+'Rates in Detail'!P42+'Rates in Detail'!S42+'Rates in Detail'!U42</f>
        <v>5.11E-3</v>
      </c>
      <c r="G45" s="463">
        <f t="shared" si="1"/>
        <v>0.27997</v>
      </c>
      <c r="H45" s="467">
        <f t="shared" si="2"/>
        <v>0</v>
      </c>
      <c r="I45" s="468"/>
      <c r="J45" s="364"/>
      <c r="K45" s="467"/>
      <c r="L45" s="462"/>
      <c r="M45" s="464">
        <v>1</v>
      </c>
      <c r="N45" s="465"/>
      <c r="O45" s="470">
        <f t="shared" si="10"/>
        <v>0</v>
      </c>
      <c r="P45" s="464">
        <v>1</v>
      </c>
      <c r="Q45" s="465"/>
      <c r="R45" s="470">
        <f t="shared" si="11"/>
        <v>0</v>
      </c>
    </row>
    <row r="46" spans="1:18" x14ac:dyDescent="0.2">
      <c r="A46" s="86">
        <f t="shared" si="0"/>
        <v>38</v>
      </c>
      <c r="B46" s="725" t="str">
        <f>'WA Volumes &amp; Revenues'!B45</f>
        <v>42C Firm Transpt</v>
      </c>
      <c r="C46" s="726" t="s">
        <v>4</v>
      </c>
      <c r="D46" s="479">
        <f>'WA Volumes &amp; Revenues'!E45</f>
        <v>480000</v>
      </c>
      <c r="E46" s="473">
        <f>'Rates in Detail'!J43</f>
        <v>0.13851999999999998</v>
      </c>
      <c r="F46" s="473">
        <f>'Rates in Detail'!L43+'Rates in Detail'!P43+'Rates in Detail'!S43+'Rates in Detail'!U43</f>
        <v>2.3649999999999997E-2</v>
      </c>
      <c r="G46" s="473">
        <f t="shared" si="1"/>
        <v>0.16216999999999998</v>
      </c>
      <c r="H46" s="474">
        <f t="shared" si="2"/>
        <v>77842</v>
      </c>
      <c r="I46" s="154">
        <f>'WA Volumes &amp; Revenues'!N45</f>
        <v>1550</v>
      </c>
      <c r="J46" s="299">
        <f>'WA Volumes &amp; Revenues'!H45</f>
        <v>4</v>
      </c>
      <c r="K46" s="474">
        <f>ROUND((I46*J46*12)+H46+H47+H48+H49+H50+H51,0)+'Rev Req Proof Yr1'!AD52</f>
        <v>407646.79504</v>
      </c>
      <c r="L46" s="475"/>
      <c r="M46" s="476">
        <v>1</v>
      </c>
      <c r="N46" s="480">
        <f>ROUND(+$M$12*(($K46*M46)/M$86),0)</f>
        <v>0</v>
      </c>
      <c r="O46" s="478">
        <f>IFERROR(ROUND(($N$46*(D46/SUM($D$46:$D$51)))/D46,5),0)</f>
        <v>0</v>
      </c>
      <c r="P46" s="476">
        <v>1</v>
      </c>
      <c r="Q46" s="480">
        <f>ROUND(+$P$12*(($K46*P46)/P$86),0)</f>
        <v>0</v>
      </c>
      <c r="R46" s="478">
        <f>IFERROR(ROUND(($Q$46*(D46/SUM($D$46:$D$51)))/D46,5),0)</f>
        <v>0</v>
      </c>
    </row>
    <row r="47" spans="1:18" x14ac:dyDescent="0.2">
      <c r="A47" s="86">
        <f t="shared" si="0"/>
        <v>39</v>
      </c>
      <c r="B47" s="725"/>
      <c r="C47" s="726" t="s">
        <v>5</v>
      </c>
      <c r="D47" s="479">
        <f>'WA Volumes &amp; Revenues'!E46</f>
        <v>807846</v>
      </c>
      <c r="E47" s="473">
        <f>'Rates in Detail'!J44</f>
        <v>0.12399999999999999</v>
      </c>
      <c r="F47" s="473">
        <f>'Rates in Detail'!L44+'Rates in Detail'!P44+'Rates in Detail'!S44+'Rates in Detail'!U44</f>
        <v>2.1170000000000001E-2</v>
      </c>
      <c r="G47" s="473">
        <f t="shared" si="1"/>
        <v>0.14516999999999999</v>
      </c>
      <c r="H47" s="474">
        <f t="shared" si="2"/>
        <v>117275</v>
      </c>
      <c r="I47" s="154"/>
      <c r="J47" s="299"/>
      <c r="K47" s="474"/>
      <c r="L47" s="475"/>
      <c r="M47" s="476">
        <v>1</v>
      </c>
      <c r="N47" s="270"/>
      <c r="O47" s="478">
        <f t="shared" ref="O47:O51" si="12">IFERROR(ROUND(($N$46*(D47/SUM($D$46:$D$51)))/D47,5),0)</f>
        <v>0</v>
      </c>
      <c r="P47" s="476">
        <v>1</v>
      </c>
      <c r="Q47" s="270"/>
      <c r="R47" s="478">
        <f t="shared" ref="R47:R51" si="13">IFERROR(ROUND(($Q$46*(D47/SUM($D$46:$D$51)))/D47,5),0)</f>
        <v>0</v>
      </c>
    </row>
    <row r="48" spans="1:18" x14ac:dyDescent="0.2">
      <c r="A48" s="86">
        <f t="shared" si="0"/>
        <v>40</v>
      </c>
      <c r="B48" s="725"/>
      <c r="C48" s="726" t="s">
        <v>6</v>
      </c>
      <c r="D48" s="479">
        <f>'WA Volumes &amp; Revenues'!E47</f>
        <v>583779</v>
      </c>
      <c r="E48" s="473">
        <f>'Rates in Detail'!J45</f>
        <v>9.5079999999999998E-2</v>
      </c>
      <c r="F48" s="473">
        <f>'Rates in Detail'!L45+'Rates in Detail'!P45+'Rates in Detail'!S45+'Rates in Detail'!U45</f>
        <v>1.6240000000000001E-2</v>
      </c>
      <c r="G48" s="473">
        <f t="shared" si="1"/>
        <v>0.11132</v>
      </c>
      <c r="H48" s="474">
        <f t="shared" si="2"/>
        <v>64986</v>
      </c>
      <c r="I48" s="154"/>
      <c r="J48" s="299"/>
      <c r="K48" s="474"/>
      <c r="L48" s="475"/>
      <c r="M48" s="476">
        <v>1</v>
      </c>
      <c r="N48" s="270"/>
      <c r="O48" s="478">
        <f t="shared" si="12"/>
        <v>0</v>
      </c>
      <c r="P48" s="476">
        <v>1</v>
      </c>
      <c r="Q48" s="270"/>
      <c r="R48" s="478">
        <f t="shared" si="13"/>
        <v>0</v>
      </c>
    </row>
    <row r="49" spans="1:18" x14ac:dyDescent="0.2">
      <c r="A49" s="86">
        <f t="shared" si="0"/>
        <v>41</v>
      </c>
      <c r="B49" s="725"/>
      <c r="C49" s="726" t="s">
        <v>7</v>
      </c>
      <c r="D49" s="479">
        <f>'WA Volumes &amp; Revenues'!E48</f>
        <v>598933</v>
      </c>
      <c r="E49" s="473">
        <f>'Rates in Detail'!J46</f>
        <v>7.6070000000000013E-2</v>
      </c>
      <c r="F49" s="473">
        <f>'Rates in Detail'!L46+'Rates in Detail'!P46+'Rates in Detail'!S46+'Rates in Detail'!U46</f>
        <v>1.299E-2</v>
      </c>
      <c r="G49" s="473">
        <f t="shared" si="1"/>
        <v>8.9060000000000014E-2</v>
      </c>
      <c r="H49" s="474">
        <f t="shared" si="2"/>
        <v>53341</v>
      </c>
      <c r="I49" s="154"/>
      <c r="J49" s="299"/>
      <c r="K49" s="474"/>
      <c r="L49" s="475"/>
      <c r="M49" s="476">
        <v>1</v>
      </c>
      <c r="N49" s="270"/>
      <c r="O49" s="478">
        <f t="shared" si="12"/>
        <v>0</v>
      </c>
      <c r="P49" s="476">
        <v>1</v>
      </c>
      <c r="Q49" s="270"/>
      <c r="R49" s="478">
        <f t="shared" si="13"/>
        <v>0</v>
      </c>
    </row>
    <row r="50" spans="1:18" x14ac:dyDescent="0.2">
      <c r="A50" s="86">
        <f t="shared" si="0"/>
        <v>42</v>
      </c>
      <c r="B50" s="725"/>
      <c r="C50" s="726" t="s">
        <v>8</v>
      </c>
      <c r="D50" s="479">
        <f>'WA Volumes &amp; Revenues'!E49</f>
        <v>0</v>
      </c>
      <c r="E50" s="473">
        <f>'Rates in Detail'!J47</f>
        <v>5.0710000000000005E-2</v>
      </c>
      <c r="F50" s="473">
        <f>'Rates in Detail'!L47+'Rates in Detail'!P47+'Rates in Detail'!S47+'Rates in Detail'!U47</f>
        <v>8.6599999999999993E-3</v>
      </c>
      <c r="G50" s="473">
        <f t="shared" si="1"/>
        <v>5.9370000000000006E-2</v>
      </c>
      <c r="H50" s="474">
        <f t="shared" si="2"/>
        <v>0</v>
      </c>
      <c r="I50" s="154"/>
      <c r="J50" s="299"/>
      <c r="K50" s="474"/>
      <c r="L50" s="475"/>
      <c r="M50" s="476">
        <v>1</v>
      </c>
      <c r="N50" s="270"/>
      <c r="O50" s="478">
        <f t="shared" si="12"/>
        <v>0</v>
      </c>
      <c r="P50" s="476">
        <v>1</v>
      </c>
      <c r="Q50" s="270"/>
      <c r="R50" s="478">
        <f t="shared" si="13"/>
        <v>0</v>
      </c>
    </row>
    <row r="51" spans="1:18" x14ac:dyDescent="0.2">
      <c r="A51" s="86">
        <f t="shared" si="0"/>
        <v>43</v>
      </c>
      <c r="B51" s="723"/>
      <c r="C51" s="727" t="s">
        <v>9</v>
      </c>
      <c r="D51" s="466">
        <f>'WA Volumes &amp; Revenues'!E50</f>
        <v>0</v>
      </c>
      <c r="E51" s="463">
        <f>'Rates in Detail'!J48</f>
        <v>1.9009999999999999E-2</v>
      </c>
      <c r="F51" s="463">
        <f>'Rates in Detail'!L48+'Rates in Detail'!P48+'Rates in Detail'!S48+'Rates in Detail'!U48</f>
        <v>3.2499999999999999E-3</v>
      </c>
      <c r="G51" s="463">
        <f t="shared" si="1"/>
        <v>2.2259999999999999E-2</v>
      </c>
      <c r="H51" s="467">
        <f t="shared" si="2"/>
        <v>0</v>
      </c>
      <c r="I51" s="468"/>
      <c r="J51" s="364"/>
      <c r="K51" s="467"/>
      <c r="L51" s="462"/>
      <c r="M51" s="464">
        <v>1</v>
      </c>
      <c r="N51" s="465"/>
      <c r="O51" s="470">
        <f t="shared" si="12"/>
        <v>0</v>
      </c>
      <c r="P51" s="464">
        <v>1</v>
      </c>
      <c r="Q51" s="465"/>
      <c r="R51" s="470">
        <f t="shared" si="13"/>
        <v>0</v>
      </c>
    </row>
    <row r="52" spans="1:18" x14ac:dyDescent="0.2">
      <c r="A52" s="86">
        <f t="shared" si="0"/>
        <v>44</v>
      </c>
      <c r="B52" s="725" t="str">
        <f>'WA Volumes &amp; Revenues'!B51</f>
        <v>42I Firm Transpt</v>
      </c>
      <c r="C52" s="726" t="s">
        <v>4</v>
      </c>
      <c r="D52" s="479">
        <f>'WA Volumes &amp; Revenues'!E51</f>
        <v>924395</v>
      </c>
      <c r="E52" s="473">
        <f>'Rates in Detail'!J49</f>
        <v>0.14000000000000001</v>
      </c>
      <c r="F52" s="473">
        <f>'Rates in Detail'!L49+'Rates in Detail'!P49+'Rates in Detail'!S49+'Rates in Detail'!U49</f>
        <v>2.3969999999999998E-2</v>
      </c>
      <c r="G52" s="473">
        <f t="shared" si="1"/>
        <v>0.16397</v>
      </c>
      <c r="H52" s="474">
        <f t="shared" si="2"/>
        <v>151573</v>
      </c>
      <c r="I52" s="154">
        <f>'WA Volumes &amp; Revenues'!N51</f>
        <v>1550</v>
      </c>
      <c r="J52" s="299">
        <f>'WA Volumes &amp; Revenues'!H51</f>
        <v>8.9166666666666661</v>
      </c>
      <c r="K52" s="474">
        <f>ROUND((I52*J52*12)+H52+H53+H54+H55+H56+H57,0)+'Rev Req Proof Yr1'!AD59</f>
        <v>930544.4656</v>
      </c>
      <c r="L52" s="475"/>
      <c r="M52" s="476">
        <v>1</v>
      </c>
      <c r="N52" s="480">
        <f>ROUND(+$M$12*(($K52*M52)/M$86),0)</f>
        <v>0</v>
      </c>
      <c r="O52" s="478">
        <f>IFERROR(ROUND(($N$52*(D52/SUM($D$52:$D$57)))/D52,5),0)</f>
        <v>0</v>
      </c>
      <c r="P52" s="476">
        <v>1</v>
      </c>
      <c r="Q52" s="480">
        <f>ROUND(+$P$12*(($K52*P52)/P$86),0)</f>
        <v>0</v>
      </c>
      <c r="R52" s="478">
        <f>IFERROR(ROUND(($Q$52*(D52/SUM($D$52:$D$57)))/D52,5),0)</f>
        <v>0</v>
      </c>
    </row>
    <row r="53" spans="1:18" x14ac:dyDescent="0.2">
      <c r="A53" s="86">
        <f t="shared" si="0"/>
        <v>45</v>
      </c>
      <c r="B53" s="725"/>
      <c r="C53" s="726" t="s">
        <v>5</v>
      </c>
      <c r="D53" s="479">
        <f>'WA Volumes &amp; Revenues'!E52</f>
        <v>1036796</v>
      </c>
      <c r="E53" s="473">
        <f>'Rates in Detail'!J50</f>
        <v>0.12530999999999998</v>
      </c>
      <c r="F53" s="473">
        <f>'Rates in Detail'!L50+'Rates in Detail'!P50+'Rates in Detail'!S50+'Rates in Detail'!U50</f>
        <v>2.145E-2</v>
      </c>
      <c r="G53" s="473">
        <f t="shared" si="1"/>
        <v>0.14675999999999997</v>
      </c>
      <c r="H53" s="474">
        <f t="shared" si="2"/>
        <v>152160</v>
      </c>
      <c r="I53" s="154"/>
      <c r="J53" s="299"/>
      <c r="K53" s="474"/>
      <c r="L53" s="475"/>
      <c r="M53" s="476">
        <v>1</v>
      </c>
      <c r="N53" s="270"/>
      <c r="O53" s="478">
        <f t="shared" ref="O53:O57" si="14">IFERROR(ROUND(($N$52*(D53/SUM($D$52:$D$57)))/D53,5),0)</f>
        <v>0</v>
      </c>
      <c r="P53" s="476">
        <v>1</v>
      </c>
      <c r="Q53" s="270"/>
      <c r="R53" s="478">
        <f t="shared" ref="R53:R57" si="15">IFERROR(ROUND(($Q$52*(D53/SUM($D$52:$D$57)))/D53,5),0)</f>
        <v>0</v>
      </c>
    </row>
    <row r="54" spans="1:18" x14ac:dyDescent="0.2">
      <c r="A54" s="86">
        <f t="shared" si="0"/>
        <v>46</v>
      </c>
      <c r="B54" s="725"/>
      <c r="C54" s="726" t="s">
        <v>6</v>
      </c>
      <c r="D54" s="479">
        <f>'WA Volumes &amp; Revenues'!E53</f>
        <v>937215</v>
      </c>
      <c r="E54" s="473">
        <f>'Rates in Detail'!J51</f>
        <v>9.6100000000000005E-2</v>
      </c>
      <c r="F54" s="473">
        <f>'Rates in Detail'!L51+'Rates in Detail'!P51+'Rates in Detail'!S51+'Rates in Detail'!U51</f>
        <v>1.6450000000000003E-2</v>
      </c>
      <c r="G54" s="473">
        <f t="shared" si="1"/>
        <v>0.11255000000000001</v>
      </c>
      <c r="H54" s="474">
        <f t="shared" si="2"/>
        <v>105484</v>
      </c>
      <c r="I54" s="154"/>
      <c r="J54" s="299"/>
      <c r="K54" s="474"/>
      <c r="L54" s="475"/>
      <c r="M54" s="476">
        <v>1</v>
      </c>
      <c r="N54" s="270"/>
      <c r="O54" s="478">
        <f t="shared" si="14"/>
        <v>0</v>
      </c>
      <c r="P54" s="476">
        <v>1</v>
      </c>
      <c r="Q54" s="270"/>
      <c r="R54" s="478">
        <f t="shared" si="15"/>
        <v>0</v>
      </c>
    </row>
    <row r="55" spans="1:18" x14ac:dyDescent="0.2">
      <c r="A55" s="86">
        <f t="shared" si="0"/>
        <v>47</v>
      </c>
      <c r="B55" s="725"/>
      <c r="C55" s="726" t="s">
        <v>7</v>
      </c>
      <c r="D55" s="479">
        <f>'WA Volumes &amp; Revenues'!E54</f>
        <v>2390318</v>
      </c>
      <c r="E55" s="473">
        <f>'Rates in Detail'!J52</f>
        <v>7.6880000000000018E-2</v>
      </c>
      <c r="F55" s="473">
        <f>'Rates in Detail'!L52+'Rates in Detail'!P52+'Rates in Detail'!S52+'Rates in Detail'!U52</f>
        <v>1.3169999999999999E-2</v>
      </c>
      <c r="G55" s="473">
        <f t="shared" si="1"/>
        <v>9.0050000000000019E-2</v>
      </c>
      <c r="H55" s="474">
        <f t="shared" si="2"/>
        <v>215248</v>
      </c>
      <c r="I55" s="154"/>
      <c r="J55" s="299"/>
      <c r="K55" s="474"/>
      <c r="L55" s="475"/>
      <c r="M55" s="476">
        <v>1</v>
      </c>
      <c r="N55" s="270"/>
      <c r="O55" s="478">
        <f t="shared" si="14"/>
        <v>0</v>
      </c>
      <c r="P55" s="476">
        <v>1</v>
      </c>
      <c r="Q55" s="270"/>
      <c r="R55" s="478">
        <f t="shared" si="15"/>
        <v>0</v>
      </c>
    </row>
    <row r="56" spans="1:18" x14ac:dyDescent="0.2">
      <c r="A56" s="86">
        <f t="shared" si="0"/>
        <v>48</v>
      </c>
      <c r="B56" s="725"/>
      <c r="C56" s="726" t="s">
        <v>8</v>
      </c>
      <c r="D56" s="479">
        <f>'WA Volumes &amp; Revenues'!E55</f>
        <v>1492257</v>
      </c>
      <c r="E56" s="473">
        <f>'Rates in Detail'!J53</f>
        <v>5.1250000000000004E-2</v>
      </c>
      <c r="F56" s="473">
        <f>'Rates in Detail'!L53+'Rates in Detail'!P53+'Rates in Detail'!S53+'Rates in Detail'!U53</f>
        <v>8.77E-3</v>
      </c>
      <c r="G56" s="473">
        <f t="shared" si="1"/>
        <v>6.0020000000000004E-2</v>
      </c>
      <c r="H56" s="474">
        <f t="shared" si="2"/>
        <v>89565</v>
      </c>
      <c r="I56" s="154"/>
      <c r="J56" s="299"/>
      <c r="K56" s="474"/>
      <c r="L56" s="475"/>
      <c r="M56" s="476">
        <v>1</v>
      </c>
      <c r="N56" s="270"/>
      <c r="O56" s="478">
        <f t="shared" si="14"/>
        <v>0</v>
      </c>
      <c r="P56" s="476">
        <v>1</v>
      </c>
      <c r="Q56" s="270"/>
      <c r="R56" s="478">
        <f t="shared" si="15"/>
        <v>0</v>
      </c>
    </row>
    <row r="57" spans="1:18" x14ac:dyDescent="0.2">
      <c r="A57" s="86">
        <f t="shared" si="0"/>
        <v>49</v>
      </c>
      <c r="B57" s="723"/>
      <c r="C57" s="727" t="s">
        <v>9</v>
      </c>
      <c r="D57" s="466">
        <f>'WA Volumes &amp; Revenues'!E56</f>
        <v>0</v>
      </c>
      <c r="E57" s="463">
        <f>'Rates in Detail'!J54</f>
        <v>1.9220000000000001E-2</v>
      </c>
      <c r="F57" s="463">
        <f>'Rates in Detail'!L54+'Rates in Detail'!P54+'Rates in Detail'!S54+'Rates in Detail'!U54</f>
        <v>3.29E-3</v>
      </c>
      <c r="G57" s="463">
        <f t="shared" si="1"/>
        <v>2.2510000000000002E-2</v>
      </c>
      <c r="H57" s="467">
        <f t="shared" si="2"/>
        <v>0</v>
      </c>
      <c r="I57" s="468"/>
      <c r="J57" s="364"/>
      <c r="K57" s="467"/>
      <c r="L57" s="462"/>
      <c r="M57" s="464">
        <v>1</v>
      </c>
      <c r="N57" s="465"/>
      <c r="O57" s="470">
        <f t="shared" si="14"/>
        <v>0</v>
      </c>
      <c r="P57" s="464">
        <v>1</v>
      </c>
      <c r="Q57" s="465"/>
      <c r="R57" s="470">
        <f t="shared" si="15"/>
        <v>0</v>
      </c>
    </row>
    <row r="58" spans="1:18" x14ac:dyDescent="0.2">
      <c r="A58" s="86">
        <f t="shared" si="0"/>
        <v>50</v>
      </c>
      <c r="B58" s="725" t="str">
        <f>'WA Volumes &amp; Revenues'!B57</f>
        <v>42C Interr Sales</v>
      </c>
      <c r="C58" s="726" t="s">
        <v>4</v>
      </c>
      <c r="D58" s="479">
        <f>'WA Volumes &amp; Revenues'!E57</f>
        <v>240000</v>
      </c>
      <c r="E58" s="473">
        <f>'Rates in Detail'!J55</f>
        <v>0.42349000000000003</v>
      </c>
      <c r="F58" s="473">
        <f>'Rates in Detail'!L55+'Rates in Detail'!P55+'Rates in Detail'!S55+'Rates in Detail'!U55</f>
        <v>1.856E-2</v>
      </c>
      <c r="G58" s="473">
        <f t="shared" si="1"/>
        <v>0.44205000000000005</v>
      </c>
      <c r="H58" s="474">
        <f t="shared" si="2"/>
        <v>106092</v>
      </c>
      <c r="I58" s="154">
        <f>'WA Volumes &amp; Revenues'!N57</f>
        <v>1300</v>
      </c>
      <c r="J58" s="299">
        <f>'WA Volumes &amp; Revenues'!H57</f>
        <v>2</v>
      </c>
      <c r="K58" s="474">
        <f>ROUND((I58*J58*12)+H58+H59+H60+H61+H62+H63,0)</f>
        <v>426065</v>
      </c>
      <c r="L58" s="475"/>
      <c r="M58" s="476">
        <v>1</v>
      </c>
      <c r="N58" s="480">
        <f>ROUND(+$M$12*(($K58*M58)/M$86),0)</f>
        <v>0</v>
      </c>
      <c r="O58" s="478">
        <f>IFERROR(ROUND(($N$58*(D58/SUM($D$58:$D$63)))/D58,5),0)</f>
        <v>0</v>
      </c>
      <c r="P58" s="476">
        <v>1</v>
      </c>
      <c r="Q58" s="480">
        <f>ROUND(+$P$12*(($K58*P58)/P$86),0)</f>
        <v>0</v>
      </c>
      <c r="R58" s="478">
        <f>IFERROR(ROUND(($Q$58*(D58/SUM($D$58:$D$63)))/D58,5),0)</f>
        <v>0</v>
      </c>
    </row>
    <row r="59" spans="1:18" x14ac:dyDescent="0.2">
      <c r="A59" s="86">
        <f t="shared" si="0"/>
        <v>51</v>
      </c>
      <c r="B59" s="725"/>
      <c r="C59" s="726" t="s">
        <v>5</v>
      </c>
      <c r="D59" s="479">
        <f>'WA Volumes &amp; Revenues'!E58</f>
        <v>467511</v>
      </c>
      <c r="E59" s="473">
        <f>'Rates in Detail'!J56</f>
        <v>0.40679999999999994</v>
      </c>
      <c r="F59" s="473">
        <f>'Rates in Detail'!L56+'Rates in Detail'!P56+'Rates in Detail'!S56+'Rates in Detail'!U56</f>
        <v>1.6620000000000003E-2</v>
      </c>
      <c r="G59" s="473">
        <f t="shared" si="1"/>
        <v>0.42341999999999996</v>
      </c>
      <c r="H59" s="474">
        <f t="shared" si="2"/>
        <v>197954</v>
      </c>
      <c r="I59" s="154"/>
      <c r="J59" s="299"/>
      <c r="K59" s="474"/>
      <c r="L59" s="475"/>
      <c r="M59" s="476">
        <v>1</v>
      </c>
      <c r="N59" s="270"/>
      <c r="O59" s="478">
        <f>IFERROR(ROUND(($N$58*(D59/SUM($D$58:$D$63)))/D59,5),0)</f>
        <v>0</v>
      </c>
      <c r="P59" s="476">
        <v>1</v>
      </c>
      <c r="Q59" s="270"/>
      <c r="R59" s="478">
        <f t="shared" ref="R59:R62" si="16">IFERROR(ROUND(($Q$58*(D59/SUM($D$58:$D$63)))/D59,5),0)</f>
        <v>0</v>
      </c>
    </row>
    <row r="60" spans="1:18" x14ac:dyDescent="0.2">
      <c r="A60" s="86">
        <f t="shared" si="0"/>
        <v>52</v>
      </c>
      <c r="B60" s="725"/>
      <c r="C60" s="726" t="s">
        <v>6</v>
      </c>
      <c r="D60" s="479">
        <f>'WA Volumes &amp; Revenues'!E59</f>
        <v>218004</v>
      </c>
      <c r="E60" s="473">
        <f>'Rates in Detail'!J57</f>
        <v>0.37361</v>
      </c>
      <c r="F60" s="473">
        <f>'Rates in Detail'!L57+'Rates in Detail'!P57+'Rates in Detail'!S57+'Rates in Detail'!U57</f>
        <v>1.2749999999999997E-2</v>
      </c>
      <c r="G60" s="473">
        <f t="shared" si="1"/>
        <v>0.38635999999999998</v>
      </c>
      <c r="H60" s="474">
        <f t="shared" si="2"/>
        <v>84228</v>
      </c>
      <c r="I60" s="154"/>
      <c r="J60" s="299"/>
      <c r="K60" s="474"/>
      <c r="L60" s="475"/>
      <c r="M60" s="476">
        <v>1</v>
      </c>
      <c r="N60" s="270"/>
      <c r="O60" s="478">
        <f t="shared" ref="O60:O63" si="17">IFERROR(ROUND(($N$58*(D60/SUM($D$58:$D$63)))/D60,5),0)</f>
        <v>0</v>
      </c>
      <c r="P60" s="476">
        <v>1</v>
      </c>
      <c r="Q60" s="270"/>
      <c r="R60" s="478">
        <f t="shared" si="16"/>
        <v>0</v>
      </c>
    </row>
    <row r="61" spans="1:18" x14ac:dyDescent="0.2">
      <c r="A61" s="86">
        <f t="shared" si="0"/>
        <v>53</v>
      </c>
      <c r="B61" s="725"/>
      <c r="C61" s="726" t="s">
        <v>7</v>
      </c>
      <c r="D61" s="479">
        <f>'WA Volumes &amp; Revenues'!E60</f>
        <v>18208</v>
      </c>
      <c r="E61" s="473">
        <f>'Rates in Detail'!J58</f>
        <v>0.35180000000000006</v>
      </c>
      <c r="F61" s="473">
        <f>'Rates in Detail'!L58+'Rates in Detail'!P58+'Rates in Detail'!S58+'Rates in Detail'!U58</f>
        <v>1.0189999999999999E-2</v>
      </c>
      <c r="G61" s="473">
        <f t="shared" si="1"/>
        <v>0.36199000000000003</v>
      </c>
      <c r="H61" s="474">
        <f t="shared" si="2"/>
        <v>6591</v>
      </c>
      <c r="I61" s="154"/>
      <c r="J61" s="299"/>
      <c r="K61" s="474"/>
      <c r="L61" s="475"/>
      <c r="M61" s="476">
        <v>1</v>
      </c>
      <c r="N61" s="270"/>
      <c r="O61" s="478">
        <f t="shared" si="17"/>
        <v>0</v>
      </c>
      <c r="P61" s="476">
        <v>1</v>
      </c>
      <c r="Q61" s="270"/>
      <c r="R61" s="478">
        <f t="shared" si="16"/>
        <v>0</v>
      </c>
    </row>
    <row r="62" spans="1:18" x14ac:dyDescent="0.2">
      <c r="A62" s="86">
        <f t="shared" si="0"/>
        <v>54</v>
      </c>
      <c r="B62" s="725"/>
      <c r="C62" s="726" t="s">
        <v>8</v>
      </c>
      <c r="D62" s="479">
        <f>'WA Volumes &amp; Revenues'!E61</f>
        <v>0</v>
      </c>
      <c r="E62" s="473">
        <f>'Rates in Detail'!J59</f>
        <v>0.32268999999999998</v>
      </c>
      <c r="F62" s="473">
        <f>'Rates in Detail'!L59+'Rates in Detail'!P59+'Rates in Detail'!S59+'Rates in Detail'!U59</f>
        <v>6.8000000000000005E-3</v>
      </c>
      <c r="G62" s="473">
        <f t="shared" si="1"/>
        <v>0.32948999999999995</v>
      </c>
      <c r="H62" s="474">
        <f t="shared" si="2"/>
        <v>0</v>
      </c>
      <c r="I62" s="154"/>
      <c r="J62" s="299"/>
      <c r="K62" s="474"/>
      <c r="L62" s="475"/>
      <c r="M62" s="476">
        <v>1</v>
      </c>
      <c r="N62" s="270"/>
      <c r="O62" s="478">
        <f t="shared" si="17"/>
        <v>0</v>
      </c>
      <c r="P62" s="476">
        <v>1</v>
      </c>
      <c r="Q62" s="270"/>
      <c r="R62" s="478">
        <f t="shared" si="16"/>
        <v>0</v>
      </c>
    </row>
    <row r="63" spans="1:18" x14ac:dyDescent="0.2">
      <c r="A63" s="86">
        <f t="shared" si="0"/>
        <v>55</v>
      </c>
      <c r="B63" s="723"/>
      <c r="C63" s="727" t="s">
        <v>9</v>
      </c>
      <c r="D63" s="466">
        <f>'WA Volumes &amp; Revenues'!E62</f>
        <v>0</v>
      </c>
      <c r="E63" s="463">
        <f>'Rates in Detail'!J60</f>
        <v>0.28632000000000002</v>
      </c>
      <c r="F63" s="463">
        <f>'Rates in Detail'!L60+'Rates in Detail'!P60+'Rates in Detail'!S60+'Rates in Detail'!U60</f>
        <v>2.5500000000000002E-3</v>
      </c>
      <c r="G63" s="463">
        <f t="shared" si="1"/>
        <v>0.28887000000000002</v>
      </c>
      <c r="H63" s="467">
        <f t="shared" si="2"/>
        <v>0</v>
      </c>
      <c r="I63" s="468"/>
      <c r="J63" s="364"/>
      <c r="K63" s="467"/>
      <c r="L63" s="462"/>
      <c r="M63" s="464">
        <v>1</v>
      </c>
      <c r="N63" s="465"/>
      <c r="O63" s="470">
        <f t="shared" si="17"/>
        <v>0</v>
      </c>
      <c r="P63" s="464">
        <v>1</v>
      </c>
      <c r="Q63" s="465"/>
      <c r="R63" s="470">
        <f>IFERROR(ROUND(($Q$58*(D63/SUM($D$58:$D$63)))/D63,5),0)</f>
        <v>0</v>
      </c>
    </row>
    <row r="64" spans="1:18" x14ac:dyDescent="0.2">
      <c r="A64" s="86">
        <f t="shared" si="0"/>
        <v>56</v>
      </c>
      <c r="B64" s="725" t="str">
        <f>'WA Volumes &amp; Revenues'!B63</f>
        <v>42I Interr Sales</v>
      </c>
      <c r="C64" s="726" t="s">
        <v>4</v>
      </c>
      <c r="D64" s="479">
        <f>'WA Volumes &amp; Revenues'!E63</f>
        <v>156740</v>
      </c>
      <c r="E64" s="473">
        <f>'Rates in Detail'!J61</f>
        <v>0.4161399999999999</v>
      </c>
      <c r="F64" s="473">
        <f>'Rates in Detail'!L61+'Rates in Detail'!P61+'Rates in Detail'!S61+'Rates in Detail'!U61</f>
        <v>3.4299999999999997E-2</v>
      </c>
      <c r="G64" s="473">
        <f t="shared" si="1"/>
        <v>0.4504399999999999</v>
      </c>
      <c r="H64" s="474">
        <f t="shared" si="2"/>
        <v>70602</v>
      </c>
      <c r="I64" s="154">
        <f>'WA Volumes &amp; Revenues'!N63</f>
        <v>1300</v>
      </c>
      <c r="J64" s="299">
        <f>'WA Volumes &amp; Revenues'!H63</f>
        <v>1.9166666666666701</v>
      </c>
      <c r="K64" s="474">
        <f>ROUND((I64*J64*12)+H64+H65+H66+H67+H68+H69,0)</f>
        <v>169319</v>
      </c>
      <c r="L64" s="475"/>
      <c r="M64" s="476">
        <v>1</v>
      </c>
      <c r="N64" s="480">
        <f>ROUND(+$M$12*(($K64*M64)/M$86),0)</f>
        <v>0</v>
      </c>
      <c r="O64" s="478">
        <f>IFERROR(ROUND(($N$64*(D64/SUM($D$64:$D$69)))/D64,5),0)</f>
        <v>0</v>
      </c>
      <c r="P64" s="476">
        <v>1</v>
      </c>
      <c r="Q64" s="480">
        <f>ROUND(+$P$12*(($K64*P64)/P$86),0)</f>
        <v>0</v>
      </c>
      <c r="R64" s="478">
        <f>IFERROR(ROUND(($Q$64*(D64/SUM($D$64:$D$69)))/D64,5),0)</f>
        <v>0</v>
      </c>
    </row>
    <row r="65" spans="1:18" x14ac:dyDescent="0.2">
      <c r="A65" s="86">
        <f t="shared" si="0"/>
        <v>57</v>
      </c>
      <c r="B65" s="725"/>
      <c r="C65" s="726" t="s">
        <v>5</v>
      </c>
      <c r="D65" s="479">
        <f>'WA Volumes &amp; Revenues'!E64</f>
        <v>159690</v>
      </c>
      <c r="E65" s="473">
        <f>'Rates in Detail'!J62</f>
        <v>0.40022999999999992</v>
      </c>
      <c r="F65" s="473">
        <f>'Rates in Detail'!L62+'Rates in Detail'!P62+'Rates in Detail'!S62+'Rates in Detail'!U62</f>
        <v>3.0710000000000001E-2</v>
      </c>
      <c r="G65" s="473">
        <f t="shared" si="1"/>
        <v>0.43093999999999993</v>
      </c>
      <c r="H65" s="474">
        <f t="shared" si="2"/>
        <v>68817</v>
      </c>
      <c r="I65" s="154"/>
      <c r="J65" s="299"/>
      <c r="K65" s="474"/>
      <c r="L65" s="475"/>
      <c r="M65" s="476">
        <v>1</v>
      </c>
      <c r="N65" s="270"/>
      <c r="O65" s="478">
        <f t="shared" ref="O65:O69" si="18">IFERROR(ROUND(($N$64*(D65/SUM($D$64:$D$69)))/D65,5),0)</f>
        <v>0</v>
      </c>
      <c r="P65" s="476">
        <v>1</v>
      </c>
      <c r="Q65" s="270"/>
      <c r="R65" s="478">
        <f t="shared" ref="R65:R69" si="19">IFERROR(ROUND(($Q$64*(D65/SUM($D$64:$D$69)))/D65,5),0)</f>
        <v>0</v>
      </c>
    </row>
    <row r="66" spans="1:18" x14ac:dyDescent="0.2">
      <c r="A66" s="86">
        <f t="shared" si="0"/>
        <v>58</v>
      </c>
      <c r="B66" s="725"/>
      <c r="C66" s="726" t="s">
        <v>6</v>
      </c>
      <c r="D66" s="479">
        <f>'WA Volumes &amp; Revenues'!E65</f>
        <v>0</v>
      </c>
      <c r="E66" s="473">
        <f>'Rates in Detail'!J63</f>
        <v>0.36857999999999996</v>
      </c>
      <c r="F66" s="473">
        <f>'Rates in Detail'!L63+'Rates in Detail'!P63+'Rates in Detail'!S63+'Rates in Detail'!U63</f>
        <v>2.3550000000000001E-2</v>
      </c>
      <c r="G66" s="473">
        <f t="shared" si="1"/>
        <v>0.39212999999999998</v>
      </c>
      <c r="H66" s="474">
        <f t="shared" si="2"/>
        <v>0</v>
      </c>
      <c r="I66" s="154"/>
      <c r="J66" s="299"/>
      <c r="K66" s="474"/>
      <c r="L66" s="475"/>
      <c r="M66" s="476">
        <v>1</v>
      </c>
      <c r="N66" s="270"/>
      <c r="O66" s="478">
        <f t="shared" si="18"/>
        <v>0</v>
      </c>
      <c r="P66" s="476">
        <v>1</v>
      </c>
      <c r="Q66" s="270"/>
      <c r="R66" s="478">
        <f t="shared" si="19"/>
        <v>0</v>
      </c>
    </row>
    <row r="67" spans="1:18" x14ac:dyDescent="0.2">
      <c r="A67" s="86">
        <f t="shared" si="0"/>
        <v>59</v>
      </c>
      <c r="B67" s="725"/>
      <c r="C67" s="726" t="s">
        <v>7</v>
      </c>
      <c r="D67" s="479">
        <f>'WA Volumes &amp; Revenues'!E66</f>
        <v>0</v>
      </c>
      <c r="E67" s="473">
        <f>'Rates in Detail'!J64</f>
        <v>0.34777000000000002</v>
      </c>
      <c r="F67" s="473">
        <f>'Rates in Detail'!L64+'Rates in Detail'!P64+'Rates in Detail'!S64+'Rates in Detail'!U64</f>
        <v>1.8840000000000003E-2</v>
      </c>
      <c r="G67" s="473">
        <f t="shared" si="1"/>
        <v>0.36661000000000005</v>
      </c>
      <c r="H67" s="474">
        <f t="shared" si="2"/>
        <v>0</v>
      </c>
      <c r="I67" s="154"/>
      <c r="J67" s="299"/>
      <c r="K67" s="474"/>
      <c r="L67" s="475"/>
      <c r="M67" s="476">
        <v>1</v>
      </c>
      <c r="N67" s="270"/>
      <c r="O67" s="478">
        <f t="shared" si="18"/>
        <v>0</v>
      </c>
      <c r="P67" s="476">
        <v>1</v>
      </c>
      <c r="Q67" s="270"/>
      <c r="R67" s="478">
        <f t="shared" si="19"/>
        <v>0</v>
      </c>
    </row>
    <row r="68" spans="1:18" x14ac:dyDescent="0.2">
      <c r="A68" s="86">
        <f t="shared" si="0"/>
        <v>60</v>
      </c>
      <c r="B68" s="725"/>
      <c r="C68" s="726" t="s">
        <v>8</v>
      </c>
      <c r="D68" s="479">
        <f>'WA Volumes &amp; Revenues'!E67</f>
        <v>0</v>
      </c>
      <c r="E68" s="473">
        <f>'Rates in Detail'!J65</f>
        <v>0.32002000000000003</v>
      </c>
      <c r="F68" s="473">
        <f>'Rates in Detail'!L65+'Rates in Detail'!P65+'Rates in Detail'!S65+'Rates in Detail'!U65</f>
        <v>1.256E-2</v>
      </c>
      <c r="G68" s="473">
        <f t="shared" si="1"/>
        <v>0.33258000000000004</v>
      </c>
      <c r="H68" s="474">
        <f t="shared" si="2"/>
        <v>0</v>
      </c>
      <c r="I68" s="154"/>
      <c r="J68" s="299"/>
      <c r="K68" s="474"/>
      <c r="L68" s="475"/>
      <c r="M68" s="476">
        <v>1</v>
      </c>
      <c r="N68" s="270"/>
      <c r="O68" s="478">
        <f t="shared" si="18"/>
        <v>0</v>
      </c>
      <c r="P68" s="476">
        <v>1</v>
      </c>
      <c r="Q68" s="270"/>
      <c r="R68" s="478">
        <f t="shared" si="19"/>
        <v>0</v>
      </c>
    </row>
    <row r="69" spans="1:18" x14ac:dyDescent="0.2">
      <c r="A69" s="86">
        <f t="shared" si="0"/>
        <v>61</v>
      </c>
      <c r="B69" s="723"/>
      <c r="C69" s="727" t="s">
        <v>9</v>
      </c>
      <c r="D69" s="466">
        <f>'WA Volumes &amp; Revenues'!E68</f>
        <v>0</v>
      </c>
      <c r="E69" s="463">
        <f>'Rates in Detail'!J66</f>
        <v>0.2853</v>
      </c>
      <c r="F69" s="463">
        <f>'Rates in Detail'!L66+'Rates in Detail'!P66+'Rates in Detail'!S66+'Rates in Detail'!U66</f>
        <v>4.7100000000000006E-3</v>
      </c>
      <c r="G69" s="463">
        <f t="shared" si="1"/>
        <v>0.29000999999999999</v>
      </c>
      <c r="H69" s="467">
        <f t="shared" si="2"/>
        <v>0</v>
      </c>
      <c r="I69" s="468"/>
      <c r="J69" s="364"/>
      <c r="K69" s="467"/>
      <c r="L69" s="462"/>
      <c r="M69" s="464">
        <v>1</v>
      </c>
      <c r="N69" s="465"/>
      <c r="O69" s="470">
        <f t="shared" si="18"/>
        <v>0</v>
      </c>
      <c r="P69" s="464">
        <v>1</v>
      </c>
      <c r="Q69" s="465"/>
      <c r="R69" s="470">
        <f t="shared" si="19"/>
        <v>0</v>
      </c>
    </row>
    <row r="70" spans="1:18" x14ac:dyDescent="0.2">
      <c r="A70" s="86">
        <f t="shared" si="0"/>
        <v>62</v>
      </c>
      <c r="B70" s="725" t="str">
        <f>'WA Volumes &amp; Revenues'!B69</f>
        <v>42C Inter Transpt</v>
      </c>
      <c r="C70" s="726" t="s">
        <v>4</v>
      </c>
      <c r="D70" s="479">
        <f>'WA Volumes &amp; Revenues'!E69</f>
        <v>0</v>
      </c>
      <c r="E70" s="473">
        <f>'Rates in Detail'!J67</f>
        <v>0.13459999999999997</v>
      </c>
      <c r="F70" s="473">
        <f>'Rates in Detail'!L67+'Rates in Detail'!P67+'Rates in Detail'!S67+'Rates in Detail'!U67</f>
        <v>1.5730000000000001E-2</v>
      </c>
      <c r="G70" s="473">
        <f t="shared" si="1"/>
        <v>0.15032999999999996</v>
      </c>
      <c r="H70" s="474">
        <f t="shared" si="2"/>
        <v>0</v>
      </c>
      <c r="I70" s="154">
        <f>'WA Volumes &amp; Revenues'!N69</f>
        <v>1550</v>
      </c>
      <c r="J70" s="299">
        <f>'WA Volumes &amp; Revenues'!H69</f>
        <v>0</v>
      </c>
      <c r="K70" s="474">
        <f>ROUND((I70*J70*12)+H70+H71+H72+H73+H74+H75,0)</f>
        <v>0</v>
      </c>
      <c r="L70" s="475"/>
      <c r="M70" s="476">
        <v>1</v>
      </c>
      <c r="N70" s="480">
        <f>ROUND(+$M$12*(($K70*M70)/M$86),0)</f>
        <v>0</v>
      </c>
      <c r="O70" s="478">
        <f>IFERROR(ROUND(($N$70*(D70/SUM($D$70:$D$75)))/D70,5),0)</f>
        <v>0</v>
      </c>
      <c r="P70" s="476">
        <v>1</v>
      </c>
      <c r="Q70" s="480">
        <f>ROUND(+$P$12*(($K70*P70)/P$86),0)</f>
        <v>0</v>
      </c>
      <c r="R70" s="478">
        <f>IFERROR(ROUND(($Q$70*(D70/SUM($D$70:$D$75)))/D70,5),0)</f>
        <v>0</v>
      </c>
    </row>
    <row r="71" spans="1:18" x14ac:dyDescent="0.2">
      <c r="A71" s="86">
        <f t="shared" si="0"/>
        <v>63</v>
      </c>
      <c r="B71" s="725"/>
      <c r="C71" s="726" t="s">
        <v>5</v>
      </c>
      <c r="D71" s="479">
        <f>'WA Volumes &amp; Revenues'!E70</f>
        <v>0</v>
      </c>
      <c r="E71" s="473">
        <f>'Rates in Detail'!J68</f>
        <v>0.12048999999999999</v>
      </c>
      <c r="F71" s="473">
        <f>'Rates in Detail'!L68+'Rates in Detail'!P68+'Rates in Detail'!S68+'Rates in Detail'!U68</f>
        <v>1.409E-2</v>
      </c>
      <c r="G71" s="473">
        <f t="shared" si="1"/>
        <v>0.13457999999999998</v>
      </c>
      <c r="H71" s="474">
        <f t="shared" si="2"/>
        <v>0</v>
      </c>
      <c r="I71" s="154"/>
      <c r="J71" s="299"/>
      <c r="K71" s="474"/>
      <c r="L71" s="475"/>
      <c r="M71" s="476">
        <v>1</v>
      </c>
      <c r="N71" s="270"/>
      <c r="O71" s="478">
        <f t="shared" ref="O71:O75" si="20">IFERROR(ROUND(($N$70*(D71/SUM($D$70:$D$75)))/D71,5),0)</f>
        <v>0</v>
      </c>
      <c r="P71" s="476">
        <v>1</v>
      </c>
      <c r="Q71" s="270"/>
      <c r="R71" s="478">
        <f t="shared" ref="R71:R75" si="21">IFERROR(ROUND(($Q$70*(D71/SUM($D$70:$D$75)))/D71,5),0)</f>
        <v>0</v>
      </c>
    </row>
    <row r="72" spans="1:18" x14ac:dyDescent="0.2">
      <c r="A72" s="86">
        <f t="shared" si="0"/>
        <v>64</v>
      </c>
      <c r="B72" s="725"/>
      <c r="C72" s="726" t="s">
        <v>6</v>
      </c>
      <c r="D72" s="479">
        <f>'WA Volumes &amp; Revenues'!E71</f>
        <v>0</v>
      </c>
      <c r="E72" s="473">
        <f>'Rates in Detail'!J69</f>
        <v>9.2380000000000004E-2</v>
      </c>
      <c r="F72" s="473">
        <f>'Rates in Detail'!L69+'Rates in Detail'!P69+'Rates in Detail'!S69+'Rates in Detail'!U69</f>
        <v>1.0800000000000001E-2</v>
      </c>
      <c r="G72" s="473">
        <f t="shared" si="1"/>
        <v>0.10318000000000001</v>
      </c>
      <c r="H72" s="474">
        <f t="shared" si="2"/>
        <v>0</v>
      </c>
      <c r="I72" s="154"/>
      <c r="J72" s="299"/>
      <c r="K72" s="474"/>
      <c r="L72" s="475"/>
      <c r="M72" s="476">
        <v>1</v>
      </c>
      <c r="N72" s="270"/>
      <c r="O72" s="478">
        <f t="shared" si="20"/>
        <v>0</v>
      </c>
      <c r="P72" s="476">
        <v>1</v>
      </c>
      <c r="Q72" s="270"/>
      <c r="R72" s="478">
        <f t="shared" si="21"/>
        <v>0</v>
      </c>
    </row>
    <row r="73" spans="1:18" x14ac:dyDescent="0.2">
      <c r="A73" s="86">
        <f t="shared" si="0"/>
        <v>65</v>
      </c>
      <c r="B73" s="725"/>
      <c r="C73" s="726" t="s">
        <v>7</v>
      </c>
      <c r="D73" s="479">
        <f>'WA Volumes &amp; Revenues'!E72</f>
        <v>0</v>
      </c>
      <c r="E73" s="473">
        <f>'Rates in Detail'!J70</f>
        <v>7.392E-2</v>
      </c>
      <c r="F73" s="473">
        <f>'Rates in Detail'!L70+'Rates in Detail'!P70+'Rates in Detail'!S70+'Rates in Detail'!U70</f>
        <v>8.6400000000000001E-3</v>
      </c>
      <c r="G73" s="473">
        <f t="shared" si="1"/>
        <v>8.2559999999999995E-2</v>
      </c>
      <c r="H73" s="474">
        <f t="shared" si="2"/>
        <v>0</v>
      </c>
      <c r="I73" s="154"/>
      <c r="J73" s="299"/>
      <c r="K73" s="474"/>
      <c r="L73" s="475"/>
      <c r="M73" s="476">
        <v>1</v>
      </c>
      <c r="N73" s="270"/>
      <c r="O73" s="478">
        <f t="shared" si="20"/>
        <v>0</v>
      </c>
      <c r="P73" s="476">
        <v>1</v>
      </c>
      <c r="Q73" s="270"/>
      <c r="R73" s="478">
        <f t="shared" si="21"/>
        <v>0</v>
      </c>
    </row>
    <row r="74" spans="1:18" x14ac:dyDescent="0.2">
      <c r="A74" s="86">
        <f t="shared" si="0"/>
        <v>66</v>
      </c>
      <c r="B74" s="725"/>
      <c r="C74" s="726" t="s">
        <v>8</v>
      </c>
      <c r="D74" s="479">
        <f>'WA Volumes &amp; Revenues'!E73</f>
        <v>0</v>
      </c>
      <c r="E74" s="473">
        <f>'Rates in Detail'!J71</f>
        <v>4.929E-2</v>
      </c>
      <c r="F74" s="473">
        <f>'Rates in Detail'!L71+'Rates in Detail'!P71+'Rates in Detail'!S71+'Rates in Detail'!U71</f>
        <v>5.7599999999999995E-3</v>
      </c>
      <c r="G74" s="473">
        <f t="shared" si="1"/>
        <v>5.5050000000000002E-2</v>
      </c>
      <c r="H74" s="474">
        <f t="shared" si="2"/>
        <v>0</v>
      </c>
      <c r="I74" s="154"/>
      <c r="J74" s="299"/>
      <c r="K74" s="474"/>
      <c r="L74" s="475"/>
      <c r="M74" s="476">
        <v>1</v>
      </c>
      <c r="N74" s="270"/>
      <c r="O74" s="478">
        <f t="shared" si="20"/>
        <v>0</v>
      </c>
      <c r="P74" s="476">
        <v>1</v>
      </c>
      <c r="Q74" s="270"/>
      <c r="R74" s="478">
        <f t="shared" si="21"/>
        <v>0</v>
      </c>
    </row>
    <row r="75" spans="1:18" x14ac:dyDescent="0.2">
      <c r="A75" s="86">
        <f t="shared" si="0"/>
        <v>67</v>
      </c>
      <c r="B75" s="723"/>
      <c r="C75" s="727" t="s">
        <v>9</v>
      </c>
      <c r="D75" s="466">
        <f>'WA Volumes &amp; Revenues'!E74</f>
        <v>0</v>
      </c>
      <c r="E75" s="463">
        <f>'Rates in Detail'!J72</f>
        <v>1.8460000000000001E-2</v>
      </c>
      <c r="F75" s="463">
        <f>'Rates in Detail'!L72+'Rates in Detail'!P72+'Rates in Detail'!S72+'Rates in Detail'!U72</f>
        <v>2.16E-3</v>
      </c>
      <c r="G75" s="463">
        <f t="shared" si="1"/>
        <v>2.0619999999999999E-2</v>
      </c>
      <c r="H75" s="467">
        <f t="shared" si="2"/>
        <v>0</v>
      </c>
      <c r="I75" s="468"/>
      <c r="J75" s="364"/>
      <c r="K75" s="467"/>
      <c r="L75" s="462"/>
      <c r="M75" s="464">
        <v>1</v>
      </c>
      <c r="N75" s="465"/>
      <c r="O75" s="470">
        <f t="shared" si="20"/>
        <v>0</v>
      </c>
      <c r="P75" s="464">
        <v>1</v>
      </c>
      <c r="Q75" s="465"/>
      <c r="R75" s="470">
        <f t="shared" si="21"/>
        <v>0</v>
      </c>
    </row>
    <row r="76" spans="1:18" x14ac:dyDescent="0.2">
      <c r="A76" s="86">
        <f t="shared" si="0"/>
        <v>68</v>
      </c>
      <c r="B76" s="725" t="str">
        <f>'WA Volumes &amp; Revenues'!B75</f>
        <v>42I Inter Transpt</v>
      </c>
      <c r="C76" s="726" t="s">
        <v>4</v>
      </c>
      <c r="D76" s="479">
        <f>'WA Volumes &amp; Revenues'!E75</f>
        <v>844078</v>
      </c>
      <c r="E76" s="481">
        <f>'Rates in Detail'!J73</f>
        <v>0.13459999999999997</v>
      </c>
      <c r="F76" s="481">
        <f>'Rates in Detail'!L73+'Rates in Detail'!P73+'Rates in Detail'!S73+'Rates in Detail'!U73</f>
        <v>2.017E-2</v>
      </c>
      <c r="G76" s="481">
        <f t="shared" si="1"/>
        <v>0.15476999999999996</v>
      </c>
      <c r="H76" s="474">
        <f t="shared" si="2"/>
        <v>130638</v>
      </c>
      <c r="I76" s="154">
        <f>'WA Volumes &amp; Revenues'!N75</f>
        <v>1550</v>
      </c>
      <c r="J76" s="299">
        <f>'WA Volumes &amp; Revenues'!H75</f>
        <v>7</v>
      </c>
      <c r="K76" s="474">
        <f>ROUND((I76*J76*12)+H76+H77+H78+H79+H80+H81,0)</f>
        <v>933027</v>
      </c>
      <c r="L76" s="482"/>
      <c r="M76" s="476">
        <v>1</v>
      </c>
      <c r="N76" s="480">
        <f>ROUND(+$M$12*(($K76*M76)/M$86),0)</f>
        <v>0</v>
      </c>
      <c r="O76" s="478">
        <f>IFERROR(ROUND(($N$76*(D76/SUM($D$76:$D$81)))/D76,5),0)</f>
        <v>0</v>
      </c>
      <c r="P76" s="476">
        <v>1</v>
      </c>
      <c r="Q76" s="480">
        <f>ROUND(+$P$12*(($K76*P76)/P$86),0)</f>
        <v>0</v>
      </c>
      <c r="R76" s="478">
        <f>IFERROR(ROUND(($Q$76*(D76/SUM($D$76:$D$81)))/D76,5),0)</f>
        <v>0</v>
      </c>
    </row>
    <row r="77" spans="1:18" x14ac:dyDescent="0.2">
      <c r="A77" s="86">
        <f t="shared" si="0"/>
        <v>69</v>
      </c>
      <c r="B77" s="725"/>
      <c r="C77" s="726" t="s">
        <v>5</v>
      </c>
      <c r="D77" s="479">
        <f>'WA Volumes &amp; Revenues'!E76</f>
        <v>1445175</v>
      </c>
      <c r="E77" s="481">
        <f>'Rates in Detail'!J74</f>
        <v>0.12048999999999999</v>
      </c>
      <c r="F77" s="481">
        <f>'Rates in Detail'!L74+'Rates in Detail'!P74+'Rates in Detail'!S74+'Rates in Detail'!U74</f>
        <v>1.806E-2</v>
      </c>
      <c r="G77" s="481">
        <f t="shared" si="1"/>
        <v>0.13854999999999998</v>
      </c>
      <c r="H77" s="474">
        <f t="shared" si="2"/>
        <v>200229</v>
      </c>
      <c r="I77" s="154"/>
      <c r="J77" s="299"/>
      <c r="K77" s="474"/>
      <c r="L77" s="482"/>
      <c r="M77" s="476">
        <v>1</v>
      </c>
      <c r="N77" s="270"/>
      <c r="O77" s="478">
        <f t="shared" ref="O77:O81" si="22">IFERROR(ROUND(($N$76*(D77/SUM($D$76:$D$81)))/D77,5),0)</f>
        <v>0</v>
      </c>
      <c r="P77" s="476">
        <v>1</v>
      </c>
      <c r="Q77" s="270"/>
      <c r="R77" s="478">
        <f t="shared" ref="R77:R81" si="23">IFERROR(ROUND(($Q$76*(D77/SUM($D$76:$D$81)))/D77,5),0)</f>
        <v>0</v>
      </c>
    </row>
    <row r="78" spans="1:18" x14ac:dyDescent="0.2">
      <c r="A78" s="86">
        <f t="shared" si="0"/>
        <v>70</v>
      </c>
      <c r="B78" s="725"/>
      <c r="C78" s="726" t="s">
        <v>6</v>
      </c>
      <c r="D78" s="479">
        <f>'WA Volumes &amp; Revenues'!E77</f>
        <v>1034978</v>
      </c>
      <c r="E78" s="481">
        <f>'Rates in Detail'!J75</f>
        <v>9.2380000000000004E-2</v>
      </c>
      <c r="F78" s="481">
        <f>'Rates in Detail'!L75+'Rates in Detail'!P75+'Rates in Detail'!S75+'Rates in Detail'!U75</f>
        <v>1.3849999999999999E-2</v>
      </c>
      <c r="G78" s="481">
        <f t="shared" si="1"/>
        <v>0.10623</v>
      </c>
      <c r="H78" s="474">
        <f t="shared" si="2"/>
        <v>109946</v>
      </c>
      <c r="I78" s="154"/>
      <c r="J78" s="299"/>
      <c r="K78" s="474"/>
      <c r="L78" s="482"/>
      <c r="M78" s="476">
        <v>1</v>
      </c>
      <c r="N78" s="270"/>
      <c r="O78" s="478">
        <f t="shared" si="22"/>
        <v>0</v>
      </c>
      <c r="P78" s="476">
        <v>1</v>
      </c>
      <c r="Q78" s="270"/>
      <c r="R78" s="478">
        <f t="shared" si="23"/>
        <v>0</v>
      </c>
    </row>
    <row r="79" spans="1:18" x14ac:dyDescent="0.2">
      <c r="A79" s="86">
        <f t="shared" si="0"/>
        <v>71</v>
      </c>
      <c r="B79" s="725"/>
      <c r="C79" s="726" t="s">
        <v>7</v>
      </c>
      <c r="D79" s="479">
        <f>'WA Volumes &amp; Revenues'!E78</f>
        <v>3359916</v>
      </c>
      <c r="E79" s="481">
        <f>'Rates in Detail'!J76</f>
        <v>7.392E-2</v>
      </c>
      <c r="F79" s="481">
        <f>'Rates in Detail'!L76+'Rates in Detail'!P76+'Rates in Detail'!S76+'Rates in Detail'!U76</f>
        <v>1.107E-2</v>
      </c>
      <c r="G79" s="481">
        <f t="shared" si="1"/>
        <v>8.4989999999999996E-2</v>
      </c>
      <c r="H79" s="474">
        <f t="shared" si="2"/>
        <v>285559</v>
      </c>
      <c r="I79" s="154"/>
      <c r="J79" s="299"/>
      <c r="K79" s="474"/>
      <c r="L79" s="482"/>
      <c r="M79" s="476">
        <v>1</v>
      </c>
      <c r="N79" s="270"/>
      <c r="O79" s="478">
        <f t="shared" si="22"/>
        <v>0</v>
      </c>
      <c r="P79" s="476">
        <v>1</v>
      </c>
      <c r="Q79" s="270"/>
      <c r="R79" s="478">
        <f t="shared" si="23"/>
        <v>0</v>
      </c>
    </row>
    <row r="80" spans="1:18" x14ac:dyDescent="0.2">
      <c r="A80" s="86">
        <f t="shared" si="0"/>
        <v>72</v>
      </c>
      <c r="B80" s="725"/>
      <c r="C80" s="726" t="s">
        <v>8</v>
      </c>
      <c r="D80" s="479">
        <f>'WA Volumes &amp; Revenues'!E79</f>
        <v>1349120</v>
      </c>
      <c r="E80" s="481">
        <f>'Rates in Detail'!J77</f>
        <v>4.929E-2</v>
      </c>
      <c r="F80" s="481">
        <f>'Rates in Detail'!L77+'Rates in Detail'!P77+'Rates in Detail'!S77+'Rates in Detail'!U77</f>
        <v>7.3799999999999994E-3</v>
      </c>
      <c r="G80" s="481">
        <f t="shared" si="1"/>
        <v>5.6669999999999998E-2</v>
      </c>
      <c r="H80" s="474">
        <f t="shared" si="2"/>
        <v>76455</v>
      </c>
      <c r="I80" s="154"/>
      <c r="J80" s="299"/>
      <c r="K80" s="474"/>
      <c r="L80" s="482"/>
      <c r="M80" s="476">
        <v>1</v>
      </c>
      <c r="N80" s="270"/>
      <c r="O80" s="478">
        <f t="shared" si="22"/>
        <v>0</v>
      </c>
      <c r="P80" s="476">
        <v>1</v>
      </c>
      <c r="Q80" s="270"/>
      <c r="R80" s="478">
        <f t="shared" si="23"/>
        <v>0</v>
      </c>
    </row>
    <row r="81" spans="1:18" x14ac:dyDescent="0.2">
      <c r="A81" s="86">
        <f t="shared" si="0"/>
        <v>73</v>
      </c>
      <c r="B81" s="723"/>
      <c r="C81" s="727" t="s">
        <v>9</v>
      </c>
      <c r="D81" s="466">
        <f>'WA Volumes &amp; Revenues'!E80</f>
        <v>0</v>
      </c>
      <c r="E81" s="483">
        <f>'Rates in Detail'!J78</f>
        <v>1.8460000000000001E-2</v>
      </c>
      <c r="F81" s="483">
        <f>'Rates in Detail'!L78+'Rates in Detail'!P78+'Rates in Detail'!S78+'Rates in Detail'!U78</f>
        <v>2.7699999999999999E-3</v>
      </c>
      <c r="G81" s="483">
        <f t="shared" ref="G81:G84" si="24">E81+F81</f>
        <v>2.1229999999999999E-2</v>
      </c>
      <c r="H81" s="467">
        <f t="shared" ref="H81:H84" si="25">ROUND(G81*D81,0)</f>
        <v>0</v>
      </c>
      <c r="I81" s="468"/>
      <c r="J81" s="364"/>
      <c r="K81" s="467"/>
      <c r="L81" s="484"/>
      <c r="M81" s="464">
        <v>1</v>
      </c>
      <c r="N81" s="465"/>
      <c r="O81" s="470">
        <f t="shared" si="22"/>
        <v>0</v>
      </c>
      <c r="P81" s="464">
        <v>1</v>
      </c>
      <c r="Q81" s="465"/>
      <c r="R81" s="470">
        <f t="shared" si="23"/>
        <v>0</v>
      </c>
    </row>
    <row r="82" spans="1:18" x14ac:dyDescent="0.2">
      <c r="A82" s="86">
        <f t="shared" si="0"/>
        <v>74</v>
      </c>
      <c r="B82" s="723" t="str">
        <f>'WA Volumes &amp; Revenues'!B81</f>
        <v>43 Firm Transpt</v>
      </c>
      <c r="C82" s="723" t="s">
        <v>283</v>
      </c>
      <c r="D82" s="466">
        <f>'WA Volumes &amp; Revenues'!E81</f>
        <v>0</v>
      </c>
      <c r="E82" s="485">
        <f>'Rates in Detail'!J79</f>
        <v>4.919999999999999E-3</v>
      </c>
      <c r="F82" s="485">
        <f>'Rates in Detail'!L79+'Rates in Detail'!P79+'Rates in Detail'!S79+'Rates in Detail'!U79</f>
        <v>0</v>
      </c>
      <c r="G82" s="485">
        <f t="shared" si="24"/>
        <v>4.919999999999999E-3</v>
      </c>
      <c r="H82" s="467">
        <f t="shared" si="25"/>
        <v>0</v>
      </c>
      <c r="I82" s="468">
        <f>'WA Volumes &amp; Revenues'!N81</f>
        <v>38000</v>
      </c>
      <c r="J82" s="364">
        <f>'WA Volumes &amp; Revenues'!H81</f>
        <v>0</v>
      </c>
      <c r="K82" s="467">
        <f>ROUND(H82+(I82*J82*12),0)</f>
        <v>0</v>
      </c>
      <c r="L82" s="486"/>
      <c r="M82" s="487">
        <v>1</v>
      </c>
      <c r="N82" s="465">
        <f>ROUND(+$M$12*(($K82*M82)/M$86),0)</f>
        <v>0</v>
      </c>
      <c r="O82" s="470">
        <f t="shared" ref="O82:O84" si="26">IFERROR(ROUND(N82/D82,5),0)</f>
        <v>0</v>
      </c>
      <c r="P82" s="487">
        <v>1</v>
      </c>
      <c r="Q82" s="465">
        <f>ROUND(+$P$12*(($K82*P82)/P$86),0)</f>
        <v>0</v>
      </c>
      <c r="R82" s="470">
        <f t="shared" ref="R82:R84" si="27">IFERROR(ROUND(Q82/$D82,5),0)</f>
        <v>0</v>
      </c>
    </row>
    <row r="83" spans="1:18" x14ac:dyDescent="0.2">
      <c r="A83" s="86">
        <f t="shared" si="0"/>
        <v>75</v>
      </c>
      <c r="B83" s="724" t="str">
        <f>'WA Volumes &amp; Revenues'!B82</f>
        <v>43 Interr Transpt</v>
      </c>
      <c r="C83" s="724" t="s">
        <v>283</v>
      </c>
      <c r="D83" s="364">
        <f>'WA Volumes &amp; Revenues'!E82</f>
        <v>0</v>
      </c>
      <c r="E83" s="483">
        <f>'Rates in Detail'!J80</f>
        <v>4.919999999999999E-3</v>
      </c>
      <c r="F83" s="463">
        <f>'Rates in Detail'!L80+'Rates in Detail'!P80+'Rates in Detail'!S80+'Rates in Detail'!U80</f>
        <v>0</v>
      </c>
      <c r="G83" s="463">
        <f t="shared" si="24"/>
        <v>4.919999999999999E-3</v>
      </c>
      <c r="H83" s="467">
        <f t="shared" si="25"/>
        <v>0</v>
      </c>
      <c r="I83" s="468">
        <f>'WA Volumes &amp; Revenues'!N82</f>
        <v>38000</v>
      </c>
      <c r="J83" s="364">
        <f>'WA Volumes &amp; Revenues'!H82</f>
        <v>0</v>
      </c>
      <c r="K83" s="468">
        <f t="shared" ref="K83:K84" si="28">ROUND((I83*J83*12)+H83,0)</f>
        <v>0</v>
      </c>
      <c r="L83" s="484"/>
      <c r="M83" s="487">
        <v>1</v>
      </c>
      <c r="N83" s="465">
        <f t="shared" ref="N83:N84" si="29">ROUND(+$M$12*(($K83*M83)/M$86),0)</f>
        <v>0</v>
      </c>
      <c r="O83" s="470">
        <f t="shared" si="26"/>
        <v>0</v>
      </c>
      <c r="P83" s="487">
        <v>1</v>
      </c>
      <c r="Q83" s="465">
        <f>ROUND(+$P$12*(($K83*P83)/P$86),0)</f>
        <v>0</v>
      </c>
      <c r="R83" s="470">
        <f t="shared" si="27"/>
        <v>0</v>
      </c>
    </row>
    <row r="84" spans="1:18" x14ac:dyDescent="0.2">
      <c r="A84" s="86">
        <f t="shared" si="0"/>
        <v>76</v>
      </c>
      <c r="B84" s="724" t="str">
        <f>'WA Volumes &amp; Revenues'!B83</f>
        <v>Special Contract</v>
      </c>
      <c r="C84" s="724" t="s">
        <v>283</v>
      </c>
      <c r="D84" s="364">
        <f>'WA Volumes &amp; Revenues'!E83</f>
        <v>2895114</v>
      </c>
      <c r="E84" s="483">
        <f>'Rates in Detail'!J81</f>
        <v>0</v>
      </c>
      <c r="F84" s="483">
        <f>'Rates in Detail'!L81+'Rates in Detail'!P81+'Rates in Detail'!S81+'Rates in Detail'!U81</f>
        <v>0</v>
      </c>
      <c r="G84" s="483">
        <f t="shared" si="24"/>
        <v>0</v>
      </c>
      <c r="H84" s="467">
        <f t="shared" si="25"/>
        <v>0</v>
      </c>
      <c r="I84" s="468">
        <f>'WA Volumes &amp; Revenues'!N83</f>
        <v>0</v>
      </c>
      <c r="J84" s="364">
        <f>'WA Volumes &amp; Revenues'!H83</f>
        <v>1</v>
      </c>
      <c r="K84" s="468">
        <f t="shared" si="28"/>
        <v>0</v>
      </c>
      <c r="L84" s="484"/>
      <c r="M84" s="487">
        <v>1</v>
      </c>
      <c r="N84" s="465">
        <f t="shared" si="29"/>
        <v>0</v>
      </c>
      <c r="O84" s="470">
        <f t="shared" si="26"/>
        <v>0</v>
      </c>
      <c r="P84" s="487">
        <v>1</v>
      </c>
      <c r="Q84" s="465">
        <f>ROUND(+$P$12*(($K84*P84)/P$86),0)</f>
        <v>0</v>
      </c>
      <c r="R84" s="470">
        <f t="shared" si="27"/>
        <v>0</v>
      </c>
    </row>
    <row r="85" spans="1:18" x14ac:dyDescent="0.2">
      <c r="A85" s="86">
        <f t="shared" si="0"/>
        <v>77</v>
      </c>
      <c r="E85" s="488"/>
      <c r="F85" s="488"/>
      <c r="G85" s="488"/>
      <c r="H85" s="489"/>
      <c r="K85" s="489"/>
      <c r="M85" s="490"/>
      <c r="P85" s="490"/>
    </row>
    <row r="86" spans="1:18" x14ac:dyDescent="0.2">
      <c r="A86" s="86">
        <f t="shared" si="0"/>
        <v>78</v>
      </c>
      <c r="B86" s="60" t="s">
        <v>181</v>
      </c>
      <c r="C86" s="60"/>
      <c r="D86" s="735">
        <f>SUM(D16:D84)</f>
        <v>103032055.6009268</v>
      </c>
      <c r="E86" s="736"/>
      <c r="F86" s="736"/>
      <c r="G86" s="736"/>
      <c r="H86" s="611">
        <f>SUM(H16:H84)</f>
        <v>76183318</v>
      </c>
      <c r="I86" s="735"/>
      <c r="J86" s="735">
        <f>SUM(J17:J82)</f>
        <v>88428.750000000015</v>
      </c>
      <c r="K86" s="611">
        <f>SUM(K16:K84)</f>
        <v>87002611.861159995</v>
      </c>
      <c r="L86" s="737"/>
      <c r="M86" s="738">
        <f>ROUND(($K16*M16)+($K17*M17)+($K18*M18)+($K19*M19)+(K20*M20)+($K21*M21)+($K22*M22)+($K26*M26)+(K24*M24)+(K28*M28)+($K$30*M30)+($K32*M32)+($K34*M34)+($K40*M40)+($K46*M46)+($K52*M52)+($K$58*M58)+($K64*M64)+(K70*M70)+($K82*M82)+(K76*M76)+($K83*M83)+($K84*M84),0)</f>
        <v>87002612</v>
      </c>
      <c r="N86" s="739">
        <f>SUM(N16:N85)</f>
        <v>0</v>
      </c>
      <c r="O86" s="60"/>
      <c r="P86" s="738">
        <f>ROUND(($K16*P16)+($K17*P17)+($K18*P18)+($K19*P19)+(K20*P20)+($K21*P21)+($K22*P22)+($K26*P26)+(K24*P24)+(K28*P28)+($K$30*P30)+($K32*P32)+($K34*P34)+($K40*P40)+($K46*P46)+($K52*P52)+($K$58*P58)+($K64*P64)+(K70*P70)+($K82*P82)+(K76*P76)+($K83*P83)+($K84*P84),0)</f>
        <v>87002612</v>
      </c>
      <c r="Q86" s="739">
        <f>SUM(Q16:Q85)</f>
        <v>0</v>
      </c>
      <c r="R86" s="60"/>
    </row>
    <row r="87" spans="1:18" x14ac:dyDescent="0.2">
      <c r="A87" s="86">
        <f t="shared" si="0"/>
        <v>79</v>
      </c>
      <c r="B87" s="491"/>
      <c r="H87" s="492"/>
      <c r="K87" s="431"/>
      <c r="L87" s="432"/>
      <c r="M87" s="437"/>
      <c r="N87" s="264"/>
      <c r="P87" s="437"/>
      <c r="Q87" s="264"/>
    </row>
    <row r="88" spans="1:18" x14ac:dyDescent="0.2">
      <c r="A88" s="86">
        <f t="shared" si="0"/>
        <v>80</v>
      </c>
      <c r="B88" s="168" t="s">
        <v>79</v>
      </c>
      <c r="E88" s="56"/>
      <c r="F88" s="56"/>
      <c r="G88" s="56"/>
      <c r="I88" s="56"/>
      <c r="K88" s="431"/>
      <c r="L88" s="56"/>
      <c r="M88" s="56"/>
      <c r="P88" s="56"/>
    </row>
    <row r="89" spans="1:18" x14ac:dyDescent="0.2">
      <c r="A89" s="86">
        <f t="shared" si="0"/>
        <v>81</v>
      </c>
      <c r="B89" s="764" t="s">
        <v>80</v>
      </c>
      <c r="C89" s="765"/>
      <c r="D89" s="765"/>
      <c r="E89" s="765"/>
      <c r="F89" s="765"/>
      <c r="G89" s="765"/>
      <c r="H89" s="765"/>
      <c r="I89" s="765"/>
      <c r="J89" s="765"/>
      <c r="K89" s="765"/>
      <c r="L89" s="765"/>
      <c r="M89" s="765"/>
      <c r="N89" s="765"/>
      <c r="O89" s="766"/>
      <c r="P89" s="765"/>
      <c r="Q89" s="765"/>
      <c r="R89" s="766"/>
    </row>
    <row r="90" spans="1:18" x14ac:dyDescent="0.2">
      <c r="A90" s="86">
        <f t="shared" si="0"/>
        <v>82</v>
      </c>
      <c r="B90" s="168" t="s">
        <v>95</v>
      </c>
      <c r="L90" s="56"/>
      <c r="M90" s="56"/>
      <c r="O90" s="140"/>
      <c r="P90" s="56"/>
      <c r="R90" s="140"/>
    </row>
    <row r="91" spans="1:18" x14ac:dyDescent="0.2">
      <c r="A91" s="86">
        <f t="shared" ref="A91:A93" si="30">+A90+1</f>
        <v>83</v>
      </c>
      <c r="B91" s="764" t="s">
        <v>96</v>
      </c>
      <c r="C91" s="765"/>
      <c r="D91" s="765"/>
      <c r="E91" s="765"/>
      <c r="F91" s="765"/>
      <c r="G91" s="765"/>
      <c r="H91" s="765"/>
      <c r="I91" s="765"/>
      <c r="J91" s="765"/>
      <c r="K91" s="765"/>
      <c r="L91" s="765"/>
      <c r="M91" s="765"/>
      <c r="N91" s="765"/>
      <c r="O91" s="766"/>
      <c r="P91" s="765"/>
      <c r="Q91" s="765"/>
      <c r="R91" s="766"/>
    </row>
    <row r="92" spans="1:18" x14ac:dyDescent="0.2">
      <c r="A92" s="86">
        <f t="shared" si="30"/>
        <v>84</v>
      </c>
      <c r="M92" s="490"/>
      <c r="P92" s="490"/>
    </row>
    <row r="93" spans="1:18" x14ac:dyDescent="0.2">
      <c r="A93" s="86">
        <f t="shared" si="30"/>
        <v>85</v>
      </c>
      <c r="B93" s="56" t="s">
        <v>84</v>
      </c>
      <c r="M93" s="490"/>
      <c r="P93" s="490"/>
    </row>
    <row r="94" spans="1:18" x14ac:dyDescent="0.2">
      <c r="A94" s="86"/>
    </row>
    <row r="97" spans="2:17" x14ac:dyDescent="0.2">
      <c r="N97" s="493"/>
      <c r="Q97" s="493"/>
    </row>
    <row r="98" spans="2:17" x14ac:dyDescent="0.2">
      <c r="B98" s="55"/>
      <c r="C98" s="55"/>
      <c r="D98" s="55"/>
      <c r="E98" s="55"/>
      <c r="F98" s="55"/>
      <c r="G98" s="55"/>
      <c r="H98" s="55"/>
      <c r="I98" s="55"/>
      <c r="J98" s="55"/>
      <c r="K98" s="55"/>
      <c r="L98" s="55"/>
      <c r="N98" s="494"/>
      <c r="Q98" s="494"/>
    </row>
    <row r="99" spans="2:17" x14ac:dyDescent="0.2">
      <c r="B99" s="55"/>
      <c r="C99" s="55"/>
      <c r="D99" s="55"/>
      <c r="E99" s="55"/>
      <c r="F99" s="55"/>
      <c r="G99" s="55"/>
      <c r="H99" s="55"/>
      <c r="I99" s="55"/>
      <c r="J99" s="55"/>
      <c r="K99" s="55"/>
      <c r="L99" s="55"/>
      <c r="N99" s="300"/>
      <c r="Q99" s="300"/>
    </row>
    <row r="100" spans="2:17" x14ac:dyDescent="0.2">
      <c r="B100" s="55"/>
      <c r="C100" s="55"/>
      <c r="D100" s="55"/>
      <c r="E100" s="55"/>
      <c r="F100" s="55"/>
      <c r="G100" s="55"/>
      <c r="H100" s="55"/>
      <c r="I100" s="55"/>
      <c r="J100" s="55"/>
      <c r="K100" s="55"/>
      <c r="L100" s="55"/>
      <c r="N100" s="300"/>
      <c r="Q100" s="300"/>
    </row>
    <row r="101" spans="2:17" x14ac:dyDescent="0.2">
      <c r="B101" s="55"/>
      <c r="C101" s="55"/>
      <c r="D101" s="55"/>
      <c r="E101" s="55"/>
      <c r="F101" s="55"/>
      <c r="G101" s="55"/>
      <c r="H101" s="55"/>
      <c r="I101" s="55"/>
      <c r="J101" s="55"/>
      <c r="K101" s="55"/>
      <c r="L101" s="55"/>
      <c r="N101" s="493"/>
      <c r="Q101" s="493"/>
    </row>
    <row r="102" spans="2:17" x14ac:dyDescent="0.2">
      <c r="B102" s="55"/>
      <c r="C102" s="55"/>
      <c r="D102" s="55"/>
      <c r="E102" s="55"/>
      <c r="F102" s="55"/>
      <c r="G102" s="55"/>
      <c r="H102" s="55"/>
      <c r="I102" s="55"/>
      <c r="J102" s="55"/>
      <c r="K102" s="55"/>
      <c r="L102" s="55"/>
      <c r="N102" s="327"/>
      <c r="Q102" s="327"/>
    </row>
    <row r="104" spans="2:17" x14ac:dyDescent="0.2">
      <c r="B104" s="55"/>
      <c r="C104" s="55"/>
      <c r="D104" s="55"/>
      <c r="E104" s="55"/>
      <c r="F104" s="55"/>
      <c r="G104" s="55"/>
      <c r="H104" s="55"/>
      <c r="I104" s="55"/>
      <c r="J104" s="55"/>
      <c r="K104" s="55"/>
      <c r="L104" s="55"/>
      <c r="N104" s="493"/>
      <c r="Q104" s="493"/>
    </row>
    <row r="105" spans="2:17" x14ac:dyDescent="0.2">
      <c r="B105" s="55"/>
      <c r="C105" s="55"/>
      <c r="D105" s="55"/>
      <c r="E105" s="55"/>
      <c r="F105" s="55"/>
      <c r="G105" s="55"/>
      <c r="H105" s="55"/>
      <c r="I105" s="55"/>
      <c r="J105" s="55"/>
      <c r="K105" s="55"/>
      <c r="L105" s="55"/>
      <c r="N105" s="327"/>
      <c r="Q105" s="327"/>
    </row>
    <row r="106" spans="2:17" x14ac:dyDescent="0.2">
      <c r="B106" s="55"/>
      <c r="C106" s="55"/>
      <c r="D106" s="55"/>
      <c r="E106" s="55"/>
      <c r="F106" s="55"/>
      <c r="G106" s="55"/>
      <c r="H106" s="55"/>
      <c r="I106" s="55"/>
      <c r="J106" s="55"/>
      <c r="K106" s="55"/>
      <c r="L106" s="55"/>
      <c r="N106" s="327"/>
      <c r="Q106" s="327"/>
    </row>
    <row r="107" spans="2:17" x14ac:dyDescent="0.2">
      <c r="B107" s="55"/>
      <c r="C107" s="55"/>
      <c r="D107" s="55"/>
      <c r="E107" s="55"/>
      <c r="F107" s="55"/>
      <c r="G107" s="55"/>
      <c r="H107" s="55"/>
      <c r="I107" s="55"/>
      <c r="J107" s="55"/>
      <c r="K107" s="55"/>
      <c r="L107" s="55"/>
      <c r="N107" s="327"/>
      <c r="Q107" s="327"/>
    </row>
  </sheetData>
  <customSheetViews>
    <customSheetView guid="{80646397-1CEF-4A79-B348-594AB32B8020}">
      <pane xSplit="3" ySplit="15" topLeftCell="D55" activePane="bottomRight" state="frozen"/>
      <selection pane="bottomRight" activeCell="U12" sqref="U12"/>
      <pageMargins left="0.5" right="0.5" top="0.5" bottom="0.5" header="0.25" footer="0.25"/>
      <printOptions horizontalCentered="1" vertic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3" ySplit="15" topLeftCell="D55" activePane="bottomRight" state="frozen"/>
      <selection pane="bottomRight" activeCell="U12" sqref="U12"/>
      <pageMargins left="0.5" right="0.5" top="0.5" bottom="0.5" header="0.25" footer="0.25"/>
      <printOptions horizontalCentered="1" verticalCentered="1"/>
      <pageSetup scale="51" orientation="landscape" r:id="rId2"/>
      <headerFooter alignWithMargins="0">
        <oddHeader>&amp;RUG 388 - NW Natural/2500
Wyman/WP02</oddHeader>
        <oddFooter xml:space="preserve">&amp;C&amp;F &amp;D &amp;T
&amp;A </oddFooter>
      </headerFooter>
    </customSheetView>
  </customSheetViews>
  <mergeCells count="4">
    <mergeCell ref="F2:H2"/>
    <mergeCell ref="F1:H1"/>
    <mergeCell ref="M9:O9"/>
    <mergeCell ref="P9:R9"/>
  </mergeCells>
  <phoneticPr fontId="10" type="noConversion"/>
  <printOptions horizontalCentered="1" verticalCentered="1"/>
  <pageMargins left="0.5" right="0.5" top="0.5" bottom="0.5" header="0.25" footer="0.25"/>
  <pageSetup scale="51" orientation="landscape" r:id="rId3"/>
  <headerFooter alignWithMargins="0">
    <oddHeader>&amp;RUG 388 - NW Natural/2500
Wyman/WP02</oddHeader>
    <oddFooter xml:space="preserve">&amp;C&amp;F &amp;D &amp;T
&amp;A </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79998168889431442"/>
  </sheetPr>
  <dimension ref="A1:AZ103"/>
  <sheetViews>
    <sheetView zoomScale="90" zoomScaleNormal="90" workbookViewId="0">
      <pane xSplit="10" ySplit="13" topLeftCell="AH14" activePane="bottomRight" state="frozen"/>
      <selection pane="topRight" activeCell="K1" sqref="K1"/>
      <selection pane="bottomLeft" activeCell="A14" sqref="A14"/>
      <selection pane="bottomRight" activeCell="E29" sqref="E29"/>
    </sheetView>
  </sheetViews>
  <sheetFormatPr defaultColWidth="9.33203125" defaultRowHeight="12.75" x14ac:dyDescent="0.2"/>
  <cols>
    <col min="1" max="1" width="6.83203125" style="55" customWidth="1"/>
    <col min="2" max="2" width="19" style="56" customWidth="1"/>
    <col min="3" max="3" width="10.33203125" style="56" customWidth="1"/>
    <col min="4" max="4" width="2.83203125" style="56" customWidth="1"/>
    <col min="5" max="6" width="14.83203125" style="56" customWidth="1"/>
    <col min="7" max="7" width="2.83203125" style="56" customWidth="1"/>
    <col min="8" max="9" width="15.83203125" style="56" customWidth="1"/>
    <col min="10" max="10" width="2.83203125" style="56" customWidth="1"/>
    <col min="11" max="16" width="15.83203125" style="56" customWidth="1"/>
    <col min="17" max="17" width="2.83203125" style="56" customWidth="1"/>
    <col min="18" max="21" width="15.83203125" style="56" customWidth="1"/>
    <col min="22" max="22" width="2.83203125" style="56" customWidth="1"/>
    <col min="23"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6" width="15.6640625" style="56" hidden="1" customWidth="1"/>
    <col min="37" max="37" width="15.83203125" style="56" hidden="1" customWidth="1"/>
    <col min="38" max="38" width="2.83203125" style="56" customWidth="1"/>
    <col min="39" max="41" width="15.83203125" style="56" customWidth="1"/>
    <col min="42" max="42" width="2.83203125" style="56" customWidth="1"/>
    <col min="43" max="43" width="23.83203125" style="56" customWidth="1"/>
    <col min="44" max="44" width="22.1640625" style="56" customWidth="1"/>
    <col min="45" max="45" width="2.83203125" style="56" customWidth="1"/>
    <col min="46" max="46" width="9.33203125" style="55"/>
    <col min="47" max="47" width="17" style="55" bestFit="1" customWidth="1"/>
    <col min="48" max="16384" width="9.33203125" style="55"/>
  </cols>
  <sheetData>
    <row r="1" spans="1:52" ht="13.5" thickBot="1" x14ac:dyDescent="0.25">
      <c r="A1" s="139" t="str">
        <f>+'WA Volumes &amp; Revenues'!A1</f>
        <v>NW Natural</v>
      </c>
    </row>
    <row r="2" spans="1:52" ht="13.5" thickBot="1" x14ac:dyDescent="0.25">
      <c r="A2" s="139" t="str">
        <f>+'WA Volumes &amp; Revenues'!A2</f>
        <v>Rates &amp; Regulatory Affairs</v>
      </c>
      <c r="E2" s="140"/>
      <c r="F2" s="140"/>
      <c r="T2" s="265"/>
      <c r="W2" s="266" t="s">
        <v>114</v>
      </c>
      <c r="X2" s="267" t="s">
        <v>115</v>
      </c>
      <c r="Y2" s="267" t="s">
        <v>99</v>
      </c>
      <c r="Z2" s="1145" t="s">
        <v>475</v>
      </c>
      <c r="AB2" s="266" t="s">
        <v>114</v>
      </c>
      <c r="AC2" s="267" t="s">
        <v>115</v>
      </c>
      <c r="AD2" s="268" t="s">
        <v>99</v>
      </c>
      <c r="AF2" s="266" t="s">
        <v>114</v>
      </c>
      <c r="AG2" s="267" t="s">
        <v>115</v>
      </c>
      <c r="AH2" s="268" t="s">
        <v>99</v>
      </c>
      <c r="AK2" s="145"/>
      <c r="AM2" s="266" t="s">
        <v>114</v>
      </c>
      <c r="AN2" s="267" t="s">
        <v>115</v>
      </c>
      <c r="AO2" s="268" t="s">
        <v>99</v>
      </c>
      <c r="AQ2" s="1583" t="s">
        <v>279</v>
      </c>
      <c r="AR2" s="1584"/>
    </row>
    <row r="3" spans="1:52" x14ac:dyDescent="0.2">
      <c r="A3" s="139" t="str">
        <f>+'WA Volumes &amp; Revenues'!A3</f>
        <v>Test Year Ending September 30, 2020</v>
      </c>
      <c r="E3" s="140"/>
      <c r="F3" s="140"/>
      <c r="W3" s="269">
        <f>SUM(W14:W19)+W22+W28+W31+W37+W44+W51+W58+W65+W72+W79+W93+W94+W25+W34+W86+W95+W96</f>
        <v>37287357.418864518</v>
      </c>
      <c r="X3" s="270">
        <f>SUM(X14:X19)+X22+X28+X31+X37+X44+X51+X58+X65+X72+X79+X93+X94+X25+X34+X86+X95+X96</f>
        <v>10678018</v>
      </c>
      <c r="Y3" s="270">
        <f>SUM(Y14:Y19)+Y22+Y28+Y31+Y37+Y44+Y51+Y58+Y65+Y72+Y79+Y93+Y94+Y25+Y34+Y86+Y95+Y96</f>
        <v>141275.86116</v>
      </c>
      <c r="Z3" s="271">
        <f>SUM(Z14:Z19)+Z22+Z28+Z31+Z37+Z44+Z51+Z58+Z65+Z72+Z79+Z93+Z94+Z25+Z34+Z86+Z95+Z96</f>
        <v>1255256.7800419014</v>
      </c>
      <c r="AB3" s="269">
        <f>SUM(AB14:AB19)+AB22+AB28+AB31+AB37+AB44+AB51+AB58+AB65+AB72+AB79+AB93+AB94+AB25+AB34+AB86+AB95+AB96</f>
        <v>44005114.342045605</v>
      </c>
      <c r="AC3" s="270">
        <f>SUM(AC14:AC19)+AC22+AC28+AC31+AC37+AC44+AC51+AC58+AC65+AC72+AC79+AC93+AC94+AC25+AC34+AC86+AC95+AC96</f>
        <v>10678018</v>
      </c>
      <c r="AD3" s="271">
        <f>SUM(AD14:AD19)+AD22+AD28+AD31+AD37+AD44+AD51+AD58+AD65+AD72+AD79+AD93+AD94+AD25+AD34+AD86+AD95+AD96</f>
        <v>141275.86116</v>
      </c>
      <c r="AF3" s="269">
        <f t="shared" ref="AF3:AH3" si="0">SUM(AF14:AF19)+AF22+AF28+AF31+AF37+AF44+AF51+AF58+AF65+AF72+AF79+AF93+AF94+AF25+AF34+AF86+AF95+AF96</f>
        <v>6717756.9231810682</v>
      </c>
      <c r="AG3" s="270">
        <f t="shared" si="0"/>
        <v>0</v>
      </c>
      <c r="AH3" s="271">
        <f t="shared" si="0"/>
        <v>0</v>
      </c>
      <c r="AK3" s="270"/>
      <c r="AM3" s="269">
        <f t="shared" ref="AM3:AO3" si="1">SUM(AM14:AM19)+AM22+AM28+AM31+AM37+AM44+AM51+AM58+AM65+AM72+AM79+AM93+AM94+AM25+AM34+AM86+AM95+AM96</f>
        <v>-462278.66210878297</v>
      </c>
      <c r="AN3" s="270">
        <f t="shared" si="1"/>
        <v>0</v>
      </c>
      <c r="AO3" s="271">
        <f t="shared" si="1"/>
        <v>0</v>
      </c>
      <c r="AQ3" s="56" t="s">
        <v>100</v>
      </c>
      <c r="AR3" s="272">
        <f>AF3</f>
        <v>6717756.9231810682</v>
      </c>
    </row>
    <row r="4" spans="1:52" x14ac:dyDescent="0.2">
      <c r="A4" s="139" t="s">
        <v>122</v>
      </c>
      <c r="D4" s="140"/>
      <c r="E4" s="140"/>
      <c r="F4" s="140"/>
      <c r="G4" s="140"/>
      <c r="H4" s="140"/>
      <c r="J4" s="140"/>
      <c r="K4" s="140"/>
      <c r="L4" s="140"/>
      <c r="Q4" s="140"/>
      <c r="V4" s="140"/>
      <c r="W4" s="273"/>
      <c r="X4" s="55"/>
      <c r="Y4" s="55"/>
      <c r="Z4" s="1146" t="s">
        <v>78</v>
      </c>
      <c r="AA4" s="140"/>
      <c r="AB4" s="273"/>
      <c r="AC4" s="55"/>
      <c r="AD4" s="274" t="s">
        <v>78</v>
      </c>
      <c r="AE4" s="140"/>
      <c r="AF4" s="273"/>
      <c r="AG4" s="55"/>
      <c r="AH4" s="274" t="s">
        <v>78</v>
      </c>
      <c r="AI4" s="140"/>
      <c r="AJ4" s="140"/>
      <c r="AK4" s="145"/>
      <c r="AL4" s="140"/>
      <c r="AM4" s="273"/>
      <c r="AN4" s="55"/>
      <c r="AO4" s="274" t="s">
        <v>78</v>
      </c>
      <c r="AP4" s="140"/>
      <c r="AQ4" s="56" t="s">
        <v>101</v>
      </c>
      <c r="AR4" s="272">
        <f>AG3</f>
        <v>0</v>
      </c>
    </row>
    <row r="5" spans="1:52" ht="13.5" thickBot="1" x14ac:dyDescent="0.25">
      <c r="E5" s="140"/>
      <c r="F5" s="140"/>
      <c r="W5" s="555"/>
      <c r="X5" s="556"/>
      <c r="Y5" s="556"/>
      <c r="Z5" s="1147">
        <f>SUM(W3:Z3)</f>
        <v>49361908.060066424</v>
      </c>
      <c r="AB5" s="275"/>
      <c r="AC5" s="276"/>
      <c r="AD5" s="277">
        <f>SUM(AB3:AD3)</f>
        <v>54824408.203205608</v>
      </c>
      <c r="AF5" s="275"/>
      <c r="AG5" s="276"/>
      <c r="AH5" s="277">
        <f>SUM(AF3:AH3)</f>
        <v>6717756.9231810682</v>
      </c>
      <c r="AK5" s="270"/>
      <c r="AM5" s="275"/>
      <c r="AN5" s="276"/>
      <c r="AO5" s="277">
        <f>SUM(AM3:AO3)</f>
        <v>-462278.66210878297</v>
      </c>
      <c r="AQ5" s="56" t="s">
        <v>102</v>
      </c>
      <c r="AR5" s="272">
        <f>AH3</f>
        <v>0</v>
      </c>
    </row>
    <row r="6" spans="1:52" ht="13.5" thickBot="1" x14ac:dyDescent="0.25">
      <c r="E6" s="140"/>
      <c r="F6" s="140"/>
      <c r="W6" s="55"/>
      <c r="X6" s="55"/>
      <c r="Y6" s="270"/>
      <c r="Z6" s="1142" t="s">
        <v>474</v>
      </c>
      <c r="AB6" s="55"/>
      <c r="AC6" s="55"/>
      <c r="AD6" s="270"/>
      <c r="AF6" s="55"/>
      <c r="AG6" s="55"/>
      <c r="AH6" s="270"/>
      <c r="AK6" s="270"/>
      <c r="AM6" s="55"/>
      <c r="AN6" s="55"/>
      <c r="AO6" s="270"/>
      <c r="AR6" s="272"/>
    </row>
    <row r="7" spans="1:52" ht="13.5" thickBot="1" x14ac:dyDescent="0.25">
      <c r="E7" s="518"/>
      <c r="F7" s="518"/>
      <c r="H7" s="1585" t="s">
        <v>123</v>
      </c>
      <c r="I7" s="1586"/>
      <c r="K7" s="1585" t="s">
        <v>125</v>
      </c>
      <c r="L7" s="1587"/>
      <c r="M7" s="1587"/>
      <c r="N7" s="1587"/>
      <c r="O7" s="1587"/>
      <c r="P7" s="1586"/>
      <c r="R7" s="1585" t="s">
        <v>124</v>
      </c>
      <c r="S7" s="1587"/>
      <c r="T7" s="1587"/>
      <c r="U7" s="1586"/>
      <c r="AD7" s="280"/>
      <c r="AO7" s="280"/>
      <c r="AQ7" s="56" t="s">
        <v>103</v>
      </c>
      <c r="AR7" s="281">
        <f>SUM(AR3:AR5)</f>
        <v>6717756.9231810682</v>
      </c>
      <c r="AU7" s="1150"/>
    </row>
    <row r="8" spans="1:52" x14ac:dyDescent="0.2">
      <c r="A8" s="86">
        <v>1</v>
      </c>
      <c r="D8" s="142"/>
      <c r="E8" s="518" t="s">
        <v>557</v>
      </c>
      <c r="F8" s="518" t="str">
        <f>E8</f>
        <v>UG-20XXXX</v>
      </c>
      <c r="G8" s="142"/>
      <c r="H8" s="148"/>
      <c r="I8" s="297"/>
      <c r="J8" s="142"/>
      <c r="K8" s="329" t="s">
        <v>17</v>
      </c>
      <c r="L8" s="330" t="s">
        <v>20</v>
      </c>
      <c r="M8" s="330" t="s">
        <v>17</v>
      </c>
      <c r="N8" s="330" t="s">
        <v>20</v>
      </c>
      <c r="O8" s="330" t="s">
        <v>17</v>
      </c>
      <c r="P8" s="331" t="s">
        <v>20</v>
      </c>
      <c r="Q8" s="142"/>
      <c r="R8" s="141"/>
      <c r="S8" s="282"/>
      <c r="T8" s="282"/>
      <c r="U8" s="283"/>
      <c r="V8" s="142"/>
      <c r="W8" s="1588" t="s">
        <v>126</v>
      </c>
      <c r="X8" s="1588"/>
      <c r="Y8" s="1588"/>
      <c r="Z8" s="1588"/>
      <c r="AA8" s="145"/>
      <c r="AB8" s="278"/>
      <c r="AC8" s="279" t="s">
        <v>244</v>
      </c>
      <c r="AD8" s="278"/>
      <c r="AE8" s="142"/>
      <c r="AG8" s="803" t="s">
        <v>127</v>
      </c>
      <c r="AI8" s="142"/>
      <c r="AJ8" s="422"/>
      <c r="AL8" s="142"/>
      <c r="AM8" s="278"/>
      <c r="AN8" s="279" t="s">
        <v>405</v>
      </c>
      <c r="AO8" s="278"/>
      <c r="AP8" s="142"/>
      <c r="AQ8" s="56" t="s">
        <v>104</v>
      </c>
      <c r="AR8" s="272"/>
      <c r="AU8" s="474"/>
      <c r="AV8" s="293"/>
    </row>
    <row r="9" spans="1:52" ht="13.5" thickBot="1" x14ac:dyDescent="0.25">
      <c r="A9" s="86">
        <f>+A8+1</f>
        <v>2</v>
      </c>
      <c r="D9" s="143"/>
      <c r="E9" s="144" t="s">
        <v>179</v>
      </c>
      <c r="F9" s="144" t="s">
        <v>179</v>
      </c>
      <c r="G9" s="143"/>
      <c r="H9" s="423" t="s">
        <v>118</v>
      </c>
      <c r="I9" s="1015" t="str">
        <f>E8</f>
        <v>UG-20XXXX</v>
      </c>
      <c r="J9" s="143"/>
      <c r="K9" s="332" t="str">
        <f>H9</f>
        <v>CURRENT</v>
      </c>
      <c r="L9" s="497" t="str">
        <f>E8</f>
        <v>UG-20XXXX</v>
      </c>
      <c r="M9" s="143" t="str">
        <f>K9</f>
        <v>CURRENT</v>
      </c>
      <c r="N9" s="497" t="str">
        <f>E8</f>
        <v>UG-20XXXX</v>
      </c>
      <c r="O9" s="143" t="str">
        <f>K9</f>
        <v>CURRENT</v>
      </c>
      <c r="P9" s="1015" t="str">
        <f>E8</f>
        <v>UG-20XXXX</v>
      </c>
      <c r="Q9" s="143"/>
      <c r="R9" s="1016" t="str">
        <f>E8</f>
        <v>UG-20XXXX</v>
      </c>
      <c r="S9" s="1017" t="str">
        <f>R9</f>
        <v>UG-20XXXX</v>
      </c>
      <c r="T9" s="1017" t="str">
        <f>S9</f>
        <v>UG-20XXXX</v>
      </c>
      <c r="U9" s="1018" t="str">
        <f>T9</f>
        <v>UG-20XXXX</v>
      </c>
      <c r="V9" s="143"/>
      <c r="W9" s="278"/>
      <c r="X9" s="278"/>
      <c r="Y9" s="278"/>
      <c r="Z9" s="278"/>
      <c r="AA9" s="145"/>
      <c r="AB9" s="278"/>
      <c r="AC9" s="1149" t="s">
        <v>477</v>
      </c>
      <c r="AD9" s="278"/>
      <c r="AE9" s="143"/>
      <c r="AF9" s="278"/>
      <c r="AG9" s="1149" t="s">
        <v>477</v>
      </c>
      <c r="AH9" s="278"/>
      <c r="AI9" s="143"/>
      <c r="AJ9" s="143"/>
      <c r="AK9" s="278"/>
      <c r="AL9" s="143"/>
      <c r="AM9" s="278"/>
      <c r="AN9" s="279"/>
      <c r="AO9" s="278"/>
      <c r="AP9" s="143"/>
      <c r="AQ9" s="604" t="s">
        <v>415</v>
      </c>
      <c r="AR9" s="272">
        <f>AO5</f>
        <v>-462278.66210878297</v>
      </c>
      <c r="AU9" s="596"/>
      <c r="AV9" s="293"/>
    </row>
    <row r="10" spans="1:52" ht="15.75" thickBot="1" x14ac:dyDescent="0.4">
      <c r="A10" s="86">
        <f t="shared" ref="A10:A73" si="2">+A9+1</f>
        <v>3</v>
      </c>
      <c r="D10" s="145"/>
      <c r="E10" s="59" t="s">
        <v>90</v>
      </c>
      <c r="F10" s="59" t="s">
        <v>90</v>
      </c>
      <c r="G10" s="145"/>
      <c r="H10" s="423" t="s">
        <v>105</v>
      </c>
      <c r="I10" s="783" t="s">
        <v>105</v>
      </c>
      <c r="J10" s="145"/>
      <c r="K10" s="289" t="s">
        <v>83</v>
      </c>
      <c r="L10" s="86" t="s">
        <v>83</v>
      </c>
      <c r="M10" s="145" t="s">
        <v>376</v>
      </c>
      <c r="N10" s="86" t="s">
        <v>376</v>
      </c>
      <c r="O10" s="145" t="s">
        <v>109</v>
      </c>
      <c r="P10" s="783" t="s">
        <v>109</v>
      </c>
      <c r="Q10" s="145"/>
      <c r="R10" s="284" t="s">
        <v>110</v>
      </c>
      <c r="S10" s="278" t="s">
        <v>110</v>
      </c>
      <c r="T10" s="278" t="s">
        <v>120</v>
      </c>
      <c r="U10" s="285" t="s">
        <v>70</v>
      </c>
      <c r="V10" s="145"/>
      <c r="W10" s="1580" t="s">
        <v>116</v>
      </c>
      <c r="X10" s="1581"/>
      <c r="Y10" s="1581"/>
      <c r="Z10" s="1582"/>
      <c r="AA10" s="143"/>
      <c r="AB10" s="1580" t="s">
        <v>117</v>
      </c>
      <c r="AC10" s="1581"/>
      <c r="AD10" s="1582"/>
      <c r="AE10" s="145"/>
      <c r="AF10" s="1580" t="s">
        <v>107</v>
      </c>
      <c r="AG10" s="1581"/>
      <c r="AH10" s="1582"/>
      <c r="AI10" s="145"/>
      <c r="AJ10" s="58" t="s">
        <v>136</v>
      </c>
      <c r="AK10" s="58" t="s">
        <v>114</v>
      </c>
      <c r="AL10" s="145"/>
      <c r="AM10" s="1580" t="s">
        <v>117</v>
      </c>
      <c r="AN10" s="1581"/>
      <c r="AO10" s="1582"/>
      <c r="AP10" s="145"/>
      <c r="AQ10" s="60" t="s">
        <v>91</v>
      </c>
      <c r="AR10" s="281">
        <f>AR7+AR9</f>
        <v>6255478.2610722855</v>
      </c>
      <c r="AU10" s="1177"/>
      <c r="AV10" s="1178"/>
      <c r="AW10" s="613"/>
      <c r="AX10" s="613"/>
      <c r="AY10" s="613"/>
      <c r="AZ10" s="613"/>
    </row>
    <row r="11" spans="1:52" s="57" customFormat="1" ht="13.5" thickBot="1" x14ac:dyDescent="0.25">
      <c r="A11" s="86">
        <f t="shared" si="2"/>
        <v>4</v>
      </c>
      <c r="B11" s="147"/>
      <c r="C11" s="147"/>
      <c r="D11" s="145"/>
      <c r="E11" s="172" t="s">
        <v>98</v>
      </c>
      <c r="F11" s="1144" t="s">
        <v>411</v>
      </c>
      <c r="G11" s="145"/>
      <c r="H11" s="426" t="s">
        <v>106</v>
      </c>
      <c r="I11" s="784" t="s">
        <v>106</v>
      </c>
      <c r="J11" s="145"/>
      <c r="K11" s="333" t="s">
        <v>71</v>
      </c>
      <c r="L11" s="358" t="s">
        <v>71</v>
      </c>
      <c r="M11" s="334" t="s">
        <v>71</v>
      </c>
      <c r="N11" s="358" t="s">
        <v>71</v>
      </c>
      <c r="O11" s="334" t="s">
        <v>71</v>
      </c>
      <c r="P11" s="784" t="s">
        <v>71</v>
      </c>
      <c r="Q11" s="145"/>
      <c r="R11" s="286" t="s">
        <v>111</v>
      </c>
      <c r="S11" s="287" t="s">
        <v>113</v>
      </c>
      <c r="T11" s="287" t="s">
        <v>75</v>
      </c>
      <c r="U11" s="288" t="s">
        <v>112</v>
      </c>
      <c r="V11" s="145"/>
      <c r="W11" s="289" t="s">
        <v>114</v>
      </c>
      <c r="X11" s="145" t="s">
        <v>115</v>
      </c>
      <c r="Y11" s="267" t="s">
        <v>99</v>
      </c>
      <c r="Z11" s="274" t="s">
        <v>475</v>
      </c>
      <c r="AA11" s="58"/>
      <c r="AB11" s="289" t="s">
        <v>114</v>
      </c>
      <c r="AC11" s="145" t="s">
        <v>115</v>
      </c>
      <c r="AD11" s="274" t="s">
        <v>99</v>
      </c>
      <c r="AE11" s="145"/>
      <c r="AF11" s="289" t="s">
        <v>114</v>
      </c>
      <c r="AG11" s="145" t="s">
        <v>115</v>
      </c>
      <c r="AH11" s="274" t="s">
        <v>99</v>
      </c>
      <c r="AI11" s="145"/>
      <c r="AJ11" s="58" t="s">
        <v>27</v>
      </c>
      <c r="AK11" s="58" t="s">
        <v>27</v>
      </c>
      <c r="AL11" s="145"/>
      <c r="AM11" s="266" t="s">
        <v>114</v>
      </c>
      <c r="AN11" s="267" t="s">
        <v>115</v>
      </c>
      <c r="AO11" s="268" t="s">
        <v>99</v>
      </c>
      <c r="AP11" s="145"/>
      <c r="AQ11" s="278"/>
      <c r="AR11" s="278"/>
      <c r="AS11" s="145"/>
      <c r="AU11" s="596"/>
      <c r="AV11" s="293"/>
    </row>
    <row r="12" spans="1:52" s="57" customFormat="1" ht="15" x14ac:dyDescent="0.35">
      <c r="A12" s="86">
        <f t="shared" si="2"/>
        <v>5</v>
      </c>
      <c r="B12" s="56"/>
      <c r="C12" s="56"/>
      <c r="D12" s="58"/>
      <c r="E12" s="150"/>
      <c r="F12" s="150"/>
      <c r="G12" s="58"/>
      <c r="H12" s="151"/>
      <c r="I12" s="603"/>
      <c r="J12" s="58"/>
      <c r="K12" s="335"/>
      <c r="L12" s="336"/>
      <c r="M12" s="336"/>
      <c r="N12" s="336"/>
      <c r="O12" s="336"/>
      <c r="P12" s="337"/>
      <c r="Q12" s="58"/>
      <c r="R12" s="290"/>
      <c r="S12" s="146"/>
      <c r="T12" s="146"/>
      <c r="U12" s="291"/>
      <c r="V12" s="58"/>
      <c r="W12" s="151"/>
      <c r="Z12" s="149"/>
      <c r="AB12" s="151"/>
      <c r="AD12" s="149"/>
      <c r="AE12" s="58"/>
      <c r="AF12" s="151"/>
      <c r="AH12" s="149"/>
      <c r="AI12" s="58"/>
      <c r="AJ12" s="58" t="s">
        <v>128</v>
      </c>
      <c r="AK12" s="58" t="s">
        <v>128</v>
      </c>
      <c r="AL12" s="58"/>
      <c r="AM12" s="151"/>
      <c r="AO12" s="149"/>
      <c r="AP12" s="58"/>
      <c r="AQ12" s="145"/>
      <c r="AR12" s="292">
        <f>'Rate Spread Proposal'!D21</f>
        <v>6255809.5678384118</v>
      </c>
      <c r="AS12" s="293" t="s">
        <v>157</v>
      </c>
      <c r="AU12" s="1177"/>
      <c r="AV12" s="1178"/>
      <c r="AW12" s="614"/>
      <c r="AX12" s="614"/>
      <c r="AY12" s="614"/>
      <c r="AZ12" s="614"/>
    </row>
    <row r="13" spans="1:52" s="57" customFormat="1" ht="13.5" thickBot="1" x14ac:dyDescent="0.25">
      <c r="A13" s="86">
        <f t="shared" si="2"/>
        <v>6</v>
      </c>
      <c r="B13" s="771" t="s">
        <v>2</v>
      </c>
      <c r="C13" s="771" t="s">
        <v>3</v>
      </c>
      <c r="D13" s="294"/>
      <c r="E13" s="294" t="s">
        <v>35</v>
      </c>
      <c r="F13" s="294" t="s">
        <v>36</v>
      </c>
      <c r="G13" s="294"/>
      <c r="H13" s="295" t="s">
        <v>13</v>
      </c>
      <c r="I13" s="296" t="s">
        <v>37</v>
      </c>
      <c r="J13" s="294"/>
      <c r="K13" s="295" t="s">
        <v>38</v>
      </c>
      <c r="L13" s="294" t="s">
        <v>39</v>
      </c>
      <c r="M13" s="294" t="s">
        <v>40</v>
      </c>
      <c r="N13" s="294" t="s">
        <v>41</v>
      </c>
      <c r="O13" s="294" t="s">
        <v>42</v>
      </c>
      <c r="P13" s="296" t="s">
        <v>129</v>
      </c>
      <c r="Q13" s="294"/>
      <c r="R13" s="295" t="s">
        <v>130</v>
      </c>
      <c r="S13" s="294" t="s">
        <v>43</v>
      </c>
      <c r="T13" s="294" t="s">
        <v>131</v>
      </c>
      <c r="U13" s="296" t="s">
        <v>132</v>
      </c>
      <c r="V13" s="58"/>
      <c r="W13" s="148" t="s">
        <v>133</v>
      </c>
      <c r="X13" s="58" t="s">
        <v>134</v>
      </c>
      <c r="Y13" s="58" t="s">
        <v>135</v>
      </c>
      <c r="Z13" s="297" t="s">
        <v>89</v>
      </c>
      <c r="AA13" s="58"/>
      <c r="AB13" s="148" t="s">
        <v>92</v>
      </c>
      <c r="AC13" s="58" t="s">
        <v>93</v>
      </c>
      <c r="AD13" s="297" t="s">
        <v>94</v>
      </c>
      <c r="AE13" s="58"/>
      <c r="AF13" s="148" t="s">
        <v>186</v>
      </c>
      <c r="AG13" s="58" t="s">
        <v>232</v>
      </c>
      <c r="AH13" s="297" t="s">
        <v>227</v>
      </c>
      <c r="AI13" s="58"/>
      <c r="AJ13" s="58" t="s">
        <v>127</v>
      </c>
      <c r="AK13" s="58" t="s">
        <v>127</v>
      </c>
      <c r="AL13" s="58"/>
      <c r="AM13" s="148" t="s">
        <v>233</v>
      </c>
      <c r="AN13" s="58" t="s">
        <v>234</v>
      </c>
      <c r="AO13" s="297" t="s">
        <v>235</v>
      </c>
      <c r="AP13" s="58"/>
      <c r="AR13" s="931">
        <f>AR12-AR10</f>
        <v>331.30676612630486</v>
      </c>
      <c r="AS13" s="293" t="s">
        <v>168</v>
      </c>
      <c r="AT13" s="932"/>
      <c r="AU13" s="1179"/>
      <c r="AV13" s="610"/>
    </row>
    <row r="14" spans="1:52" ht="12.95" customHeight="1" x14ac:dyDescent="0.2">
      <c r="A14" s="86">
        <f t="shared" si="2"/>
        <v>7</v>
      </c>
      <c r="B14" s="723" t="str">
        <f>'WA Volumes &amp; Revenues'!B15</f>
        <v>1R</v>
      </c>
      <c r="C14" s="723" t="s">
        <v>283</v>
      </c>
      <c r="D14" s="154"/>
      <c r="E14" s="772">
        <f>ROUND('Rates in Detail'!L13,5)</f>
        <v>0.13225000000000001</v>
      </c>
      <c r="F14" s="123">
        <f>'Allocation = % of Margin'!U14</f>
        <v>-9.1000000000000004E-3</v>
      </c>
      <c r="G14" s="154"/>
      <c r="H14" s="368">
        <f>ROUND('Rates in Detail'!N13,5)</f>
        <v>0.67652999999999996</v>
      </c>
      <c r="I14" s="773">
        <f>H14+E14</f>
        <v>0.80877999999999994</v>
      </c>
      <c r="J14" s="154"/>
      <c r="K14" s="155">
        <f>'WA Volumes &amp; Revenues'!O15</f>
        <v>5.5</v>
      </c>
      <c r="L14" s="156">
        <f>'WA Volumes &amp; Revenues'!N15</f>
        <v>5.5</v>
      </c>
      <c r="M14" s="122">
        <f>'Rates in Detail'!AF13</f>
        <v>0</v>
      </c>
      <c r="N14" s="122">
        <f>'Rates in Detail'!AG13</f>
        <v>0</v>
      </c>
      <c r="O14" s="122">
        <f>'Rates in Detail'!AH13</f>
        <v>0</v>
      </c>
      <c r="P14" s="774">
        <f>'Rates in Detail'!AI13</f>
        <v>0</v>
      </c>
      <c r="Q14" s="154"/>
      <c r="R14" s="298">
        <f>'WA Volumes &amp; Revenues'!E15</f>
        <v>214704.20066131229</v>
      </c>
      <c r="S14" s="299"/>
      <c r="T14" s="300">
        <f>'WA Volumes &amp; Revenues'!H15</f>
        <v>911</v>
      </c>
      <c r="U14" s="301">
        <f>'WA Volumes &amp; Revenues'!I15</f>
        <v>19.639970000000002</v>
      </c>
      <c r="V14" s="154"/>
      <c r="W14" s="302">
        <f>(H14*R14)</f>
        <v>145253.83287339759</v>
      </c>
      <c r="X14" s="303">
        <f>(K14*T14*12)</f>
        <v>60126</v>
      </c>
      <c r="Y14" s="303">
        <f t="shared" ref="Y14:Y21" si="3">(S14*(M14+O14))*12</f>
        <v>0</v>
      </c>
      <c r="Z14" s="304">
        <f>'Rate Spread Proposal'!E$15-SUM(W14:Y14)</f>
        <v>3255.2992440185044</v>
      </c>
      <c r="AA14" s="305"/>
      <c r="AB14" s="302">
        <f t="shared" ref="AB14:AB21" si="4">(I14*R14)</f>
        <v>173648.46341085614</v>
      </c>
      <c r="AC14" s="303">
        <f t="shared" ref="AC14:AC21" si="5">(L14*T14*12)</f>
        <v>60126</v>
      </c>
      <c r="AD14" s="304">
        <f t="shared" ref="AD14:AD21" si="6">(S14*(N14+P14))*12</f>
        <v>0</v>
      </c>
      <c r="AE14" s="305"/>
      <c r="AF14" s="302">
        <f t="shared" ref="AF14:AG21" si="7">AB14-W14</f>
        <v>28394.63053745855</v>
      </c>
      <c r="AG14" s="303">
        <f t="shared" si="7"/>
        <v>0</v>
      </c>
      <c r="AH14" s="304">
        <f t="shared" ref="AH14" si="8">AD14-Y14</f>
        <v>0</v>
      </c>
      <c r="AI14" s="305"/>
      <c r="AJ14" s="338"/>
      <c r="AK14" s="339"/>
      <c r="AL14" s="305"/>
      <c r="AM14" s="302">
        <f t="shared" ref="AM14:AM21" si="9">(F14*R14)</f>
        <v>-1953.8082260179419</v>
      </c>
      <c r="AN14" s="303">
        <v>0</v>
      </c>
      <c r="AO14" s="304">
        <f t="shared" ref="AO14" si="10">(AE14*(Y14+AB14))*12</f>
        <v>0</v>
      </c>
      <c r="AP14" s="305"/>
      <c r="AQ14" s="1579" t="s">
        <v>169</v>
      </c>
      <c r="AR14" s="1579"/>
      <c r="AS14" s="1579"/>
    </row>
    <row r="15" spans="1:52" x14ac:dyDescent="0.2">
      <c r="A15" s="86">
        <f t="shared" si="2"/>
        <v>8</v>
      </c>
      <c r="B15" s="724" t="str">
        <f>'WA Volumes &amp; Revenues'!B16</f>
        <v>1C</v>
      </c>
      <c r="C15" s="724" t="s">
        <v>283</v>
      </c>
      <c r="D15" s="157"/>
      <c r="E15" s="123">
        <f>ROUND('Rates in Detail'!L14,5)</f>
        <v>0.10997</v>
      </c>
      <c r="F15" s="123">
        <f>'Allocation = % of Margin'!U15</f>
        <v>-7.5599999999999999E-3</v>
      </c>
      <c r="G15" s="157"/>
      <c r="H15" s="368">
        <f>ROUND('Rates in Detail'!N14,5)</f>
        <v>0.73148999999999997</v>
      </c>
      <c r="I15" s="773">
        <f>H15+E15</f>
        <v>0.84145999999999999</v>
      </c>
      <c r="J15" s="157"/>
      <c r="K15" s="155">
        <f>'WA Volumes &amp; Revenues'!O16</f>
        <v>7</v>
      </c>
      <c r="L15" s="156">
        <f>'WA Volumes &amp; Revenues'!N16</f>
        <v>7</v>
      </c>
      <c r="M15" s="122">
        <f>'Rates in Detail'!AF14</f>
        <v>0</v>
      </c>
      <c r="N15" s="122">
        <f>'Rates in Detail'!AG14</f>
        <v>0</v>
      </c>
      <c r="O15" s="122">
        <f>'Rates in Detail'!AH14</f>
        <v>0</v>
      </c>
      <c r="P15" s="774">
        <f>'Rates in Detail'!AI14</f>
        <v>0</v>
      </c>
      <c r="Q15" s="157"/>
      <c r="R15" s="298">
        <f>'WA Volumes &amp; Revenues'!E16</f>
        <v>46539.057144390383</v>
      </c>
      <c r="S15" s="299"/>
      <c r="T15" s="300">
        <f>'WA Volumes &amp; Revenues'!H16</f>
        <v>34</v>
      </c>
      <c r="U15" s="301">
        <f>'WA Volumes &amp; Revenues'!I16</f>
        <v>114.06632</v>
      </c>
      <c r="V15" s="157"/>
      <c r="W15" s="306">
        <f>(H15*R15)</f>
        <v>34042.854910550122</v>
      </c>
      <c r="X15" s="307">
        <f>(K15*T15*12)</f>
        <v>2856</v>
      </c>
      <c r="Y15" s="307">
        <f t="shared" si="3"/>
        <v>0</v>
      </c>
      <c r="Z15" s="308">
        <f>'Rate Spread Proposal'!F$15-SUM(W15:Y15)</f>
        <v>705.52591135216062</v>
      </c>
      <c r="AA15" s="309"/>
      <c r="AB15" s="306">
        <f>(I15*R15)</f>
        <v>39160.755024718732</v>
      </c>
      <c r="AC15" s="307">
        <f>(L15*T15*12)</f>
        <v>2856</v>
      </c>
      <c r="AD15" s="308">
        <f>(S15*(N15+P15))*12</f>
        <v>0</v>
      </c>
      <c r="AE15" s="309"/>
      <c r="AF15" s="306">
        <f t="shared" si="7"/>
        <v>5117.9001141686094</v>
      </c>
      <c r="AG15" s="307">
        <f t="shared" si="7"/>
        <v>0</v>
      </c>
      <c r="AH15" s="308">
        <f t="shared" ref="AH15:AH21" si="11">AD15-Y15</f>
        <v>0</v>
      </c>
      <c r="AI15" s="309"/>
      <c r="AJ15" s="338"/>
      <c r="AK15" s="339"/>
      <c r="AL15" s="309"/>
      <c r="AM15" s="306">
        <f>(F15*R15)</f>
        <v>-351.83527201159131</v>
      </c>
      <c r="AN15" s="307">
        <v>0</v>
      </c>
      <c r="AO15" s="308">
        <f t="shared" ref="AO15:AO21" si="12">(AE15*(Y15+AB15))*12</f>
        <v>0</v>
      </c>
      <c r="AP15" s="309"/>
      <c r="AQ15" s="310"/>
      <c r="AR15" s="310"/>
      <c r="AS15" s="309"/>
    </row>
    <row r="16" spans="1:52" x14ac:dyDescent="0.2">
      <c r="A16" s="86">
        <f t="shared" si="2"/>
        <v>9</v>
      </c>
      <c r="B16" s="724" t="str">
        <f>'WA Volumes &amp; Revenues'!B17</f>
        <v>2R</v>
      </c>
      <c r="C16" s="724" t="s">
        <v>283</v>
      </c>
      <c r="D16" s="157"/>
      <c r="E16" s="772">
        <f>ROUND('Rates in Detail'!L15,5)</f>
        <v>8.3699999999999997E-2</v>
      </c>
      <c r="F16" s="772">
        <f>'Allocation = % of Margin'!U16</f>
        <v>-5.7600000000000004E-3</v>
      </c>
      <c r="G16" s="157"/>
      <c r="H16" s="368">
        <f>ROUND('Rates in Detail'!N15,5)</f>
        <v>0.45816000000000001</v>
      </c>
      <c r="I16" s="773">
        <f t="shared" ref="I16:I77" si="13">H16+E16</f>
        <v>0.54186000000000001</v>
      </c>
      <c r="J16" s="157"/>
      <c r="K16" s="155">
        <f>'WA Volumes &amp; Revenues'!O17</f>
        <v>8</v>
      </c>
      <c r="L16" s="156">
        <f>'WA Volumes &amp; Revenues'!N17</f>
        <v>8</v>
      </c>
      <c r="M16" s="122">
        <f>'Rates in Detail'!AF15</f>
        <v>0</v>
      </c>
      <c r="N16" s="122">
        <f>'Rates in Detail'!AG15</f>
        <v>0</v>
      </c>
      <c r="O16" s="122">
        <f>'Rates in Detail'!AH15</f>
        <v>0</v>
      </c>
      <c r="P16" s="774">
        <f>'Rates in Detail'!AI15</f>
        <v>0</v>
      </c>
      <c r="Q16" s="157"/>
      <c r="R16" s="298">
        <f>'WA Volumes &amp; Revenues'!E17</f>
        <v>54953515.785084128</v>
      </c>
      <c r="S16" s="311"/>
      <c r="T16" s="300">
        <f>'WA Volumes &amp; Revenues'!H17</f>
        <v>81119</v>
      </c>
      <c r="U16" s="301">
        <f>'WA Volumes &amp; Revenues'!I17</f>
        <v>56.453600000000002</v>
      </c>
      <c r="V16" s="157"/>
      <c r="W16" s="306">
        <f t="shared" ref="W16:W21" si="14">(H16*R16)</f>
        <v>25177502.792094145</v>
      </c>
      <c r="X16" s="307">
        <f t="shared" ref="X16:X18" si="15">(K16*T16*12)</f>
        <v>7787424</v>
      </c>
      <c r="Y16" s="307">
        <f t="shared" si="3"/>
        <v>0</v>
      </c>
      <c r="Z16" s="308">
        <f>'Rate Spread Proposal'!G$15-SUM(W16:Y16)</f>
        <v>833172.79760340229</v>
      </c>
      <c r="AA16" s="309"/>
      <c r="AB16" s="306">
        <f t="shared" si="4"/>
        <v>29777112.063305687</v>
      </c>
      <c r="AC16" s="307">
        <f t="shared" si="5"/>
        <v>7787424</v>
      </c>
      <c r="AD16" s="308">
        <f t="shared" si="6"/>
        <v>0</v>
      </c>
      <c r="AE16" s="309"/>
      <c r="AF16" s="306">
        <f t="shared" si="7"/>
        <v>4599609.2712115422</v>
      </c>
      <c r="AG16" s="307">
        <f t="shared" si="7"/>
        <v>0</v>
      </c>
      <c r="AH16" s="308">
        <f t="shared" si="11"/>
        <v>0</v>
      </c>
      <c r="AI16" s="309"/>
      <c r="AJ16" s="338">
        <f>SUM(AF16:AH16)/SUM(W16:Y16)</f>
        <v>0.13953039544788703</v>
      </c>
      <c r="AK16" s="339">
        <f t="shared" ref="AK16:AK41" si="16">SUM(AF16)/SUM(W16)</f>
        <v>0.18268727082242014</v>
      </c>
      <c r="AL16" s="309"/>
      <c r="AM16" s="306">
        <f t="shared" si="9"/>
        <v>-316532.25092208461</v>
      </c>
      <c r="AN16" s="307">
        <v>0</v>
      </c>
      <c r="AO16" s="308">
        <f t="shared" si="12"/>
        <v>0</v>
      </c>
      <c r="AP16" s="309"/>
      <c r="AQ16" s="310"/>
      <c r="AR16" s="50"/>
      <c r="AS16" s="309"/>
    </row>
    <row r="17" spans="1:45" x14ac:dyDescent="0.2">
      <c r="A17" s="86">
        <f t="shared" si="2"/>
        <v>10</v>
      </c>
      <c r="B17" s="724" t="str">
        <f>'WA Volumes &amp; Revenues'!B18</f>
        <v>3 CFS</v>
      </c>
      <c r="C17" s="724" t="s">
        <v>283</v>
      </c>
      <c r="D17" s="157"/>
      <c r="E17" s="123">
        <f>ROUND('Rates in Detail'!L16,5)</f>
        <v>7.5149999999999995E-2</v>
      </c>
      <c r="F17" s="123">
        <f>'Allocation = % of Margin'!U17</f>
        <v>-5.1700000000000001E-3</v>
      </c>
      <c r="G17" s="157"/>
      <c r="H17" s="368">
        <f>ROUND('Rates in Detail'!N16,5)</f>
        <v>0.44368000000000002</v>
      </c>
      <c r="I17" s="773">
        <f t="shared" si="13"/>
        <v>0.51883000000000001</v>
      </c>
      <c r="J17" s="157"/>
      <c r="K17" s="155">
        <f>'WA Volumes &amp; Revenues'!O18</f>
        <v>22</v>
      </c>
      <c r="L17" s="156">
        <f>'WA Volumes &amp; Revenues'!N18</f>
        <v>22</v>
      </c>
      <c r="M17" s="122">
        <f>'Rates in Detail'!AF16</f>
        <v>0</v>
      </c>
      <c r="N17" s="122">
        <f>'Rates in Detail'!AG16</f>
        <v>0</v>
      </c>
      <c r="O17" s="122">
        <f>'Rates in Detail'!AH16</f>
        <v>0</v>
      </c>
      <c r="P17" s="774">
        <f>'Rates in Detail'!AI16</f>
        <v>0</v>
      </c>
      <c r="Q17" s="157"/>
      <c r="R17" s="298">
        <f>'WA Volumes &amp; Revenues'!E18</f>
        <v>17867210.60654201</v>
      </c>
      <c r="S17" s="311"/>
      <c r="T17" s="300">
        <f>'WA Volumes &amp; Revenues'!H18</f>
        <v>6318</v>
      </c>
      <c r="U17" s="301">
        <f>'WA Volumes &amp; Revenues'!I18</f>
        <v>235.66542999999999</v>
      </c>
      <c r="V17" s="157"/>
      <c r="W17" s="306">
        <f t="shared" si="14"/>
        <v>7927324.0019105589</v>
      </c>
      <c r="X17" s="307">
        <f t="shared" si="15"/>
        <v>1667952</v>
      </c>
      <c r="Y17" s="307">
        <f t="shared" si="3"/>
        <v>0</v>
      </c>
      <c r="Z17" s="308">
        <f>'Rate Spread Proposal'!H$15-SUM(W17:Y17)</f>
        <v>270892.06692284904</v>
      </c>
      <c r="AA17" s="309"/>
      <c r="AB17" s="306">
        <f t="shared" si="4"/>
        <v>9270044.8789921906</v>
      </c>
      <c r="AC17" s="307">
        <f t="shared" si="5"/>
        <v>1667952</v>
      </c>
      <c r="AD17" s="308">
        <f t="shared" si="6"/>
        <v>0</v>
      </c>
      <c r="AE17" s="309"/>
      <c r="AF17" s="306">
        <f t="shared" si="7"/>
        <v>1342720.8770816317</v>
      </c>
      <c r="AG17" s="307">
        <f t="shared" si="7"/>
        <v>0</v>
      </c>
      <c r="AH17" s="308">
        <f t="shared" si="11"/>
        <v>0</v>
      </c>
      <c r="AI17" s="309"/>
      <c r="AJ17" s="338">
        <f>SUM(AF17:AH17)/SUM(W17:Y17)</f>
        <v>0.13993561798683815</v>
      </c>
      <c r="AK17" s="339">
        <f t="shared" si="16"/>
        <v>0.16937883159033534</v>
      </c>
      <c r="AL17" s="309"/>
      <c r="AM17" s="306">
        <f t="shared" si="9"/>
        <v>-92373.478835822199</v>
      </c>
      <c r="AN17" s="307">
        <v>0</v>
      </c>
      <c r="AO17" s="308">
        <f t="shared" si="12"/>
        <v>0</v>
      </c>
      <c r="AP17" s="309"/>
      <c r="AQ17" s="310"/>
      <c r="AR17" s="310"/>
      <c r="AS17" s="309"/>
    </row>
    <row r="18" spans="1:45" x14ac:dyDescent="0.2">
      <c r="A18" s="86">
        <f t="shared" si="2"/>
        <v>11</v>
      </c>
      <c r="B18" s="724" t="str">
        <f>'WA Volumes &amp; Revenues'!B19</f>
        <v>3 IFS</v>
      </c>
      <c r="C18" s="724" t="s">
        <v>283</v>
      </c>
      <c r="D18" s="157"/>
      <c r="E18" s="123">
        <f>ROUND('Rates in Detail'!L17,5)</f>
        <v>6.8080000000000002E-2</v>
      </c>
      <c r="F18" s="123">
        <f>'Allocation = % of Margin'!U18</f>
        <v>-4.6899999999999997E-3</v>
      </c>
      <c r="G18" s="157"/>
      <c r="H18" s="368">
        <f>ROUND('Rates in Detail'!N17,5)</f>
        <v>0.46249000000000001</v>
      </c>
      <c r="I18" s="773">
        <f t="shared" si="13"/>
        <v>0.53056999999999999</v>
      </c>
      <c r="J18" s="157"/>
      <c r="K18" s="155">
        <f>'WA Volumes &amp; Revenues'!O19</f>
        <v>22</v>
      </c>
      <c r="L18" s="156">
        <f>'WA Volumes &amp; Revenues'!N19</f>
        <v>22</v>
      </c>
      <c r="M18" s="122">
        <f>'Rates in Detail'!AF17</f>
        <v>0</v>
      </c>
      <c r="N18" s="122">
        <f>'Rates in Detail'!AG17</f>
        <v>0</v>
      </c>
      <c r="O18" s="122">
        <f>'Rates in Detail'!AH17</f>
        <v>0</v>
      </c>
      <c r="P18" s="774">
        <f>'Rates in Detail'!AI17</f>
        <v>0</v>
      </c>
      <c r="Q18" s="157"/>
      <c r="R18" s="298">
        <f>'WA Volumes &amp; Revenues'!E19</f>
        <v>283651.99999999994</v>
      </c>
      <c r="S18" s="311"/>
      <c r="T18" s="300">
        <f>'WA Volumes &amp; Revenues'!H19</f>
        <v>24.25</v>
      </c>
      <c r="U18" s="301">
        <f>'WA Volumes &amp; Revenues'!I19</f>
        <v>974.74914000000001</v>
      </c>
      <c r="V18" s="157"/>
      <c r="W18" s="306">
        <f t="shared" si="14"/>
        <v>131186.21347999998</v>
      </c>
      <c r="X18" s="307">
        <f t="shared" si="15"/>
        <v>6402</v>
      </c>
      <c r="Y18" s="307">
        <f t="shared" si="3"/>
        <v>0</v>
      </c>
      <c r="Z18" s="308">
        <f>'Rate Spread Proposal'!I$15-SUM(W18:Y18)</f>
        <v>4300.5115719015885</v>
      </c>
      <c r="AA18" s="309"/>
      <c r="AB18" s="306">
        <f t="shared" si="4"/>
        <v>150497.24163999996</v>
      </c>
      <c r="AC18" s="307">
        <f t="shared" si="5"/>
        <v>6402</v>
      </c>
      <c r="AD18" s="308">
        <f t="shared" si="6"/>
        <v>0</v>
      </c>
      <c r="AE18" s="309"/>
      <c r="AF18" s="306">
        <f t="shared" si="7"/>
        <v>19311.028159999987</v>
      </c>
      <c r="AG18" s="307">
        <f t="shared" si="7"/>
        <v>0</v>
      </c>
      <c r="AH18" s="308">
        <f t="shared" si="11"/>
        <v>0</v>
      </c>
      <c r="AI18" s="309"/>
      <c r="AJ18" s="338">
        <f>SUM(AF18:AH18)/SUM(W18:Y18)</f>
        <v>0.14035379682291657</v>
      </c>
      <c r="AK18" s="339">
        <f t="shared" si="16"/>
        <v>0.14720318277151931</v>
      </c>
      <c r="AL18" s="309"/>
      <c r="AM18" s="306">
        <f t="shared" si="9"/>
        <v>-1330.3278799999996</v>
      </c>
      <c r="AN18" s="307">
        <v>0</v>
      </c>
      <c r="AO18" s="308">
        <f t="shared" si="12"/>
        <v>0</v>
      </c>
      <c r="AP18" s="309"/>
      <c r="AQ18" s="310"/>
      <c r="AR18" s="310"/>
      <c r="AS18" s="309"/>
    </row>
    <row r="19" spans="1:45" x14ac:dyDescent="0.2">
      <c r="A19" s="86">
        <f t="shared" si="2"/>
        <v>12</v>
      </c>
      <c r="B19" s="724" t="str">
        <f>'WA Volumes &amp; Revenues'!B20</f>
        <v>27R</v>
      </c>
      <c r="C19" s="724" t="s">
        <v>283</v>
      </c>
      <c r="D19" s="157"/>
      <c r="E19" s="123">
        <f>ROUND('Rates in Detail'!L18,5)</f>
        <v>5.9569999999999998E-2</v>
      </c>
      <c r="F19" s="123">
        <f>'Allocation = % of Margin'!U19</f>
        <v>-4.1000000000000003E-3</v>
      </c>
      <c r="G19" s="157"/>
      <c r="H19" s="368">
        <f>ROUND('Rates in Detail'!N18,5)</f>
        <v>0.24088000000000001</v>
      </c>
      <c r="I19" s="773">
        <f t="shared" si="13"/>
        <v>0.30044999999999999</v>
      </c>
      <c r="J19" s="157"/>
      <c r="K19" s="155">
        <f>'WA Volumes &amp; Revenues'!O20</f>
        <v>9</v>
      </c>
      <c r="L19" s="156">
        <f>'WA Volumes &amp; Revenues'!N20</f>
        <v>9</v>
      </c>
      <c r="M19" s="122">
        <f>'Rates in Detail'!AF18</f>
        <v>0</v>
      </c>
      <c r="N19" s="122">
        <f>'Rates in Detail'!AG18</f>
        <v>0</v>
      </c>
      <c r="O19" s="122">
        <f>'Rates in Detail'!AH18</f>
        <v>0</v>
      </c>
      <c r="P19" s="774">
        <f>'Rates in Detail'!AI18</f>
        <v>0</v>
      </c>
      <c r="Q19" s="157"/>
      <c r="R19" s="298">
        <f>'WA Volumes &amp; Revenues'!E20</f>
        <v>461371.76933137607</v>
      </c>
      <c r="S19" s="311"/>
      <c r="T19" s="300">
        <f>'WA Volumes &amp; Revenues'!H20</f>
        <v>776</v>
      </c>
      <c r="U19" s="301">
        <f>'WA Volumes &amp; Revenues'!I20</f>
        <v>49.545940000000002</v>
      </c>
      <c r="V19" s="157"/>
      <c r="W19" s="306">
        <f t="shared" si="14"/>
        <v>111135.23179654188</v>
      </c>
      <c r="X19" s="307">
        <f>(K19*T19*12)</f>
        <v>83808</v>
      </c>
      <c r="Y19" s="307">
        <f t="shared" si="3"/>
        <v>0</v>
      </c>
      <c r="Z19" s="308">
        <f>'Rate Spread Proposal'!J$15-SUM(W19:Y19)</f>
        <v>6994.9725814764388</v>
      </c>
      <c r="AA19" s="309"/>
      <c r="AB19" s="306">
        <f t="shared" si="4"/>
        <v>138619.14809561195</v>
      </c>
      <c r="AC19" s="307">
        <f t="shared" si="5"/>
        <v>83808</v>
      </c>
      <c r="AD19" s="308">
        <f t="shared" si="6"/>
        <v>0</v>
      </c>
      <c r="AE19" s="309"/>
      <c r="AF19" s="306">
        <f t="shared" si="7"/>
        <v>27483.916299070072</v>
      </c>
      <c r="AG19" s="307">
        <f t="shared" si="7"/>
        <v>0</v>
      </c>
      <c r="AH19" s="308">
        <f t="shared" si="11"/>
        <v>0</v>
      </c>
      <c r="AI19" s="309"/>
      <c r="AJ19" s="338">
        <f>SUM(AF19:AH19)/SUM(W19:Y19)</f>
        <v>0.14098420368733011</v>
      </c>
      <c r="AK19" s="339">
        <f t="shared" si="16"/>
        <v>0.24730156094320821</v>
      </c>
      <c r="AL19" s="309"/>
      <c r="AM19" s="306">
        <f t="shared" si="9"/>
        <v>-1891.6242542586419</v>
      </c>
      <c r="AN19" s="307">
        <v>0</v>
      </c>
      <c r="AO19" s="308">
        <f t="shared" si="12"/>
        <v>0</v>
      </c>
      <c r="AP19" s="309"/>
      <c r="AQ19" s="310"/>
      <c r="AR19" s="310"/>
      <c r="AS19" s="309"/>
    </row>
    <row r="20" spans="1:45" x14ac:dyDescent="0.2">
      <c r="A20" s="86">
        <f t="shared" si="2"/>
        <v>13</v>
      </c>
      <c r="B20" s="733" t="str">
        <f>'WA Volumes &amp; Revenues'!B21</f>
        <v>41C Firm Sales</v>
      </c>
      <c r="C20" s="726" t="s">
        <v>4</v>
      </c>
      <c r="D20" s="157"/>
      <c r="E20" s="122">
        <f>ROUND('Rates in Detail'!L19,5)</f>
        <v>5.9679999999999997E-2</v>
      </c>
      <c r="F20" s="122">
        <f>'Allocation = % of Margin'!U20</f>
        <v>-4.1099999999999999E-3</v>
      </c>
      <c r="G20" s="157"/>
      <c r="H20" s="373">
        <f>ROUND('Rates in Detail'!N19,5)</f>
        <v>0.34473999999999999</v>
      </c>
      <c r="I20" s="774">
        <f t="shared" si="13"/>
        <v>0.40442</v>
      </c>
      <c r="J20" s="157"/>
      <c r="K20" s="155">
        <f>'WA Volumes &amp; Revenues'!O21</f>
        <v>250</v>
      </c>
      <c r="L20" s="156">
        <f>'WA Volumes &amp; Revenues'!N21</f>
        <v>250</v>
      </c>
      <c r="M20" s="122">
        <f>'Rates in Detail'!AF19</f>
        <v>0</v>
      </c>
      <c r="N20" s="122">
        <f>'Rates in Detail'!AG19</f>
        <v>0</v>
      </c>
      <c r="O20" s="122">
        <f>'Rates in Detail'!AH19</f>
        <v>0</v>
      </c>
      <c r="P20" s="774">
        <f>'Rates in Detail'!AI19</f>
        <v>0</v>
      </c>
      <c r="Q20" s="157"/>
      <c r="R20" s="298">
        <f>'WA Volumes &amp; Revenues'!E21</f>
        <v>1777065.1510316674</v>
      </c>
      <c r="S20" s="311"/>
      <c r="T20" s="300">
        <f>'WA Volumes &amp; Revenues'!H21</f>
        <v>91</v>
      </c>
      <c r="U20" s="301">
        <f>'WA Volumes &amp; Revenues'!I21</f>
        <v>3436</v>
      </c>
      <c r="V20" s="157"/>
      <c r="W20" s="313">
        <f t="shared" si="14"/>
        <v>612625.44016665698</v>
      </c>
      <c r="X20" s="309">
        <f t="shared" ref="X20:X21" si="17">(K20*T20*12)</f>
        <v>273000</v>
      </c>
      <c r="Y20" s="309">
        <f t="shared" si="3"/>
        <v>0</v>
      </c>
      <c r="Z20" s="314"/>
      <c r="AA20" s="309"/>
      <c r="AB20" s="313">
        <f t="shared" si="4"/>
        <v>718680.68838022696</v>
      </c>
      <c r="AC20" s="309">
        <f t="shared" si="5"/>
        <v>273000</v>
      </c>
      <c r="AD20" s="314">
        <f t="shared" si="6"/>
        <v>0</v>
      </c>
      <c r="AE20" s="309"/>
      <c r="AF20" s="313">
        <f t="shared" si="7"/>
        <v>106055.24821356998</v>
      </c>
      <c r="AG20" s="309">
        <f t="shared" si="7"/>
        <v>0</v>
      </c>
      <c r="AH20" s="314">
        <f t="shared" si="11"/>
        <v>0</v>
      </c>
      <c r="AI20" s="309"/>
      <c r="AJ20" s="338"/>
      <c r="AK20" s="340">
        <f t="shared" si="16"/>
        <v>0.17311597145675015</v>
      </c>
      <c r="AL20" s="309"/>
      <c r="AM20" s="313">
        <f t="shared" si="9"/>
        <v>-7303.7377707401529</v>
      </c>
      <c r="AN20" s="309">
        <v>0</v>
      </c>
      <c r="AO20" s="314">
        <f t="shared" si="12"/>
        <v>0</v>
      </c>
      <c r="AP20" s="309"/>
      <c r="AQ20" s="310"/>
      <c r="AR20" s="310"/>
      <c r="AS20" s="309"/>
    </row>
    <row r="21" spans="1:45" x14ac:dyDescent="0.2">
      <c r="A21" s="86">
        <f t="shared" si="2"/>
        <v>14</v>
      </c>
      <c r="B21" s="725"/>
      <c r="C21" s="726" t="s">
        <v>5</v>
      </c>
      <c r="D21" s="157"/>
      <c r="E21" s="122">
        <f>ROUND('Rates in Detail'!L20,5)</f>
        <v>5.2589999999999998E-2</v>
      </c>
      <c r="F21" s="122">
        <f>'Allocation = % of Margin'!U21</f>
        <v>-3.62E-3</v>
      </c>
      <c r="G21" s="157"/>
      <c r="H21" s="373">
        <f>ROUND('Rates in Detail'!N20,5)</f>
        <v>0.30376999999999998</v>
      </c>
      <c r="I21" s="774">
        <f t="shared" si="13"/>
        <v>0.35636000000000001</v>
      </c>
      <c r="J21" s="157"/>
      <c r="K21" s="155"/>
      <c r="L21" s="156"/>
      <c r="M21" s="157"/>
      <c r="N21" s="157"/>
      <c r="O21" s="157"/>
      <c r="P21" s="158"/>
      <c r="Q21" s="157"/>
      <c r="R21" s="298">
        <f>'WA Volumes &amp; Revenues'!E22</f>
        <v>1974656.4658023661</v>
      </c>
      <c r="S21" s="311"/>
      <c r="T21" s="300"/>
      <c r="U21" s="301"/>
      <c r="V21" s="157"/>
      <c r="W21" s="313">
        <f t="shared" si="14"/>
        <v>599841.39461678476</v>
      </c>
      <c r="X21" s="309">
        <f t="shared" si="17"/>
        <v>0</v>
      </c>
      <c r="Y21" s="309">
        <f t="shared" si="3"/>
        <v>0</v>
      </c>
      <c r="Z21" s="314"/>
      <c r="AA21" s="309"/>
      <c r="AB21" s="313">
        <f t="shared" si="4"/>
        <v>703688.57815333118</v>
      </c>
      <c r="AC21" s="309">
        <f t="shared" si="5"/>
        <v>0</v>
      </c>
      <c r="AD21" s="314">
        <f t="shared" si="6"/>
        <v>0</v>
      </c>
      <c r="AE21" s="309"/>
      <c r="AF21" s="313">
        <f t="shared" si="7"/>
        <v>103847.18353654642</v>
      </c>
      <c r="AG21" s="309">
        <f t="shared" si="7"/>
        <v>0</v>
      </c>
      <c r="AH21" s="314">
        <f t="shared" si="11"/>
        <v>0</v>
      </c>
      <c r="AI21" s="309"/>
      <c r="AJ21" s="338"/>
      <c r="AK21" s="340">
        <f t="shared" si="16"/>
        <v>0.17312440333146786</v>
      </c>
      <c r="AL21" s="309"/>
      <c r="AM21" s="313">
        <f t="shared" si="9"/>
        <v>-7148.2564062045658</v>
      </c>
      <c r="AN21" s="309">
        <v>0</v>
      </c>
      <c r="AO21" s="314">
        <f t="shared" si="12"/>
        <v>0</v>
      </c>
      <c r="AP21" s="309"/>
      <c r="AQ21" s="310"/>
      <c r="AR21" s="310"/>
      <c r="AS21" s="309"/>
    </row>
    <row r="22" spans="1:45" x14ac:dyDescent="0.2">
      <c r="A22" s="86">
        <f t="shared" si="2"/>
        <v>15</v>
      </c>
      <c r="B22" s="723"/>
      <c r="C22" s="742" t="s">
        <v>78</v>
      </c>
      <c r="D22" s="153"/>
      <c r="E22" s="123"/>
      <c r="F22" s="123"/>
      <c r="G22" s="153"/>
      <c r="H22" s="368"/>
      <c r="I22" s="773"/>
      <c r="J22" s="157"/>
      <c r="K22" s="155"/>
      <c r="L22" s="156"/>
      <c r="M22" s="157"/>
      <c r="N22" s="157"/>
      <c r="O22" s="157"/>
      <c r="P22" s="158"/>
      <c r="Q22" s="157"/>
      <c r="R22" s="298"/>
      <c r="S22" s="311"/>
      <c r="T22" s="300"/>
      <c r="U22" s="301"/>
      <c r="V22" s="157"/>
      <c r="W22" s="315">
        <f>SUM(W20:W21)</f>
        <v>1212466.8347834419</v>
      </c>
      <c r="X22" s="316">
        <f t="shared" ref="X22:Y22" si="18">SUM(X20:X21)</f>
        <v>273000</v>
      </c>
      <c r="Y22" s="316">
        <f t="shared" si="18"/>
        <v>0</v>
      </c>
      <c r="Z22" s="317">
        <f>'Rate Spread Proposal'!K$15-SUM(W22:Y22)</f>
        <v>56881.34053159412</v>
      </c>
      <c r="AA22" s="309"/>
      <c r="AB22" s="315">
        <f>SUM(AB20:AB21)</f>
        <v>1422369.2665335583</v>
      </c>
      <c r="AC22" s="316">
        <f t="shared" ref="AC22:AD22" si="19">SUM(AC20:AC21)</f>
        <v>273000</v>
      </c>
      <c r="AD22" s="317">
        <f t="shared" si="19"/>
        <v>0</v>
      </c>
      <c r="AE22" s="309"/>
      <c r="AF22" s="315">
        <f>SUM(AF20:AF21)</f>
        <v>209902.4317501164</v>
      </c>
      <c r="AG22" s="316">
        <f t="shared" ref="AG22:AH22" si="20">SUM(AG20:AG21)</f>
        <v>0</v>
      </c>
      <c r="AH22" s="317">
        <f t="shared" si="20"/>
        <v>0</v>
      </c>
      <c r="AI22" s="309"/>
      <c r="AJ22" s="338">
        <f>SUM(AF22:AH22)/SUM(W22:Y22)</f>
        <v>0.14130401758900052</v>
      </c>
      <c r="AK22" s="339">
        <f t="shared" si="16"/>
        <v>0.17312014294197745</v>
      </c>
      <c r="AL22" s="309"/>
      <c r="AM22" s="315">
        <f>SUM(AM20:AM21)</f>
        <v>-14451.994176944718</v>
      </c>
      <c r="AN22" s="316">
        <f t="shared" ref="AN22:AO22" si="21">SUM(AN20:AN21)</f>
        <v>0</v>
      </c>
      <c r="AO22" s="317">
        <f t="shared" si="21"/>
        <v>0</v>
      </c>
      <c r="AP22" s="309"/>
      <c r="AQ22" s="310"/>
      <c r="AR22" s="310"/>
      <c r="AS22" s="309"/>
    </row>
    <row r="23" spans="1:45" x14ac:dyDescent="0.2">
      <c r="A23" s="86">
        <f t="shared" si="2"/>
        <v>16</v>
      </c>
      <c r="B23" s="733" t="str">
        <f>'WA Volumes &amp; Revenues'!B23</f>
        <v>41I Firm Sales</v>
      </c>
      <c r="C23" s="726" t="s">
        <v>4</v>
      </c>
      <c r="D23" s="157"/>
      <c r="E23" s="122">
        <f>ROUND('Rates in Detail'!L21,5)</f>
        <v>5.6809999999999999E-2</v>
      </c>
      <c r="F23" s="122">
        <f>'Allocation = % of Margin'!U22</f>
        <v>-3.9100000000000003E-3</v>
      </c>
      <c r="G23" s="157"/>
      <c r="H23" s="373">
        <f>ROUND('Rates in Detail'!N21,5)</f>
        <v>0.34416000000000002</v>
      </c>
      <c r="I23" s="774">
        <f t="shared" si="13"/>
        <v>0.40097000000000005</v>
      </c>
      <c r="J23" s="157"/>
      <c r="K23" s="155">
        <f>'WA Volumes &amp; Revenues'!O23</f>
        <v>250</v>
      </c>
      <c r="L23" s="156">
        <f>'WA Volumes &amp; Revenues'!N23</f>
        <v>250</v>
      </c>
      <c r="M23" s="122">
        <f>'Rates in Detail'!AF21</f>
        <v>0</v>
      </c>
      <c r="N23" s="122">
        <f>'Rates in Detail'!AG21</f>
        <v>0</v>
      </c>
      <c r="O23" s="122">
        <f>'Rates in Detail'!AH21</f>
        <v>0</v>
      </c>
      <c r="P23" s="774">
        <f>'Rates in Detail'!AI21</f>
        <v>0</v>
      </c>
      <c r="Q23" s="157"/>
      <c r="R23" s="298">
        <f>'WA Volumes &amp; Revenues'!E23</f>
        <v>392890.20000000007</v>
      </c>
      <c r="S23" s="311"/>
      <c r="T23" s="300">
        <f>'WA Volumes &amp; Revenues'!H23</f>
        <v>17.833333333333332</v>
      </c>
      <c r="U23" s="301">
        <f>'WA Volumes &amp; Revenues'!I23</f>
        <v>4741</v>
      </c>
      <c r="V23" s="157"/>
      <c r="W23" s="313">
        <f t="shared" ref="W23:W24" si="22">(H23*R23)</f>
        <v>135217.09123200004</v>
      </c>
      <c r="X23" s="309">
        <f t="shared" ref="X23:X24" si="23">(K23*T23*12)</f>
        <v>53500</v>
      </c>
      <c r="Y23" s="309">
        <f>(S23*(M23+O23))*12</f>
        <v>0</v>
      </c>
      <c r="Z23" s="314"/>
      <c r="AA23" s="309"/>
      <c r="AB23" s="313">
        <f>(I23*R23)</f>
        <v>157537.18349400006</v>
      </c>
      <c r="AC23" s="309">
        <f>(L23*T23*12)</f>
        <v>53500</v>
      </c>
      <c r="AD23" s="314">
        <f>(S23*(N23+P23))*12</f>
        <v>0</v>
      </c>
      <c r="AE23" s="309"/>
      <c r="AF23" s="313">
        <f>AB23-W23</f>
        <v>22320.09226200002</v>
      </c>
      <c r="AG23" s="309">
        <f>AC23-X23</f>
        <v>0</v>
      </c>
      <c r="AH23" s="314">
        <f t="shared" ref="AH23:AH24" si="24">AD23-Y23</f>
        <v>0</v>
      </c>
      <c r="AI23" s="309"/>
      <c r="AJ23" s="338"/>
      <c r="AK23" s="340">
        <f t="shared" si="16"/>
        <v>0.16506857275685738</v>
      </c>
      <c r="AL23" s="309"/>
      <c r="AM23" s="313">
        <f>(F23*R23)</f>
        <v>-1536.2006820000004</v>
      </c>
      <c r="AN23" s="309">
        <v>0</v>
      </c>
      <c r="AO23" s="314">
        <f t="shared" ref="AO23:AO24" si="25">(AE23*(Y23+AB23))*12</f>
        <v>0</v>
      </c>
      <c r="AP23" s="309"/>
      <c r="AQ23" s="310"/>
      <c r="AR23" s="310"/>
      <c r="AS23" s="309"/>
    </row>
    <row r="24" spans="1:45" x14ac:dyDescent="0.2">
      <c r="A24" s="86">
        <f t="shared" si="2"/>
        <v>17</v>
      </c>
      <c r="B24" s="725"/>
      <c r="C24" s="726" t="s">
        <v>5</v>
      </c>
      <c r="D24" s="157"/>
      <c r="E24" s="122">
        <f>ROUND('Rates in Detail'!L22,5)</f>
        <v>5.0049999999999997E-2</v>
      </c>
      <c r="F24" s="122">
        <f>'Allocation = % of Margin'!U23</f>
        <v>-3.4399999999999999E-3</v>
      </c>
      <c r="G24" s="157"/>
      <c r="H24" s="373">
        <f>ROUND('Rates in Detail'!N22,5)</f>
        <v>0.30325000000000002</v>
      </c>
      <c r="I24" s="774">
        <f t="shared" si="13"/>
        <v>0.3533</v>
      </c>
      <c r="J24" s="157"/>
      <c r="K24" s="155"/>
      <c r="L24" s="156"/>
      <c r="M24" s="157"/>
      <c r="N24" s="157"/>
      <c r="O24" s="157"/>
      <c r="P24" s="158"/>
      <c r="Q24" s="157"/>
      <c r="R24" s="298">
        <f>'WA Volumes &amp; Revenues'!E24</f>
        <v>621650.00000000012</v>
      </c>
      <c r="S24" s="311"/>
      <c r="T24" s="300"/>
      <c r="U24" s="301"/>
      <c r="V24" s="157"/>
      <c r="W24" s="313">
        <f t="shared" si="22"/>
        <v>188515.36250000005</v>
      </c>
      <c r="X24" s="309">
        <f t="shared" si="23"/>
        <v>0</v>
      </c>
      <c r="Y24" s="309">
        <f>(S24*(M24+O24))*12</f>
        <v>0</v>
      </c>
      <c r="Z24" s="314"/>
      <c r="AA24" s="309"/>
      <c r="AB24" s="313">
        <f>(I24*R24)</f>
        <v>219628.94500000004</v>
      </c>
      <c r="AC24" s="309">
        <f>(L24*T24*12)</f>
        <v>0</v>
      </c>
      <c r="AD24" s="314">
        <f>(S24*(N24+P24))*12</f>
        <v>0</v>
      </c>
      <c r="AE24" s="309"/>
      <c r="AF24" s="313">
        <f>AB24-W24</f>
        <v>31113.58249999999</v>
      </c>
      <c r="AG24" s="309">
        <f>AC24-X24</f>
        <v>0</v>
      </c>
      <c r="AH24" s="314">
        <f t="shared" si="24"/>
        <v>0</v>
      </c>
      <c r="AI24" s="309"/>
      <c r="AJ24" s="338"/>
      <c r="AK24" s="340">
        <f t="shared" si="16"/>
        <v>0.16504534212695787</v>
      </c>
      <c r="AL24" s="309"/>
      <c r="AM24" s="313">
        <f>(F24*R24)</f>
        <v>-2138.4760000000006</v>
      </c>
      <c r="AN24" s="309">
        <v>0</v>
      </c>
      <c r="AO24" s="314">
        <f t="shared" si="25"/>
        <v>0</v>
      </c>
      <c r="AP24" s="309"/>
      <c r="AQ24" s="310"/>
      <c r="AR24" s="310"/>
      <c r="AS24" s="309"/>
    </row>
    <row r="25" spans="1:45" x14ac:dyDescent="0.2">
      <c r="A25" s="86">
        <f t="shared" si="2"/>
        <v>18</v>
      </c>
      <c r="B25" s="723"/>
      <c r="C25" s="742" t="s">
        <v>78</v>
      </c>
      <c r="D25" s="153"/>
      <c r="E25" s="123"/>
      <c r="F25" s="123"/>
      <c r="G25" s="153"/>
      <c r="H25" s="368"/>
      <c r="I25" s="773"/>
      <c r="J25" s="157"/>
      <c r="K25" s="155"/>
      <c r="L25" s="156"/>
      <c r="M25" s="157"/>
      <c r="N25" s="157"/>
      <c r="O25" s="157"/>
      <c r="P25" s="158"/>
      <c r="Q25" s="157"/>
      <c r="R25" s="298"/>
      <c r="S25" s="311"/>
      <c r="T25" s="300"/>
      <c r="U25" s="301"/>
      <c r="V25" s="157"/>
      <c r="W25" s="315">
        <f>SUM(W23:W24)</f>
        <v>323732.45373200008</v>
      </c>
      <c r="X25" s="316">
        <f t="shared" ref="X25:Y25" si="26">SUM(X23:X24)</f>
        <v>53500</v>
      </c>
      <c r="Y25" s="316">
        <f t="shared" si="26"/>
        <v>0</v>
      </c>
      <c r="Z25" s="317">
        <f>'Rate Spread Proposal'!L$15-SUM(W25:Y25)</f>
        <v>15381.826735899318</v>
      </c>
      <c r="AA25" s="309"/>
      <c r="AB25" s="315">
        <f>SUM(AB23:AB24)</f>
        <v>377166.12849400006</v>
      </c>
      <c r="AC25" s="316">
        <f t="shared" ref="AC25:AD25" si="27">SUM(AC23:AC24)</f>
        <v>53500</v>
      </c>
      <c r="AD25" s="317">
        <f t="shared" si="27"/>
        <v>0</v>
      </c>
      <c r="AE25" s="309"/>
      <c r="AF25" s="315">
        <f>SUM(AF23:AF24)</f>
        <v>53433.67476200001</v>
      </c>
      <c r="AG25" s="316">
        <f t="shared" ref="AG25:AH25" si="28">SUM(AG23:AG24)</f>
        <v>0</v>
      </c>
      <c r="AH25" s="317">
        <f t="shared" si="28"/>
        <v>0</v>
      </c>
      <c r="AI25" s="309"/>
      <c r="AJ25" s="338">
        <f>SUM(AF25:AH25)/SUM(W25:Y25)</f>
        <v>0.14164654772773413</v>
      </c>
      <c r="AK25" s="339">
        <f t="shared" si="16"/>
        <v>0.16505504513376576</v>
      </c>
      <c r="AL25" s="309"/>
      <c r="AM25" s="315">
        <f>SUM(AM23:AM24)</f>
        <v>-3674.6766820000012</v>
      </c>
      <c r="AN25" s="316">
        <f t="shared" ref="AN25:AO25" si="29">SUM(AN23:AN24)</f>
        <v>0</v>
      </c>
      <c r="AO25" s="317">
        <f t="shared" si="29"/>
        <v>0</v>
      </c>
      <c r="AP25" s="309"/>
      <c r="AQ25" s="310"/>
      <c r="AR25" s="310"/>
      <c r="AS25" s="309"/>
    </row>
    <row r="26" spans="1:45" x14ac:dyDescent="0.2">
      <c r="A26" s="86">
        <f t="shared" si="2"/>
        <v>19</v>
      </c>
      <c r="B26" s="725" t="str">
        <f>'WA Volumes &amp; Revenues'!B25</f>
        <v>41C Interr Sales</v>
      </c>
      <c r="C26" s="726" t="s">
        <v>4</v>
      </c>
      <c r="D26" s="157"/>
      <c r="E26" s="122">
        <f>ROUND('Rates in Detail'!L23,5)</f>
        <v>4.3560000000000001E-2</v>
      </c>
      <c r="F26" s="122">
        <f>'Allocation = % of Margin'!U24</f>
        <v>-3.2200000000000002E-3</v>
      </c>
      <c r="G26" s="157"/>
      <c r="H26" s="373">
        <f>ROUND('Rates in Detail'!N23,5)</f>
        <v>0.34372999999999998</v>
      </c>
      <c r="I26" s="774">
        <f t="shared" si="13"/>
        <v>0.38728999999999997</v>
      </c>
      <c r="J26" s="157"/>
      <c r="K26" s="155">
        <f>'WA Volumes &amp; Revenues'!O25</f>
        <v>250</v>
      </c>
      <c r="L26" s="156">
        <f>'WA Volumes &amp; Revenues'!N25</f>
        <v>250</v>
      </c>
      <c r="M26" s="122">
        <f>'Rates in Detail'!AF23</f>
        <v>0</v>
      </c>
      <c r="N26" s="122">
        <f>'Rates in Detail'!AG23</f>
        <v>0</v>
      </c>
      <c r="O26" s="122">
        <f>'Rates in Detail'!AH23</f>
        <v>0</v>
      </c>
      <c r="P26" s="774">
        <f>'Rates in Detail'!AI23</f>
        <v>0</v>
      </c>
      <c r="Q26" s="157"/>
      <c r="R26" s="298">
        <f>'WA Volumes &amp; Revenues'!E25</f>
        <v>0</v>
      </c>
      <c r="S26" s="311"/>
      <c r="T26" s="300">
        <f>'WA Volumes &amp; Revenues'!H25</f>
        <v>0</v>
      </c>
      <c r="U26" s="301">
        <f>'WA Volumes &amp; Revenues'!I25</f>
        <v>0</v>
      </c>
      <c r="V26" s="157"/>
      <c r="W26" s="313">
        <f t="shared" ref="W26:W27" si="30">(H26*R26)</f>
        <v>0</v>
      </c>
      <c r="X26" s="309">
        <f t="shared" ref="X26:X27" si="31">(K26*T26*12)</f>
        <v>0</v>
      </c>
      <c r="Y26" s="309">
        <f>(S26*(M26+O26))*12</f>
        <v>0</v>
      </c>
      <c r="Z26" s="314"/>
      <c r="AA26" s="309"/>
      <c r="AB26" s="313">
        <f>(I26*R26)</f>
        <v>0</v>
      </c>
      <c r="AC26" s="309">
        <f>(L26*T26*12)</f>
        <v>0</v>
      </c>
      <c r="AD26" s="314">
        <f>(S26*(N26+P26))*12</f>
        <v>0</v>
      </c>
      <c r="AE26" s="309"/>
      <c r="AF26" s="313">
        <f>AB26-W26</f>
        <v>0</v>
      </c>
      <c r="AG26" s="309">
        <f>AC26-X26</f>
        <v>0</v>
      </c>
      <c r="AH26" s="314">
        <f t="shared" ref="AH26:AH27" si="32">AD26-Y26</f>
        <v>0</v>
      </c>
      <c r="AI26" s="309"/>
      <c r="AJ26" s="338"/>
      <c r="AK26" s="340" t="e">
        <f t="shared" si="16"/>
        <v>#DIV/0!</v>
      </c>
      <c r="AL26" s="309"/>
      <c r="AM26" s="313">
        <f>(F26*R26)</f>
        <v>0</v>
      </c>
      <c r="AN26" s="309">
        <v>0</v>
      </c>
      <c r="AO26" s="314">
        <f t="shared" ref="AO26:AO27" si="33">(AE26*(Y26+AB26))*12</f>
        <v>0</v>
      </c>
      <c r="AP26" s="309"/>
      <c r="AQ26" s="310"/>
      <c r="AR26" s="310"/>
      <c r="AS26" s="309"/>
    </row>
    <row r="27" spans="1:45" x14ac:dyDescent="0.2">
      <c r="A27" s="86">
        <f t="shared" si="2"/>
        <v>20</v>
      </c>
      <c r="B27" s="725"/>
      <c r="C27" s="726" t="s">
        <v>5</v>
      </c>
      <c r="D27" s="157"/>
      <c r="E27" s="122">
        <f>ROUND('Rates in Detail'!L24,5)</f>
        <v>3.8379999999999997E-2</v>
      </c>
      <c r="F27" s="122">
        <f>'Allocation = % of Margin'!U25</f>
        <v>-2.8400000000000001E-3</v>
      </c>
      <c r="G27" s="157"/>
      <c r="H27" s="373">
        <f>ROUND('Rates in Detail'!N24,5)</f>
        <v>0.30285000000000001</v>
      </c>
      <c r="I27" s="774">
        <f t="shared" si="13"/>
        <v>0.34123000000000003</v>
      </c>
      <c r="J27" s="157"/>
      <c r="K27" s="155"/>
      <c r="L27" s="156"/>
      <c r="M27" s="157"/>
      <c r="N27" s="157"/>
      <c r="O27" s="157"/>
      <c r="P27" s="158"/>
      <c r="Q27" s="157"/>
      <c r="R27" s="298">
        <f>'WA Volumes &amp; Revenues'!E26</f>
        <v>0</v>
      </c>
      <c r="S27" s="311"/>
      <c r="T27" s="300"/>
      <c r="U27" s="301"/>
      <c r="V27" s="157"/>
      <c r="W27" s="313">
        <f t="shared" si="30"/>
        <v>0</v>
      </c>
      <c r="X27" s="309">
        <f t="shared" si="31"/>
        <v>0</v>
      </c>
      <c r="Y27" s="309">
        <f>(S27*(M27+O27))*12</f>
        <v>0</v>
      </c>
      <c r="Z27" s="314"/>
      <c r="AA27" s="309"/>
      <c r="AB27" s="313">
        <f>(I27*R27)</f>
        <v>0</v>
      </c>
      <c r="AC27" s="309">
        <f>(L27*T27*12)</f>
        <v>0</v>
      </c>
      <c r="AD27" s="314">
        <f>(S27*(N27+P27))*12</f>
        <v>0</v>
      </c>
      <c r="AE27" s="309"/>
      <c r="AF27" s="313">
        <f>AB27-W27</f>
        <v>0</v>
      </c>
      <c r="AG27" s="309">
        <f>AC27-X27</f>
        <v>0</v>
      </c>
      <c r="AH27" s="314">
        <f t="shared" si="32"/>
        <v>0</v>
      </c>
      <c r="AI27" s="309"/>
      <c r="AJ27" s="338"/>
      <c r="AK27" s="340" t="e">
        <f t="shared" si="16"/>
        <v>#DIV/0!</v>
      </c>
      <c r="AL27" s="309"/>
      <c r="AM27" s="313">
        <f>(F27*R27)</f>
        <v>0</v>
      </c>
      <c r="AN27" s="309">
        <v>0</v>
      </c>
      <c r="AO27" s="314">
        <f t="shared" si="33"/>
        <v>0</v>
      </c>
      <c r="AP27" s="309"/>
      <c r="AQ27" s="310"/>
      <c r="AR27" s="310"/>
      <c r="AS27" s="309"/>
    </row>
    <row r="28" spans="1:45" x14ac:dyDescent="0.2">
      <c r="A28" s="86">
        <f t="shared" si="2"/>
        <v>21</v>
      </c>
      <c r="B28" s="723"/>
      <c r="C28" s="742" t="s">
        <v>78</v>
      </c>
      <c r="D28" s="153"/>
      <c r="E28" s="123"/>
      <c r="F28" s="123"/>
      <c r="G28" s="153"/>
      <c r="H28" s="368"/>
      <c r="I28" s="773"/>
      <c r="J28" s="157"/>
      <c r="K28" s="155"/>
      <c r="L28" s="156"/>
      <c r="M28" s="157"/>
      <c r="N28" s="157"/>
      <c r="O28" s="157"/>
      <c r="P28" s="158"/>
      <c r="Q28" s="157"/>
      <c r="R28" s="298"/>
      <c r="S28" s="311"/>
      <c r="T28" s="300"/>
      <c r="U28" s="301"/>
      <c r="V28" s="157"/>
      <c r="W28" s="315">
        <f>SUM(W26:W27)</f>
        <v>0</v>
      </c>
      <c r="X28" s="316">
        <f t="shared" ref="X28:Y28" si="34">SUM(X26:X27)</f>
        <v>0</v>
      </c>
      <c r="Y28" s="316">
        <f t="shared" si="34"/>
        <v>0</v>
      </c>
      <c r="Z28" s="317">
        <f>'Rate Spread Proposal'!M$15-SUM(W28:Y28)</f>
        <v>0</v>
      </c>
      <c r="AA28" s="309"/>
      <c r="AB28" s="315">
        <f>SUM(AB26:AB27)</f>
        <v>0</v>
      </c>
      <c r="AC28" s="316">
        <f t="shared" ref="AC28:AD28" si="35">SUM(AC26:AC27)</f>
        <v>0</v>
      </c>
      <c r="AD28" s="317">
        <f t="shared" si="35"/>
        <v>0</v>
      </c>
      <c r="AE28" s="309"/>
      <c r="AF28" s="315">
        <f>SUM(AF26:AF27)</f>
        <v>0</v>
      </c>
      <c r="AG28" s="316">
        <f t="shared" ref="AG28:AH28" si="36">SUM(AG26:AG27)</f>
        <v>0</v>
      </c>
      <c r="AH28" s="317">
        <f t="shared" si="36"/>
        <v>0</v>
      </c>
      <c r="AI28" s="309"/>
      <c r="AJ28" s="338" t="e">
        <f>SUM(AF28:AH28)/SUM(W28:Y28)</f>
        <v>#DIV/0!</v>
      </c>
      <c r="AK28" s="339" t="e">
        <f t="shared" si="16"/>
        <v>#DIV/0!</v>
      </c>
      <c r="AL28" s="309"/>
      <c r="AM28" s="315">
        <f>SUM(AM26:AM27)</f>
        <v>0</v>
      </c>
      <c r="AN28" s="316">
        <f t="shared" ref="AN28:AO28" si="37">SUM(AN26:AN27)</f>
        <v>0</v>
      </c>
      <c r="AO28" s="317">
        <f t="shared" si="37"/>
        <v>0</v>
      </c>
      <c r="AP28" s="309"/>
      <c r="AQ28" s="310"/>
      <c r="AR28" s="310"/>
      <c r="AS28" s="309"/>
    </row>
    <row r="29" spans="1:45" x14ac:dyDescent="0.2">
      <c r="A29" s="86">
        <f t="shared" si="2"/>
        <v>22</v>
      </c>
      <c r="B29" s="725" t="str">
        <f>'WA Volumes &amp; Revenues'!B27</f>
        <v>41I Interr Sales</v>
      </c>
      <c r="C29" s="726" t="s">
        <v>4</v>
      </c>
      <c r="D29" s="157"/>
      <c r="E29" s="122">
        <f>ROUND('Rates in Detail'!L25,5)</f>
        <v>4.3560000000000001E-2</v>
      </c>
      <c r="F29" s="122">
        <f>'Allocation = % of Margin'!U26</f>
        <v>-3.2200000000000002E-3</v>
      </c>
      <c r="G29" s="157"/>
      <c r="H29" s="373">
        <f>ROUND('Rates in Detail'!N25,5)</f>
        <v>0.34372999999999998</v>
      </c>
      <c r="I29" s="774">
        <f t="shared" si="13"/>
        <v>0.38728999999999997</v>
      </c>
      <c r="J29" s="157"/>
      <c r="K29" s="155">
        <f>'WA Volumes &amp; Revenues'!O27</f>
        <v>250</v>
      </c>
      <c r="L29" s="156">
        <f>'WA Volumes &amp; Revenues'!N27</f>
        <v>250</v>
      </c>
      <c r="M29" s="122">
        <f>'Rates in Detail'!AF25</f>
        <v>0</v>
      </c>
      <c r="N29" s="122">
        <f>'Rates in Detail'!AG25</f>
        <v>0</v>
      </c>
      <c r="O29" s="122">
        <f>'Rates in Detail'!AH25</f>
        <v>0</v>
      </c>
      <c r="P29" s="774">
        <f>'Rates in Detail'!AI25</f>
        <v>0</v>
      </c>
      <c r="Q29" s="157"/>
      <c r="R29" s="298">
        <f>'WA Volumes &amp; Revenues'!E27</f>
        <v>0</v>
      </c>
      <c r="S29" s="311"/>
      <c r="T29" s="300">
        <f>'WA Volumes &amp; Revenues'!H27</f>
        <v>0</v>
      </c>
      <c r="U29" s="301">
        <f>'WA Volumes &amp; Revenues'!I27</f>
        <v>0</v>
      </c>
      <c r="V29" s="157"/>
      <c r="W29" s="313">
        <f t="shared" ref="W29:W30" si="38">(H29*R29)</f>
        <v>0</v>
      </c>
      <c r="X29" s="309">
        <f t="shared" ref="X29:X30" si="39">(K29*T29*12)</f>
        <v>0</v>
      </c>
      <c r="Y29" s="309">
        <f>(S29*(M29+O29))*12</f>
        <v>0</v>
      </c>
      <c r="Z29" s="314"/>
      <c r="AA29" s="309"/>
      <c r="AB29" s="313">
        <f>(I29*R29)</f>
        <v>0</v>
      </c>
      <c r="AC29" s="309">
        <f>(L29*T29*12)</f>
        <v>0</v>
      </c>
      <c r="AD29" s="314">
        <f>(S29*(N29+P29))*12</f>
        <v>0</v>
      </c>
      <c r="AE29" s="309"/>
      <c r="AF29" s="313">
        <f>AB29-W29</f>
        <v>0</v>
      </c>
      <c r="AG29" s="309">
        <f>AC29-X29</f>
        <v>0</v>
      </c>
      <c r="AH29" s="314">
        <f t="shared" ref="AH29:AH30" si="40">AD29-Y29</f>
        <v>0</v>
      </c>
      <c r="AI29" s="309"/>
      <c r="AJ29" s="338"/>
      <c r="AK29" s="340" t="e">
        <f t="shared" si="16"/>
        <v>#DIV/0!</v>
      </c>
      <c r="AL29" s="309"/>
      <c r="AM29" s="313">
        <f>(F29*R29)</f>
        <v>0</v>
      </c>
      <c r="AN29" s="309">
        <v>0</v>
      </c>
      <c r="AO29" s="314">
        <f t="shared" ref="AO29:AO30" si="41">(AE29*(Y29+AB29))*12</f>
        <v>0</v>
      </c>
      <c r="AP29" s="309"/>
      <c r="AQ29" s="310"/>
      <c r="AR29" s="310"/>
      <c r="AS29" s="309"/>
    </row>
    <row r="30" spans="1:45" x14ac:dyDescent="0.2">
      <c r="A30" s="86">
        <f t="shared" si="2"/>
        <v>23</v>
      </c>
      <c r="B30" s="725"/>
      <c r="C30" s="726" t="s">
        <v>5</v>
      </c>
      <c r="D30" s="157"/>
      <c r="E30" s="122">
        <f>ROUND('Rates in Detail'!L26,5)</f>
        <v>3.8379999999999997E-2</v>
      </c>
      <c r="F30" s="122">
        <f>'Allocation = % of Margin'!U27</f>
        <v>-2.8400000000000001E-3</v>
      </c>
      <c r="G30" s="157"/>
      <c r="H30" s="373">
        <f>ROUND('Rates in Detail'!N26,5)</f>
        <v>0.30285000000000001</v>
      </c>
      <c r="I30" s="774">
        <f t="shared" si="13"/>
        <v>0.34123000000000003</v>
      </c>
      <c r="J30" s="157"/>
      <c r="K30" s="155"/>
      <c r="L30" s="156"/>
      <c r="M30" s="157"/>
      <c r="N30" s="157"/>
      <c r="O30" s="157"/>
      <c r="P30" s="158"/>
      <c r="Q30" s="157"/>
      <c r="R30" s="298">
        <f>'WA Volumes &amp; Revenues'!E28</f>
        <v>0</v>
      </c>
      <c r="S30" s="311"/>
      <c r="T30" s="300"/>
      <c r="U30" s="301"/>
      <c r="V30" s="157"/>
      <c r="W30" s="313">
        <f t="shared" si="38"/>
        <v>0</v>
      </c>
      <c r="X30" s="309">
        <f t="shared" si="39"/>
        <v>0</v>
      </c>
      <c r="Y30" s="309">
        <f>(S30*(M30+O30))*12</f>
        <v>0</v>
      </c>
      <c r="Z30" s="314"/>
      <c r="AA30" s="309"/>
      <c r="AB30" s="313">
        <f>(I30*R30)</f>
        <v>0</v>
      </c>
      <c r="AC30" s="309">
        <f>(L30*T30*12)</f>
        <v>0</v>
      </c>
      <c r="AD30" s="314">
        <f>(S30*(N30+P30))*12</f>
        <v>0</v>
      </c>
      <c r="AE30" s="309"/>
      <c r="AF30" s="313">
        <f>AB30-W30</f>
        <v>0</v>
      </c>
      <c r="AG30" s="309">
        <f>AC30-X30</f>
        <v>0</v>
      </c>
      <c r="AH30" s="314">
        <f t="shared" si="40"/>
        <v>0</v>
      </c>
      <c r="AI30" s="309"/>
      <c r="AJ30" s="338"/>
      <c r="AK30" s="340" t="e">
        <f t="shared" si="16"/>
        <v>#DIV/0!</v>
      </c>
      <c r="AL30" s="309"/>
      <c r="AM30" s="313">
        <f>(F30*R30)</f>
        <v>0</v>
      </c>
      <c r="AN30" s="309">
        <v>0</v>
      </c>
      <c r="AO30" s="314">
        <f t="shared" si="41"/>
        <v>0</v>
      </c>
      <c r="AP30" s="309"/>
      <c r="AQ30" s="310"/>
      <c r="AR30" s="310"/>
      <c r="AS30" s="309"/>
    </row>
    <row r="31" spans="1:45" x14ac:dyDescent="0.2">
      <c r="A31" s="86">
        <f t="shared" si="2"/>
        <v>24</v>
      </c>
      <c r="B31" s="723"/>
      <c r="C31" s="742" t="s">
        <v>78</v>
      </c>
      <c r="D31" s="153"/>
      <c r="E31" s="123"/>
      <c r="F31" s="123"/>
      <c r="G31" s="153"/>
      <c r="H31" s="368"/>
      <c r="I31" s="773"/>
      <c r="J31" s="157"/>
      <c r="K31" s="155"/>
      <c r="L31" s="156"/>
      <c r="M31" s="157"/>
      <c r="N31" s="157"/>
      <c r="O31" s="157"/>
      <c r="P31" s="158"/>
      <c r="Q31" s="157"/>
      <c r="R31" s="298"/>
      <c r="S31" s="311"/>
      <c r="T31" s="300"/>
      <c r="U31" s="301"/>
      <c r="V31" s="157"/>
      <c r="W31" s="315">
        <f>SUM(W29:W30)</f>
        <v>0</v>
      </c>
      <c r="X31" s="316">
        <f t="shared" ref="X31:Y31" si="42">SUM(X29:X30)</f>
        <v>0</v>
      </c>
      <c r="Y31" s="316">
        <f t="shared" si="42"/>
        <v>0</v>
      </c>
      <c r="Z31" s="317">
        <f>'Rate Spread Proposal'!N$15-SUM(W31:Y31)</f>
        <v>0</v>
      </c>
      <c r="AA31" s="309"/>
      <c r="AB31" s="315">
        <f>SUM(AB29:AB30)</f>
        <v>0</v>
      </c>
      <c r="AC31" s="316">
        <f t="shared" ref="AC31:AD31" si="43">SUM(AC29:AC30)</f>
        <v>0</v>
      </c>
      <c r="AD31" s="317">
        <f t="shared" si="43"/>
        <v>0</v>
      </c>
      <c r="AE31" s="309"/>
      <c r="AF31" s="315">
        <f>SUM(AF29:AF30)</f>
        <v>0</v>
      </c>
      <c r="AG31" s="316">
        <f t="shared" ref="AG31:AH31" si="44">SUM(AG29:AG30)</f>
        <v>0</v>
      </c>
      <c r="AH31" s="317">
        <f t="shared" si="44"/>
        <v>0</v>
      </c>
      <c r="AI31" s="309"/>
      <c r="AJ31" s="338" t="e">
        <f>SUM(AF31:AH31)/SUM(W31:Y31)</f>
        <v>#DIV/0!</v>
      </c>
      <c r="AK31" s="339" t="e">
        <f t="shared" si="16"/>
        <v>#DIV/0!</v>
      </c>
      <c r="AL31" s="309"/>
      <c r="AM31" s="315">
        <f>SUM(AM29:AM30)</f>
        <v>0</v>
      </c>
      <c r="AN31" s="316">
        <f t="shared" ref="AN31:AO31" si="45">SUM(AN29:AN30)</f>
        <v>0</v>
      </c>
      <c r="AO31" s="317">
        <f t="shared" si="45"/>
        <v>0</v>
      </c>
      <c r="AP31" s="309"/>
      <c r="AQ31" s="310"/>
      <c r="AR31" s="310"/>
      <c r="AS31" s="309"/>
    </row>
    <row r="32" spans="1:45" x14ac:dyDescent="0.2">
      <c r="A32" s="86">
        <f t="shared" si="2"/>
        <v>25</v>
      </c>
      <c r="B32" s="725" t="str">
        <f>'WA Volumes &amp; Revenues'!B29</f>
        <v>41C Firm Transpt</v>
      </c>
      <c r="C32" s="726" t="s">
        <v>4</v>
      </c>
      <c r="D32" s="157"/>
      <c r="E32" s="122">
        <f>ROUND('Rates in Detail'!L27,5)</f>
        <v>6.3149999999999998E-2</v>
      </c>
      <c r="F32" s="122">
        <f>'Allocation = % of Margin'!U28</f>
        <v>-4.3499999999999997E-3</v>
      </c>
      <c r="G32" s="157"/>
      <c r="H32" s="373">
        <f>ROUND('Rates in Detail'!N27,5)</f>
        <v>0.34791</v>
      </c>
      <c r="I32" s="774">
        <f t="shared" si="13"/>
        <v>0.41105999999999998</v>
      </c>
      <c r="J32" s="157"/>
      <c r="K32" s="155">
        <f>'WA Volumes &amp; Revenues'!O29</f>
        <v>500</v>
      </c>
      <c r="L32" s="156">
        <f>'WA Volumes &amp; Revenues'!N29</f>
        <v>500</v>
      </c>
      <c r="M32" s="122">
        <f>'Rates in Detail'!AF27</f>
        <v>0</v>
      </c>
      <c r="N32" s="122">
        <f>'Rates in Detail'!AG27</f>
        <v>0</v>
      </c>
      <c r="O32" s="122">
        <f>'Rates in Detail'!AH27</f>
        <v>0</v>
      </c>
      <c r="P32" s="774">
        <f>'Rates in Detail'!AI27</f>
        <v>0</v>
      </c>
      <c r="Q32" s="157"/>
      <c r="R32" s="298">
        <f>'WA Volumes &amp; Revenues'!E29</f>
        <v>168721</v>
      </c>
      <c r="S32" s="311"/>
      <c r="T32" s="300">
        <f>'WA Volumes &amp; Revenues'!H29</f>
        <v>7.916666666666667</v>
      </c>
      <c r="U32" s="301">
        <f>'WA Volumes &amp; Revenues'!I29</f>
        <v>4648</v>
      </c>
      <c r="V32" s="157"/>
      <c r="W32" s="313">
        <f t="shared" ref="W32:W33" si="46">(H32*R32)</f>
        <v>58699.723109999999</v>
      </c>
      <c r="X32" s="309">
        <f t="shared" ref="X32:X33" si="47">(K32*T32*12)</f>
        <v>47500</v>
      </c>
      <c r="Y32" s="309">
        <f>(S32*(M32+O32))*12</f>
        <v>0</v>
      </c>
      <c r="Z32" s="314"/>
      <c r="AA32" s="309"/>
      <c r="AB32" s="313">
        <f>(I32*R32)</f>
        <v>69354.454259999999</v>
      </c>
      <c r="AC32" s="309">
        <f>(L32*T32*12)</f>
        <v>47500</v>
      </c>
      <c r="AD32" s="314">
        <f>(S32*(N32+P32))*12</f>
        <v>0</v>
      </c>
      <c r="AE32" s="309"/>
      <c r="AF32" s="313">
        <f>AB32-W32</f>
        <v>10654.73115</v>
      </c>
      <c r="AG32" s="309">
        <f>AC32-X32</f>
        <v>0</v>
      </c>
      <c r="AH32" s="314">
        <f t="shared" ref="AH32:AH33" si="48">AD32-Y32</f>
        <v>0</v>
      </c>
      <c r="AI32" s="309"/>
      <c r="AJ32" s="338"/>
      <c r="AK32" s="340">
        <f t="shared" si="16"/>
        <v>0.1815124601189963</v>
      </c>
      <c r="AL32" s="309"/>
      <c r="AM32" s="313">
        <f>(F32*R32)</f>
        <v>-733.93634999999995</v>
      </c>
      <c r="AN32" s="309">
        <v>0</v>
      </c>
      <c r="AO32" s="314">
        <f t="shared" ref="AO32:AO33" si="49">(AE32*(Y32+AB32))*12</f>
        <v>0</v>
      </c>
      <c r="AP32" s="309"/>
      <c r="AQ32" s="310"/>
      <c r="AR32" s="310"/>
      <c r="AS32" s="309"/>
    </row>
    <row r="33" spans="1:45" x14ac:dyDescent="0.2">
      <c r="A33" s="86">
        <f t="shared" si="2"/>
        <v>26</v>
      </c>
      <c r="B33" s="725"/>
      <c r="C33" s="726" t="s">
        <v>5</v>
      </c>
      <c r="D33" s="157"/>
      <c r="E33" s="122">
        <f>ROUND('Rates in Detail'!L28,5)</f>
        <v>5.5640000000000002E-2</v>
      </c>
      <c r="F33" s="122">
        <f>'Allocation = % of Margin'!U29</f>
        <v>-3.8300000000000001E-3</v>
      </c>
      <c r="G33" s="157"/>
      <c r="H33" s="373">
        <f>ROUND('Rates in Detail'!N28,5)</f>
        <v>0.30653000000000002</v>
      </c>
      <c r="I33" s="774">
        <f t="shared" si="13"/>
        <v>0.36217000000000005</v>
      </c>
      <c r="J33" s="157"/>
      <c r="K33" s="155"/>
      <c r="L33" s="156"/>
      <c r="M33" s="157"/>
      <c r="N33" s="157"/>
      <c r="O33" s="157"/>
      <c r="P33" s="158"/>
      <c r="Q33" s="157"/>
      <c r="R33" s="298">
        <f>'WA Volumes &amp; Revenues'!E30</f>
        <v>272866</v>
      </c>
      <c r="S33" s="311"/>
      <c r="T33" s="300"/>
      <c r="U33" s="301"/>
      <c r="V33" s="157"/>
      <c r="W33" s="313">
        <f t="shared" si="46"/>
        <v>83641.614980000013</v>
      </c>
      <c r="X33" s="309">
        <f t="shared" si="47"/>
        <v>0</v>
      </c>
      <c r="Y33" s="309">
        <f>(S33*(M33+O33))*12</f>
        <v>0</v>
      </c>
      <c r="Z33" s="314"/>
      <c r="AA33" s="309"/>
      <c r="AB33" s="313">
        <f>(I33*R33)</f>
        <v>98823.879220000017</v>
      </c>
      <c r="AC33" s="309">
        <f>(L33*T33*12)</f>
        <v>0</v>
      </c>
      <c r="AD33" s="314">
        <f>(S33*(N33+P33))*12</f>
        <v>0</v>
      </c>
      <c r="AE33" s="309"/>
      <c r="AF33" s="313">
        <f>AB33-W33</f>
        <v>15182.264240000004</v>
      </c>
      <c r="AG33" s="309">
        <f>AC33-X33</f>
        <v>0</v>
      </c>
      <c r="AH33" s="314">
        <f t="shared" si="48"/>
        <v>0</v>
      </c>
      <c r="AI33" s="309"/>
      <c r="AJ33" s="338"/>
      <c r="AK33" s="340">
        <f t="shared" si="16"/>
        <v>0.18151567546406552</v>
      </c>
      <c r="AL33" s="309"/>
      <c r="AM33" s="313">
        <f>(F33*R33)</f>
        <v>-1045.0767800000001</v>
      </c>
      <c r="AN33" s="309">
        <v>0</v>
      </c>
      <c r="AO33" s="314">
        <f t="shared" si="49"/>
        <v>0</v>
      </c>
      <c r="AP33" s="309"/>
      <c r="AQ33" s="310"/>
      <c r="AR33" s="310"/>
      <c r="AS33" s="309"/>
    </row>
    <row r="34" spans="1:45" x14ac:dyDescent="0.2">
      <c r="A34" s="86">
        <f t="shared" si="2"/>
        <v>27</v>
      </c>
      <c r="B34" s="723"/>
      <c r="C34" s="742" t="s">
        <v>78</v>
      </c>
      <c r="D34" s="153"/>
      <c r="E34" s="123"/>
      <c r="F34" s="123"/>
      <c r="G34" s="153"/>
      <c r="H34" s="368"/>
      <c r="I34" s="773"/>
      <c r="J34" s="157"/>
      <c r="K34" s="155"/>
      <c r="L34" s="156"/>
      <c r="M34" s="157"/>
      <c r="N34" s="157"/>
      <c r="O34" s="157"/>
      <c r="P34" s="158"/>
      <c r="Q34" s="157"/>
      <c r="R34" s="298"/>
      <c r="S34" s="311"/>
      <c r="T34" s="300"/>
      <c r="U34" s="301"/>
      <c r="V34" s="157"/>
      <c r="W34" s="315">
        <f>SUM(W32:W33)</f>
        <v>142341.33809</v>
      </c>
      <c r="X34" s="316">
        <f t="shared" ref="X34:Y34" si="50">SUM(X32:X33)</f>
        <v>47500</v>
      </c>
      <c r="Y34" s="316">
        <f t="shared" si="50"/>
        <v>0</v>
      </c>
      <c r="Z34" s="317">
        <f>'Rate Spread Proposal'!O$15-SUM(W34:Y34)</f>
        <v>0</v>
      </c>
      <c r="AA34" s="309"/>
      <c r="AB34" s="315">
        <f>SUM(AB32:AB33)</f>
        <v>168178.33348000003</v>
      </c>
      <c r="AC34" s="316">
        <f t="shared" ref="AC34:AD34" si="51">SUM(AC32:AC33)</f>
        <v>47500</v>
      </c>
      <c r="AD34" s="317">
        <f t="shared" si="51"/>
        <v>0</v>
      </c>
      <c r="AE34" s="309"/>
      <c r="AF34" s="315">
        <f>SUM(AF32:AF33)</f>
        <v>25836.995390000004</v>
      </c>
      <c r="AG34" s="316">
        <f t="shared" ref="AG34:AH34" si="52">SUM(AG32:AG33)</f>
        <v>0</v>
      </c>
      <c r="AH34" s="317">
        <f t="shared" si="52"/>
        <v>0</v>
      </c>
      <c r="AI34" s="309"/>
      <c r="AJ34" s="338">
        <f>SUM(AF34:AH34)/SUM(W34:Y34)</f>
        <v>0.13609783648781068</v>
      </c>
      <c r="AK34" s="339">
        <f t="shared" si="16"/>
        <v>0.18151434949742928</v>
      </c>
      <c r="AL34" s="309"/>
      <c r="AM34" s="315">
        <f>SUM(AM32:AM33)</f>
        <v>-1779.01313</v>
      </c>
      <c r="AN34" s="316">
        <f t="shared" ref="AN34:AO34" si="53">SUM(AN32:AN33)</f>
        <v>0</v>
      </c>
      <c r="AO34" s="317">
        <f t="shared" si="53"/>
        <v>0</v>
      </c>
      <c r="AP34" s="309"/>
      <c r="AQ34" s="310"/>
      <c r="AR34" s="310"/>
      <c r="AS34" s="309"/>
    </row>
    <row r="35" spans="1:45" x14ac:dyDescent="0.2">
      <c r="A35" s="86">
        <f t="shared" si="2"/>
        <v>28</v>
      </c>
      <c r="B35" s="725" t="str">
        <f>'WA Volumes &amp; Revenues'!B31</f>
        <v>41I Firm Transpt</v>
      </c>
      <c r="C35" s="726" t="s">
        <v>4</v>
      </c>
      <c r="D35" s="157"/>
      <c r="E35" s="122">
        <f>ROUND('Rates in Detail'!L29,5)</f>
        <v>4.4089999999999997E-2</v>
      </c>
      <c r="F35" s="122">
        <f>'Allocation = % of Margin'!U30</f>
        <v>-3.2599999999999999E-3</v>
      </c>
      <c r="G35" s="157"/>
      <c r="H35" s="373">
        <f>ROUND('Rates in Detail'!N29,5)</f>
        <v>0.34791</v>
      </c>
      <c r="I35" s="774">
        <f t="shared" si="13"/>
        <v>0.39200000000000002</v>
      </c>
      <c r="J35" s="157"/>
      <c r="K35" s="155">
        <f>'WA Volumes &amp; Revenues'!O31</f>
        <v>500</v>
      </c>
      <c r="L35" s="156">
        <f>'WA Volumes &amp; Revenues'!N31</f>
        <v>500</v>
      </c>
      <c r="M35" s="122">
        <f>'Rates in Detail'!AF29</f>
        <v>0</v>
      </c>
      <c r="N35" s="122">
        <f>'Rates in Detail'!AG29</f>
        <v>0</v>
      </c>
      <c r="O35" s="122">
        <f>'Rates in Detail'!AH29</f>
        <v>0</v>
      </c>
      <c r="P35" s="774">
        <f>'Rates in Detail'!AI29</f>
        <v>0</v>
      </c>
      <c r="Q35" s="157"/>
      <c r="R35" s="298">
        <f>'WA Volumes &amp; Revenues'!E31</f>
        <v>0</v>
      </c>
      <c r="S35" s="311"/>
      <c r="T35" s="300">
        <f>'WA Volumes &amp; Revenues'!H31</f>
        <v>0</v>
      </c>
      <c r="U35" s="301">
        <f>'WA Volumes &amp; Revenues'!I31</f>
        <v>0</v>
      </c>
      <c r="V35" s="157"/>
      <c r="W35" s="313">
        <f t="shared" ref="W35:W36" si="54">(H35*R35)</f>
        <v>0</v>
      </c>
      <c r="X35" s="309">
        <f t="shared" ref="X35:X36" si="55">(K35*T35*12)</f>
        <v>0</v>
      </c>
      <c r="Y35" s="309">
        <f>(S35*(M35+O35))*12</f>
        <v>0</v>
      </c>
      <c r="Z35" s="314"/>
      <c r="AA35" s="309"/>
      <c r="AB35" s="313">
        <f>(I35*R35)</f>
        <v>0</v>
      </c>
      <c r="AC35" s="309">
        <f>(L35*T35*12)</f>
        <v>0</v>
      </c>
      <c r="AD35" s="314">
        <f>(S35*(N35+P35))*12</f>
        <v>0</v>
      </c>
      <c r="AE35" s="309"/>
      <c r="AF35" s="313">
        <f>AB35-W35</f>
        <v>0</v>
      </c>
      <c r="AG35" s="309">
        <f>AC35-X35</f>
        <v>0</v>
      </c>
      <c r="AH35" s="314">
        <f t="shared" ref="AH35:AH36" si="56">AD35-Y35</f>
        <v>0</v>
      </c>
      <c r="AI35" s="309"/>
      <c r="AJ35" s="338"/>
      <c r="AK35" s="340" t="e">
        <f t="shared" si="16"/>
        <v>#DIV/0!</v>
      </c>
      <c r="AL35" s="309"/>
      <c r="AM35" s="313">
        <f>(F35*R35)</f>
        <v>0</v>
      </c>
      <c r="AN35" s="309">
        <v>0</v>
      </c>
      <c r="AO35" s="314">
        <f t="shared" ref="AO35:AO36" si="57">(AE35*(Y35+AB35))*12</f>
        <v>0</v>
      </c>
      <c r="AP35" s="309"/>
      <c r="AQ35" s="310"/>
      <c r="AR35" s="310"/>
      <c r="AS35" s="309"/>
    </row>
    <row r="36" spans="1:45" x14ac:dyDescent="0.2">
      <c r="A36" s="86">
        <f t="shared" si="2"/>
        <v>29</v>
      </c>
      <c r="B36" s="725"/>
      <c r="C36" s="726" t="s">
        <v>5</v>
      </c>
      <c r="D36" s="157"/>
      <c r="E36" s="122">
        <f>ROUND('Rates in Detail'!L30,5)</f>
        <v>3.8850000000000003E-2</v>
      </c>
      <c r="F36" s="122">
        <f>'Allocation = % of Margin'!U31</f>
        <v>-2.8700000000000002E-3</v>
      </c>
      <c r="G36" s="157"/>
      <c r="H36" s="373">
        <f>ROUND('Rates in Detail'!N30,5)</f>
        <v>0.30653000000000002</v>
      </c>
      <c r="I36" s="774">
        <f t="shared" si="13"/>
        <v>0.34538000000000002</v>
      </c>
      <c r="J36" s="157"/>
      <c r="K36" s="273"/>
      <c r="L36" s="55"/>
      <c r="M36" s="157"/>
      <c r="N36" s="157"/>
      <c r="O36" s="157"/>
      <c r="P36" s="158"/>
      <c r="Q36" s="157"/>
      <c r="R36" s="298">
        <f>'WA Volumes &amp; Revenues'!E32</f>
        <v>0</v>
      </c>
      <c r="S36" s="311"/>
      <c r="T36" s="300"/>
      <c r="U36" s="301"/>
      <c r="V36" s="157"/>
      <c r="W36" s="313">
        <f t="shared" si="54"/>
        <v>0</v>
      </c>
      <c r="X36" s="309">
        <f t="shared" si="55"/>
        <v>0</v>
      </c>
      <c r="Y36" s="309">
        <f>(S36*(M36+O36))*12</f>
        <v>0</v>
      </c>
      <c r="Z36" s="314"/>
      <c r="AA36" s="309"/>
      <c r="AB36" s="313">
        <f>(I36*R36)</f>
        <v>0</v>
      </c>
      <c r="AC36" s="309">
        <f>(L36*T36*12)</f>
        <v>0</v>
      </c>
      <c r="AD36" s="314">
        <f>(S36*(N36+P36))*12</f>
        <v>0</v>
      </c>
      <c r="AE36" s="309"/>
      <c r="AF36" s="313">
        <f>AB36-W36</f>
        <v>0</v>
      </c>
      <c r="AG36" s="309">
        <f>AC36-X36</f>
        <v>0</v>
      </c>
      <c r="AH36" s="314">
        <f t="shared" si="56"/>
        <v>0</v>
      </c>
      <c r="AI36" s="309"/>
      <c r="AJ36" s="338"/>
      <c r="AK36" s="340" t="e">
        <f t="shared" si="16"/>
        <v>#DIV/0!</v>
      </c>
      <c r="AL36" s="309"/>
      <c r="AM36" s="313">
        <f>(F36*R36)</f>
        <v>0</v>
      </c>
      <c r="AN36" s="309">
        <v>0</v>
      </c>
      <c r="AO36" s="314">
        <f t="shared" si="57"/>
        <v>0</v>
      </c>
      <c r="AP36" s="309"/>
      <c r="AQ36" s="310"/>
      <c r="AR36" s="310"/>
      <c r="AS36" s="309"/>
    </row>
    <row r="37" spans="1:45" x14ac:dyDescent="0.2">
      <c r="A37" s="86">
        <f t="shared" si="2"/>
        <v>30</v>
      </c>
      <c r="B37" s="723"/>
      <c r="C37" s="742" t="s">
        <v>78</v>
      </c>
      <c r="D37" s="153"/>
      <c r="E37" s="123"/>
      <c r="F37" s="123"/>
      <c r="G37" s="153"/>
      <c r="H37" s="368"/>
      <c r="I37" s="773"/>
      <c r="J37" s="157"/>
      <c r="K37" s="273"/>
      <c r="L37" s="55"/>
      <c r="M37" s="157"/>
      <c r="N37" s="157"/>
      <c r="O37" s="157"/>
      <c r="P37" s="158"/>
      <c r="Q37" s="157"/>
      <c r="R37" s="298"/>
      <c r="S37" s="311"/>
      <c r="T37" s="300"/>
      <c r="U37" s="301"/>
      <c r="V37" s="157"/>
      <c r="W37" s="315">
        <f>SUM(W35:W36)</f>
        <v>0</v>
      </c>
      <c r="X37" s="316">
        <f t="shared" ref="X37:Y37" si="58">SUM(X35:X36)</f>
        <v>0</v>
      </c>
      <c r="Y37" s="316">
        <f t="shared" si="58"/>
        <v>0</v>
      </c>
      <c r="Z37" s="317">
        <f>'Rate Spread Proposal'!P$15-SUM(W37:Y37)</f>
        <v>0</v>
      </c>
      <c r="AA37" s="309"/>
      <c r="AB37" s="315">
        <f>SUM(AB35:AB36)</f>
        <v>0</v>
      </c>
      <c r="AC37" s="316">
        <f t="shared" ref="AC37:AD37" si="59">SUM(AC35:AC36)</f>
        <v>0</v>
      </c>
      <c r="AD37" s="317">
        <f t="shared" si="59"/>
        <v>0</v>
      </c>
      <c r="AE37" s="309"/>
      <c r="AF37" s="315">
        <f>SUM(AF35:AF36)</f>
        <v>0</v>
      </c>
      <c r="AG37" s="316">
        <f t="shared" ref="AG37:AH37" si="60">SUM(AG35:AG36)</f>
        <v>0</v>
      </c>
      <c r="AH37" s="317">
        <f t="shared" si="60"/>
        <v>0</v>
      </c>
      <c r="AI37" s="309"/>
      <c r="AJ37" s="338" t="e">
        <f>SUM(AF37:AH37)/SUM(W37:Y37)</f>
        <v>#DIV/0!</v>
      </c>
      <c r="AK37" s="339" t="e">
        <f t="shared" si="16"/>
        <v>#DIV/0!</v>
      </c>
      <c r="AL37" s="309"/>
      <c r="AM37" s="315">
        <f>SUM(AM35:AM36)</f>
        <v>0</v>
      </c>
      <c r="AN37" s="316">
        <f t="shared" ref="AN37:AO37" si="61">SUM(AN35:AN36)</f>
        <v>0</v>
      </c>
      <c r="AO37" s="317">
        <f t="shared" si="61"/>
        <v>0</v>
      </c>
      <c r="AP37" s="309"/>
      <c r="AQ37" s="310"/>
      <c r="AR37" s="310"/>
      <c r="AS37" s="309"/>
    </row>
    <row r="38" spans="1:45" x14ac:dyDescent="0.2">
      <c r="A38" s="86">
        <f t="shared" si="2"/>
        <v>31</v>
      </c>
      <c r="B38" s="725" t="str">
        <f>'WA Volumes &amp; Revenues'!B33</f>
        <v>42C Firm Sales</v>
      </c>
      <c r="C38" s="726" t="s">
        <v>4</v>
      </c>
      <c r="D38" s="157"/>
      <c r="E38" s="122">
        <f>ROUND('Rates in Detail'!L31,5)</f>
        <v>4.4949999999999997E-2</v>
      </c>
      <c r="F38" s="122">
        <f>'Allocation = % of Margin'!U32</f>
        <v>-3.0899999999999999E-3</v>
      </c>
      <c r="G38" s="157"/>
      <c r="H38" s="373">
        <f>ROUND('Rates in Detail'!N31,5)</f>
        <v>0.15246000000000001</v>
      </c>
      <c r="I38" s="774">
        <f t="shared" si="13"/>
        <v>0.19741</v>
      </c>
      <c r="J38" s="157"/>
      <c r="K38" s="155">
        <f>'WA Volumes &amp; Revenues'!O33</f>
        <v>1300</v>
      </c>
      <c r="L38" s="156">
        <f>'WA Volumes &amp; Revenues'!N33</f>
        <v>1300</v>
      </c>
      <c r="M38" s="122">
        <f>'Rates in Detail'!AF31</f>
        <v>0.15748000000000001</v>
      </c>
      <c r="N38" s="122">
        <f>'Rates in Detail'!AG31</f>
        <v>0.15748000000000001</v>
      </c>
      <c r="O38" s="122">
        <f>'Rates in Detail'!AH31</f>
        <v>0.20415</v>
      </c>
      <c r="P38" s="774">
        <f>'Rates in Detail'!AI31</f>
        <v>0.20415</v>
      </c>
      <c r="Q38" s="157"/>
      <c r="R38" s="298">
        <f>'WA Volumes &amp; Revenues'!E33</f>
        <v>350769.66174469434</v>
      </c>
      <c r="S38" s="311">
        <v>6761</v>
      </c>
      <c r="T38" s="300">
        <f>'WA Volumes &amp; Revenues'!H33</f>
        <v>5</v>
      </c>
      <c r="U38" s="301">
        <f>'WA Volumes &amp; Revenues'!I33</f>
        <v>11949</v>
      </c>
      <c r="V38" s="157"/>
      <c r="W38" s="313">
        <f t="shared" ref="W38:W43" si="62">(H38*R38)</f>
        <v>53478.342629596104</v>
      </c>
      <c r="X38" s="309">
        <f t="shared" ref="X38:X43" si="63">(K38*T38*12)</f>
        <v>78000</v>
      </c>
      <c r="Y38" s="309">
        <f t="shared" ref="Y38:Y43" si="64">(S38*(M38+O38))*12</f>
        <v>29339.765160000003</v>
      </c>
      <c r="Z38" s="314"/>
      <c r="AA38" s="309"/>
      <c r="AB38" s="313">
        <f t="shared" ref="AB38:AB43" si="65">(I38*R38)</f>
        <v>69245.438925020106</v>
      </c>
      <c r="AC38" s="309">
        <f t="shared" ref="AC38:AC43" si="66">(L38*T38*12)</f>
        <v>78000</v>
      </c>
      <c r="AD38" s="314">
        <f t="shared" ref="AD38:AD43" si="67">(S38*(N38+P38))*12</f>
        <v>29339.765160000003</v>
      </c>
      <c r="AE38" s="309"/>
      <c r="AF38" s="313">
        <f t="shared" ref="AF38:AG43" si="68">AB38-W38</f>
        <v>15767.096295424002</v>
      </c>
      <c r="AG38" s="309">
        <f t="shared" si="68"/>
        <v>0</v>
      </c>
      <c r="AH38" s="314">
        <f t="shared" ref="AH38:AH43" si="69">AD38-Y38</f>
        <v>0</v>
      </c>
      <c r="AI38" s="309"/>
      <c r="AJ38" s="338"/>
      <c r="AK38" s="340">
        <f t="shared" si="16"/>
        <v>0.29483143119506738</v>
      </c>
      <c r="AL38" s="309"/>
      <c r="AM38" s="313">
        <f t="shared" ref="AM38:AM43" si="70">(F38*R38)</f>
        <v>-1083.8782547911055</v>
      </c>
      <c r="AN38" s="309">
        <v>0</v>
      </c>
      <c r="AO38" s="314">
        <f t="shared" ref="AO38:AO43" si="71">(AE38*(Y38+AB38))*12</f>
        <v>0</v>
      </c>
      <c r="AP38" s="309"/>
      <c r="AQ38" s="310"/>
      <c r="AR38" s="310"/>
      <c r="AS38" s="309"/>
    </row>
    <row r="39" spans="1:45" x14ac:dyDescent="0.2">
      <c r="A39" s="86">
        <f t="shared" si="2"/>
        <v>32</v>
      </c>
      <c r="B39" s="725"/>
      <c r="C39" s="726" t="s">
        <v>5</v>
      </c>
      <c r="D39" s="157"/>
      <c r="E39" s="122">
        <f>ROUND('Rates in Detail'!L32,5)</f>
        <v>4.0230000000000002E-2</v>
      </c>
      <c r="F39" s="122">
        <f>'Allocation = % of Margin'!U33</f>
        <v>-2.7699999999999999E-3</v>
      </c>
      <c r="G39" s="157"/>
      <c r="H39" s="373">
        <f>ROUND('Rates in Detail'!N32,5)</f>
        <v>0.13647000000000001</v>
      </c>
      <c r="I39" s="774">
        <f t="shared" si="13"/>
        <v>0.17670000000000002</v>
      </c>
      <c r="J39" s="157"/>
      <c r="K39" s="155"/>
      <c r="L39" s="156"/>
      <c r="M39" s="122"/>
      <c r="N39" s="122"/>
      <c r="O39" s="122"/>
      <c r="P39" s="774"/>
      <c r="Q39" s="157"/>
      <c r="R39" s="298">
        <f>'WA Volumes &amp; Revenues'!E34</f>
        <v>303088.75426472601</v>
      </c>
      <c r="S39" s="311"/>
      <c r="T39" s="300"/>
      <c r="U39" s="301"/>
      <c r="V39" s="157"/>
      <c r="W39" s="313">
        <f t="shared" si="62"/>
        <v>41362.522294507158</v>
      </c>
      <c r="X39" s="309">
        <f t="shared" si="63"/>
        <v>0</v>
      </c>
      <c r="Y39" s="309">
        <f t="shared" si="64"/>
        <v>0</v>
      </c>
      <c r="Z39" s="314"/>
      <c r="AA39" s="309"/>
      <c r="AB39" s="313">
        <f t="shared" si="65"/>
        <v>53555.782878577091</v>
      </c>
      <c r="AC39" s="309">
        <f t="shared" si="66"/>
        <v>0</v>
      </c>
      <c r="AD39" s="314">
        <f t="shared" si="67"/>
        <v>0</v>
      </c>
      <c r="AE39" s="309"/>
      <c r="AF39" s="313">
        <f t="shared" si="68"/>
        <v>12193.260584069933</v>
      </c>
      <c r="AG39" s="309">
        <f t="shared" si="68"/>
        <v>0</v>
      </c>
      <c r="AH39" s="314">
        <f t="shared" si="69"/>
        <v>0</v>
      </c>
      <c r="AI39" s="309"/>
      <c r="AJ39" s="338"/>
      <c r="AK39" s="340">
        <f t="shared" si="16"/>
        <v>0.29479006375027489</v>
      </c>
      <c r="AL39" s="309"/>
      <c r="AM39" s="313">
        <f t="shared" si="70"/>
        <v>-839.55584931329099</v>
      </c>
      <c r="AN39" s="309">
        <v>0</v>
      </c>
      <c r="AO39" s="314">
        <f t="shared" si="71"/>
        <v>0</v>
      </c>
      <c r="AP39" s="309"/>
      <c r="AQ39" s="310"/>
      <c r="AR39" s="310"/>
      <c r="AS39" s="309"/>
    </row>
    <row r="40" spans="1:45" x14ac:dyDescent="0.2">
      <c r="A40" s="86">
        <f t="shared" si="2"/>
        <v>33</v>
      </c>
      <c r="B40" s="725"/>
      <c r="C40" s="726" t="s">
        <v>6</v>
      </c>
      <c r="D40" s="157"/>
      <c r="E40" s="122">
        <f>ROUND('Rates in Detail'!L33,5)</f>
        <v>3.0859999999999999E-2</v>
      </c>
      <c r="F40" s="122">
        <f>'Allocation = % of Margin'!U34</f>
        <v>-2.1199999999999999E-3</v>
      </c>
      <c r="G40" s="157"/>
      <c r="H40" s="373">
        <f>ROUND('Rates in Detail'!N33,5)</f>
        <v>0.10467</v>
      </c>
      <c r="I40" s="774">
        <f t="shared" si="13"/>
        <v>0.13552999999999998</v>
      </c>
      <c r="J40" s="157"/>
      <c r="K40" s="743"/>
      <c r="L40" s="372"/>
      <c r="M40" s="122"/>
      <c r="N40" s="122"/>
      <c r="O40" s="122"/>
      <c r="P40" s="774"/>
      <c r="Q40" s="157"/>
      <c r="R40" s="298">
        <f>'WA Volumes &amp; Revenues'!E35</f>
        <v>59441.942130257296</v>
      </c>
      <c r="S40" s="311"/>
      <c r="T40" s="300"/>
      <c r="U40" s="301"/>
      <c r="V40" s="157"/>
      <c r="W40" s="313">
        <f t="shared" si="62"/>
        <v>6221.788082774031</v>
      </c>
      <c r="X40" s="309">
        <f t="shared" si="63"/>
        <v>0</v>
      </c>
      <c r="Y40" s="309">
        <f t="shared" si="64"/>
        <v>0</v>
      </c>
      <c r="Z40" s="314"/>
      <c r="AA40" s="309"/>
      <c r="AB40" s="313">
        <f t="shared" si="65"/>
        <v>8056.1664169137703</v>
      </c>
      <c r="AC40" s="309">
        <f t="shared" si="66"/>
        <v>0</v>
      </c>
      <c r="AD40" s="314">
        <f t="shared" si="67"/>
        <v>0</v>
      </c>
      <c r="AE40" s="309"/>
      <c r="AF40" s="313">
        <f t="shared" si="68"/>
        <v>1834.3783341397393</v>
      </c>
      <c r="AG40" s="309">
        <f t="shared" si="68"/>
        <v>0</v>
      </c>
      <c r="AH40" s="314">
        <f t="shared" si="69"/>
        <v>0</v>
      </c>
      <c r="AI40" s="309"/>
      <c r="AJ40" s="338"/>
      <c r="AK40" s="340">
        <f t="shared" si="16"/>
        <v>0.29483137479698085</v>
      </c>
      <c r="AL40" s="309"/>
      <c r="AM40" s="313">
        <f t="shared" si="70"/>
        <v>-126.01691731614547</v>
      </c>
      <c r="AN40" s="309">
        <v>0</v>
      </c>
      <c r="AO40" s="314">
        <f t="shared" si="71"/>
        <v>0</v>
      </c>
      <c r="AP40" s="309"/>
      <c r="AQ40" s="310"/>
      <c r="AR40" s="310"/>
      <c r="AS40" s="309"/>
    </row>
    <row r="41" spans="1:45" x14ac:dyDescent="0.2">
      <c r="A41" s="86">
        <f t="shared" si="2"/>
        <v>34</v>
      </c>
      <c r="B41" s="725"/>
      <c r="C41" s="726" t="s">
        <v>7</v>
      </c>
      <c r="D41" s="157"/>
      <c r="E41" s="122">
        <f>ROUND('Rates in Detail'!L34,5)</f>
        <v>2.4680000000000001E-2</v>
      </c>
      <c r="F41" s="122">
        <f>'Allocation = % of Margin'!U35</f>
        <v>-1.6999999999999999E-3</v>
      </c>
      <c r="G41" s="157"/>
      <c r="H41" s="373">
        <f>ROUND('Rates in Detail'!N34,5)</f>
        <v>8.3729999999999999E-2</v>
      </c>
      <c r="I41" s="774">
        <f t="shared" si="13"/>
        <v>0.10841000000000001</v>
      </c>
      <c r="J41" s="157"/>
      <c r="K41" s="155"/>
      <c r="L41" s="156"/>
      <c r="M41" s="122"/>
      <c r="N41" s="122"/>
      <c r="O41" s="122"/>
      <c r="P41" s="774"/>
      <c r="Q41" s="157"/>
      <c r="R41" s="298">
        <f>'WA Volumes &amp; Revenues'!E36</f>
        <v>3614.6071898605187</v>
      </c>
      <c r="S41" s="311"/>
      <c r="T41" s="300"/>
      <c r="U41" s="301"/>
      <c r="V41" s="157"/>
      <c r="W41" s="313">
        <f t="shared" si="62"/>
        <v>302.65106000702121</v>
      </c>
      <c r="X41" s="309">
        <f t="shared" si="63"/>
        <v>0</v>
      </c>
      <c r="Y41" s="309">
        <f t="shared" si="64"/>
        <v>0</v>
      </c>
      <c r="Z41" s="314"/>
      <c r="AA41" s="309"/>
      <c r="AB41" s="313">
        <f t="shared" si="65"/>
        <v>391.85956545277884</v>
      </c>
      <c r="AC41" s="309">
        <f t="shared" si="66"/>
        <v>0</v>
      </c>
      <c r="AD41" s="314">
        <f t="shared" si="67"/>
        <v>0</v>
      </c>
      <c r="AE41" s="309"/>
      <c r="AF41" s="313">
        <f t="shared" si="68"/>
        <v>89.208505445757623</v>
      </c>
      <c r="AG41" s="309">
        <f t="shared" si="68"/>
        <v>0</v>
      </c>
      <c r="AH41" s="314">
        <f t="shared" si="69"/>
        <v>0</v>
      </c>
      <c r="AI41" s="309"/>
      <c r="AJ41" s="338"/>
      <c r="AK41" s="340">
        <f t="shared" si="16"/>
        <v>0.29475695688522641</v>
      </c>
      <c r="AL41" s="309"/>
      <c r="AM41" s="313">
        <f t="shared" si="70"/>
        <v>-6.1448322227628811</v>
      </c>
      <c r="AN41" s="309">
        <v>0</v>
      </c>
      <c r="AO41" s="314">
        <f t="shared" si="71"/>
        <v>0</v>
      </c>
      <c r="AP41" s="309"/>
      <c r="AQ41" s="310"/>
      <c r="AR41" s="310"/>
      <c r="AS41" s="309"/>
    </row>
    <row r="42" spans="1:45" x14ac:dyDescent="0.2">
      <c r="A42" s="86">
        <f t="shared" si="2"/>
        <v>35</v>
      </c>
      <c r="B42" s="725"/>
      <c r="C42" s="726" t="s">
        <v>8</v>
      </c>
      <c r="D42" s="157"/>
      <c r="E42" s="122">
        <f>ROUND('Rates in Detail'!L35,5)</f>
        <v>1.6449999999999999E-2</v>
      </c>
      <c r="F42" s="122">
        <f>'Allocation = % of Margin'!U36</f>
        <v>-1.1299999999999999E-3</v>
      </c>
      <c r="G42" s="157"/>
      <c r="H42" s="373">
        <f>ROUND('Rates in Detail'!N35,5)</f>
        <v>5.5809999999999998E-2</v>
      </c>
      <c r="I42" s="774">
        <f t="shared" si="13"/>
        <v>7.2259999999999991E-2</v>
      </c>
      <c r="J42" s="157"/>
      <c r="K42" s="155"/>
      <c r="L42" s="156"/>
      <c r="M42" s="122"/>
      <c r="N42" s="122"/>
      <c r="O42" s="122"/>
      <c r="P42" s="774"/>
      <c r="Q42" s="157"/>
      <c r="R42" s="298">
        <f>'WA Volumes &amp; Revenues'!E37</f>
        <v>0</v>
      </c>
      <c r="S42" s="311"/>
      <c r="T42" s="300"/>
      <c r="U42" s="301"/>
      <c r="V42" s="157"/>
      <c r="W42" s="313">
        <f t="shared" si="62"/>
        <v>0</v>
      </c>
      <c r="X42" s="309">
        <f t="shared" si="63"/>
        <v>0</v>
      </c>
      <c r="Y42" s="309">
        <f t="shared" si="64"/>
        <v>0</v>
      </c>
      <c r="Z42" s="314"/>
      <c r="AA42" s="309"/>
      <c r="AB42" s="313">
        <f t="shared" si="65"/>
        <v>0</v>
      </c>
      <c r="AC42" s="309">
        <f t="shared" si="66"/>
        <v>0</v>
      </c>
      <c r="AD42" s="314">
        <f t="shared" si="67"/>
        <v>0</v>
      </c>
      <c r="AE42" s="309"/>
      <c r="AF42" s="313">
        <f t="shared" si="68"/>
        <v>0</v>
      </c>
      <c r="AG42" s="309">
        <f t="shared" si="68"/>
        <v>0</v>
      </c>
      <c r="AH42" s="314">
        <f t="shared" si="69"/>
        <v>0</v>
      </c>
      <c r="AI42" s="309"/>
      <c r="AJ42" s="338"/>
      <c r="AK42" s="340">
        <f>AK41</f>
        <v>0.29475695688522641</v>
      </c>
      <c r="AL42" s="309"/>
      <c r="AM42" s="313">
        <f t="shared" si="70"/>
        <v>0</v>
      </c>
      <c r="AN42" s="309">
        <v>0</v>
      </c>
      <c r="AO42" s="314">
        <f t="shared" si="71"/>
        <v>0</v>
      </c>
      <c r="AP42" s="309"/>
      <c r="AQ42" s="310"/>
      <c r="AR42" s="310"/>
      <c r="AS42" s="309"/>
    </row>
    <row r="43" spans="1:45" x14ac:dyDescent="0.2">
      <c r="A43" s="86">
        <f t="shared" si="2"/>
        <v>36</v>
      </c>
      <c r="B43" s="725"/>
      <c r="C43" s="726" t="s">
        <v>9</v>
      </c>
      <c r="D43" s="157"/>
      <c r="E43" s="122">
        <f>ROUND('Rates in Detail'!L36,5)</f>
        <v>6.1700000000000001E-3</v>
      </c>
      <c r="F43" s="122">
        <f>'Allocation = % of Margin'!U37</f>
        <v>-4.2000000000000002E-4</v>
      </c>
      <c r="G43" s="157"/>
      <c r="H43" s="373">
        <f>ROUND('Rates in Detail'!N36,5)</f>
        <v>2.0920000000000001E-2</v>
      </c>
      <c r="I43" s="774">
        <f t="shared" si="13"/>
        <v>2.7090000000000003E-2</v>
      </c>
      <c r="J43" s="157"/>
      <c r="K43" s="743"/>
      <c r="L43" s="372"/>
      <c r="M43" s="122"/>
      <c r="N43" s="122"/>
      <c r="O43" s="122"/>
      <c r="P43" s="774"/>
      <c r="Q43" s="157"/>
      <c r="R43" s="298">
        <f>'WA Volumes &amp; Revenues'!E38</f>
        <v>0</v>
      </c>
      <c r="S43" s="311"/>
      <c r="T43" s="300"/>
      <c r="U43" s="301"/>
      <c r="V43" s="157"/>
      <c r="W43" s="313">
        <f t="shared" si="62"/>
        <v>0</v>
      </c>
      <c r="X43" s="309">
        <f t="shared" si="63"/>
        <v>0</v>
      </c>
      <c r="Y43" s="309">
        <f t="shared" si="64"/>
        <v>0</v>
      </c>
      <c r="Z43" s="314"/>
      <c r="AA43" s="309"/>
      <c r="AB43" s="313">
        <f t="shared" si="65"/>
        <v>0</v>
      </c>
      <c r="AC43" s="309">
        <f t="shared" si="66"/>
        <v>0</v>
      </c>
      <c r="AD43" s="314">
        <f t="shared" si="67"/>
        <v>0</v>
      </c>
      <c r="AE43" s="309"/>
      <c r="AF43" s="313">
        <f t="shared" si="68"/>
        <v>0</v>
      </c>
      <c r="AG43" s="309">
        <f t="shared" si="68"/>
        <v>0</v>
      </c>
      <c r="AH43" s="314">
        <f t="shared" si="69"/>
        <v>0</v>
      </c>
      <c r="AI43" s="309"/>
      <c r="AJ43" s="338"/>
      <c r="AK43" s="340">
        <f>AK42</f>
        <v>0.29475695688522641</v>
      </c>
      <c r="AL43" s="309"/>
      <c r="AM43" s="313">
        <f t="shared" si="70"/>
        <v>0</v>
      </c>
      <c r="AN43" s="309">
        <v>0</v>
      </c>
      <c r="AO43" s="314">
        <f t="shared" si="71"/>
        <v>0</v>
      </c>
      <c r="AP43" s="309"/>
      <c r="AQ43" s="310"/>
      <c r="AR43" s="310"/>
      <c r="AS43" s="309"/>
    </row>
    <row r="44" spans="1:45" x14ac:dyDescent="0.2">
      <c r="A44" s="86">
        <f t="shared" si="2"/>
        <v>37</v>
      </c>
      <c r="B44" s="723"/>
      <c r="C44" s="742" t="s">
        <v>78</v>
      </c>
      <c r="D44" s="153"/>
      <c r="E44" s="123"/>
      <c r="F44" s="123"/>
      <c r="G44" s="153"/>
      <c r="H44" s="368"/>
      <c r="I44" s="773"/>
      <c r="J44" s="157"/>
      <c r="K44" s="743"/>
      <c r="L44" s="372"/>
      <c r="M44" s="122"/>
      <c r="N44" s="122"/>
      <c r="O44" s="122"/>
      <c r="P44" s="774"/>
      <c r="Q44" s="157"/>
      <c r="R44" s="298"/>
      <c r="S44" s="311"/>
      <c r="T44" s="300"/>
      <c r="U44" s="301"/>
      <c r="V44" s="157"/>
      <c r="W44" s="315">
        <f>SUM(W38:W43)</f>
        <v>101365.3040668843</v>
      </c>
      <c r="X44" s="316">
        <f>SUM(X38:X43)</f>
        <v>78000</v>
      </c>
      <c r="Y44" s="316">
        <f>SUM(Y38:Y43)</f>
        <v>29339.765160000003</v>
      </c>
      <c r="Z44" s="317">
        <f>'Rate Spread Proposal'!Q$15-SUM(W44:Y44)</f>
        <v>10869.531612934952</v>
      </c>
      <c r="AA44" s="309"/>
      <c r="AB44" s="315">
        <f>SUM(AB38:AB43)</f>
        <v>131249.24778596376</v>
      </c>
      <c r="AC44" s="316">
        <f>SUM(AC38:AC43)</f>
        <v>78000</v>
      </c>
      <c r="AD44" s="317">
        <f>SUM(AD38:AD43)</f>
        <v>29339.765160000003</v>
      </c>
      <c r="AE44" s="309"/>
      <c r="AF44" s="315">
        <f>SUM(AF38:AF43)</f>
        <v>29883.943719079431</v>
      </c>
      <c r="AG44" s="316">
        <f>SUM(AG38:AG43)</f>
        <v>0</v>
      </c>
      <c r="AH44" s="317">
        <f>SUM(AH38:AH43)</f>
        <v>0</v>
      </c>
      <c r="AI44" s="309"/>
      <c r="AJ44" s="338">
        <f>SUM(AF44:AH44)/SUM(W44:Y44)</f>
        <v>0.14318743588634375</v>
      </c>
      <c r="AK44" s="339">
        <f>SUM(AF44)/SUM(W44)</f>
        <v>0.29481432521882417</v>
      </c>
      <c r="AL44" s="309"/>
      <c r="AM44" s="315">
        <f>SUM(AM38:AM43)</f>
        <v>-2055.595853643305</v>
      </c>
      <c r="AN44" s="316">
        <f>SUM(AN38:AN43)</f>
        <v>0</v>
      </c>
      <c r="AO44" s="317">
        <f>SUM(AO38:AO43)</f>
        <v>0</v>
      </c>
      <c r="AP44" s="309"/>
      <c r="AQ44" s="310"/>
      <c r="AR44" s="310"/>
      <c r="AS44" s="309"/>
    </row>
    <row r="45" spans="1:45" x14ac:dyDescent="0.2">
      <c r="A45" s="86">
        <f t="shared" si="2"/>
        <v>38</v>
      </c>
      <c r="B45" s="725" t="str">
        <f>'WA Volumes &amp; Revenues'!B39</f>
        <v>42I Firm Sales</v>
      </c>
      <c r="C45" s="726" t="s">
        <v>4</v>
      </c>
      <c r="D45" s="157"/>
      <c r="E45" s="122">
        <f>ROUND('Rates in Detail'!L37,5)</f>
        <v>3.9980000000000002E-2</v>
      </c>
      <c r="F45" s="122">
        <f>'Allocation = % of Margin'!U38</f>
        <v>-2.7499999999999998E-3</v>
      </c>
      <c r="G45" s="157"/>
      <c r="H45" s="373">
        <f>ROUND('Rates in Detail'!N37,5)</f>
        <v>0.14721000000000001</v>
      </c>
      <c r="I45" s="774">
        <f t="shared" si="13"/>
        <v>0.18719000000000002</v>
      </c>
      <c r="J45" s="157"/>
      <c r="K45" s="155">
        <f>'WA Volumes &amp; Revenues'!O39</f>
        <v>1300</v>
      </c>
      <c r="L45" s="156">
        <f>'WA Volumes &amp; Revenues'!N39</f>
        <v>1300</v>
      </c>
      <c r="M45" s="122">
        <f>'Rates in Detail'!AF37</f>
        <v>0.15748000000000001</v>
      </c>
      <c r="N45" s="122">
        <f>'Rates in Detail'!AG37</f>
        <v>0.15748000000000001</v>
      </c>
      <c r="O45" s="122">
        <f>'Rates in Detail'!AH37</f>
        <v>0.20415</v>
      </c>
      <c r="P45" s="774">
        <f>'Rates in Detail'!AI37</f>
        <v>0.20415</v>
      </c>
      <c r="Q45" s="157"/>
      <c r="R45" s="298">
        <f>'WA Volumes &amp; Revenues'!E39</f>
        <v>1093724.2000000002</v>
      </c>
      <c r="S45" s="311">
        <v>9556</v>
      </c>
      <c r="T45" s="300">
        <f>'WA Volumes &amp; Revenues'!H39</f>
        <v>11.916666666666666</v>
      </c>
      <c r="U45" s="301">
        <f>'WA Volumes &amp; Revenues'!I39</f>
        <v>12869</v>
      </c>
      <c r="V45" s="157"/>
      <c r="W45" s="313">
        <f t="shared" ref="W45:W50" si="72">(H45*R45)</f>
        <v>161007.13948200003</v>
      </c>
      <c r="X45" s="309">
        <f t="shared" ref="X45:X50" si="73">(K45*T45*12)</f>
        <v>185900</v>
      </c>
      <c r="Y45" s="309">
        <f t="shared" ref="Y45:Y50" si="74">(S45*(M45+O45))*12</f>
        <v>41468.835359999997</v>
      </c>
      <c r="Z45" s="314"/>
      <c r="AA45" s="309"/>
      <c r="AB45" s="313">
        <f t="shared" ref="AB45:AB50" si="75">(I45*R45)</f>
        <v>204734.23299800005</v>
      </c>
      <c r="AC45" s="309">
        <f t="shared" ref="AC45:AC50" si="76">(L45*T45*12)</f>
        <v>185900</v>
      </c>
      <c r="AD45" s="314">
        <f t="shared" ref="AD45:AD50" si="77">(S45*(N45+P45))*12</f>
        <v>41468.835359999997</v>
      </c>
      <c r="AE45" s="309"/>
      <c r="AF45" s="313">
        <f t="shared" ref="AF45:AG50" si="78">AB45-W45</f>
        <v>43727.093516000023</v>
      </c>
      <c r="AG45" s="309">
        <f t="shared" si="78"/>
        <v>0</v>
      </c>
      <c r="AH45" s="314">
        <f t="shared" ref="AH45:AH50" si="79">AD45-Y45</f>
        <v>0</v>
      </c>
      <c r="AI45" s="309"/>
      <c r="AJ45" s="338"/>
      <c r="AK45" s="340">
        <f>SUM(AF45)/SUM(W45)</f>
        <v>0.27158481081448282</v>
      </c>
      <c r="AL45" s="309"/>
      <c r="AM45" s="313">
        <f t="shared" ref="AM45:AM50" si="80">(F45*R45)</f>
        <v>-3007.7415500000002</v>
      </c>
      <c r="AN45" s="309">
        <v>0</v>
      </c>
      <c r="AO45" s="314">
        <f t="shared" ref="AO45:AO50" si="81">(AE45*(Y45+AB45))*12</f>
        <v>0</v>
      </c>
      <c r="AP45" s="309"/>
      <c r="AQ45" s="310"/>
      <c r="AR45" s="310"/>
      <c r="AS45" s="309"/>
    </row>
    <row r="46" spans="1:45" x14ac:dyDescent="0.2">
      <c r="A46" s="86">
        <f t="shared" si="2"/>
        <v>39</v>
      </c>
      <c r="B46" s="725"/>
      <c r="C46" s="726" t="s">
        <v>5</v>
      </c>
      <c r="D46" s="157"/>
      <c r="E46" s="122">
        <f>ROUND('Rates in Detail'!L38,5)</f>
        <v>3.5790000000000002E-2</v>
      </c>
      <c r="F46" s="122">
        <f>'Allocation = % of Margin'!U39</f>
        <v>-2.4599999999999999E-3</v>
      </c>
      <c r="G46" s="157"/>
      <c r="H46" s="373">
        <f>ROUND('Rates in Detail'!N38,5)</f>
        <v>0.13177</v>
      </c>
      <c r="I46" s="774">
        <f t="shared" si="13"/>
        <v>0.16755999999999999</v>
      </c>
      <c r="J46" s="157"/>
      <c r="K46" s="155"/>
      <c r="L46" s="156"/>
      <c r="M46" s="122"/>
      <c r="N46" s="122"/>
      <c r="O46" s="122"/>
      <c r="P46" s="774"/>
      <c r="Q46" s="157"/>
      <c r="R46" s="298">
        <f>'WA Volumes &amp; Revenues'!E40</f>
        <v>655939.80000000005</v>
      </c>
      <c r="S46" s="311"/>
      <c r="T46" s="300"/>
      <c r="U46" s="301"/>
      <c r="V46" s="157"/>
      <c r="W46" s="313">
        <f t="shared" si="72"/>
        <v>86433.187446000011</v>
      </c>
      <c r="X46" s="309">
        <f t="shared" si="73"/>
        <v>0</v>
      </c>
      <c r="Y46" s="309">
        <f t="shared" si="74"/>
        <v>0</v>
      </c>
      <c r="Z46" s="314"/>
      <c r="AA46" s="309"/>
      <c r="AB46" s="313">
        <f t="shared" si="75"/>
        <v>109909.27288799999</v>
      </c>
      <c r="AC46" s="309">
        <f t="shared" si="76"/>
        <v>0</v>
      </c>
      <c r="AD46" s="314">
        <f t="shared" si="77"/>
        <v>0</v>
      </c>
      <c r="AE46" s="309"/>
      <c r="AF46" s="313">
        <f t="shared" si="78"/>
        <v>23476.085441999981</v>
      </c>
      <c r="AG46" s="309">
        <f t="shared" si="78"/>
        <v>0</v>
      </c>
      <c r="AH46" s="314">
        <f t="shared" si="79"/>
        <v>0</v>
      </c>
      <c r="AI46" s="309"/>
      <c r="AJ46" s="338"/>
      <c r="AK46" s="340">
        <f>SUM(AF46)/SUM(W46)</f>
        <v>0.271609622827654</v>
      </c>
      <c r="AL46" s="309"/>
      <c r="AM46" s="313">
        <f t="shared" si="80"/>
        <v>-1613.6119080000001</v>
      </c>
      <c r="AN46" s="309">
        <v>0</v>
      </c>
      <c r="AO46" s="314">
        <f t="shared" si="81"/>
        <v>0</v>
      </c>
      <c r="AP46" s="309"/>
      <c r="AQ46" s="310"/>
      <c r="AR46" s="310"/>
      <c r="AS46" s="309"/>
    </row>
    <row r="47" spans="1:45" x14ac:dyDescent="0.2">
      <c r="A47" s="86">
        <f t="shared" si="2"/>
        <v>40</v>
      </c>
      <c r="B47" s="725"/>
      <c r="C47" s="726" t="s">
        <v>6</v>
      </c>
      <c r="D47" s="157"/>
      <c r="E47" s="122">
        <f>ROUND('Rates in Detail'!L39,5)</f>
        <v>2.7439999999999999E-2</v>
      </c>
      <c r="F47" s="122">
        <f>'Allocation = % of Margin'!U40</f>
        <v>-1.89E-3</v>
      </c>
      <c r="G47" s="157"/>
      <c r="H47" s="373">
        <f>ROUND('Rates in Detail'!N39,5)</f>
        <v>0.10105</v>
      </c>
      <c r="I47" s="774">
        <f t="shared" si="13"/>
        <v>0.12848999999999999</v>
      </c>
      <c r="J47" s="157"/>
      <c r="K47" s="155"/>
      <c r="L47" s="156"/>
      <c r="M47" s="122"/>
      <c r="N47" s="122"/>
      <c r="O47" s="122"/>
      <c r="P47" s="774"/>
      <c r="Q47" s="157"/>
      <c r="R47" s="298">
        <f>'WA Volumes &amp; Revenues'!E41</f>
        <v>81241.3</v>
      </c>
      <c r="S47" s="311"/>
      <c r="T47" s="300"/>
      <c r="U47" s="301"/>
      <c r="V47" s="157"/>
      <c r="W47" s="313">
        <f t="shared" si="72"/>
        <v>8209.4333650000008</v>
      </c>
      <c r="X47" s="309">
        <f t="shared" si="73"/>
        <v>0</v>
      </c>
      <c r="Y47" s="309">
        <f t="shared" si="74"/>
        <v>0</v>
      </c>
      <c r="Z47" s="314"/>
      <c r="AA47" s="309"/>
      <c r="AB47" s="313">
        <f t="shared" si="75"/>
        <v>10438.694637000001</v>
      </c>
      <c r="AC47" s="309">
        <f t="shared" si="76"/>
        <v>0</v>
      </c>
      <c r="AD47" s="314">
        <f t="shared" si="77"/>
        <v>0</v>
      </c>
      <c r="AE47" s="309"/>
      <c r="AF47" s="313">
        <f t="shared" si="78"/>
        <v>2229.2612719999997</v>
      </c>
      <c r="AG47" s="309">
        <f t="shared" si="78"/>
        <v>0</v>
      </c>
      <c r="AH47" s="314">
        <f t="shared" si="79"/>
        <v>0</v>
      </c>
      <c r="AI47" s="309"/>
      <c r="AJ47" s="338"/>
      <c r="AK47" s="340">
        <f>SUM(AF47)/SUM(W47)</f>
        <v>0.27154873824839182</v>
      </c>
      <c r="AL47" s="309"/>
      <c r="AM47" s="313">
        <f t="shared" si="80"/>
        <v>-153.54605699999999</v>
      </c>
      <c r="AN47" s="309">
        <v>0</v>
      </c>
      <c r="AO47" s="314">
        <f t="shared" si="81"/>
        <v>0</v>
      </c>
      <c r="AP47" s="309"/>
      <c r="AQ47" s="310"/>
      <c r="AR47" s="310"/>
      <c r="AS47" s="309"/>
    </row>
    <row r="48" spans="1:45" x14ac:dyDescent="0.2">
      <c r="A48" s="86">
        <f t="shared" si="2"/>
        <v>41</v>
      </c>
      <c r="B48" s="725"/>
      <c r="C48" s="726" t="s">
        <v>7</v>
      </c>
      <c r="D48" s="157"/>
      <c r="E48" s="122">
        <f>ROUND('Rates in Detail'!L40,5)</f>
        <v>2.196E-2</v>
      </c>
      <c r="F48" s="122">
        <f>'Allocation = % of Margin'!U41</f>
        <v>-1.5100000000000001E-3</v>
      </c>
      <c r="G48" s="157"/>
      <c r="H48" s="373">
        <f>ROUND('Rates in Detail'!N40,5)</f>
        <v>8.0839999999999995E-2</v>
      </c>
      <c r="I48" s="774">
        <f t="shared" si="13"/>
        <v>0.1028</v>
      </c>
      <c r="J48" s="157"/>
      <c r="K48" s="155"/>
      <c r="L48" s="156"/>
      <c r="M48" s="122"/>
      <c r="N48" s="122"/>
      <c r="O48" s="122"/>
      <c r="P48" s="774"/>
      <c r="Q48" s="157"/>
      <c r="R48" s="298">
        <f>'WA Volumes &amp; Revenues'!E42</f>
        <v>9320.1</v>
      </c>
      <c r="S48" s="311"/>
      <c r="T48" s="300"/>
      <c r="U48" s="301"/>
      <c r="V48" s="157"/>
      <c r="W48" s="313">
        <f t="shared" si="72"/>
        <v>753.43688399999996</v>
      </c>
      <c r="X48" s="309">
        <f t="shared" si="73"/>
        <v>0</v>
      </c>
      <c r="Y48" s="309">
        <f t="shared" si="74"/>
        <v>0</v>
      </c>
      <c r="Z48" s="314"/>
      <c r="AA48" s="309"/>
      <c r="AB48" s="313">
        <f t="shared" si="75"/>
        <v>958.10628000000008</v>
      </c>
      <c r="AC48" s="309">
        <f t="shared" si="76"/>
        <v>0</v>
      </c>
      <c r="AD48" s="314">
        <f t="shared" si="77"/>
        <v>0</v>
      </c>
      <c r="AE48" s="309"/>
      <c r="AF48" s="313">
        <f t="shared" si="78"/>
        <v>204.66939600000012</v>
      </c>
      <c r="AG48" s="309">
        <f t="shared" si="78"/>
        <v>0</v>
      </c>
      <c r="AH48" s="314">
        <f t="shared" si="79"/>
        <v>0</v>
      </c>
      <c r="AI48" s="309"/>
      <c r="AJ48" s="338"/>
      <c r="AK48" s="340">
        <f>SUM(AF48)/SUM(W48)</f>
        <v>0.27164769915883241</v>
      </c>
      <c r="AL48" s="309"/>
      <c r="AM48" s="313">
        <f t="shared" si="80"/>
        <v>-14.073351000000001</v>
      </c>
      <c r="AN48" s="309">
        <v>0</v>
      </c>
      <c r="AO48" s="314">
        <f t="shared" si="81"/>
        <v>0</v>
      </c>
      <c r="AP48" s="309"/>
      <c r="AQ48" s="310"/>
      <c r="AR48" s="310"/>
      <c r="AS48" s="309"/>
    </row>
    <row r="49" spans="1:45" x14ac:dyDescent="0.2">
      <c r="A49" s="86">
        <f t="shared" si="2"/>
        <v>42</v>
      </c>
      <c r="B49" s="725"/>
      <c r="C49" s="726" t="s">
        <v>8</v>
      </c>
      <c r="D49" s="157"/>
      <c r="E49" s="122">
        <f>ROUND('Rates in Detail'!L41,5)</f>
        <v>1.464E-2</v>
      </c>
      <c r="F49" s="122">
        <f>'Allocation = % of Margin'!U42</f>
        <v>-1.01E-3</v>
      </c>
      <c r="G49" s="157"/>
      <c r="H49" s="373">
        <f>ROUND('Rates in Detail'!N41,5)</f>
        <v>5.391E-2</v>
      </c>
      <c r="I49" s="774">
        <f t="shared" si="13"/>
        <v>6.855E-2</v>
      </c>
      <c r="J49" s="157"/>
      <c r="K49" s="155"/>
      <c r="L49" s="156"/>
      <c r="M49" s="122"/>
      <c r="N49" s="122"/>
      <c r="O49" s="122"/>
      <c r="P49" s="774"/>
      <c r="Q49" s="157"/>
      <c r="R49" s="298">
        <f>'WA Volumes &amp; Revenues'!E43</f>
        <v>0</v>
      </c>
      <c r="S49" s="311"/>
      <c r="T49" s="300"/>
      <c r="U49" s="301"/>
      <c r="V49" s="157"/>
      <c r="W49" s="313">
        <f t="shared" si="72"/>
        <v>0</v>
      </c>
      <c r="X49" s="309">
        <f t="shared" si="73"/>
        <v>0</v>
      </c>
      <c r="Y49" s="309">
        <f t="shared" si="74"/>
        <v>0</v>
      </c>
      <c r="Z49" s="314"/>
      <c r="AA49" s="309"/>
      <c r="AB49" s="313">
        <f t="shared" si="75"/>
        <v>0</v>
      </c>
      <c r="AC49" s="309">
        <f t="shared" si="76"/>
        <v>0</v>
      </c>
      <c r="AD49" s="314">
        <f t="shared" si="77"/>
        <v>0</v>
      </c>
      <c r="AE49" s="309"/>
      <c r="AF49" s="313">
        <f t="shared" si="78"/>
        <v>0</v>
      </c>
      <c r="AG49" s="309">
        <f t="shared" si="78"/>
        <v>0</v>
      </c>
      <c r="AH49" s="314">
        <f t="shared" si="79"/>
        <v>0</v>
      </c>
      <c r="AI49" s="309"/>
      <c r="AJ49" s="338"/>
      <c r="AK49" s="340">
        <f>AK48</f>
        <v>0.27164769915883241</v>
      </c>
      <c r="AL49" s="309"/>
      <c r="AM49" s="313">
        <f t="shared" si="80"/>
        <v>0</v>
      </c>
      <c r="AN49" s="309">
        <v>0</v>
      </c>
      <c r="AO49" s="314">
        <f t="shared" si="81"/>
        <v>0</v>
      </c>
      <c r="AP49" s="309"/>
      <c r="AQ49" s="310"/>
      <c r="AR49" s="310"/>
      <c r="AS49" s="309"/>
    </row>
    <row r="50" spans="1:45" x14ac:dyDescent="0.2">
      <c r="A50" s="86">
        <f t="shared" si="2"/>
        <v>43</v>
      </c>
      <c r="B50" s="725"/>
      <c r="C50" s="726" t="s">
        <v>9</v>
      </c>
      <c r="D50" s="157"/>
      <c r="E50" s="122">
        <f>ROUND('Rates in Detail'!L42,5)</f>
        <v>5.4900000000000001E-3</v>
      </c>
      <c r="F50" s="122">
        <f>'Allocation = % of Margin'!U43</f>
        <v>-3.8000000000000002E-4</v>
      </c>
      <c r="G50" s="157"/>
      <c r="H50" s="373">
        <f>ROUND('Rates in Detail'!N42,5)</f>
        <v>2.0199999999999999E-2</v>
      </c>
      <c r="I50" s="774">
        <f t="shared" si="13"/>
        <v>2.5689999999999998E-2</v>
      </c>
      <c r="J50" s="157"/>
      <c r="K50" s="155"/>
      <c r="L50" s="156"/>
      <c r="M50" s="122"/>
      <c r="N50" s="122"/>
      <c r="O50" s="122"/>
      <c r="P50" s="774"/>
      <c r="Q50" s="157"/>
      <c r="R50" s="298">
        <f>'WA Volumes &amp; Revenues'!E44</f>
        <v>0</v>
      </c>
      <c r="S50" s="311"/>
      <c r="T50" s="300"/>
      <c r="U50" s="301"/>
      <c r="V50" s="157"/>
      <c r="W50" s="313">
        <f t="shared" si="72"/>
        <v>0</v>
      </c>
      <c r="X50" s="309">
        <f t="shared" si="73"/>
        <v>0</v>
      </c>
      <c r="Y50" s="309">
        <f t="shared" si="74"/>
        <v>0</v>
      </c>
      <c r="Z50" s="314"/>
      <c r="AA50" s="309"/>
      <c r="AB50" s="313">
        <f t="shared" si="75"/>
        <v>0</v>
      </c>
      <c r="AC50" s="309">
        <f t="shared" si="76"/>
        <v>0</v>
      </c>
      <c r="AD50" s="314">
        <f t="shared" si="77"/>
        <v>0</v>
      </c>
      <c r="AE50" s="309"/>
      <c r="AF50" s="313">
        <f t="shared" si="78"/>
        <v>0</v>
      </c>
      <c r="AG50" s="309">
        <f t="shared" si="78"/>
        <v>0</v>
      </c>
      <c r="AH50" s="314">
        <f t="shared" si="79"/>
        <v>0</v>
      </c>
      <c r="AI50" s="309"/>
      <c r="AJ50" s="338"/>
      <c r="AK50" s="340">
        <f>AK49</f>
        <v>0.27164769915883241</v>
      </c>
      <c r="AL50" s="309"/>
      <c r="AM50" s="313">
        <f t="shared" si="80"/>
        <v>0</v>
      </c>
      <c r="AN50" s="309">
        <v>0</v>
      </c>
      <c r="AO50" s="314">
        <f t="shared" si="81"/>
        <v>0</v>
      </c>
      <c r="AP50" s="309"/>
      <c r="AQ50" s="310"/>
      <c r="AR50" s="310"/>
      <c r="AS50" s="309"/>
    </row>
    <row r="51" spans="1:45" x14ac:dyDescent="0.2">
      <c r="A51" s="86">
        <f t="shared" si="2"/>
        <v>44</v>
      </c>
      <c r="B51" s="723"/>
      <c r="C51" s="742" t="s">
        <v>78</v>
      </c>
      <c r="D51" s="153"/>
      <c r="E51" s="123"/>
      <c r="F51" s="123"/>
      <c r="G51" s="153"/>
      <c r="H51" s="368"/>
      <c r="I51" s="773"/>
      <c r="J51" s="157"/>
      <c r="K51" s="155"/>
      <c r="L51" s="156"/>
      <c r="M51" s="122"/>
      <c r="N51" s="122"/>
      <c r="O51" s="122"/>
      <c r="P51" s="774"/>
      <c r="Q51" s="157"/>
      <c r="R51" s="298"/>
      <c r="S51" s="311"/>
      <c r="T51" s="300"/>
      <c r="U51" s="301"/>
      <c r="V51" s="157"/>
      <c r="W51" s="315">
        <f>SUM(W45:W50)</f>
        <v>256403.19717700002</v>
      </c>
      <c r="X51" s="316">
        <f>SUM(X45:X50)</f>
        <v>185900</v>
      </c>
      <c r="Y51" s="316">
        <f>SUM(Y45:Y50)</f>
        <v>41468.835359999997</v>
      </c>
      <c r="Z51" s="317">
        <f>'Rate Spread Proposal'!R$15-SUM(W51:Y51)</f>
        <v>27900.346800891217</v>
      </c>
      <c r="AA51" s="309"/>
      <c r="AB51" s="315">
        <f>SUM(AB45:AB50)</f>
        <v>326040.30680300004</v>
      </c>
      <c r="AC51" s="316">
        <f>SUM(AC45:AC50)</f>
        <v>185900</v>
      </c>
      <c r="AD51" s="317">
        <f>SUM(AD45:AD50)</f>
        <v>41468.835359999997</v>
      </c>
      <c r="AE51" s="309"/>
      <c r="AF51" s="315">
        <f>SUM(AF45:AF50)</f>
        <v>69637.109626000005</v>
      </c>
      <c r="AG51" s="316">
        <f>SUM(AG45:AG50)</f>
        <v>0</v>
      </c>
      <c r="AH51" s="317">
        <f>SUM(AH45:AH50)</f>
        <v>0</v>
      </c>
      <c r="AI51" s="309"/>
      <c r="AJ51" s="338">
        <f>SUM(AF51:AH51)/SUM(W51:Y51)</f>
        <v>0.14394612532851203</v>
      </c>
      <c r="AK51" s="339">
        <f t="shared" ref="AK51:AK56" si="82">SUM(AF51)/SUM(W51)</f>
        <v>0.2715922047490234</v>
      </c>
      <c r="AL51" s="309"/>
      <c r="AM51" s="315">
        <f>SUM(AM45:AM50)</f>
        <v>-4788.9728660000001</v>
      </c>
      <c r="AN51" s="316">
        <f>SUM(AN45:AN50)</f>
        <v>0</v>
      </c>
      <c r="AO51" s="317">
        <f>SUM(AO45:AO50)</f>
        <v>0</v>
      </c>
      <c r="AP51" s="309"/>
      <c r="AQ51" s="310"/>
      <c r="AR51" s="310"/>
      <c r="AS51" s="309"/>
    </row>
    <row r="52" spans="1:45" x14ac:dyDescent="0.2">
      <c r="A52" s="86">
        <f t="shared" si="2"/>
        <v>45</v>
      </c>
      <c r="B52" s="725" t="str">
        <f>'WA Volumes &amp; Revenues'!B45</f>
        <v>42C Firm Transpt</v>
      </c>
      <c r="C52" s="726" t="s">
        <v>4</v>
      </c>
      <c r="D52" s="157"/>
      <c r="E52" s="122">
        <f>ROUND('Rates in Detail'!L43,5)</f>
        <v>2.5399999999999999E-2</v>
      </c>
      <c r="F52" s="122">
        <f>'Allocation = % of Margin'!U44</f>
        <v>-1.75E-3</v>
      </c>
      <c r="G52" s="157"/>
      <c r="H52" s="373">
        <f>ROUND('Rates in Detail'!N43,5)</f>
        <v>0.13791999999999999</v>
      </c>
      <c r="I52" s="774">
        <f t="shared" si="13"/>
        <v>0.16331999999999999</v>
      </c>
      <c r="J52" s="157"/>
      <c r="K52" s="155">
        <f>'WA Volumes &amp; Revenues'!O45</f>
        <v>1550</v>
      </c>
      <c r="L52" s="156">
        <f>'WA Volumes &amp; Revenues'!N45</f>
        <v>1550</v>
      </c>
      <c r="M52" s="122">
        <f>'Rates in Detail'!AF43</f>
        <v>0.15748000000000001</v>
      </c>
      <c r="N52" s="122">
        <f>'Rates in Detail'!AG43</f>
        <v>0.15748000000000001</v>
      </c>
      <c r="O52" s="122">
        <f>'Rates in Detail'!AH43</f>
        <v>0</v>
      </c>
      <c r="P52" s="774">
        <f>'Rates in Detail'!AI43</f>
        <v>0</v>
      </c>
      <c r="Q52" s="157"/>
      <c r="R52" s="298">
        <f>'WA Volumes &amp; Revenues'!E45</f>
        <v>480000</v>
      </c>
      <c r="S52" s="311">
        <v>10479</v>
      </c>
      <c r="T52" s="300">
        <f>'WA Volumes &amp; Revenues'!H45</f>
        <v>4</v>
      </c>
      <c r="U52" s="301">
        <f>'WA Volumes &amp; Revenues'!I45</f>
        <v>51470</v>
      </c>
      <c r="V52" s="157"/>
      <c r="W52" s="313">
        <f t="shared" ref="W52:W57" si="83">(H52*R52)</f>
        <v>66201.599999999991</v>
      </c>
      <c r="X52" s="309">
        <f t="shared" ref="X52:X57" si="84">(K52*T52*12)</f>
        <v>74400</v>
      </c>
      <c r="Y52" s="309">
        <f t="shared" ref="Y52:Y57" si="85">(S52*(M52+O52))*12</f>
        <v>19802.795040000001</v>
      </c>
      <c r="Z52" s="314"/>
      <c r="AA52" s="309"/>
      <c r="AB52" s="313">
        <f t="shared" ref="AB52:AB57" si="86">(I52*R52)</f>
        <v>78393.599999999991</v>
      </c>
      <c r="AC52" s="309">
        <f t="shared" ref="AC52:AC57" si="87">(L52*T52*12)</f>
        <v>74400</v>
      </c>
      <c r="AD52" s="314">
        <f t="shared" ref="AD52:AD57" si="88">(S52*(N52+P52))*12</f>
        <v>19802.795040000001</v>
      </c>
      <c r="AE52" s="309"/>
      <c r="AF52" s="313">
        <f t="shared" ref="AF52:AG57" si="89">AB52-W52</f>
        <v>12192</v>
      </c>
      <c r="AG52" s="309">
        <f t="shared" si="89"/>
        <v>0</v>
      </c>
      <c r="AH52" s="314">
        <f t="shared" ref="AH52:AH57" si="90">AD52-Y52</f>
        <v>0</v>
      </c>
      <c r="AI52" s="309"/>
      <c r="AJ52" s="338"/>
      <c r="AK52" s="340">
        <f t="shared" si="82"/>
        <v>0.18416473317865431</v>
      </c>
      <c r="AL52" s="309"/>
      <c r="AM52" s="313">
        <f t="shared" ref="AM52:AM57" si="91">(F52*R52)</f>
        <v>-840</v>
      </c>
      <c r="AN52" s="309">
        <v>0</v>
      </c>
      <c r="AO52" s="314">
        <f t="shared" ref="AO52:AO57" si="92">(AE52*(Y52+AB52))*12</f>
        <v>0</v>
      </c>
      <c r="AP52" s="309"/>
      <c r="AQ52" s="310"/>
      <c r="AR52" s="310"/>
      <c r="AS52" s="309"/>
    </row>
    <row r="53" spans="1:45" x14ac:dyDescent="0.2">
      <c r="A53" s="86">
        <f t="shared" si="2"/>
        <v>46</v>
      </c>
      <c r="B53" s="725"/>
      <c r="C53" s="726" t="s">
        <v>5</v>
      </c>
      <c r="D53" s="157"/>
      <c r="E53" s="122">
        <f>ROUND('Rates in Detail'!L44,5)</f>
        <v>2.274E-2</v>
      </c>
      <c r="F53" s="122">
        <f>'Allocation = % of Margin'!U45</f>
        <v>-1.57E-3</v>
      </c>
      <c r="G53" s="157"/>
      <c r="H53" s="373">
        <f>ROUND('Rates in Detail'!N44,5)</f>
        <v>0.12347</v>
      </c>
      <c r="I53" s="774">
        <f t="shared" si="13"/>
        <v>0.14621000000000001</v>
      </c>
      <c r="J53" s="157"/>
      <c r="K53" s="155"/>
      <c r="L53" s="156"/>
      <c r="M53" s="122"/>
      <c r="N53" s="122"/>
      <c r="O53" s="122"/>
      <c r="P53" s="774"/>
      <c r="Q53" s="157"/>
      <c r="R53" s="298">
        <f>'WA Volumes &amp; Revenues'!E46</f>
        <v>807846</v>
      </c>
      <c r="S53" s="311"/>
      <c r="T53" s="300"/>
      <c r="U53" s="301"/>
      <c r="V53" s="157"/>
      <c r="W53" s="313">
        <f t="shared" si="83"/>
        <v>99744.745620000002</v>
      </c>
      <c r="X53" s="309">
        <f t="shared" si="84"/>
        <v>0</v>
      </c>
      <c r="Y53" s="309">
        <f t="shared" si="85"/>
        <v>0</v>
      </c>
      <c r="Z53" s="314"/>
      <c r="AA53" s="309"/>
      <c r="AB53" s="313">
        <f t="shared" si="86"/>
        <v>118115.16366000001</v>
      </c>
      <c r="AC53" s="309">
        <f t="shared" si="87"/>
        <v>0</v>
      </c>
      <c r="AD53" s="314">
        <f t="shared" si="88"/>
        <v>0</v>
      </c>
      <c r="AE53" s="309"/>
      <c r="AF53" s="313">
        <f t="shared" si="89"/>
        <v>18370.418040000004</v>
      </c>
      <c r="AG53" s="309">
        <f t="shared" si="89"/>
        <v>0</v>
      </c>
      <c r="AH53" s="314">
        <f t="shared" si="90"/>
        <v>0</v>
      </c>
      <c r="AI53" s="309"/>
      <c r="AJ53" s="338"/>
      <c r="AK53" s="340">
        <f t="shared" si="82"/>
        <v>0.18417429335061153</v>
      </c>
      <c r="AL53" s="309"/>
      <c r="AM53" s="313">
        <f t="shared" si="91"/>
        <v>-1268.3182200000001</v>
      </c>
      <c r="AN53" s="309">
        <v>0</v>
      </c>
      <c r="AO53" s="314">
        <f t="shared" si="92"/>
        <v>0</v>
      </c>
      <c r="AP53" s="309"/>
      <c r="AQ53" s="310"/>
      <c r="AR53" s="310"/>
      <c r="AS53" s="309"/>
    </row>
    <row r="54" spans="1:45" x14ac:dyDescent="0.2">
      <c r="A54" s="86">
        <f t="shared" si="2"/>
        <v>47</v>
      </c>
      <c r="B54" s="725"/>
      <c r="C54" s="726" t="s">
        <v>6</v>
      </c>
      <c r="D54" s="157"/>
      <c r="E54" s="122">
        <f>ROUND('Rates in Detail'!L45,5)</f>
        <v>1.7440000000000001E-2</v>
      </c>
      <c r="F54" s="122">
        <f>'Allocation = % of Margin'!U46</f>
        <v>-1.1999999999999999E-3</v>
      </c>
      <c r="G54" s="157"/>
      <c r="H54" s="373">
        <f>ROUND('Rates in Detail'!N45,5)</f>
        <v>9.4670000000000004E-2</v>
      </c>
      <c r="I54" s="774">
        <f t="shared" si="13"/>
        <v>0.11211</v>
      </c>
      <c r="J54" s="157"/>
      <c r="K54" s="155"/>
      <c r="L54" s="156"/>
      <c r="M54" s="122"/>
      <c r="N54" s="122"/>
      <c r="O54" s="122"/>
      <c r="P54" s="774"/>
      <c r="Q54" s="157"/>
      <c r="R54" s="298">
        <f>'WA Volumes &amp; Revenues'!E47</f>
        <v>583779</v>
      </c>
      <c r="S54" s="311"/>
      <c r="T54" s="300"/>
      <c r="U54" s="301"/>
      <c r="V54" s="157"/>
      <c r="W54" s="313">
        <f t="shared" si="83"/>
        <v>55266.357930000006</v>
      </c>
      <c r="X54" s="309">
        <f t="shared" si="84"/>
        <v>0</v>
      </c>
      <c r="Y54" s="309">
        <f t="shared" si="85"/>
        <v>0</v>
      </c>
      <c r="Z54" s="314"/>
      <c r="AA54" s="309"/>
      <c r="AB54" s="313">
        <f t="shared" si="86"/>
        <v>65447.463690000004</v>
      </c>
      <c r="AC54" s="309">
        <f t="shared" si="87"/>
        <v>0</v>
      </c>
      <c r="AD54" s="314">
        <f t="shared" si="88"/>
        <v>0</v>
      </c>
      <c r="AE54" s="309"/>
      <c r="AF54" s="313">
        <f t="shared" si="89"/>
        <v>10181.105759999999</v>
      </c>
      <c r="AG54" s="309">
        <f t="shared" si="89"/>
        <v>0</v>
      </c>
      <c r="AH54" s="314">
        <f t="shared" si="90"/>
        <v>0</v>
      </c>
      <c r="AI54" s="309"/>
      <c r="AJ54" s="338"/>
      <c r="AK54" s="340">
        <f t="shared" si="82"/>
        <v>0.18421886553290373</v>
      </c>
      <c r="AL54" s="309"/>
      <c r="AM54" s="313">
        <f t="shared" si="91"/>
        <v>-700.5347999999999</v>
      </c>
      <c r="AN54" s="309">
        <v>0</v>
      </c>
      <c r="AO54" s="314">
        <f t="shared" si="92"/>
        <v>0</v>
      </c>
      <c r="AP54" s="309"/>
      <c r="AQ54" s="310"/>
      <c r="AR54" s="310"/>
      <c r="AS54" s="309"/>
    </row>
    <row r="55" spans="1:45" x14ac:dyDescent="0.2">
      <c r="A55" s="86">
        <f t="shared" si="2"/>
        <v>48</v>
      </c>
      <c r="B55" s="725"/>
      <c r="C55" s="726" t="s">
        <v>7</v>
      </c>
      <c r="D55" s="157"/>
      <c r="E55" s="122">
        <f>ROUND('Rates in Detail'!L46,5)</f>
        <v>1.3950000000000001E-2</v>
      </c>
      <c r="F55" s="122">
        <f>'Allocation = % of Margin'!U47</f>
        <v>-9.6000000000000002E-4</v>
      </c>
      <c r="G55" s="157"/>
      <c r="H55" s="373">
        <f>ROUND('Rates in Detail'!N46,5)</f>
        <v>7.5749999999999998E-2</v>
      </c>
      <c r="I55" s="774">
        <f t="shared" si="13"/>
        <v>8.9700000000000002E-2</v>
      </c>
      <c r="J55" s="157"/>
      <c r="K55" s="155"/>
      <c r="L55" s="156"/>
      <c r="M55" s="122"/>
      <c r="N55" s="122"/>
      <c r="O55" s="122"/>
      <c r="P55" s="774"/>
      <c r="Q55" s="157"/>
      <c r="R55" s="298">
        <f>'WA Volumes &amp; Revenues'!E48</f>
        <v>598933</v>
      </c>
      <c r="S55" s="311"/>
      <c r="T55" s="300"/>
      <c r="U55" s="301"/>
      <c r="V55" s="157"/>
      <c r="W55" s="313">
        <f t="shared" si="83"/>
        <v>45369.174749999998</v>
      </c>
      <c r="X55" s="309">
        <f t="shared" si="84"/>
        <v>0</v>
      </c>
      <c r="Y55" s="309">
        <f t="shared" si="85"/>
        <v>0</v>
      </c>
      <c r="Z55" s="314"/>
      <c r="AA55" s="309"/>
      <c r="AB55" s="313">
        <f t="shared" si="86"/>
        <v>53724.290099999998</v>
      </c>
      <c r="AC55" s="309">
        <f t="shared" si="87"/>
        <v>0</v>
      </c>
      <c r="AD55" s="314">
        <f t="shared" si="88"/>
        <v>0</v>
      </c>
      <c r="AE55" s="309"/>
      <c r="AF55" s="313">
        <f t="shared" si="89"/>
        <v>8355.11535</v>
      </c>
      <c r="AG55" s="309">
        <f t="shared" si="89"/>
        <v>0</v>
      </c>
      <c r="AH55" s="314">
        <f t="shared" si="90"/>
        <v>0</v>
      </c>
      <c r="AI55" s="309"/>
      <c r="AJ55" s="338"/>
      <c r="AK55" s="340">
        <f t="shared" si="82"/>
        <v>0.18415841584158416</v>
      </c>
      <c r="AL55" s="309"/>
      <c r="AM55" s="313">
        <f t="shared" si="91"/>
        <v>-574.97568000000001</v>
      </c>
      <c r="AN55" s="309">
        <v>0</v>
      </c>
      <c r="AO55" s="314">
        <f t="shared" si="92"/>
        <v>0</v>
      </c>
      <c r="AP55" s="309"/>
      <c r="AQ55" s="310"/>
      <c r="AR55" s="310"/>
      <c r="AS55" s="309"/>
    </row>
    <row r="56" spans="1:45" x14ac:dyDescent="0.2">
      <c r="A56" s="86">
        <f t="shared" si="2"/>
        <v>49</v>
      </c>
      <c r="B56" s="725"/>
      <c r="C56" s="726" t="s">
        <v>8</v>
      </c>
      <c r="D56" s="157"/>
      <c r="E56" s="122">
        <f>ROUND('Rates in Detail'!L47,5)</f>
        <v>9.2999999999999992E-3</v>
      </c>
      <c r="F56" s="122">
        <f>'Allocation = % of Margin'!U48</f>
        <v>-6.4000000000000005E-4</v>
      </c>
      <c r="G56" s="157"/>
      <c r="H56" s="373">
        <f>ROUND('Rates in Detail'!N47,5)</f>
        <v>5.0500000000000003E-2</v>
      </c>
      <c r="I56" s="774">
        <f t="shared" si="13"/>
        <v>5.9800000000000006E-2</v>
      </c>
      <c r="J56" s="157"/>
      <c r="K56" s="155"/>
      <c r="L56" s="156"/>
      <c r="M56" s="122"/>
      <c r="N56" s="122"/>
      <c r="O56" s="122"/>
      <c r="P56" s="774"/>
      <c r="Q56" s="157"/>
      <c r="R56" s="298">
        <f>'WA Volumes &amp; Revenues'!E49</f>
        <v>0</v>
      </c>
      <c r="S56" s="311"/>
      <c r="T56" s="300"/>
      <c r="U56" s="301"/>
      <c r="V56" s="157"/>
      <c r="W56" s="313">
        <f t="shared" si="83"/>
        <v>0</v>
      </c>
      <c r="X56" s="309">
        <f t="shared" si="84"/>
        <v>0</v>
      </c>
      <c r="Y56" s="309">
        <f t="shared" si="85"/>
        <v>0</v>
      </c>
      <c r="Z56" s="314"/>
      <c r="AA56" s="309"/>
      <c r="AB56" s="313">
        <f t="shared" si="86"/>
        <v>0</v>
      </c>
      <c r="AC56" s="309">
        <f t="shared" si="87"/>
        <v>0</v>
      </c>
      <c r="AD56" s="314">
        <f t="shared" si="88"/>
        <v>0</v>
      </c>
      <c r="AE56" s="309"/>
      <c r="AF56" s="313">
        <f t="shared" si="89"/>
        <v>0</v>
      </c>
      <c r="AG56" s="309">
        <f t="shared" si="89"/>
        <v>0</v>
      </c>
      <c r="AH56" s="314">
        <f t="shared" si="90"/>
        <v>0</v>
      </c>
      <c r="AI56" s="309"/>
      <c r="AJ56" s="338"/>
      <c r="AK56" s="340" t="e">
        <f t="shared" si="82"/>
        <v>#DIV/0!</v>
      </c>
      <c r="AL56" s="309"/>
      <c r="AM56" s="313">
        <f t="shared" si="91"/>
        <v>0</v>
      </c>
      <c r="AN56" s="309">
        <v>0</v>
      </c>
      <c r="AO56" s="314">
        <f t="shared" si="92"/>
        <v>0</v>
      </c>
      <c r="AP56" s="309"/>
      <c r="AQ56" s="310"/>
      <c r="AR56" s="310"/>
      <c r="AS56" s="309"/>
    </row>
    <row r="57" spans="1:45" x14ac:dyDescent="0.2">
      <c r="A57" s="86">
        <f t="shared" si="2"/>
        <v>50</v>
      </c>
      <c r="B57" s="725"/>
      <c r="C57" s="726" t="s">
        <v>9</v>
      </c>
      <c r="D57" s="157"/>
      <c r="E57" s="122">
        <f>ROUND('Rates in Detail'!L48,5)</f>
        <v>3.49E-3</v>
      </c>
      <c r="F57" s="122">
        <f>'Allocation = % of Margin'!U49</f>
        <v>-2.4000000000000001E-4</v>
      </c>
      <c r="G57" s="157"/>
      <c r="H57" s="373">
        <f>ROUND('Rates in Detail'!N48,5)</f>
        <v>1.8929999999999999E-2</v>
      </c>
      <c r="I57" s="774">
        <f t="shared" si="13"/>
        <v>2.2419999999999999E-2</v>
      </c>
      <c r="J57" s="157"/>
      <c r="K57" s="155"/>
      <c r="L57" s="156"/>
      <c r="M57" s="122"/>
      <c r="N57" s="122"/>
      <c r="O57" s="122"/>
      <c r="P57" s="774"/>
      <c r="Q57" s="157"/>
      <c r="R57" s="298">
        <f>'WA Volumes &amp; Revenues'!E50</f>
        <v>0</v>
      </c>
      <c r="S57" s="311"/>
      <c r="T57" s="300"/>
      <c r="U57" s="301"/>
      <c r="V57" s="157"/>
      <c r="W57" s="313">
        <f t="shared" si="83"/>
        <v>0</v>
      </c>
      <c r="X57" s="309">
        <f t="shared" si="84"/>
        <v>0</v>
      </c>
      <c r="Y57" s="309">
        <f t="shared" si="85"/>
        <v>0</v>
      </c>
      <c r="Z57" s="314"/>
      <c r="AA57" s="309"/>
      <c r="AB57" s="313">
        <f t="shared" si="86"/>
        <v>0</v>
      </c>
      <c r="AC57" s="309">
        <f t="shared" si="87"/>
        <v>0</v>
      </c>
      <c r="AD57" s="314">
        <f t="shared" si="88"/>
        <v>0</v>
      </c>
      <c r="AE57" s="309"/>
      <c r="AF57" s="313">
        <f t="shared" si="89"/>
        <v>0</v>
      </c>
      <c r="AG57" s="309">
        <f t="shared" si="89"/>
        <v>0</v>
      </c>
      <c r="AH57" s="314">
        <f t="shared" si="90"/>
        <v>0</v>
      </c>
      <c r="AI57" s="309"/>
      <c r="AJ57" s="338"/>
      <c r="AK57" s="340" t="e">
        <f>AK56</f>
        <v>#DIV/0!</v>
      </c>
      <c r="AL57" s="309"/>
      <c r="AM57" s="313">
        <f t="shared" si="91"/>
        <v>0</v>
      </c>
      <c r="AN57" s="309">
        <v>0</v>
      </c>
      <c r="AO57" s="314">
        <f t="shared" si="92"/>
        <v>0</v>
      </c>
      <c r="AP57" s="309"/>
      <c r="AQ57" s="318"/>
      <c r="AR57" s="310"/>
      <c r="AS57" s="309"/>
    </row>
    <row r="58" spans="1:45" x14ac:dyDescent="0.2">
      <c r="A58" s="86">
        <f t="shared" si="2"/>
        <v>51</v>
      </c>
      <c r="B58" s="723"/>
      <c r="C58" s="742" t="s">
        <v>78</v>
      </c>
      <c r="D58" s="153"/>
      <c r="E58" s="123"/>
      <c r="F58" s="123"/>
      <c r="G58" s="153"/>
      <c r="H58" s="368"/>
      <c r="I58" s="773"/>
      <c r="J58" s="157"/>
      <c r="K58" s="155"/>
      <c r="L58" s="156"/>
      <c r="M58" s="122"/>
      <c r="N58" s="122"/>
      <c r="O58" s="122"/>
      <c r="P58" s="774"/>
      <c r="Q58" s="157"/>
      <c r="R58" s="298"/>
      <c r="S58" s="311"/>
      <c r="T58" s="300"/>
      <c r="U58" s="301"/>
      <c r="V58" s="157"/>
      <c r="W58" s="315">
        <f>SUM(W52:W57)</f>
        <v>266581.87829999998</v>
      </c>
      <c r="X58" s="316">
        <f>SUM(X52:X57)</f>
        <v>74400</v>
      </c>
      <c r="Y58" s="316">
        <f>SUM(Y52:Y57)</f>
        <v>19802.795040000001</v>
      </c>
      <c r="Z58" s="317">
        <f>'Rate Spread Proposal'!S$15-SUM(W58:Y58)</f>
        <v>0</v>
      </c>
      <c r="AA58" s="309"/>
      <c r="AB58" s="315">
        <f>SUM(AB52:AB57)</f>
        <v>315680.51744999998</v>
      </c>
      <c r="AC58" s="316">
        <f>SUM(AC52:AC57)</f>
        <v>74400</v>
      </c>
      <c r="AD58" s="317">
        <f>SUM(AD52:AD57)</f>
        <v>19802.795040000001</v>
      </c>
      <c r="AE58" s="309"/>
      <c r="AF58" s="315">
        <f>SUM(AF52:AF57)</f>
        <v>49098.639150000003</v>
      </c>
      <c r="AG58" s="316">
        <f>SUM(AG52:AG57)</f>
        <v>0</v>
      </c>
      <c r="AH58" s="317">
        <f>SUM(AH52:AH57)</f>
        <v>0</v>
      </c>
      <c r="AI58" s="309"/>
      <c r="AJ58" s="338">
        <f>SUM(AF58:AH58)/SUM(W58:Y58)</f>
        <v>0.13608848373592056</v>
      </c>
      <c r="AK58" s="339">
        <f t="shared" ref="AK58:AK70" si="93">SUM(AF58)/SUM(W58)</f>
        <v>0.18417845752720846</v>
      </c>
      <c r="AL58" s="309"/>
      <c r="AM58" s="315">
        <f>SUM(AM52:AM57)</f>
        <v>-3383.8287</v>
      </c>
      <c r="AN58" s="316">
        <f>SUM(AN52:AN57)</f>
        <v>0</v>
      </c>
      <c r="AO58" s="317">
        <f>SUM(AO52:AO57)</f>
        <v>0</v>
      </c>
      <c r="AP58" s="309"/>
      <c r="AQ58" s="310"/>
      <c r="AR58" s="310"/>
      <c r="AS58" s="309"/>
    </row>
    <row r="59" spans="1:45" x14ac:dyDescent="0.2">
      <c r="A59" s="86">
        <f t="shared" si="2"/>
        <v>52</v>
      </c>
      <c r="B59" s="725" t="str">
        <f>'WA Volumes &amp; Revenues'!B51</f>
        <v>42I Firm Transpt</v>
      </c>
      <c r="C59" s="726" t="s">
        <v>4</v>
      </c>
      <c r="D59" s="157"/>
      <c r="E59" s="122">
        <f>ROUND('Rates in Detail'!L49,5)</f>
        <v>2.5739999999999999E-2</v>
      </c>
      <c r="F59" s="122">
        <f>'Allocation = % of Margin'!U50</f>
        <v>-1.7700000000000001E-3</v>
      </c>
      <c r="G59" s="157"/>
      <c r="H59" s="373">
        <f>ROUND('Rates in Detail'!N49,5)</f>
        <v>0.13941000000000001</v>
      </c>
      <c r="I59" s="774">
        <f t="shared" si="13"/>
        <v>0.16515000000000002</v>
      </c>
      <c r="J59" s="157"/>
      <c r="K59" s="155">
        <f>'WA Volumes &amp; Revenues'!O51</f>
        <v>1550</v>
      </c>
      <c r="L59" s="156">
        <f>'WA Volumes &amp; Revenues'!N51</f>
        <v>1550</v>
      </c>
      <c r="M59" s="122">
        <f>'Rates in Detail'!AF49</f>
        <v>0.15748000000000001</v>
      </c>
      <c r="N59" s="122">
        <f>'Rates in Detail'!AG49</f>
        <v>0.15748000000000001</v>
      </c>
      <c r="O59" s="122">
        <f>'Rates in Detail'!AH49</f>
        <v>0</v>
      </c>
      <c r="P59" s="774">
        <f>'Rates in Detail'!AI49</f>
        <v>0</v>
      </c>
      <c r="Q59" s="157"/>
      <c r="R59" s="298">
        <f>'WA Volumes &amp; Revenues'!E51</f>
        <v>924395</v>
      </c>
      <c r="S59" s="311">
        <v>26810</v>
      </c>
      <c r="T59" s="300">
        <f>'WA Volumes &amp; Revenues'!H51</f>
        <v>8.9166666666666661</v>
      </c>
      <c r="U59" s="301">
        <f>'WA Volumes &amp; Revenues'!I51</f>
        <v>63374</v>
      </c>
      <c r="V59" s="157"/>
      <c r="W59" s="313">
        <f t="shared" ref="W59:W64" si="94">(H59*R59)</f>
        <v>128869.90695</v>
      </c>
      <c r="X59" s="309">
        <f t="shared" ref="X59:X64" si="95">(K59*T59*12)</f>
        <v>165850</v>
      </c>
      <c r="Y59" s="309">
        <f t="shared" ref="Y59:Y64" si="96">(S59*(M59+O59))*12</f>
        <v>50664.465600000003</v>
      </c>
      <c r="Z59" s="314"/>
      <c r="AA59" s="309"/>
      <c r="AB59" s="313">
        <f t="shared" ref="AB59:AB64" si="97">(I59*R59)</f>
        <v>152663.83425000001</v>
      </c>
      <c r="AC59" s="309">
        <f t="shared" ref="AC59:AC64" si="98">(L59*T59*12)</f>
        <v>165850</v>
      </c>
      <c r="AD59" s="314">
        <f t="shared" ref="AD59:AD64" si="99">(S59*(N59+P59))*12</f>
        <v>50664.465600000003</v>
      </c>
      <c r="AE59" s="309"/>
      <c r="AF59" s="313">
        <f t="shared" ref="AF59:AG64" si="100">AB59-W59</f>
        <v>23793.92730000001</v>
      </c>
      <c r="AG59" s="309">
        <f t="shared" si="100"/>
        <v>0</v>
      </c>
      <c r="AH59" s="314">
        <f t="shared" ref="AH59:AH64" si="101">AD59-Y59</f>
        <v>0</v>
      </c>
      <c r="AI59" s="309"/>
      <c r="AJ59" s="338"/>
      <c r="AK59" s="340">
        <f t="shared" si="93"/>
        <v>0.18463524854745003</v>
      </c>
      <c r="AL59" s="309"/>
      <c r="AM59" s="313">
        <f t="shared" ref="AM59:AM64" si="102">(F59*R59)</f>
        <v>-1636.1791500000002</v>
      </c>
      <c r="AN59" s="309">
        <v>0</v>
      </c>
      <c r="AO59" s="314">
        <f t="shared" ref="AO59:AO64" si="103">(AE59*(Y59+AB59))*12</f>
        <v>0</v>
      </c>
      <c r="AP59" s="309"/>
      <c r="AQ59" s="310"/>
      <c r="AR59" s="310"/>
      <c r="AS59" s="309"/>
    </row>
    <row r="60" spans="1:45" x14ac:dyDescent="0.2">
      <c r="A60" s="86">
        <f t="shared" si="2"/>
        <v>53</v>
      </c>
      <c r="B60" s="725"/>
      <c r="C60" s="726" t="s">
        <v>5</v>
      </c>
      <c r="D60" s="157"/>
      <c r="E60" s="122">
        <f>ROUND('Rates in Detail'!L50,5)</f>
        <v>2.3040000000000001E-2</v>
      </c>
      <c r="F60" s="122">
        <f>'Allocation = % of Margin'!U51</f>
        <v>-1.5900000000000001E-3</v>
      </c>
      <c r="G60" s="157"/>
      <c r="H60" s="373">
        <f>ROUND('Rates in Detail'!N50,5)</f>
        <v>0.12479</v>
      </c>
      <c r="I60" s="774">
        <f t="shared" si="13"/>
        <v>0.14782999999999999</v>
      </c>
      <c r="J60" s="157"/>
      <c r="K60" s="155"/>
      <c r="L60" s="156"/>
      <c r="M60" s="122"/>
      <c r="N60" s="122"/>
      <c r="O60" s="122"/>
      <c r="P60" s="774"/>
      <c r="Q60" s="157"/>
      <c r="R60" s="298">
        <f>'WA Volumes &amp; Revenues'!E52</f>
        <v>1036796</v>
      </c>
      <c r="S60" s="311"/>
      <c r="T60" s="300"/>
      <c r="U60" s="301"/>
      <c r="V60" s="157"/>
      <c r="W60" s="313">
        <f t="shared" si="94"/>
        <v>129381.77284000001</v>
      </c>
      <c r="X60" s="309">
        <f t="shared" si="95"/>
        <v>0</v>
      </c>
      <c r="Y60" s="309">
        <f t="shared" si="96"/>
        <v>0</v>
      </c>
      <c r="Z60" s="314"/>
      <c r="AA60" s="309"/>
      <c r="AB60" s="313">
        <f t="shared" si="97"/>
        <v>153269.55267999999</v>
      </c>
      <c r="AC60" s="309">
        <f t="shared" si="98"/>
        <v>0</v>
      </c>
      <c r="AD60" s="314">
        <f t="shared" si="99"/>
        <v>0</v>
      </c>
      <c r="AE60" s="309"/>
      <c r="AF60" s="313">
        <f t="shared" si="100"/>
        <v>23887.779839999988</v>
      </c>
      <c r="AG60" s="309">
        <f t="shared" si="100"/>
        <v>0</v>
      </c>
      <c r="AH60" s="314">
        <f t="shared" si="101"/>
        <v>0</v>
      </c>
      <c r="AI60" s="309"/>
      <c r="AJ60" s="338"/>
      <c r="AK60" s="340">
        <f t="shared" si="93"/>
        <v>0.18463017870021628</v>
      </c>
      <c r="AL60" s="309"/>
      <c r="AM60" s="313">
        <f t="shared" si="102"/>
        <v>-1648.5056400000001</v>
      </c>
      <c r="AN60" s="309">
        <v>0</v>
      </c>
      <c r="AO60" s="314">
        <f t="shared" si="103"/>
        <v>0</v>
      </c>
      <c r="AP60" s="309"/>
      <c r="AQ60" s="310"/>
      <c r="AR60" s="310"/>
      <c r="AS60" s="309"/>
    </row>
    <row r="61" spans="1:45" x14ac:dyDescent="0.2">
      <c r="A61" s="86">
        <f t="shared" si="2"/>
        <v>54</v>
      </c>
      <c r="B61" s="725"/>
      <c r="C61" s="726" t="s">
        <v>6</v>
      </c>
      <c r="D61" s="157"/>
      <c r="E61" s="122">
        <f>ROUND('Rates in Detail'!L51,5)</f>
        <v>1.7670000000000002E-2</v>
      </c>
      <c r="F61" s="122">
        <f>'Allocation = % of Margin'!U52</f>
        <v>-1.2199999999999999E-3</v>
      </c>
      <c r="G61" s="157"/>
      <c r="H61" s="373">
        <f>ROUND('Rates in Detail'!N51,5)</f>
        <v>9.5689999999999997E-2</v>
      </c>
      <c r="I61" s="774">
        <f t="shared" si="13"/>
        <v>0.11336</v>
      </c>
      <c r="J61" s="157"/>
      <c r="K61" s="155"/>
      <c r="L61" s="156"/>
      <c r="M61" s="122"/>
      <c r="N61" s="122"/>
      <c r="O61" s="122"/>
      <c r="P61" s="774"/>
      <c r="Q61" s="157"/>
      <c r="R61" s="298">
        <f>'WA Volumes &amp; Revenues'!E53</f>
        <v>937215</v>
      </c>
      <c r="S61" s="311"/>
      <c r="T61" s="300"/>
      <c r="U61" s="301"/>
      <c r="V61" s="157"/>
      <c r="W61" s="313">
        <f t="shared" si="94"/>
        <v>89682.10334999999</v>
      </c>
      <c r="X61" s="309">
        <f t="shared" si="95"/>
        <v>0</v>
      </c>
      <c r="Y61" s="309">
        <f t="shared" si="96"/>
        <v>0</v>
      </c>
      <c r="Z61" s="314"/>
      <c r="AA61" s="309"/>
      <c r="AB61" s="313">
        <f t="shared" si="97"/>
        <v>106242.6924</v>
      </c>
      <c r="AC61" s="309">
        <f t="shared" si="98"/>
        <v>0</v>
      </c>
      <c r="AD61" s="314">
        <f t="shared" si="99"/>
        <v>0</v>
      </c>
      <c r="AE61" s="309"/>
      <c r="AF61" s="313">
        <f t="shared" si="100"/>
        <v>16560.58905000001</v>
      </c>
      <c r="AG61" s="309">
        <f t="shared" si="100"/>
        <v>0</v>
      </c>
      <c r="AH61" s="314">
        <f t="shared" si="101"/>
        <v>0</v>
      </c>
      <c r="AI61" s="309"/>
      <c r="AJ61" s="338"/>
      <c r="AK61" s="340">
        <f t="shared" si="93"/>
        <v>0.18465879402236401</v>
      </c>
      <c r="AL61" s="309"/>
      <c r="AM61" s="313">
        <f t="shared" si="102"/>
        <v>-1143.4023</v>
      </c>
      <c r="AN61" s="309">
        <v>0</v>
      </c>
      <c r="AO61" s="314">
        <f t="shared" si="103"/>
        <v>0</v>
      </c>
      <c r="AP61" s="309"/>
      <c r="AQ61" s="310"/>
      <c r="AR61" s="310"/>
      <c r="AS61" s="309"/>
    </row>
    <row r="62" spans="1:45" x14ac:dyDescent="0.2">
      <c r="A62" s="86">
        <f t="shared" si="2"/>
        <v>55</v>
      </c>
      <c r="B62" s="725"/>
      <c r="C62" s="726" t="s">
        <v>7</v>
      </c>
      <c r="D62" s="157"/>
      <c r="E62" s="122">
        <f>ROUND('Rates in Detail'!L52,5)</f>
        <v>1.414E-2</v>
      </c>
      <c r="F62" s="122">
        <f>'Allocation = % of Margin'!U53</f>
        <v>-9.7000000000000005E-4</v>
      </c>
      <c r="G62" s="157"/>
      <c r="H62" s="373">
        <f>ROUND('Rates in Detail'!N52,5)</f>
        <v>7.6560000000000003E-2</v>
      </c>
      <c r="I62" s="774">
        <f t="shared" si="13"/>
        <v>9.0700000000000003E-2</v>
      </c>
      <c r="J62" s="157"/>
      <c r="K62" s="155"/>
      <c r="L62" s="156"/>
      <c r="M62" s="122"/>
      <c r="N62" s="122"/>
      <c r="O62" s="122"/>
      <c r="P62" s="774"/>
      <c r="Q62" s="157"/>
      <c r="R62" s="298">
        <f>'WA Volumes &amp; Revenues'!E54</f>
        <v>2390318</v>
      </c>
      <c r="S62" s="311"/>
      <c r="T62" s="300"/>
      <c r="U62" s="301"/>
      <c r="V62" s="157"/>
      <c r="W62" s="313">
        <f t="shared" si="94"/>
        <v>183002.74608000001</v>
      </c>
      <c r="X62" s="309">
        <f t="shared" si="95"/>
        <v>0</v>
      </c>
      <c r="Y62" s="309">
        <f t="shared" si="96"/>
        <v>0</v>
      </c>
      <c r="Z62" s="314"/>
      <c r="AA62" s="309"/>
      <c r="AB62" s="313">
        <f t="shared" si="97"/>
        <v>216801.8426</v>
      </c>
      <c r="AC62" s="309">
        <f t="shared" si="98"/>
        <v>0</v>
      </c>
      <c r="AD62" s="314">
        <f t="shared" si="99"/>
        <v>0</v>
      </c>
      <c r="AE62" s="309"/>
      <c r="AF62" s="313">
        <f t="shared" si="100"/>
        <v>33799.096519999992</v>
      </c>
      <c r="AG62" s="309">
        <f t="shared" si="100"/>
        <v>0</v>
      </c>
      <c r="AH62" s="314">
        <f t="shared" si="101"/>
        <v>0</v>
      </c>
      <c r="AI62" s="309"/>
      <c r="AJ62" s="338"/>
      <c r="AK62" s="340">
        <f t="shared" si="93"/>
        <v>0.18469174503657257</v>
      </c>
      <c r="AL62" s="309"/>
      <c r="AM62" s="313">
        <f t="shared" si="102"/>
        <v>-2318.6084599999999</v>
      </c>
      <c r="AN62" s="309">
        <v>0</v>
      </c>
      <c r="AO62" s="314">
        <f t="shared" si="103"/>
        <v>0</v>
      </c>
      <c r="AP62" s="309"/>
      <c r="AQ62" s="310"/>
      <c r="AR62" s="310"/>
      <c r="AS62" s="309"/>
    </row>
    <row r="63" spans="1:45" x14ac:dyDescent="0.2">
      <c r="A63" s="86">
        <f t="shared" si="2"/>
        <v>56</v>
      </c>
      <c r="B63" s="725"/>
      <c r="C63" s="726" t="s">
        <v>8</v>
      </c>
      <c r="D63" s="157"/>
      <c r="E63" s="122">
        <f>ROUND('Rates in Detail'!L53,5)</f>
        <v>9.4199999999999996E-3</v>
      </c>
      <c r="F63" s="122">
        <f>'Allocation = % of Margin'!U54</f>
        <v>-6.4999999999999997E-4</v>
      </c>
      <c r="G63" s="157"/>
      <c r="H63" s="373">
        <f>ROUND('Rates in Detail'!N53,5)</f>
        <v>5.1040000000000002E-2</v>
      </c>
      <c r="I63" s="774">
        <f t="shared" si="13"/>
        <v>6.046E-2</v>
      </c>
      <c r="J63" s="157"/>
      <c r="K63" s="155"/>
      <c r="L63" s="156"/>
      <c r="M63" s="122"/>
      <c r="N63" s="122"/>
      <c r="O63" s="122"/>
      <c r="P63" s="774"/>
      <c r="Q63" s="157"/>
      <c r="R63" s="298">
        <f>'WA Volumes &amp; Revenues'!E55</f>
        <v>1492257</v>
      </c>
      <c r="S63" s="311"/>
      <c r="T63" s="300"/>
      <c r="U63" s="301"/>
      <c r="V63" s="157"/>
      <c r="W63" s="313">
        <f t="shared" si="94"/>
        <v>76164.797279999999</v>
      </c>
      <c r="X63" s="309">
        <f t="shared" si="95"/>
        <v>0</v>
      </c>
      <c r="Y63" s="309">
        <f t="shared" si="96"/>
        <v>0</v>
      </c>
      <c r="Z63" s="314"/>
      <c r="AA63" s="309"/>
      <c r="AB63" s="313">
        <f t="shared" si="97"/>
        <v>90221.858219999995</v>
      </c>
      <c r="AC63" s="309">
        <f t="shared" si="98"/>
        <v>0</v>
      </c>
      <c r="AD63" s="314">
        <f t="shared" si="99"/>
        <v>0</v>
      </c>
      <c r="AE63" s="309"/>
      <c r="AF63" s="313">
        <f t="shared" si="100"/>
        <v>14057.060939999996</v>
      </c>
      <c r="AG63" s="309">
        <f t="shared" si="100"/>
        <v>0</v>
      </c>
      <c r="AH63" s="314">
        <f t="shared" si="101"/>
        <v>0</v>
      </c>
      <c r="AI63" s="309"/>
      <c r="AJ63" s="338"/>
      <c r="AK63" s="340">
        <f t="shared" si="93"/>
        <v>0.18456112852664572</v>
      </c>
      <c r="AL63" s="309"/>
      <c r="AM63" s="313">
        <f t="shared" si="102"/>
        <v>-969.96704999999997</v>
      </c>
      <c r="AN63" s="309">
        <v>0</v>
      </c>
      <c r="AO63" s="314">
        <f t="shared" si="103"/>
        <v>0</v>
      </c>
      <c r="AP63" s="309"/>
      <c r="AQ63" s="310"/>
      <c r="AR63" s="310"/>
      <c r="AS63" s="309"/>
    </row>
    <row r="64" spans="1:45" x14ac:dyDescent="0.2">
      <c r="A64" s="86">
        <f t="shared" si="2"/>
        <v>57</v>
      </c>
      <c r="B64" s="725"/>
      <c r="C64" s="726" t="s">
        <v>9</v>
      </c>
      <c r="D64" s="157"/>
      <c r="E64" s="122">
        <f>ROUND('Rates in Detail'!L54,5)</f>
        <v>3.5300000000000002E-3</v>
      </c>
      <c r="F64" s="122">
        <f>'Allocation = % of Margin'!U55</f>
        <v>-2.4000000000000001E-4</v>
      </c>
      <c r="G64" s="157"/>
      <c r="H64" s="373">
        <f>ROUND('Rates in Detail'!N54,5)</f>
        <v>1.9140000000000001E-2</v>
      </c>
      <c r="I64" s="774">
        <f t="shared" si="13"/>
        <v>2.2670000000000003E-2</v>
      </c>
      <c r="J64" s="157"/>
      <c r="K64" s="155"/>
      <c r="L64" s="156"/>
      <c r="M64" s="122"/>
      <c r="N64" s="122"/>
      <c r="O64" s="122"/>
      <c r="P64" s="774"/>
      <c r="Q64" s="157"/>
      <c r="R64" s="298">
        <f>'WA Volumes &amp; Revenues'!E56</f>
        <v>0</v>
      </c>
      <c r="S64" s="311"/>
      <c r="T64" s="300"/>
      <c r="U64" s="301"/>
      <c r="V64" s="157"/>
      <c r="W64" s="313">
        <f t="shared" si="94"/>
        <v>0</v>
      </c>
      <c r="X64" s="309">
        <f t="shared" si="95"/>
        <v>0</v>
      </c>
      <c r="Y64" s="309">
        <f t="shared" si="96"/>
        <v>0</v>
      </c>
      <c r="Z64" s="314"/>
      <c r="AA64" s="309"/>
      <c r="AB64" s="313">
        <f t="shared" si="97"/>
        <v>0</v>
      </c>
      <c r="AC64" s="309">
        <f t="shared" si="98"/>
        <v>0</v>
      </c>
      <c r="AD64" s="314">
        <f t="shared" si="99"/>
        <v>0</v>
      </c>
      <c r="AE64" s="309"/>
      <c r="AF64" s="313">
        <f t="shared" si="100"/>
        <v>0</v>
      </c>
      <c r="AG64" s="309">
        <f t="shared" si="100"/>
        <v>0</v>
      </c>
      <c r="AH64" s="314">
        <f t="shared" si="101"/>
        <v>0</v>
      </c>
      <c r="AI64" s="309"/>
      <c r="AJ64" s="338"/>
      <c r="AK64" s="340" t="e">
        <f t="shared" si="93"/>
        <v>#DIV/0!</v>
      </c>
      <c r="AL64" s="309"/>
      <c r="AM64" s="313">
        <f t="shared" si="102"/>
        <v>0</v>
      </c>
      <c r="AN64" s="309">
        <v>0</v>
      </c>
      <c r="AO64" s="314">
        <f t="shared" si="103"/>
        <v>0</v>
      </c>
      <c r="AP64" s="309"/>
      <c r="AQ64" s="310"/>
      <c r="AR64" s="310"/>
      <c r="AS64" s="309"/>
    </row>
    <row r="65" spans="1:45" x14ac:dyDescent="0.2">
      <c r="A65" s="86">
        <f t="shared" si="2"/>
        <v>58</v>
      </c>
      <c r="B65" s="723"/>
      <c r="C65" s="742" t="s">
        <v>78</v>
      </c>
      <c r="D65" s="153"/>
      <c r="E65" s="123"/>
      <c r="F65" s="123"/>
      <c r="G65" s="153"/>
      <c r="H65" s="368"/>
      <c r="I65" s="773"/>
      <c r="J65" s="157"/>
      <c r="K65" s="155"/>
      <c r="L65" s="156"/>
      <c r="M65" s="122"/>
      <c r="N65" s="122"/>
      <c r="O65" s="122"/>
      <c r="P65" s="774"/>
      <c r="Q65" s="157"/>
      <c r="R65" s="298"/>
      <c r="S65" s="311"/>
      <c r="T65" s="300"/>
      <c r="U65" s="301"/>
      <c r="V65" s="157"/>
      <c r="W65" s="315">
        <f>SUM(W59:W64)</f>
        <v>607101.32649999997</v>
      </c>
      <c r="X65" s="316">
        <f>SUM(X59:X64)</f>
        <v>165850</v>
      </c>
      <c r="Y65" s="316">
        <f>SUM(Y59:Y64)</f>
        <v>50664.465600000003</v>
      </c>
      <c r="Z65" s="317">
        <f>'Rate Spread Proposal'!T$15-SUM(W65:Y65)</f>
        <v>0</v>
      </c>
      <c r="AA65" s="309"/>
      <c r="AB65" s="315">
        <f>SUM(AB59:AB64)</f>
        <v>719199.78015000001</v>
      </c>
      <c r="AC65" s="316">
        <f>SUM(AC59:AC64)</f>
        <v>165850</v>
      </c>
      <c r="AD65" s="317">
        <f>SUM(AD59:AD64)</f>
        <v>50664.465600000003</v>
      </c>
      <c r="AE65" s="309"/>
      <c r="AF65" s="315">
        <f>SUM(AF59:AF64)</f>
        <v>112098.45365</v>
      </c>
      <c r="AG65" s="316">
        <f>SUM(AG59:AG64)</f>
        <v>0</v>
      </c>
      <c r="AH65" s="317">
        <f>SUM(AH59:AH64)</f>
        <v>0</v>
      </c>
      <c r="AI65" s="309"/>
      <c r="AJ65" s="338">
        <f>SUM(AF65:AH65)/SUM(W65:Y65)</f>
        <v>0.1361052747230343</v>
      </c>
      <c r="AK65" s="339">
        <f t="shared" si="93"/>
        <v>0.18464537756202712</v>
      </c>
      <c r="AL65" s="309"/>
      <c r="AM65" s="315">
        <f>SUM(AM59:AM64)</f>
        <v>-7716.6626000000006</v>
      </c>
      <c r="AN65" s="316">
        <f>SUM(AN59:AN64)</f>
        <v>0</v>
      </c>
      <c r="AO65" s="317">
        <f>SUM(AO59:AO64)</f>
        <v>0</v>
      </c>
      <c r="AP65" s="309"/>
      <c r="AQ65" s="310"/>
      <c r="AR65" s="310"/>
      <c r="AS65" s="309"/>
    </row>
    <row r="66" spans="1:45" x14ac:dyDescent="0.2">
      <c r="A66" s="86">
        <f t="shared" si="2"/>
        <v>59</v>
      </c>
      <c r="B66" s="725" t="str">
        <f>'WA Volumes &amp; Revenues'!B57</f>
        <v>42C Interr Sales</v>
      </c>
      <c r="C66" s="726" t="s">
        <v>4</v>
      </c>
      <c r="D66" s="157"/>
      <c r="E66" s="122">
        <f>ROUND('Rates in Detail'!L55,5)</f>
        <v>2.6700000000000002E-2</v>
      </c>
      <c r="F66" s="122">
        <f>'Allocation = % of Margin'!U56</f>
        <v>-1.8400000000000001E-3</v>
      </c>
      <c r="G66" s="157"/>
      <c r="H66" s="373">
        <f>ROUND('Rates in Detail'!N55,5)</f>
        <v>0.13682</v>
      </c>
      <c r="I66" s="774">
        <f t="shared" si="13"/>
        <v>0.16352</v>
      </c>
      <c r="J66" s="157"/>
      <c r="K66" s="155">
        <f>'WA Volumes &amp; Revenues'!O57</f>
        <v>1300</v>
      </c>
      <c r="L66" s="156">
        <f>'WA Volumes &amp; Revenues'!N57</f>
        <v>1300</v>
      </c>
      <c r="M66" s="122">
        <f>'Rates in Detail'!AF55</f>
        <v>0</v>
      </c>
      <c r="N66" s="122">
        <f>'Rates in Detail'!AG55</f>
        <v>0</v>
      </c>
      <c r="O66" s="122">
        <f>'Rates in Detail'!AH55</f>
        <v>0</v>
      </c>
      <c r="P66" s="774">
        <f>'Rates in Detail'!AI55</f>
        <v>0</v>
      </c>
      <c r="Q66" s="157"/>
      <c r="R66" s="298">
        <f>'WA Volumes &amp; Revenues'!E57</f>
        <v>240000</v>
      </c>
      <c r="S66" s="311">
        <v>4620</v>
      </c>
      <c r="T66" s="300">
        <f>'WA Volumes &amp; Revenues'!H57</f>
        <v>2</v>
      </c>
      <c r="U66" s="301">
        <f>'WA Volumes &amp; Revenues'!I57</f>
        <v>39322</v>
      </c>
      <c r="V66" s="157"/>
      <c r="W66" s="313">
        <f t="shared" ref="W66:W71" si="104">(H66*R66)</f>
        <v>32836.800000000003</v>
      </c>
      <c r="X66" s="309">
        <f t="shared" ref="X66:X71" si="105">(K66*T66*12)</f>
        <v>31200</v>
      </c>
      <c r="Y66" s="309">
        <f t="shared" ref="Y66:Y71" si="106">(S66*(M66+O66))*12</f>
        <v>0</v>
      </c>
      <c r="Z66" s="314"/>
      <c r="AA66" s="309"/>
      <c r="AB66" s="313">
        <f t="shared" ref="AB66:AB71" si="107">(I66*R66)</f>
        <v>39244.800000000003</v>
      </c>
      <c r="AC66" s="309">
        <f t="shared" ref="AC66:AC71" si="108">(L66*T66*12)</f>
        <v>31200</v>
      </c>
      <c r="AD66" s="314">
        <f t="shared" ref="AD66:AD71" si="109">(S66*(N66+P66))*12</f>
        <v>0</v>
      </c>
      <c r="AE66" s="309"/>
      <c r="AF66" s="313">
        <f t="shared" ref="AF66:AG71" si="110">AB66-W66</f>
        <v>6408</v>
      </c>
      <c r="AG66" s="309">
        <f t="shared" si="110"/>
        <v>0</v>
      </c>
      <c r="AH66" s="314">
        <f t="shared" ref="AH66:AH71" si="111">AD66-Y66</f>
        <v>0</v>
      </c>
      <c r="AI66" s="309"/>
      <c r="AJ66" s="338"/>
      <c r="AK66" s="340">
        <f t="shared" si="93"/>
        <v>0.19514690834673293</v>
      </c>
      <c r="AL66" s="309"/>
      <c r="AM66" s="313">
        <f t="shared" ref="AM66:AM71" si="112">(F66*R66)</f>
        <v>-441.6</v>
      </c>
      <c r="AN66" s="309">
        <v>0</v>
      </c>
      <c r="AO66" s="314">
        <f t="shared" ref="AO66:AO71" si="113">(AE66*(Y66+AB66))*12</f>
        <v>0</v>
      </c>
      <c r="AP66" s="309"/>
      <c r="AQ66" s="310"/>
      <c r="AR66" s="310"/>
      <c r="AS66" s="309"/>
    </row>
    <row r="67" spans="1:45" x14ac:dyDescent="0.2">
      <c r="A67" s="86">
        <f t="shared" si="2"/>
        <v>60</v>
      </c>
      <c r="B67" s="725"/>
      <c r="C67" s="726" t="s">
        <v>5</v>
      </c>
      <c r="D67" s="157"/>
      <c r="E67" s="122">
        <f>ROUND('Rates in Detail'!L56,5)</f>
        <v>2.3900000000000001E-2</v>
      </c>
      <c r="F67" s="122">
        <f>'Allocation = % of Margin'!U57</f>
        <v>-1.64E-3</v>
      </c>
      <c r="G67" s="157"/>
      <c r="H67" s="373">
        <f>ROUND('Rates in Detail'!N56,5)</f>
        <v>0.12247</v>
      </c>
      <c r="I67" s="774">
        <f t="shared" si="13"/>
        <v>0.14637</v>
      </c>
      <c r="J67" s="157"/>
      <c r="K67" s="743"/>
      <c r="L67" s="372"/>
      <c r="M67" s="122"/>
      <c r="N67" s="122"/>
      <c r="O67" s="122"/>
      <c r="P67" s="774"/>
      <c r="Q67" s="157"/>
      <c r="R67" s="298">
        <f>'WA Volumes &amp; Revenues'!E58</f>
        <v>467511</v>
      </c>
      <c r="S67" s="311"/>
      <c r="T67" s="300"/>
      <c r="U67" s="301"/>
      <c r="V67" s="157"/>
      <c r="W67" s="313">
        <f t="shared" si="104"/>
        <v>57256.072169999999</v>
      </c>
      <c r="X67" s="309">
        <f t="shared" si="105"/>
        <v>0</v>
      </c>
      <c r="Y67" s="309">
        <f t="shared" si="106"/>
        <v>0</v>
      </c>
      <c r="Z67" s="314"/>
      <c r="AA67" s="309"/>
      <c r="AB67" s="313">
        <f t="shared" si="107"/>
        <v>68429.585070000001</v>
      </c>
      <c r="AC67" s="309">
        <f t="shared" si="108"/>
        <v>0</v>
      </c>
      <c r="AD67" s="314">
        <f t="shared" si="109"/>
        <v>0</v>
      </c>
      <c r="AE67" s="309"/>
      <c r="AF67" s="313">
        <f t="shared" si="110"/>
        <v>11173.512900000002</v>
      </c>
      <c r="AG67" s="309">
        <f t="shared" si="110"/>
        <v>0</v>
      </c>
      <c r="AH67" s="314">
        <f t="shared" si="111"/>
        <v>0</v>
      </c>
      <c r="AI67" s="309"/>
      <c r="AJ67" s="338"/>
      <c r="AK67" s="340">
        <f t="shared" si="93"/>
        <v>0.19514983261206828</v>
      </c>
      <c r="AL67" s="309"/>
      <c r="AM67" s="313">
        <f t="shared" si="112"/>
        <v>-766.71803999999997</v>
      </c>
      <c r="AN67" s="309">
        <v>0</v>
      </c>
      <c r="AO67" s="314">
        <f t="shared" si="113"/>
        <v>0</v>
      </c>
      <c r="AP67" s="309"/>
      <c r="AQ67" s="310"/>
      <c r="AR67" s="310"/>
      <c r="AS67" s="309"/>
    </row>
    <row r="68" spans="1:45" x14ac:dyDescent="0.2">
      <c r="A68" s="86">
        <f t="shared" si="2"/>
        <v>61</v>
      </c>
      <c r="B68" s="725"/>
      <c r="C68" s="726" t="s">
        <v>6</v>
      </c>
      <c r="D68" s="157"/>
      <c r="E68" s="122">
        <f>ROUND('Rates in Detail'!L57,5)</f>
        <v>1.8329999999999999E-2</v>
      </c>
      <c r="F68" s="122">
        <f>'Allocation = % of Margin'!U58</f>
        <v>-1.2600000000000001E-3</v>
      </c>
      <c r="G68" s="157"/>
      <c r="H68" s="373">
        <f>ROUND('Rates in Detail'!N57,5)</f>
        <v>9.3909999999999993E-2</v>
      </c>
      <c r="I68" s="774">
        <f t="shared" si="13"/>
        <v>0.11223999999999999</v>
      </c>
      <c r="J68" s="157"/>
      <c r="K68" s="155"/>
      <c r="L68" s="156"/>
      <c r="M68" s="122"/>
      <c r="N68" s="122"/>
      <c r="O68" s="122"/>
      <c r="P68" s="774"/>
      <c r="Q68" s="157"/>
      <c r="R68" s="298">
        <f>'WA Volumes &amp; Revenues'!E59</f>
        <v>218004</v>
      </c>
      <c r="S68" s="311"/>
      <c r="T68" s="300"/>
      <c r="U68" s="301"/>
      <c r="V68" s="157"/>
      <c r="W68" s="313">
        <f t="shared" si="104"/>
        <v>20472.755639999999</v>
      </c>
      <c r="X68" s="309">
        <f t="shared" si="105"/>
        <v>0</v>
      </c>
      <c r="Y68" s="309">
        <f t="shared" si="106"/>
        <v>0</v>
      </c>
      <c r="Z68" s="314"/>
      <c r="AA68" s="309"/>
      <c r="AB68" s="313">
        <f t="shared" si="107"/>
        <v>24468.768959999998</v>
      </c>
      <c r="AC68" s="309">
        <f t="shared" si="108"/>
        <v>0</v>
      </c>
      <c r="AD68" s="314">
        <f t="shared" si="109"/>
        <v>0</v>
      </c>
      <c r="AE68" s="309"/>
      <c r="AF68" s="313">
        <f t="shared" si="110"/>
        <v>3996.0133199999982</v>
      </c>
      <c r="AG68" s="309">
        <f t="shared" si="110"/>
        <v>0</v>
      </c>
      <c r="AH68" s="314">
        <f t="shared" si="111"/>
        <v>0</v>
      </c>
      <c r="AI68" s="309"/>
      <c r="AJ68" s="338"/>
      <c r="AK68" s="340">
        <f t="shared" si="93"/>
        <v>0.19518688105633045</v>
      </c>
      <c r="AL68" s="309"/>
      <c r="AM68" s="313">
        <f t="shared" si="112"/>
        <v>-274.68504000000001</v>
      </c>
      <c r="AN68" s="309">
        <v>0</v>
      </c>
      <c r="AO68" s="314">
        <f t="shared" si="113"/>
        <v>0</v>
      </c>
      <c r="AP68" s="309"/>
      <c r="AQ68" s="310"/>
      <c r="AR68" s="310"/>
      <c r="AS68" s="309"/>
    </row>
    <row r="69" spans="1:45" x14ac:dyDescent="0.2">
      <c r="A69" s="86">
        <f t="shared" si="2"/>
        <v>62</v>
      </c>
      <c r="B69" s="725"/>
      <c r="C69" s="726" t="s">
        <v>7</v>
      </c>
      <c r="D69" s="157"/>
      <c r="E69" s="122">
        <f>ROUND('Rates in Detail'!L58,5)</f>
        <v>1.4659999999999999E-2</v>
      </c>
      <c r="F69" s="122">
        <f>'Allocation = % of Margin'!U59</f>
        <v>-1.01E-3</v>
      </c>
      <c r="G69" s="157"/>
      <c r="H69" s="373">
        <f>ROUND('Rates in Detail'!N58,5)</f>
        <v>7.5130000000000002E-2</v>
      </c>
      <c r="I69" s="774">
        <f t="shared" si="13"/>
        <v>8.9790000000000009E-2</v>
      </c>
      <c r="J69" s="157"/>
      <c r="K69" s="155"/>
      <c r="L69" s="156"/>
      <c r="M69" s="122"/>
      <c r="N69" s="122"/>
      <c r="O69" s="122"/>
      <c r="P69" s="774"/>
      <c r="Q69" s="157"/>
      <c r="R69" s="298">
        <f>'WA Volumes &amp; Revenues'!E60</f>
        <v>18208</v>
      </c>
      <c r="S69" s="311"/>
      <c r="T69" s="300"/>
      <c r="U69" s="301"/>
      <c r="V69" s="157"/>
      <c r="W69" s="313">
        <f t="shared" si="104"/>
        <v>1367.96704</v>
      </c>
      <c r="X69" s="309">
        <f t="shared" si="105"/>
        <v>0</v>
      </c>
      <c r="Y69" s="309">
        <f t="shared" si="106"/>
        <v>0</v>
      </c>
      <c r="Z69" s="314"/>
      <c r="AA69" s="309"/>
      <c r="AB69" s="313">
        <f t="shared" si="107"/>
        <v>1634.8963200000001</v>
      </c>
      <c r="AC69" s="309">
        <f t="shared" si="108"/>
        <v>0</v>
      </c>
      <c r="AD69" s="314">
        <f t="shared" si="109"/>
        <v>0</v>
      </c>
      <c r="AE69" s="309"/>
      <c r="AF69" s="313">
        <f t="shared" si="110"/>
        <v>266.92928000000006</v>
      </c>
      <c r="AG69" s="309">
        <f t="shared" si="110"/>
        <v>0</v>
      </c>
      <c r="AH69" s="314">
        <f t="shared" si="111"/>
        <v>0</v>
      </c>
      <c r="AI69" s="309"/>
      <c r="AJ69" s="338"/>
      <c r="AK69" s="340">
        <f t="shared" si="93"/>
        <v>0.19512844403034743</v>
      </c>
      <c r="AL69" s="309"/>
      <c r="AM69" s="313">
        <f t="shared" si="112"/>
        <v>-18.390080000000001</v>
      </c>
      <c r="AN69" s="309">
        <v>0</v>
      </c>
      <c r="AO69" s="314">
        <f t="shared" si="113"/>
        <v>0</v>
      </c>
      <c r="AP69" s="309"/>
      <c r="AQ69" s="310"/>
      <c r="AR69" s="310"/>
      <c r="AS69" s="309"/>
    </row>
    <row r="70" spans="1:45" x14ac:dyDescent="0.2">
      <c r="A70" s="86">
        <f t="shared" si="2"/>
        <v>63</v>
      </c>
      <c r="B70" s="725"/>
      <c r="C70" s="726" t="s">
        <v>8</v>
      </c>
      <c r="D70" s="157"/>
      <c r="E70" s="122">
        <f>ROUND('Rates in Detail'!L59,5)</f>
        <v>9.7800000000000005E-3</v>
      </c>
      <c r="F70" s="122">
        <f>'Allocation = % of Margin'!U60</f>
        <v>-6.7000000000000002E-4</v>
      </c>
      <c r="G70" s="157"/>
      <c r="H70" s="373">
        <f>ROUND('Rates in Detail'!N59,5)</f>
        <v>5.0090000000000003E-2</v>
      </c>
      <c r="I70" s="774">
        <f t="shared" si="13"/>
        <v>5.9870000000000007E-2</v>
      </c>
      <c r="J70" s="157"/>
      <c r="K70" s="155"/>
      <c r="L70" s="156"/>
      <c r="M70" s="122"/>
      <c r="N70" s="122"/>
      <c r="O70" s="122"/>
      <c r="P70" s="774"/>
      <c r="Q70" s="157"/>
      <c r="R70" s="298">
        <f>'WA Volumes &amp; Revenues'!E61</f>
        <v>0</v>
      </c>
      <c r="S70" s="311"/>
      <c r="T70" s="300"/>
      <c r="U70" s="301"/>
      <c r="V70" s="157"/>
      <c r="W70" s="313">
        <f t="shared" si="104"/>
        <v>0</v>
      </c>
      <c r="X70" s="309">
        <f t="shared" si="105"/>
        <v>0</v>
      </c>
      <c r="Y70" s="309">
        <f t="shared" si="106"/>
        <v>0</v>
      </c>
      <c r="Z70" s="314"/>
      <c r="AA70" s="309"/>
      <c r="AB70" s="313">
        <f t="shared" si="107"/>
        <v>0</v>
      </c>
      <c r="AC70" s="309">
        <f t="shared" si="108"/>
        <v>0</v>
      </c>
      <c r="AD70" s="314">
        <f t="shared" si="109"/>
        <v>0</v>
      </c>
      <c r="AE70" s="309"/>
      <c r="AF70" s="313">
        <f t="shared" si="110"/>
        <v>0</v>
      </c>
      <c r="AG70" s="309">
        <f t="shared" si="110"/>
        <v>0</v>
      </c>
      <c r="AH70" s="314">
        <f t="shared" si="111"/>
        <v>0</v>
      </c>
      <c r="AI70" s="309"/>
      <c r="AJ70" s="338"/>
      <c r="AK70" s="340" t="e">
        <f t="shared" si="93"/>
        <v>#DIV/0!</v>
      </c>
      <c r="AL70" s="309"/>
      <c r="AM70" s="313">
        <f t="shared" si="112"/>
        <v>0</v>
      </c>
      <c r="AN70" s="309">
        <v>0</v>
      </c>
      <c r="AO70" s="314">
        <f t="shared" si="113"/>
        <v>0</v>
      </c>
      <c r="AP70" s="309"/>
      <c r="AQ70" s="310"/>
      <c r="AR70" s="310"/>
      <c r="AS70" s="309"/>
    </row>
    <row r="71" spans="1:45" x14ac:dyDescent="0.2">
      <c r="A71" s="86">
        <f t="shared" si="2"/>
        <v>64</v>
      </c>
      <c r="B71" s="725"/>
      <c r="C71" s="726" t="s">
        <v>9</v>
      </c>
      <c r="D71" s="157"/>
      <c r="E71" s="122">
        <f>ROUND('Rates in Detail'!L60,5)</f>
        <v>3.6700000000000001E-3</v>
      </c>
      <c r="F71" s="122">
        <f>'Allocation = % of Margin'!U61</f>
        <v>-2.5000000000000001E-4</v>
      </c>
      <c r="G71" s="157"/>
      <c r="H71" s="373">
        <f>ROUND('Rates in Detail'!N60,5)</f>
        <v>1.8790000000000001E-2</v>
      </c>
      <c r="I71" s="774">
        <f t="shared" si="13"/>
        <v>2.2460000000000001E-2</v>
      </c>
      <c r="J71" s="157"/>
      <c r="K71" s="155"/>
      <c r="L71" s="156"/>
      <c r="M71" s="122"/>
      <c r="N71" s="122"/>
      <c r="O71" s="122"/>
      <c r="P71" s="774"/>
      <c r="Q71" s="157"/>
      <c r="R71" s="298">
        <f>'WA Volumes &amp; Revenues'!E62</f>
        <v>0</v>
      </c>
      <c r="S71" s="311"/>
      <c r="T71" s="300"/>
      <c r="U71" s="301"/>
      <c r="V71" s="157"/>
      <c r="W71" s="313">
        <f t="shared" si="104"/>
        <v>0</v>
      </c>
      <c r="X71" s="309">
        <f t="shared" si="105"/>
        <v>0</v>
      </c>
      <c r="Y71" s="309">
        <f t="shared" si="106"/>
        <v>0</v>
      </c>
      <c r="Z71" s="314"/>
      <c r="AA71" s="309"/>
      <c r="AB71" s="313">
        <f t="shared" si="107"/>
        <v>0</v>
      </c>
      <c r="AC71" s="309">
        <f t="shared" si="108"/>
        <v>0</v>
      </c>
      <c r="AD71" s="314">
        <f t="shared" si="109"/>
        <v>0</v>
      </c>
      <c r="AE71" s="309"/>
      <c r="AF71" s="313">
        <f t="shared" si="110"/>
        <v>0</v>
      </c>
      <c r="AG71" s="309">
        <f t="shared" si="110"/>
        <v>0</v>
      </c>
      <c r="AH71" s="314">
        <f t="shared" si="111"/>
        <v>0</v>
      </c>
      <c r="AI71" s="309"/>
      <c r="AJ71" s="338"/>
      <c r="AK71" s="340" t="e">
        <f>AK70</f>
        <v>#DIV/0!</v>
      </c>
      <c r="AL71" s="309"/>
      <c r="AM71" s="313">
        <f t="shared" si="112"/>
        <v>0</v>
      </c>
      <c r="AN71" s="309">
        <v>0</v>
      </c>
      <c r="AO71" s="314">
        <f t="shared" si="113"/>
        <v>0</v>
      </c>
      <c r="AP71" s="309"/>
      <c r="AQ71" s="310"/>
      <c r="AR71" s="310"/>
      <c r="AS71" s="309"/>
    </row>
    <row r="72" spans="1:45" x14ac:dyDescent="0.2">
      <c r="A72" s="86">
        <f t="shared" si="2"/>
        <v>65</v>
      </c>
      <c r="B72" s="723"/>
      <c r="C72" s="742" t="s">
        <v>78</v>
      </c>
      <c r="D72" s="153"/>
      <c r="E72" s="123"/>
      <c r="F72" s="123"/>
      <c r="G72" s="153"/>
      <c r="H72" s="368"/>
      <c r="I72" s="773"/>
      <c r="J72" s="157"/>
      <c r="K72" s="155"/>
      <c r="L72" s="156"/>
      <c r="M72" s="122"/>
      <c r="N72" s="122"/>
      <c r="O72" s="122"/>
      <c r="P72" s="774"/>
      <c r="Q72" s="157"/>
      <c r="R72" s="298"/>
      <c r="S72" s="311"/>
      <c r="T72" s="300"/>
      <c r="U72" s="301"/>
      <c r="V72" s="157"/>
      <c r="W72" s="315">
        <f>SUM(W66:W71)</f>
        <v>111933.59485000001</v>
      </c>
      <c r="X72" s="316">
        <f>SUM(X66:X71)</f>
        <v>31200</v>
      </c>
      <c r="Y72" s="316">
        <f>SUM(Y66:Y71)</f>
        <v>0</v>
      </c>
      <c r="Z72" s="317">
        <f>'Rate Spread Proposal'!U$15-SUM(W72:Y72)</f>
        <v>17379.017029589973</v>
      </c>
      <c r="AA72" s="309"/>
      <c r="AB72" s="315">
        <f>SUM(AB66:AB71)</f>
        <v>133778.05035</v>
      </c>
      <c r="AC72" s="316">
        <f>SUM(AC66:AC71)</f>
        <v>31200</v>
      </c>
      <c r="AD72" s="317">
        <f>SUM(AD66:AD71)</f>
        <v>0</v>
      </c>
      <c r="AE72" s="309"/>
      <c r="AF72" s="315">
        <f>SUM(AF66:AF71)</f>
        <v>21844.4555</v>
      </c>
      <c r="AG72" s="316">
        <f>SUM(AG66:AG71)</f>
        <v>0</v>
      </c>
      <c r="AH72" s="317">
        <f>SUM(AH66:AH71)</f>
        <v>0</v>
      </c>
      <c r="AI72" s="309"/>
      <c r="AJ72" s="338">
        <f>SUM(AF72:AH72)/SUM(W72:Y72)</f>
        <v>0.15261585180538767</v>
      </c>
      <c r="AK72" s="339">
        <f t="shared" ref="AK72:AK77" si="114">SUM(AF72)/SUM(W72)</f>
        <v>0.19515548954961487</v>
      </c>
      <c r="AL72" s="309"/>
      <c r="AM72" s="315">
        <f>SUM(AM66:AM71)</f>
        <v>-1501.3931600000001</v>
      </c>
      <c r="AN72" s="316">
        <f>SUM(AN66:AN71)</f>
        <v>0</v>
      </c>
      <c r="AO72" s="317">
        <f>SUM(AO66:AO71)</f>
        <v>0</v>
      </c>
      <c r="AP72" s="309"/>
      <c r="AQ72" s="319"/>
      <c r="AR72" s="310"/>
      <c r="AS72" s="309"/>
    </row>
    <row r="73" spans="1:45" x14ac:dyDescent="0.2">
      <c r="A73" s="86">
        <f t="shared" si="2"/>
        <v>66</v>
      </c>
      <c r="B73" s="725" t="str">
        <f>'WA Volumes &amp; Revenues'!B63</f>
        <v>42I Interr Sales</v>
      </c>
      <c r="C73" s="726" t="s">
        <v>4</v>
      </c>
      <c r="D73" s="157"/>
      <c r="E73" s="122">
        <f>ROUND('Rates in Detail'!L61,5)</f>
        <v>3.6839999999999998E-2</v>
      </c>
      <c r="F73" s="122">
        <f>'Allocation = % of Margin'!U62</f>
        <v>-2.5400000000000002E-3</v>
      </c>
      <c r="G73" s="157"/>
      <c r="H73" s="373">
        <f>ROUND('Rates in Detail'!N61,5)</f>
        <v>0.14584</v>
      </c>
      <c r="I73" s="774">
        <f t="shared" si="13"/>
        <v>0.18268000000000001</v>
      </c>
      <c r="J73" s="157"/>
      <c r="K73" s="155">
        <f>'WA Volumes &amp; Revenues'!O63</f>
        <v>1300</v>
      </c>
      <c r="L73" s="156">
        <f>'WA Volumes &amp; Revenues'!N63</f>
        <v>1300</v>
      </c>
      <c r="M73" s="122">
        <f>'Rates in Detail'!AF61</f>
        <v>0</v>
      </c>
      <c r="N73" s="122">
        <f>'Rates in Detail'!AG61</f>
        <v>0</v>
      </c>
      <c r="O73" s="122">
        <f>'Rates in Detail'!AH61</f>
        <v>0</v>
      </c>
      <c r="P73" s="774">
        <f>'Rates in Detail'!AI61</f>
        <v>0</v>
      </c>
      <c r="Q73" s="157"/>
      <c r="R73" s="298">
        <f>'WA Volumes &amp; Revenues'!E63</f>
        <v>156740</v>
      </c>
      <c r="S73" s="311">
        <v>2934</v>
      </c>
      <c r="T73" s="300">
        <f>'WA Volumes &amp; Revenues'!H63</f>
        <v>1.9166666666666701</v>
      </c>
      <c r="U73" s="301">
        <f>'WA Volumes &amp; Revenues'!I63</f>
        <v>13758</v>
      </c>
      <c r="V73" s="157"/>
      <c r="W73" s="313">
        <f t="shared" ref="W73:W78" si="115">(H73*R73)</f>
        <v>22858.961599999999</v>
      </c>
      <c r="X73" s="309">
        <f t="shared" ref="X73:X78" si="116">(K73*T73*12)</f>
        <v>29900.000000000051</v>
      </c>
      <c r="Y73" s="309">
        <f t="shared" ref="Y73:Y78" si="117">(S73*(M73+O73))*12</f>
        <v>0</v>
      </c>
      <c r="Z73" s="314"/>
      <c r="AA73" s="309"/>
      <c r="AB73" s="313">
        <f t="shared" ref="AB73:AB78" si="118">(I73*R73)</f>
        <v>28633.263200000001</v>
      </c>
      <c r="AC73" s="309">
        <f t="shared" ref="AC73:AC78" si="119">(L73*T73*12)</f>
        <v>29900.000000000051</v>
      </c>
      <c r="AD73" s="314">
        <f t="shared" ref="AD73:AD78" si="120">(S73*(N73+P73))*12</f>
        <v>0</v>
      </c>
      <c r="AE73" s="309"/>
      <c r="AF73" s="313">
        <f t="shared" ref="AF73:AG78" si="121">AB73-W73</f>
        <v>5774.3016000000025</v>
      </c>
      <c r="AG73" s="309">
        <f t="shared" si="121"/>
        <v>0</v>
      </c>
      <c r="AH73" s="314">
        <f t="shared" ref="AH73:AH78" si="122">AD73-Y73</f>
        <v>0</v>
      </c>
      <c r="AI73" s="309"/>
      <c r="AJ73" s="338"/>
      <c r="AK73" s="340">
        <f t="shared" si="114"/>
        <v>0.25260559517279224</v>
      </c>
      <c r="AL73" s="309"/>
      <c r="AM73" s="313">
        <f t="shared" ref="AM73:AM78" si="123">(F73*R73)</f>
        <v>-398.11960000000005</v>
      </c>
      <c r="AN73" s="309">
        <v>0</v>
      </c>
      <c r="AO73" s="314">
        <f t="shared" ref="AO73:AO78" si="124">(AE73*(Y73+AB73))*12</f>
        <v>0</v>
      </c>
      <c r="AP73" s="309"/>
      <c r="AQ73" s="310"/>
      <c r="AR73" s="310"/>
      <c r="AS73" s="309"/>
    </row>
    <row r="74" spans="1:45" x14ac:dyDescent="0.2">
      <c r="A74" s="86">
        <f t="shared" ref="A74:A102" si="125">+A73+1</f>
        <v>67</v>
      </c>
      <c r="B74" s="725"/>
      <c r="C74" s="726" t="s">
        <v>5</v>
      </c>
      <c r="D74" s="157"/>
      <c r="E74" s="122">
        <f>ROUND('Rates in Detail'!L62,5)</f>
        <v>3.2980000000000002E-2</v>
      </c>
      <c r="F74" s="122">
        <f>'Allocation = % of Margin'!U63</f>
        <v>-2.2699999999999999E-3</v>
      </c>
      <c r="G74" s="157"/>
      <c r="H74" s="373">
        <f>ROUND('Rates in Detail'!N62,5)</f>
        <v>0.13055</v>
      </c>
      <c r="I74" s="774">
        <f t="shared" si="13"/>
        <v>0.16353000000000001</v>
      </c>
      <c r="J74" s="157"/>
      <c r="K74" s="155"/>
      <c r="L74" s="156"/>
      <c r="M74" s="122"/>
      <c r="N74" s="122"/>
      <c r="O74" s="122"/>
      <c r="P74" s="774"/>
      <c r="Q74" s="157"/>
      <c r="R74" s="298">
        <f>'WA Volumes &amp; Revenues'!E64</f>
        <v>159690</v>
      </c>
      <c r="S74" s="311"/>
      <c r="T74" s="300"/>
      <c r="U74" s="301"/>
      <c r="V74" s="157"/>
      <c r="W74" s="313">
        <f t="shared" si="115"/>
        <v>20847.529500000001</v>
      </c>
      <c r="X74" s="309">
        <f t="shared" si="116"/>
        <v>0</v>
      </c>
      <c r="Y74" s="309">
        <f t="shared" si="117"/>
        <v>0</v>
      </c>
      <c r="Z74" s="314"/>
      <c r="AA74" s="309"/>
      <c r="AB74" s="313">
        <f t="shared" si="118"/>
        <v>26114.1057</v>
      </c>
      <c r="AC74" s="309">
        <f t="shared" si="119"/>
        <v>0</v>
      </c>
      <c r="AD74" s="314">
        <f t="shared" si="120"/>
        <v>0</v>
      </c>
      <c r="AE74" s="309"/>
      <c r="AF74" s="313">
        <f t="shared" si="121"/>
        <v>5266.5761999999995</v>
      </c>
      <c r="AG74" s="309">
        <f t="shared" si="121"/>
        <v>0</v>
      </c>
      <c r="AH74" s="314">
        <f t="shared" si="122"/>
        <v>0</v>
      </c>
      <c r="AI74" s="309"/>
      <c r="AJ74" s="338"/>
      <c r="AK74" s="340">
        <f t="shared" si="114"/>
        <v>0.25262351589429333</v>
      </c>
      <c r="AL74" s="309"/>
      <c r="AM74" s="313">
        <f t="shared" si="123"/>
        <v>-362.49629999999996</v>
      </c>
      <c r="AN74" s="309">
        <v>0</v>
      </c>
      <c r="AO74" s="314">
        <f t="shared" si="124"/>
        <v>0</v>
      </c>
      <c r="AP74" s="309"/>
      <c r="AQ74" s="310"/>
      <c r="AR74" s="310"/>
      <c r="AS74" s="309"/>
    </row>
    <row r="75" spans="1:45" x14ac:dyDescent="0.2">
      <c r="A75" s="86">
        <f t="shared" si="125"/>
        <v>68</v>
      </c>
      <c r="B75" s="725"/>
      <c r="C75" s="726" t="s">
        <v>6</v>
      </c>
      <c r="D75" s="157"/>
      <c r="E75" s="122">
        <f>ROUND('Rates in Detail'!L63,5)</f>
        <v>2.529E-2</v>
      </c>
      <c r="F75" s="122">
        <f>'Allocation = % of Margin'!U64</f>
        <v>-1.74E-3</v>
      </c>
      <c r="G75" s="157"/>
      <c r="H75" s="373">
        <f>ROUND('Rates in Detail'!N63,5)</f>
        <v>0.10011</v>
      </c>
      <c r="I75" s="774">
        <f t="shared" si="13"/>
        <v>0.12540000000000001</v>
      </c>
      <c r="J75" s="157"/>
      <c r="K75" s="155"/>
      <c r="L75" s="156"/>
      <c r="M75" s="122"/>
      <c r="N75" s="122"/>
      <c r="O75" s="122"/>
      <c r="P75" s="774"/>
      <c r="Q75" s="157"/>
      <c r="R75" s="298">
        <f>'WA Volumes &amp; Revenues'!E65</f>
        <v>0</v>
      </c>
      <c r="S75" s="311"/>
      <c r="T75" s="300"/>
      <c r="U75" s="301"/>
      <c r="V75" s="157"/>
      <c r="W75" s="313">
        <f t="shared" si="115"/>
        <v>0</v>
      </c>
      <c r="X75" s="309">
        <f t="shared" si="116"/>
        <v>0</v>
      </c>
      <c r="Y75" s="309">
        <f t="shared" si="117"/>
        <v>0</v>
      </c>
      <c r="Z75" s="314"/>
      <c r="AA75" s="309"/>
      <c r="AB75" s="313">
        <f t="shared" si="118"/>
        <v>0</v>
      </c>
      <c r="AC75" s="309">
        <f t="shared" si="119"/>
        <v>0</v>
      </c>
      <c r="AD75" s="314">
        <f t="shared" si="120"/>
        <v>0</v>
      </c>
      <c r="AE75" s="309"/>
      <c r="AF75" s="313">
        <f t="shared" si="121"/>
        <v>0</v>
      </c>
      <c r="AG75" s="309">
        <f t="shared" si="121"/>
        <v>0</v>
      </c>
      <c r="AH75" s="314">
        <f t="shared" si="122"/>
        <v>0</v>
      </c>
      <c r="AI75" s="309"/>
      <c r="AJ75" s="338"/>
      <c r="AK75" s="340" t="e">
        <f t="shared" si="114"/>
        <v>#DIV/0!</v>
      </c>
      <c r="AL75" s="309"/>
      <c r="AM75" s="313">
        <f t="shared" si="123"/>
        <v>0</v>
      </c>
      <c r="AN75" s="309">
        <v>0</v>
      </c>
      <c r="AO75" s="314">
        <f t="shared" si="124"/>
        <v>0</v>
      </c>
      <c r="AP75" s="309"/>
      <c r="AQ75" s="310"/>
      <c r="AR75" s="310"/>
      <c r="AS75" s="309"/>
    </row>
    <row r="76" spans="1:45" x14ac:dyDescent="0.2">
      <c r="A76" s="86">
        <f t="shared" si="125"/>
        <v>69</v>
      </c>
      <c r="B76" s="725"/>
      <c r="C76" s="726" t="s">
        <v>7</v>
      </c>
      <c r="D76" s="157"/>
      <c r="E76" s="122">
        <f>ROUND('Rates in Detail'!L64,5)</f>
        <v>2.0230000000000001E-2</v>
      </c>
      <c r="F76" s="122">
        <f>'Allocation = % of Margin'!U65</f>
        <v>-1.39E-3</v>
      </c>
      <c r="G76" s="157"/>
      <c r="H76" s="373">
        <f>ROUND('Rates in Detail'!N64,5)</f>
        <v>8.0089999999999995E-2</v>
      </c>
      <c r="I76" s="774">
        <f t="shared" si="13"/>
        <v>0.10031999999999999</v>
      </c>
      <c r="J76" s="157"/>
      <c r="K76" s="155"/>
      <c r="L76" s="156"/>
      <c r="M76" s="122"/>
      <c r="N76" s="122"/>
      <c r="O76" s="122"/>
      <c r="P76" s="774"/>
      <c r="Q76" s="157"/>
      <c r="R76" s="298">
        <f>'WA Volumes &amp; Revenues'!E66</f>
        <v>0</v>
      </c>
      <c r="S76" s="311"/>
      <c r="T76" s="300"/>
      <c r="U76" s="301"/>
      <c r="V76" s="157"/>
      <c r="W76" s="313">
        <f t="shared" si="115"/>
        <v>0</v>
      </c>
      <c r="X76" s="309">
        <f t="shared" si="116"/>
        <v>0</v>
      </c>
      <c r="Y76" s="309">
        <f t="shared" si="117"/>
        <v>0</v>
      </c>
      <c r="Z76" s="314"/>
      <c r="AA76" s="309"/>
      <c r="AB76" s="313">
        <f t="shared" si="118"/>
        <v>0</v>
      </c>
      <c r="AC76" s="309">
        <f t="shared" si="119"/>
        <v>0</v>
      </c>
      <c r="AD76" s="314">
        <f t="shared" si="120"/>
        <v>0</v>
      </c>
      <c r="AE76" s="309"/>
      <c r="AF76" s="313">
        <f t="shared" si="121"/>
        <v>0</v>
      </c>
      <c r="AG76" s="309">
        <f t="shared" si="121"/>
        <v>0</v>
      </c>
      <c r="AH76" s="314">
        <f t="shared" si="122"/>
        <v>0</v>
      </c>
      <c r="AI76" s="309"/>
      <c r="AJ76" s="338"/>
      <c r="AK76" s="340" t="e">
        <f t="shared" si="114"/>
        <v>#DIV/0!</v>
      </c>
      <c r="AL76" s="309"/>
      <c r="AM76" s="313">
        <f t="shared" si="123"/>
        <v>0</v>
      </c>
      <c r="AN76" s="309">
        <v>0</v>
      </c>
      <c r="AO76" s="314">
        <f t="shared" si="124"/>
        <v>0</v>
      </c>
      <c r="AP76" s="309"/>
      <c r="AQ76" s="310"/>
      <c r="AR76" s="310"/>
      <c r="AS76" s="309"/>
    </row>
    <row r="77" spans="1:45" x14ac:dyDescent="0.2">
      <c r="A77" s="86">
        <f t="shared" si="125"/>
        <v>70</v>
      </c>
      <c r="B77" s="725"/>
      <c r="C77" s="726" t="s">
        <v>8</v>
      </c>
      <c r="D77" s="157"/>
      <c r="E77" s="122">
        <f>ROUND('Rates in Detail'!L65,5)</f>
        <v>1.349E-2</v>
      </c>
      <c r="F77" s="122">
        <f>'Allocation = % of Margin'!U66</f>
        <v>-9.3000000000000005E-4</v>
      </c>
      <c r="G77" s="157"/>
      <c r="H77" s="373">
        <f>ROUND('Rates in Detail'!N65,5)</f>
        <v>5.339E-2</v>
      </c>
      <c r="I77" s="774">
        <f t="shared" si="13"/>
        <v>6.6879999999999995E-2</v>
      </c>
      <c r="J77" s="157"/>
      <c r="K77" s="155"/>
      <c r="L77" s="156"/>
      <c r="M77" s="122"/>
      <c r="N77" s="122"/>
      <c r="O77" s="122"/>
      <c r="P77" s="774"/>
      <c r="Q77" s="157"/>
      <c r="R77" s="298">
        <f>'WA Volumes &amp; Revenues'!E67</f>
        <v>0</v>
      </c>
      <c r="S77" s="311"/>
      <c r="T77" s="300"/>
      <c r="U77" s="301"/>
      <c r="V77" s="157"/>
      <c r="W77" s="313">
        <f t="shared" si="115"/>
        <v>0</v>
      </c>
      <c r="X77" s="309">
        <f t="shared" si="116"/>
        <v>0</v>
      </c>
      <c r="Y77" s="309">
        <f t="shared" si="117"/>
        <v>0</v>
      </c>
      <c r="Z77" s="314"/>
      <c r="AA77" s="309"/>
      <c r="AB77" s="313">
        <f t="shared" si="118"/>
        <v>0</v>
      </c>
      <c r="AC77" s="309">
        <f t="shared" si="119"/>
        <v>0</v>
      </c>
      <c r="AD77" s="314">
        <f t="shared" si="120"/>
        <v>0</v>
      </c>
      <c r="AE77" s="309"/>
      <c r="AF77" s="313">
        <f t="shared" si="121"/>
        <v>0</v>
      </c>
      <c r="AG77" s="309">
        <f t="shared" si="121"/>
        <v>0</v>
      </c>
      <c r="AH77" s="314">
        <f t="shared" si="122"/>
        <v>0</v>
      </c>
      <c r="AI77" s="309"/>
      <c r="AJ77" s="338"/>
      <c r="AK77" s="340" t="e">
        <f t="shared" si="114"/>
        <v>#DIV/0!</v>
      </c>
      <c r="AL77" s="309"/>
      <c r="AM77" s="313">
        <f t="shared" si="123"/>
        <v>0</v>
      </c>
      <c r="AN77" s="309">
        <v>0</v>
      </c>
      <c r="AO77" s="314">
        <f t="shared" si="124"/>
        <v>0</v>
      </c>
      <c r="AP77" s="309"/>
      <c r="AQ77" s="310"/>
      <c r="AR77" s="310"/>
      <c r="AS77" s="309"/>
    </row>
    <row r="78" spans="1:45" x14ac:dyDescent="0.2">
      <c r="A78" s="86">
        <f t="shared" si="125"/>
        <v>71</v>
      </c>
      <c r="B78" s="725"/>
      <c r="C78" s="726" t="s">
        <v>9</v>
      </c>
      <c r="D78" s="157"/>
      <c r="E78" s="122">
        <f>ROUND('Rates in Detail'!L66,5)</f>
        <v>5.0600000000000003E-3</v>
      </c>
      <c r="F78" s="122">
        <f>'Allocation = % of Margin'!U67</f>
        <v>-3.5E-4</v>
      </c>
      <c r="G78" s="157"/>
      <c r="H78" s="373">
        <f>ROUND('Rates in Detail'!N66,5)</f>
        <v>2.002E-2</v>
      </c>
      <c r="I78" s="774">
        <f t="shared" ref="I78:I96" si="126">H78+E78</f>
        <v>2.5079999999999998E-2</v>
      </c>
      <c r="J78" s="157"/>
      <c r="K78" s="743"/>
      <c r="L78" s="372"/>
      <c r="M78" s="122"/>
      <c r="N78" s="122"/>
      <c r="O78" s="122"/>
      <c r="P78" s="774"/>
      <c r="Q78" s="157"/>
      <c r="R78" s="298">
        <f>'WA Volumes &amp; Revenues'!E68</f>
        <v>0</v>
      </c>
      <c r="S78" s="311"/>
      <c r="T78" s="300"/>
      <c r="U78" s="301"/>
      <c r="V78" s="157"/>
      <c r="W78" s="313">
        <f t="shared" si="115"/>
        <v>0</v>
      </c>
      <c r="X78" s="309">
        <f t="shared" si="116"/>
        <v>0</v>
      </c>
      <c r="Y78" s="309">
        <f t="shared" si="117"/>
        <v>0</v>
      </c>
      <c r="Z78" s="314"/>
      <c r="AA78" s="309"/>
      <c r="AB78" s="313">
        <f t="shared" si="118"/>
        <v>0</v>
      </c>
      <c r="AC78" s="309">
        <f t="shared" si="119"/>
        <v>0</v>
      </c>
      <c r="AD78" s="314">
        <f t="shared" si="120"/>
        <v>0</v>
      </c>
      <c r="AE78" s="309"/>
      <c r="AF78" s="313">
        <f t="shared" si="121"/>
        <v>0</v>
      </c>
      <c r="AG78" s="309">
        <f t="shared" si="121"/>
        <v>0</v>
      </c>
      <c r="AH78" s="314">
        <f t="shared" si="122"/>
        <v>0</v>
      </c>
      <c r="AI78" s="309"/>
      <c r="AJ78" s="338"/>
      <c r="AK78" s="340" t="e">
        <f>AK77</f>
        <v>#DIV/0!</v>
      </c>
      <c r="AL78" s="309"/>
      <c r="AM78" s="313">
        <f t="shared" si="123"/>
        <v>0</v>
      </c>
      <c r="AN78" s="309">
        <v>0</v>
      </c>
      <c r="AO78" s="314">
        <f t="shared" si="124"/>
        <v>0</v>
      </c>
      <c r="AP78" s="309"/>
      <c r="AQ78" s="310"/>
      <c r="AR78" s="310"/>
      <c r="AS78" s="309"/>
    </row>
    <row r="79" spans="1:45" x14ac:dyDescent="0.2">
      <c r="A79" s="86">
        <f t="shared" si="125"/>
        <v>72</v>
      </c>
      <c r="B79" s="723"/>
      <c r="C79" s="742" t="s">
        <v>78</v>
      </c>
      <c r="D79" s="153"/>
      <c r="E79" s="123"/>
      <c r="F79" s="123"/>
      <c r="G79" s="153"/>
      <c r="H79" s="368"/>
      <c r="I79" s="773"/>
      <c r="J79" s="157"/>
      <c r="K79" s="743"/>
      <c r="L79" s="372"/>
      <c r="M79" s="122"/>
      <c r="N79" s="122"/>
      <c r="O79" s="122"/>
      <c r="P79" s="774"/>
      <c r="Q79" s="157"/>
      <c r="R79" s="298"/>
      <c r="S79" s="311"/>
      <c r="T79" s="300"/>
      <c r="U79" s="301"/>
      <c r="V79" s="157"/>
      <c r="W79" s="315">
        <f>SUM(W73:W78)</f>
        <v>43706.491099999999</v>
      </c>
      <c r="X79" s="316">
        <f>SUM(X73:X78)</f>
        <v>29900.000000000051</v>
      </c>
      <c r="Y79" s="316">
        <f>SUM(Y73:Y78)</f>
        <v>0</v>
      </c>
      <c r="Z79" s="317">
        <f>'Rate Spread Proposal'!V$15-SUM(W79:Y79)</f>
        <v>7523.5434959917475</v>
      </c>
      <c r="AA79" s="309"/>
      <c r="AB79" s="315">
        <f>SUM(AB73:AB78)</f>
        <v>54747.368900000001</v>
      </c>
      <c r="AC79" s="316">
        <f>SUM(AC73:AC78)</f>
        <v>29900.000000000051</v>
      </c>
      <c r="AD79" s="317">
        <f>SUM(AD73:AD78)</f>
        <v>0</v>
      </c>
      <c r="AE79" s="309"/>
      <c r="AF79" s="315">
        <f>SUM(AF73:AF78)</f>
        <v>11040.877800000002</v>
      </c>
      <c r="AG79" s="316">
        <f>SUM(AG73:AG78)</f>
        <v>0</v>
      </c>
      <c r="AH79" s="317">
        <f>SUM(AH73:AH78)</f>
        <v>0</v>
      </c>
      <c r="AI79" s="309"/>
      <c r="AJ79" s="338">
        <f>SUM(AF79:AH79)/SUM(W79:Y79)</f>
        <v>0.14999869760127713</v>
      </c>
      <c r="AK79" s="339">
        <f t="shared" ref="AK79:AK84" si="127">SUM(AF79)/SUM(W79)</f>
        <v>0.25261414316556752</v>
      </c>
      <c r="AL79" s="309"/>
      <c r="AM79" s="315">
        <f>SUM(AM73:AM78)</f>
        <v>-760.61590000000001</v>
      </c>
      <c r="AN79" s="316">
        <f>SUM(AN73:AN78)</f>
        <v>0</v>
      </c>
      <c r="AO79" s="317">
        <f>SUM(AO73:AO78)</f>
        <v>0</v>
      </c>
      <c r="AP79" s="309"/>
      <c r="AQ79" s="310"/>
      <c r="AR79" s="310"/>
      <c r="AS79" s="309"/>
    </row>
    <row r="80" spans="1:45" x14ac:dyDescent="0.2">
      <c r="A80" s="86">
        <f t="shared" si="125"/>
        <v>73</v>
      </c>
      <c r="B80" s="725" t="str">
        <f>'WA Volumes &amp; Revenues'!B69</f>
        <v>42C Inter Transpt</v>
      </c>
      <c r="C80" s="726" t="s">
        <v>4</v>
      </c>
      <c r="D80" s="157"/>
      <c r="E80" s="122">
        <f>ROUND('Rates in Detail'!L67,5)</f>
        <v>1.6990000000000002E-2</v>
      </c>
      <c r="F80" s="122">
        <f>'Allocation = % of Margin'!U68</f>
        <v>-1.2600000000000001E-3</v>
      </c>
      <c r="G80" s="157"/>
      <c r="H80" s="373">
        <f>ROUND('Rates in Detail'!N67,5)</f>
        <v>0.13403000000000001</v>
      </c>
      <c r="I80" s="774">
        <f t="shared" si="126"/>
        <v>0.15102000000000002</v>
      </c>
      <c r="J80" s="157"/>
      <c r="K80" s="155">
        <f>'WA Volumes &amp; Revenues'!O69</f>
        <v>1550</v>
      </c>
      <c r="L80" s="156">
        <f>'WA Volumes &amp; Revenues'!N69</f>
        <v>1550</v>
      </c>
      <c r="M80" s="122">
        <f>'Rates in Detail'!AF67</f>
        <v>0</v>
      </c>
      <c r="N80" s="122">
        <f>'Rates in Detail'!AG67</f>
        <v>0</v>
      </c>
      <c r="O80" s="122">
        <f>'Rates in Detail'!AH67</f>
        <v>0</v>
      </c>
      <c r="P80" s="774">
        <f>'Rates in Detail'!AI67</f>
        <v>0</v>
      </c>
      <c r="Q80" s="157"/>
      <c r="R80" s="298">
        <f>'WA Volumes &amp; Revenues'!E69</f>
        <v>0</v>
      </c>
      <c r="S80" s="311"/>
      <c r="T80" s="300">
        <f>'WA Volumes &amp; Revenues'!H69</f>
        <v>0</v>
      </c>
      <c r="U80" s="301">
        <f>'WA Volumes &amp; Revenues'!I69</f>
        <v>0</v>
      </c>
      <c r="V80" s="157"/>
      <c r="W80" s="313">
        <f t="shared" ref="W80:W85" si="128">(H80*R80)</f>
        <v>0</v>
      </c>
      <c r="X80" s="309">
        <f t="shared" ref="X80:X85" si="129">(K80*T80*12)</f>
        <v>0</v>
      </c>
      <c r="Y80" s="309">
        <f t="shared" ref="Y80:Y85" si="130">(S80*(M80+O80))*12</f>
        <v>0</v>
      </c>
      <c r="Z80" s="314"/>
      <c r="AA80" s="309"/>
      <c r="AB80" s="313">
        <f t="shared" ref="AB80:AB85" si="131">(I80*R80)</f>
        <v>0</v>
      </c>
      <c r="AC80" s="309">
        <f t="shared" ref="AC80:AC85" si="132">(L80*T80*12)</f>
        <v>0</v>
      </c>
      <c r="AD80" s="314">
        <f t="shared" ref="AD80:AD85" si="133">(S80*(N80+P80))*12</f>
        <v>0</v>
      </c>
      <c r="AE80" s="309"/>
      <c r="AF80" s="313">
        <f t="shared" ref="AF80:AG85" si="134">AB80-W80</f>
        <v>0</v>
      </c>
      <c r="AG80" s="309">
        <f t="shared" si="134"/>
        <v>0</v>
      </c>
      <c r="AH80" s="314">
        <f t="shared" ref="AH80:AH85" si="135">AD80-Y80</f>
        <v>0</v>
      </c>
      <c r="AI80" s="309"/>
      <c r="AJ80" s="338"/>
      <c r="AK80" s="340" t="e">
        <f t="shared" si="127"/>
        <v>#DIV/0!</v>
      </c>
      <c r="AL80" s="309"/>
      <c r="AM80" s="313">
        <f t="shared" ref="AM80:AM85" si="136">(F80*R80)</f>
        <v>0</v>
      </c>
      <c r="AN80" s="309">
        <v>0</v>
      </c>
      <c r="AO80" s="314">
        <f t="shared" ref="AO80:AO85" si="137">(AE80*(Y80+AB80))*12</f>
        <v>0</v>
      </c>
      <c r="AP80" s="309"/>
      <c r="AQ80" s="310"/>
      <c r="AR80" s="310"/>
      <c r="AS80" s="309"/>
    </row>
    <row r="81" spans="1:45" x14ac:dyDescent="0.2">
      <c r="A81" s="86">
        <f t="shared" si="125"/>
        <v>74</v>
      </c>
      <c r="B81" s="725"/>
      <c r="C81" s="726" t="s">
        <v>5</v>
      </c>
      <c r="D81" s="157"/>
      <c r="E81" s="122">
        <f>ROUND('Rates in Detail'!L68,5)</f>
        <v>1.521E-2</v>
      </c>
      <c r="F81" s="122">
        <f>'Allocation = % of Margin'!U69</f>
        <v>-1.1199999999999999E-3</v>
      </c>
      <c r="G81" s="157"/>
      <c r="H81" s="373">
        <f>ROUND('Rates in Detail'!N68,5)</f>
        <v>0.11998</v>
      </c>
      <c r="I81" s="774">
        <f t="shared" si="126"/>
        <v>0.13519</v>
      </c>
      <c r="J81" s="157"/>
      <c r="K81" s="155"/>
      <c r="L81" s="156"/>
      <c r="M81" s="122"/>
      <c r="N81" s="122"/>
      <c r="O81" s="122"/>
      <c r="P81" s="774"/>
      <c r="Q81" s="157"/>
      <c r="R81" s="298">
        <f>'WA Volumes &amp; Revenues'!E70</f>
        <v>0</v>
      </c>
      <c r="S81" s="311"/>
      <c r="T81" s="300"/>
      <c r="U81" s="301"/>
      <c r="V81" s="157"/>
      <c r="W81" s="313">
        <f t="shared" si="128"/>
        <v>0</v>
      </c>
      <c r="X81" s="309">
        <f t="shared" si="129"/>
        <v>0</v>
      </c>
      <c r="Y81" s="309">
        <f t="shared" si="130"/>
        <v>0</v>
      </c>
      <c r="Z81" s="314"/>
      <c r="AA81" s="309"/>
      <c r="AB81" s="313">
        <f t="shared" si="131"/>
        <v>0</v>
      </c>
      <c r="AC81" s="309">
        <f t="shared" si="132"/>
        <v>0</v>
      </c>
      <c r="AD81" s="314">
        <f t="shared" si="133"/>
        <v>0</v>
      </c>
      <c r="AE81" s="309"/>
      <c r="AF81" s="313">
        <f t="shared" si="134"/>
        <v>0</v>
      </c>
      <c r="AG81" s="309">
        <f t="shared" si="134"/>
        <v>0</v>
      </c>
      <c r="AH81" s="314">
        <f t="shared" si="135"/>
        <v>0</v>
      </c>
      <c r="AI81" s="309"/>
      <c r="AJ81" s="338"/>
      <c r="AK81" s="340" t="e">
        <f t="shared" si="127"/>
        <v>#DIV/0!</v>
      </c>
      <c r="AL81" s="309"/>
      <c r="AM81" s="313">
        <f t="shared" si="136"/>
        <v>0</v>
      </c>
      <c r="AN81" s="309">
        <v>0</v>
      </c>
      <c r="AO81" s="314">
        <f t="shared" si="137"/>
        <v>0</v>
      </c>
      <c r="AP81" s="309"/>
      <c r="AQ81" s="310"/>
      <c r="AR81" s="310"/>
      <c r="AS81" s="309"/>
    </row>
    <row r="82" spans="1:45" x14ac:dyDescent="0.2">
      <c r="A82" s="86">
        <f t="shared" si="125"/>
        <v>75</v>
      </c>
      <c r="B82" s="725"/>
      <c r="C82" s="726" t="s">
        <v>6</v>
      </c>
      <c r="D82" s="157"/>
      <c r="E82" s="122">
        <f>ROUND('Rates in Detail'!L69,5)</f>
        <v>1.166E-2</v>
      </c>
      <c r="F82" s="122">
        <f>'Allocation = % of Margin'!U70</f>
        <v>-8.5999999999999998E-4</v>
      </c>
      <c r="G82" s="157"/>
      <c r="H82" s="373">
        <f>ROUND('Rates in Detail'!N69,5)</f>
        <v>9.1999999999999998E-2</v>
      </c>
      <c r="I82" s="774">
        <f t="shared" si="126"/>
        <v>0.10366</v>
      </c>
      <c r="J82" s="157"/>
      <c r="K82" s="155"/>
      <c r="L82" s="156"/>
      <c r="M82" s="122"/>
      <c r="N82" s="122"/>
      <c r="O82" s="122"/>
      <c r="P82" s="774"/>
      <c r="Q82" s="157"/>
      <c r="R82" s="298">
        <f>'WA Volumes &amp; Revenues'!E71</f>
        <v>0</v>
      </c>
      <c r="S82" s="311"/>
      <c r="T82" s="300"/>
      <c r="U82" s="301"/>
      <c r="V82" s="157"/>
      <c r="W82" s="313">
        <f t="shared" si="128"/>
        <v>0</v>
      </c>
      <c r="X82" s="309">
        <f t="shared" si="129"/>
        <v>0</v>
      </c>
      <c r="Y82" s="309">
        <f t="shared" si="130"/>
        <v>0</v>
      </c>
      <c r="Z82" s="314"/>
      <c r="AA82" s="309"/>
      <c r="AB82" s="313">
        <f t="shared" si="131"/>
        <v>0</v>
      </c>
      <c r="AC82" s="309">
        <f t="shared" si="132"/>
        <v>0</v>
      </c>
      <c r="AD82" s="314">
        <f t="shared" si="133"/>
        <v>0</v>
      </c>
      <c r="AE82" s="309"/>
      <c r="AF82" s="313">
        <f t="shared" si="134"/>
        <v>0</v>
      </c>
      <c r="AG82" s="309">
        <f t="shared" si="134"/>
        <v>0</v>
      </c>
      <c r="AH82" s="314">
        <f t="shared" si="135"/>
        <v>0</v>
      </c>
      <c r="AI82" s="309"/>
      <c r="AJ82" s="338"/>
      <c r="AK82" s="340" t="e">
        <f t="shared" si="127"/>
        <v>#DIV/0!</v>
      </c>
      <c r="AL82" s="309"/>
      <c r="AM82" s="313">
        <f t="shared" si="136"/>
        <v>0</v>
      </c>
      <c r="AN82" s="309">
        <v>0</v>
      </c>
      <c r="AO82" s="314">
        <f t="shared" si="137"/>
        <v>0</v>
      </c>
      <c r="AP82" s="309"/>
      <c r="AQ82" s="310"/>
      <c r="AR82" s="310"/>
      <c r="AS82" s="309"/>
    </row>
    <row r="83" spans="1:45" x14ac:dyDescent="0.2">
      <c r="A83" s="86">
        <f t="shared" si="125"/>
        <v>76</v>
      </c>
      <c r="B83" s="725"/>
      <c r="C83" s="726" t="s">
        <v>7</v>
      </c>
      <c r="D83" s="157"/>
      <c r="E83" s="122">
        <f>ROUND('Rates in Detail'!L70,5)</f>
        <v>9.3299999999999998E-3</v>
      </c>
      <c r="F83" s="122">
        <f>'Allocation = % of Margin'!U71</f>
        <v>-6.8999999999999997E-4</v>
      </c>
      <c r="G83" s="157"/>
      <c r="H83" s="373">
        <f>ROUND('Rates in Detail'!N70,5)</f>
        <v>7.3609999999999995E-2</v>
      </c>
      <c r="I83" s="774">
        <f t="shared" si="126"/>
        <v>8.294E-2</v>
      </c>
      <c r="J83" s="157"/>
      <c r="K83" s="155"/>
      <c r="L83" s="156"/>
      <c r="M83" s="122"/>
      <c r="N83" s="122"/>
      <c r="O83" s="122"/>
      <c r="P83" s="774"/>
      <c r="Q83" s="157"/>
      <c r="R83" s="298">
        <f>'WA Volumes &amp; Revenues'!E72</f>
        <v>0</v>
      </c>
      <c r="S83" s="311"/>
      <c r="T83" s="300"/>
      <c r="U83" s="301"/>
      <c r="V83" s="157"/>
      <c r="W83" s="313">
        <f t="shared" si="128"/>
        <v>0</v>
      </c>
      <c r="X83" s="309">
        <f t="shared" si="129"/>
        <v>0</v>
      </c>
      <c r="Y83" s="309">
        <f t="shared" si="130"/>
        <v>0</v>
      </c>
      <c r="Z83" s="314"/>
      <c r="AA83" s="309"/>
      <c r="AB83" s="313">
        <f t="shared" si="131"/>
        <v>0</v>
      </c>
      <c r="AC83" s="309">
        <f t="shared" si="132"/>
        <v>0</v>
      </c>
      <c r="AD83" s="314">
        <f t="shared" si="133"/>
        <v>0</v>
      </c>
      <c r="AE83" s="309"/>
      <c r="AF83" s="313">
        <f t="shared" si="134"/>
        <v>0</v>
      </c>
      <c r="AG83" s="309">
        <f t="shared" si="134"/>
        <v>0</v>
      </c>
      <c r="AH83" s="314">
        <f t="shared" si="135"/>
        <v>0</v>
      </c>
      <c r="AI83" s="309"/>
      <c r="AJ83" s="338"/>
      <c r="AK83" s="340" t="e">
        <f t="shared" si="127"/>
        <v>#DIV/0!</v>
      </c>
      <c r="AL83" s="309"/>
      <c r="AM83" s="313">
        <f t="shared" si="136"/>
        <v>0</v>
      </c>
      <c r="AN83" s="309">
        <v>0</v>
      </c>
      <c r="AO83" s="314">
        <f t="shared" si="137"/>
        <v>0</v>
      </c>
      <c r="AP83" s="309"/>
      <c r="AQ83" s="310"/>
      <c r="AR83" s="310"/>
      <c r="AS83" s="309"/>
    </row>
    <row r="84" spans="1:45" x14ac:dyDescent="0.2">
      <c r="A84" s="86">
        <f t="shared" si="125"/>
        <v>77</v>
      </c>
      <c r="B84" s="725"/>
      <c r="C84" s="726" t="s">
        <v>8</v>
      </c>
      <c r="D84" s="157"/>
      <c r="E84" s="122">
        <f>ROUND('Rates in Detail'!L71,5)</f>
        <v>6.2199999999999998E-3</v>
      </c>
      <c r="F84" s="122">
        <f>'Allocation = % of Margin'!U72</f>
        <v>-4.6000000000000001E-4</v>
      </c>
      <c r="G84" s="157"/>
      <c r="H84" s="373">
        <f>ROUND('Rates in Detail'!N71,5)</f>
        <v>4.9079999999999999E-2</v>
      </c>
      <c r="I84" s="774">
        <f t="shared" si="126"/>
        <v>5.5300000000000002E-2</v>
      </c>
      <c r="J84" s="157"/>
      <c r="K84" s="155"/>
      <c r="L84" s="156"/>
      <c r="M84" s="122"/>
      <c r="N84" s="122"/>
      <c r="O84" s="122"/>
      <c r="P84" s="774"/>
      <c r="Q84" s="157"/>
      <c r="R84" s="298">
        <f>'WA Volumes &amp; Revenues'!E73</f>
        <v>0</v>
      </c>
      <c r="S84" s="311"/>
      <c r="T84" s="300"/>
      <c r="U84" s="301"/>
      <c r="V84" s="157"/>
      <c r="W84" s="313">
        <f t="shared" si="128"/>
        <v>0</v>
      </c>
      <c r="X84" s="309">
        <f t="shared" si="129"/>
        <v>0</v>
      </c>
      <c r="Y84" s="309">
        <f t="shared" si="130"/>
        <v>0</v>
      </c>
      <c r="Z84" s="314"/>
      <c r="AA84" s="309"/>
      <c r="AB84" s="313">
        <f t="shared" si="131"/>
        <v>0</v>
      </c>
      <c r="AC84" s="309">
        <f t="shared" si="132"/>
        <v>0</v>
      </c>
      <c r="AD84" s="314">
        <f t="shared" si="133"/>
        <v>0</v>
      </c>
      <c r="AE84" s="309"/>
      <c r="AF84" s="313">
        <f t="shared" si="134"/>
        <v>0</v>
      </c>
      <c r="AG84" s="309">
        <f t="shared" si="134"/>
        <v>0</v>
      </c>
      <c r="AH84" s="314">
        <f t="shared" si="135"/>
        <v>0</v>
      </c>
      <c r="AI84" s="309"/>
      <c r="AJ84" s="338"/>
      <c r="AK84" s="340" t="e">
        <f t="shared" si="127"/>
        <v>#DIV/0!</v>
      </c>
      <c r="AL84" s="309"/>
      <c r="AM84" s="313">
        <f t="shared" si="136"/>
        <v>0</v>
      </c>
      <c r="AN84" s="309">
        <v>0</v>
      </c>
      <c r="AO84" s="314">
        <f t="shared" si="137"/>
        <v>0</v>
      </c>
      <c r="AP84" s="309"/>
      <c r="AQ84" s="310"/>
      <c r="AR84" s="310"/>
      <c r="AS84" s="309"/>
    </row>
    <row r="85" spans="1:45" x14ac:dyDescent="0.2">
      <c r="A85" s="86">
        <f t="shared" si="125"/>
        <v>78</v>
      </c>
      <c r="B85" s="725"/>
      <c r="C85" s="726" t="s">
        <v>9</v>
      </c>
      <c r="D85" s="157"/>
      <c r="E85" s="122">
        <f>ROUND('Rates in Detail'!L72,5)</f>
        <v>2.33E-3</v>
      </c>
      <c r="F85" s="122">
        <f>'Allocation = % of Margin'!U73</f>
        <v>-1.7000000000000001E-4</v>
      </c>
      <c r="G85" s="157"/>
      <c r="H85" s="373">
        <f>ROUND('Rates in Detail'!N72,5)</f>
        <v>1.839E-2</v>
      </c>
      <c r="I85" s="774">
        <f t="shared" si="126"/>
        <v>2.0719999999999999E-2</v>
      </c>
      <c r="J85" s="157"/>
      <c r="K85" s="743"/>
      <c r="L85" s="372"/>
      <c r="M85" s="122"/>
      <c r="N85" s="122"/>
      <c r="O85" s="122"/>
      <c r="P85" s="774"/>
      <c r="Q85" s="157"/>
      <c r="R85" s="298">
        <f>'WA Volumes &amp; Revenues'!E74</f>
        <v>0</v>
      </c>
      <c r="S85" s="311"/>
      <c r="T85" s="300"/>
      <c r="U85" s="301"/>
      <c r="V85" s="157"/>
      <c r="W85" s="313">
        <f t="shared" si="128"/>
        <v>0</v>
      </c>
      <c r="X85" s="309">
        <f t="shared" si="129"/>
        <v>0</v>
      </c>
      <c r="Y85" s="309">
        <f t="shared" si="130"/>
        <v>0</v>
      </c>
      <c r="Z85" s="314"/>
      <c r="AA85" s="309"/>
      <c r="AB85" s="313">
        <f t="shared" si="131"/>
        <v>0</v>
      </c>
      <c r="AC85" s="309">
        <f t="shared" si="132"/>
        <v>0</v>
      </c>
      <c r="AD85" s="314">
        <f t="shared" si="133"/>
        <v>0</v>
      </c>
      <c r="AE85" s="309"/>
      <c r="AF85" s="313">
        <f t="shared" si="134"/>
        <v>0</v>
      </c>
      <c r="AG85" s="309">
        <f t="shared" si="134"/>
        <v>0</v>
      </c>
      <c r="AH85" s="314">
        <f t="shared" si="135"/>
        <v>0</v>
      </c>
      <c r="AI85" s="309"/>
      <c r="AJ85" s="338"/>
      <c r="AK85" s="340" t="e">
        <f>AK84</f>
        <v>#DIV/0!</v>
      </c>
      <c r="AL85" s="309"/>
      <c r="AM85" s="313">
        <f t="shared" si="136"/>
        <v>0</v>
      </c>
      <c r="AN85" s="309">
        <v>0</v>
      </c>
      <c r="AO85" s="314">
        <f t="shared" si="137"/>
        <v>0</v>
      </c>
      <c r="AP85" s="309"/>
      <c r="AQ85" s="310"/>
      <c r="AR85" s="310"/>
      <c r="AS85" s="309"/>
    </row>
    <row r="86" spans="1:45" x14ac:dyDescent="0.2">
      <c r="A86" s="86">
        <f t="shared" si="125"/>
        <v>79</v>
      </c>
      <c r="B86" s="723"/>
      <c r="C86" s="742" t="s">
        <v>78</v>
      </c>
      <c r="D86" s="153"/>
      <c r="E86" s="123"/>
      <c r="F86" s="123"/>
      <c r="G86" s="153"/>
      <c r="H86" s="368"/>
      <c r="I86" s="773"/>
      <c r="J86" s="157"/>
      <c r="K86" s="743"/>
      <c r="L86" s="372"/>
      <c r="M86" s="122"/>
      <c r="N86" s="122"/>
      <c r="O86" s="122"/>
      <c r="P86" s="774"/>
      <c r="Q86" s="157"/>
      <c r="R86" s="298"/>
      <c r="S86" s="311"/>
      <c r="T86" s="300"/>
      <c r="U86" s="301"/>
      <c r="V86" s="157"/>
      <c r="W86" s="315">
        <f>SUM(W80:W85)</f>
        <v>0</v>
      </c>
      <c r="X86" s="316">
        <f>SUM(X80:X85)</f>
        <v>0</v>
      </c>
      <c r="Y86" s="316">
        <f>SUM(Y80:Y85)</f>
        <v>0</v>
      </c>
      <c r="Z86" s="317">
        <f>'Rate Spread Proposal'!W$15-SUM(W86:Y86)</f>
        <v>0</v>
      </c>
      <c r="AA86" s="309"/>
      <c r="AB86" s="315">
        <f>SUM(AB80:AB85)</f>
        <v>0</v>
      </c>
      <c r="AC86" s="316">
        <f>SUM(AC80:AC85)</f>
        <v>0</v>
      </c>
      <c r="AD86" s="317">
        <f>SUM(AD80:AD85)</f>
        <v>0</v>
      </c>
      <c r="AE86" s="309"/>
      <c r="AF86" s="315">
        <f>SUM(AF80:AF85)</f>
        <v>0</v>
      </c>
      <c r="AG86" s="316">
        <f>SUM(AG80:AG85)</f>
        <v>0</v>
      </c>
      <c r="AH86" s="317">
        <f>SUM(AH80:AH85)</f>
        <v>0</v>
      </c>
      <c r="AI86" s="309"/>
      <c r="AJ86" s="338" t="e">
        <f>SUM(AF86:AH86)/SUM(W86:Y86)</f>
        <v>#DIV/0!</v>
      </c>
      <c r="AK86" s="339" t="e">
        <f t="shared" ref="AK86:AK93" si="138">SUM(AF86)/SUM(W86)</f>
        <v>#DIV/0!</v>
      </c>
      <c r="AL86" s="309"/>
      <c r="AM86" s="315">
        <f>SUM(AM80:AM85)</f>
        <v>0</v>
      </c>
      <c r="AN86" s="316">
        <f>SUM(AN80:AN85)</f>
        <v>0</v>
      </c>
      <c r="AO86" s="317">
        <f>SUM(AO80:AO85)</f>
        <v>0</v>
      </c>
      <c r="AP86" s="309"/>
      <c r="AQ86" s="310"/>
      <c r="AR86" s="310"/>
      <c r="AS86" s="309"/>
    </row>
    <row r="87" spans="1:45" x14ac:dyDescent="0.2">
      <c r="A87" s="86">
        <f t="shared" si="125"/>
        <v>80</v>
      </c>
      <c r="B87" s="725" t="str">
        <f>'WA Volumes &amp; Revenues'!B75</f>
        <v>42I Inter Transpt</v>
      </c>
      <c r="C87" s="726" t="s">
        <v>4</v>
      </c>
      <c r="D87" s="162"/>
      <c r="E87" s="122">
        <f>ROUND('Rates in Detail'!L73,5)</f>
        <v>2.1659999999999999E-2</v>
      </c>
      <c r="F87" s="122">
        <f>'Allocation = % of Margin'!U74</f>
        <v>-1.49E-3</v>
      </c>
      <c r="G87" s="162"/>
      <c r="H87" s="373">
        <f>ROUND('Rates in Detail'!N73,5)</f>
        <v>0.13403000000000001</v>
      </c>
      <c r="I87" s="774">
        <f t="shared" si="126"/>
        <v>0.15569</v>
      </c>
      <c r="J87" s="162"/>
      <c r="K87" s="155">
        <f>'WA Volumes &amp; Revenues'!O75</f>
        <v>1550</v>
      </c>
      <c r="L87" s="156">
        <f>'WA Volumes &amp; Revenues'!N75</f>
        <v>1550</v>
      </c>
      <c r="M87" s="122">
        <f>'Rates in Detail'!AF73</f>
        <v>0</v>
      </c>
      <c r="N87" s="122">
        <f>'Rates in Detail'!AG73</f>
        <v>0</v>
      </c>
      <c r="O87" s="122">
        <f>'Rates in Detail'!AH73</f>
        <v>0</v>
      </c>
      <c r="P87" s="774">
        <f>'Rates in Detail'!AI73</f>
        <v>0</v>
      </c>
      <c r="Q87" s="162"/>
      <c r="R87" s="298">
        <f>'WA Volumes &amp; Revenues'!E75</f>
        <v>844078</v>
      </c>
      <c r="S87" s="311"/>
      <c r="T87" s="300">
        <f>'WA Volumes &amp; Revenues'!H75</f>
        <v>7</v>
      </c>
      <c r="U87" s="301">
        <f>'WA Volumes &amp; Revenues'!I75</f>
        <v>95634</v>
      </c>
      <c r="V87" s="162"/>
      <c r="W87" s="313">
        <f t="shared" ref="W87:W92" si="139">(H87*R87)</f>
        <v>113131.77434</v>
      </c>
      <c r="X87" s="309">
        <f>(K87*T87*12)</f>
        <v>130200</v>
      </c>
      <c r="Y87" s="309">
        <f t="shared" ref="Y87:Y92" si="140">(S87*(M87+O87))*12</f>
        <v>0</v>
      </c>
      <c r="Z87" s="314"/>
      <c r="AA87" s="320"/>
      <c r="AB87" s="313">
        <f t="shared" ref="AB87:AB92" si="141">(I87*R87)</f>
        <v>131414.50381999998</v>
      </c>
      <c r="AC87" s="309">
        <f t="shared" ref="AC87:AC92" si="142">(L87*T87*12)</f>
        <v>130200</v>
      </c>
      <c r="AD87" s="314">
        <f t="shared" ref="AD87:AD92" si="143">(S87*(N87+P87))*12</f>
        <v>0</v>
      </c>
      <c r="AE87" s="320"/>
      <c r="AF87" s="313">
        <f t="shared" ref="AF87:AG92" si="144">AB87-W87</f>
        <v>18282.72947999998</v>
      </c>
      <c r="AG87" s="309">
        <f t="shared" si="144"/>
        <v>0</v>
      </c>
      <c r="AH87" s="314">
        <f t="shared" ref="AH87:AH92" si="145">AD87-Y87</f>
        <v>0</v>
      </c>
      <c r="AI87" s="320"/>
      <c r="AJ87" s="338"/>
      <c r="AK87" s="340">
        <f t="shared" si="138"/>
        <v>0.16160561068417501</v>
      </c>
      <c r="AL87" s="320"/>
      <c r="AM87" s="313">
        <f t="shared" ref="AM87:AM92" si="146">(F87*R87)</f>
        <v>-1257.6762200000001</v>
      </c>
      <c r="AN87" s="309">
        <v>0</v>
      </c>
      <c r="AO87" s="314">
        <f t="shared" ref="AO87:AO92" si="147">(AE87*(Y87+AB87))*12</f>
        <v>0</v>
      </c>
      <c r="AP87" s="320"/>
      <c r="AQ87" s="310"/>
      <c r="AR87" s="310"/>
      <c r="AS87" s="320"/>
    </row>
    <row r="88" spans="1:45" x14ac:dyDescent="0.2">
      <c r="A88" s="86">
        <f t="shared" si="125"/>
        <v>81</v>
      </c>
      <c r="B88" s="725"/>
      <c r="C88" s="726" t="s">
        <v>5</v>
      </c>
      <c r="D88" s="162"/>
      <c r="E88" s="122">
        <f>ROUND('Rates in Detail'!L74,5)</f>
        <v>1.9390000000000001E-2</v>
      </c>
      <c r="F88" s="122">
        <f>'Allocation = % of Margin'!U75</f>
        <v>-1.33E-3</v>
      </c>
      <c r="G88" s="162"/>
      <c r="H88" s="373">
        <f>ROUND('Rates in Detail'!N74,5)</f>
        <v>0.11998</v>
      </c>
      <c r="I88" s="774">
        <f t="shared" si="126"/>
        <v>0.13936999999999999</v>
      </c>
      <c r="J88" s="162"/>
      <c r="K88" s="743"/>
      <c r="L88" s="372"/>
      <c r="M88" s="122"/>
      <c r="N88" s="122"/>
      <c r="O88" s="122"/>
      <c r="P88" s="774"/>
      <c r="Q88" s="162"/>
      <c r="R88" s="298">
        <f>'WA Volumes &amp; Revenues'!E76</f>
        <v>1445175</v>
      </c>
      <c r="S88" s="160"/>
      <c r="T88" s="157"/>
      <c r="U88" s="158"/>
      <c r="V88" s="162"/>
      <c r="W88" s="313">
        <f t="shared" si="139"/>
        <v>173392.09650000001</v>
      </c>
      <c r="X88" s="309">
        <f t="shared" ref="X88:X92" si="148">(K88*T88*12)</f>
        <v>0</v>
      </c>
      <c r="Y88" s="309">
        <f t="shared" si="140"/>
        <v>0</v>
      </c>
      <c r="Z88" s="314"/>
      <c r="AA88" s="320"/>
      <c r="AB88" s="313">
        <f t="shared" si="141"/>
        <v>201414.03975</v>
      </c>
      <c r="AC88" s="309">
        <f t="shared" si="142"/>
        <v>0</v>
      </c>
      <c r="AD88" s="314">
        <f t="shared" si="143"/>
        <v>0</v>
      </c>
      <c r="AE88" s="320"/>
      <c r="AF88" s="313">
        <f t="shared" si="144"/>
        <v>28021.943249999982</v>
      </c>
      <c r="AG88" s="309">
        <f t="shared" si="144"/>
        <v>0</v>
      </c>
      <c r="AH88" s="314">
        <f t="shared" si="145"/>
        <v>0</v>
      </c>
      <c r="AI88" s="320"/>
      <c r="AJ88" s="338"/>
      <c r="AK88" s="340">
        <f t="shared" si="138"/>
        <v>0.16161026837806289</v>
      </c>
      <c r="AL88" s="320"/>
      <c r="AM88" s="313">
        <f t="shared" si="146"/>
        <v>-1922.08275</v>
      </c>
      <c r="AN88" s="309">
        <v>0</v>
      </c>
      <c r="AO88" s="314">
        <f t="shared" si="147"/>
        <v>0</v>
      </c>
      <c r="AP88" s="320"/>
      <c r="AQ88" s="310"/>
      <c r="AR88" s="156"/>
      <c r="AS88" s="320"/>
    </row>
    <row r="89" spans="1:45" x14ac:dyDescent="0.2">
      <c r="A89" s="86">
        <f t="shared" si="125"/>
        <v>82</v>
      </c>
      <c r="B89" s="725"/>
      <c r="C89" s="726" t="s">
        <v>6</v>
      </c>
      <c r="D89" s="162"/>
      <c r="E89" s="122">
        <f>ROUND('Rates in Detail'!L75,5)</f>
        <v>1.487E-2</v>
      </c>
      <c r="F89" s="122">
        <f>'Allocation = % of Margin'!U76</f>
        <v>-1.0200000000000001E-3</v>
      </c>
      <c r="G89" s="162"/>
      <c r="H89" s="373">
        <f>ROUND('Rates in Detail'!N75,5)</f>
        <v>9.1999999999999998E-2</v>
      </c>
      <c r="I89" s="774">
        <f t="shared" si="126"/>
        <v>0.10686999999999999</v>
      </c>
      <c r="J89" s="162"/>
      <c r="K89" s="155"/>
      <c r="L89" s="156"/>
      <c r="M89" s="122"/>
      <c r="N89" s="122"/>
      <c r="O89" s="122"/>
      <c r="P89" s="774"/>
      <c r="Q89" s="162"/>
      <c r="R89" s="298">
        <f>'WA Volumes &amp; Revenues'!E77</f>
        <v>1034978</v>
      </c>
      <c r="S89" s="160"/>
      <c r="T89" s="157"/>
      <c r="U89" s="158"/>
      <c r="V89" s="162"/>
      <c r="W89" s="313">
        <f t="shared" si="139"/>
        <v>95217.975999999995</v>
      </c>
      <c r="X89" s="309">
        <f t="shared" si="148"/>
        <v>0</v>
      </c>
      <c r="Y89" s="309">
        <f t="shared" si="140"/>
        <v>0</v>
      </c>
      <c r="Z89" s="314"/>
      <c r="AA89" s="320"/>
      <c r="AB89" s="313">
        <f t="shared" si="141"/>
        <v>110608.09886</v>
      </c>
      <c r="AC89" s="309">
        <f t="shared" si="142"/>
        <v>0</v>
      </c>
      <c r="AD89" s="314">
        <f t="shared" si="143"/>
        <v>0</v>
      </c>
      <c r="AE89" s="320"/>
      <c r="AF89" s="313">
        <f t="shared" si="144"/>
        <v>15390.122860000003</v>
      </c>
      <c r="AG89" s="309">
        <f t="shared" si="144"/>
        <v>0</v>
      </c>
      <c r="AH89" s="314">
        <f t="shared" si="145"/>
        <v>0</v>
      </c>
      <c r="AI89" s="320"/>
      <c r="AJ89" s="338"/>
      <c r="AK89" s="340">
        <f t="shared" si="138"/>
        <v>0.16163043478260875</v>
      </c>
      <c r="AL89" s="320"/>
      <c r="AM89" s="313">
        <f t="shared" si="146"/>
        <v>-1055.6775600000001</v>
      </c>
      <c r="AN89" s="309">
        <v>0</v>
      </c>
      <c r="AO89" s="314">
        <f t="shared" si="147"/>
        <v>0</v>
      </c>
      <c r="AP89" s="320"/>
      <c r="AQ89" s="310"/>
      <c r="AR89" s="156"/>
      <c r="AS89" s="320"/>
    </row>
    <row r="90" spans="1:45" x14ac:dyDescent="0.2">
      <c r="A90" s="86">
        <f t="shared" si="125"/>
        <v>83</v>
      </c>
      <c r="B90" s="725"/>
      <c r="C90" s="726" t="s">
        <v>7</v>
      </c>
      <c r="D90" s="162"/>
      <c r="E90" s="122">
        <f>ROUND('Rates in Detail'!L76,5)</f>
        <v>1.189E-2</v>
      </c>
      <c r="F90" s="122">
        <f>'Allocation = % of Margin'!U77</f>
        <v>-8.1999999999999998E-4</v>
      </c>
      <c r="G90" s="162"/>
      <c r="H90" s="373">
        <f>ROUND('Rates in Detail'!N76,5)</f>
        <v>7.3609999999999995E-2</v>
      </c>
      <c r="I90" s="774">
        <f t="shared" si="126"/>
        <v>8.5499999999999993E-2</v>
      </c>
      <c r="J90" s="162"/>
      <c r="K90" s="155"/>
      <c r="L90" s="156"/>
      <c r="M90" s="122"/>
      <c r="N90" s="122"/>
      <c r="O90" s="122"/>
      <c r="P90" s="774"/>
      <c r="Q90" s="162"/>
      <c r="R90" s="298">
        <f>'WA Volumes &amp; Revenues'!E78</f>
        <v>3359916</v>
      </c>
      <c r="S90" s="160"/>
      <c r="T90" s="157"/>
      <c r="U90" s="158"/>
      <c r="V90" s="162"/>
      <c r="W90" s="313">
        <f t="shared" si="139"/>
        <v>247323.41675999999</v>
      </c>
      <c r="X90" s="309">
        <f t="shared" si="148"/>
        <v>0</v>
      </c>
      <c r="Y90" s="309">
        <f t="shared" si="140"/>
        <v>0</v>
      </c>
      <c r="Z90" s="314"/>
      <c r="AA90" s="320"/>
      <c r="AB90" s="313">
        <f t="shared" si="141"/>
        <v>287272.81799999997</v>
      </c>
      <c r="AC90" s="309">
        <f t="shared" si="142"/>
        <v>0</v>
      </c>
      <c r="AD90" s="314">
        <f t="shared" si="143"/>
        <v>0</v>
      </c>
      <c r="AE90" s="320"/>
      <c r="AF90" s="313">
        <f t="shared" si="144"/>
        <v>39949.401239999977</v>
      </c>
      <c r="AG90" s="309">
        <f t="shared" si="144"/>
        <v>0</v>
      </c>
      <c r="AH90" s="314">
        <f t="shared" si="145"/>
        <v>0</v>
      </c>
      <c r="AI90" s="320"/>
      <c r="AJ90" s="338"/>
      <c r="AK90" s="340">
        <f t="shared" si="138"/>
        <v>0.16152696644477643</v>
      </c>
      <c r="AL90" s="320"/>
      <c r="AM90" s="313">
        <f t="shared" si="146"/>
        <v>-2755.13112</v>
      </c>
      <c r="AN90" s="309">
        <v>0</v>
      </c>
      <c r="AO90" s="314">
        <f t="shared" si="147"/>
        <v>0</v>
      </c>
      <c r="AP90" s="320"/>
      <c r="AQ90" s="310"/>
      <c r="AR90" s="156"/>
      <c r="AS90" s="320"/>
    </row>
    <row r="91" spans="1:45" x14ac:dyDescent="0.2">
      <c r="A91" s="86">
        <f t="shared" si="125"/>
        <v>84</v>
      </c>
      <c r="B91" s="725"/>
      <c r="C91" s="726" t="s">
        <v>8</v>
      </c>
      <c r="D91" s="162"/>
      <c r="E91" s="122">
        <f>ROUND('Rates in Detail'!L77,5)</f>
        <v>7.9299999999999995E-3</v>
      </c>
      <c r="F91" s="122">
        <f>'Allocation = % of Margin'!U78</f>
        <v>-5.5000000000000003E-4</v>
      </c>
      <c r="G91" s="162"/>
      <c r="H91" s="373">
        <f>ROUND('Rates in Detail'!N77,5)</f>
        <v>4.9079999999999999E-2</v>
      </c>
      <c r="I91" s="774">
        <f t="shared" si="126"/>
        <v>5.7009999999999998E-2</v>
      </c>
      <c r="J91" s="162"/>
      <c r="K91" s="155"/>
      <c r="L91" s="156"/>
      <c r="M91" s="122"/>
      <c r="N91" s="122"/>
      <c r="O91" s="122"/>
      <c r="P91" s="774"/>
      <c r="Q91" s="162"/>
      <c r="R91" s="298">
        <f>'WA Volumes &amp; Revenues'!E79</f>
        <v>1349120</v>
      </c>
      <c r="S91" s="160"/>
      <c r="T91" s="157"/>
      <c r="U91" s="158"/>
      <c r="V91" s="162"/>
      <c r="W91" s="313">
        <f t="shared" si="139"/>
        <v>66214.809599999993</v>
      </c>
      <c r="X91" s="309">
        <f t="shared" si="148"/>
        <v>0</v>
      </c>
      <c r="Y91" s="309">
        <f t="shared" si="140"/>
        <v>0</v>
      </c>
      <c r="Z91" s="314"/>
      <c r="AA91" s="320"/>
      <c r="AB91" s="313">
        <f t="shared" si="141"/>
        <v>76913.331200000001</v>
      </c>
      <c r="AC91" s="309">
        <f t="shared" si="142"/>
        <v>0</v>
      </c>
      <c r="AD91" s="314">
        <f t="shared" si="143"/>
        <v>0</v>
      </c>
      <c r="AE91" s="320"/>
      <c r="AF91" s="313">
        <f t="shared" si="144"/>
        <v>10698.521600000007</v>
      </c>
      <c r="AG91" s="309">
        <f t="shared" si="144"/>
        <v>0</v>
      </c>
      <c r="AH91" s="314">
        <f t="shared" si="145"/>
        <v>0</v>
      </c>
      <c r="AI91" s="320"/>
      <c r="AJ91" s="338"/>
      <c r="AK91" s="340">
        <f t="shared" si="138"/>
        <v>0.16157294213528944</v>
      </c>
      <c r="AL91" s="320"/>
      <c r="AM91" s="313">
        <f t="shared" si="146"/>
        <v>-742.01600000000008</v>
      </c>
      <c r="AN91" s="309">
        <v>0</v>
      </c>
      <c r="AO91" s="314">
        <f t="shared" si="147"/>
        <v>0</v>
      </c>
      <c r="AP91" s="320"/>
      <c r="AQ91" s="310"/>
      <c r="AR91" s="154"/>
      <c r="AS91" s="320"/>
    </row>
    <row r="92" spans="1:45" x14ac:dyDescent="0.2">
      <c r="A92" s="86">
        <f t="shared" si="125"/>
        <v>85</v>
      </c>
      <c r="B92" s="725"/>
      <c r="C92" s="726" t="s">
        <v>9</v>
      </c>
      <c r="D92" s="162"/>
      <c r="E92" s="122">
        <f>ROUND('Rates in Detail'!L78,5)</f>
        <v>2.97E-3</v>
      </c>
      <c r="F92" s="122">
        <f>'Allocation = % of Margin'!U79</f>
        <v>-2.0000000000000001E-4</v>
      </c>
      <c r="G92" s="162"/>
      <c r="H92" s="373">
        <f>ROUND('Rates in Detail'!N78,5)</f>
        <v>1.839E-2</v>
      </c>
      <c r="I92" s="774">
        <f t="shared" si="126"/>
        <v>2.1360000000000001E-2</v>
      </c>
      <c r="J92" s="162"/>
      <c r="K92" s="155"/>
      <c r="L92" s="156"/>
      <c r="M92" s="122"/>
      <c r="N92" s="122"/>
      <c r="O92" s="122"/>
      <c r="P92" s="774"/>
      <c r="Q92" s="162"/>
      <c r="R92" s="298">
        <f>'WA Volumes &amp; Revenues'!E80</f>
        <v>0</v>
      </c>
      <c r="S92" s="160"/>
      <c r="T92" s="157"/>
      <c r="U92" s="158"/>
      <c r="V92" s="162"/>
      <c r="W92" s="313">
        <f t="shared" si="139"/>
        <v>0</v>
      </c>
      <c r="X92" s="309">
        <f t="shared" si="148"/>
        <v>0</v>
      </c>
      <c r="Y92" s="309">
        <f t="shared" si="140"/>
        <v>0</v>
      </c>
      <c r="Z92" s="314"/>
      <c r="AA92" s="320"/>
      <c r="AB92" s="313">
        <f t="shared" si="141"/>
        <v>0</v>
      </c>
      <c r="AC92" s="309">
        <f t="shared" si="142"/>
        <v>0</v>
      </c>
      <c r="AD92" s="314">
        <f t="shared" si="143"/>
        <v>0</v>
      </c>
      <c r="AE92" s="320"/>
      <c r="AF92" s="313">
        <f t="shared" si="144"/>
        <v>0</v>
      </c>
      <c r="AG92" s="309">
        <f t="shared" si="144"/>
        <v>0</v>
      </c>
      <c r="AH92" s="314">
        <f t="shared" si="145"/>
        <v>0</v>
      </c>
      <c r="AI92" s="320"/>
      <c r="AJ92" s="338"/>
      <c r="AK92" s="340" t="e">
        <f t="shared" si="138"/>
        <v>#DIV/0!</v>
      </c>
      <c r="AL92" s="320"/>
      <c r="AM92" s="313">
        <f t="shared" si="146"/>
        <v>0</v>
      </c>
      <c r="AN92" s="309">
        <v>0</v>
      </c>
      <c r="AO92" s="314">
        <f t="shared" si="147"/>
        <v>0</v>
      </c>
      <c r="AP92" s="320"/>
      <c r="AQ92" s="310"/>
      <c r="AR92" s="154"/>
      <c r="AS92" s="320"/>
    </row>
    <row r="93" spans="1:45" x14ac:dyDescent="0.2">
      <c r="A93" s="86">
        <f t="shared" si="125"/>
        <v>86</v>
      </c>
      <c r="B93" s="723"/>
      <c r="C93" s="742" t="s">
        <v>78</v>
      </c>
      <c r="D93" s="163"/>
      <c r="E93" s="123"/>
      <c r="F93" s="123"/>
      <c r="G93" s="163"/>
      <c r="H93" s="368"/>
      <c r="I93" s="773"/>
      <c r="J93" s="162"/>
      <c r="K93" s="155"/>
      <c r="L93" s="156"/>
      <c r="M93" s="122"/>
      <c r="N93" s="122"/>
      <c r="O93" s="122"/>
      <c r="P93" s="774"/>
      <c r="Q93" s="162"/>
      <c r="R93" s="298"/>
      <c r="S93" s="160"/>
      <c r="T93" s="157"/>
      <c r="U93" s="158"/>
      <c r="V93" s="162"/>
      <c r="W93" s="315">
        <f>SUM(W87:W92)</f>
        <v>695280.07319999998</v>
      </c>
      <c r="X93" s="316">
        <f>SUM(X87:X92)</f>
        <v>130200</v>
      </c>
      <c r="Y93" s="316">
        <f>SUM(Y87:Y92)</f>
        <v>0</v>
      </c>
      <c r="Z93" s="317">
        <f>'Rate Spread Proposal'!X$15-SUM(W93:Y93)</f>
        <v>0</v>
      </c>
      <c r="AA93" s="320"/>
      <c r="AB93" s="315">
        <f>SUM(AB87:AB92)</f>
        <v>807622.79162999999</v>
      </c>
      <c r="AC93" s="316">
        <f>SUM(AC87:AC92)</f>
        <v>130200</v>
      </c>
      <c r="AD93" s="317">
        <f>SUM(AD87:AD92)</f>
        <v>0</v>
      </c>
      <c r="AE93" s="320"/>
      <c r="AF93" s="315">
        <f>SUM(AF87:AF92)</f>
        <v>112342.71842999995</v>
      </c>
      <c r="AG93" s="316">
        <f>SUM(AG87:AG92)</f>
        <v>0</v>
      </c>
      <c r="AH93" s="317">
        <f>SUM(AH87:AH92)</f>
        <v>0</v>
      </c>
      <c r="AI93" s="320"/>
      <c r="AJ93" s="338">
        <f>SUM(AF93:AH93)/SUM(W93:Y93)</f>
        <v>0.13609379811495606</v>
      </c>
      <c r="AK93" s="339">
        <f t="shared" si="138"/>
        <v>0.16157908555173583</v>
      </c>
      <c r="AL93" s="320"/>
      <c r="AM93" s="315">
        <f>SUM(AM87:AM92)</f>
        <v>-7732.5836500000005</v>
      </c>
      <c r="AN93" s="316">
        <f>SUM(AN87:AN92)</f>
        <v>0</v>
      </c>
      <c r="AO93" s="317">
        <f>SUM(AO87:AO92)</f>
        <v>0</v>
      </c>
      <c r="AP93" s="320"/>
      <c r="AQ93" s="310"/>
      <c r="AR93" s="154"/>
      <c r="AS93" s="320"/>
    </row>
    <row r="94" spans="1:45" x14ac:dyDescent="0.2">
      <c r="A94" s="86">
        <f t="shared" si="125"/>
        <v>87</v>
      </c>
      <c r="B94" s="723" t="str">
        <f>'WA Volumes &amp; Revenues'!B81</f>
        <v>43 Firm Transpt</v>
      </c>
      <c r="C94" s="723" t="s">
        <v>283</v>
      </c>
      <c r="D94" s="162"/>
      <c r="E94" s="392">
        <f>ROUND('Rates in Detail'!L79,5)</f>
        <v>0</v>
      </c>
      <c r="F94" s="392">
        <f>'Allocation = % of Margin'!U80</f>
        <v>0</v>
      </c>
      <c r="G94" s="162"/>
      <c r="H94" s="393">
        <f>ROUND('Rates in Detail'!N79,5)</f>
        <v>4.9100000000000003E-3</v>
      </c>
      <c r="I94" s="775">
        <f t="shared" si="126"/>
        <v>4.9100000000000003E-3</v>
      </c>
      <c r="J94" s="162"/>
      <c r="K94" s="155">
        <f>'WA Volumes &amp; Revenues'!O81</f>
        <v>38000</v>
      </c>
      <c r="L94" s="156">
        <f>'WA Volumes &amp; Revenues'!N81</f>
        <v>38000</v>
      </c>
      <c r="M94" s="122">
        <f>'Rates in Detail'!AF79</f>
        <v>0.15748000000000001</v>
      </c>
      <c r="N94" s="122">
        <f>'Rates in Detail'!AG79</f>
        <v>0</v>
      </c>
      <c r="O94" s="122">
        <f>'Rates in Detail'!AH79</f>
        <v>0</v>
      </c>
      <c r="P94" s="774">
        <f>'Rates in Detail'!AI79</f>
        <v>0</v>
      </c>
      <c r="Q94" s="162"/>
      <c r="R94" s="298">
        <f>'WA Volumes &amp; Revenues'!E81</f>
        <v>0</v>
      </c>
      <c r="S94" s="311"/>
      <c r="T94" s="300">
        <f>'WA Volumes &amp; Revenues'!H81</f>
        <v>0</v>
      </c>
      <c r="U94" s="301">
        <f>'WA Volumes &amp; Revenues'!I81</f>
        <v>0</v>
      </c>
      <c r="V94" s="162"/>
      <c r="W94" s="306">
        <f t="shared" ref="W94:W96" si="149">(H94*R94)</f>
        <v>0</v>
      </c>
      <c r="X94" s="307">
        <f t="shared" ref="X94:X96" si="150">(K94*T94*12)</f>
        <v>0</v>
      </c>
      <c r="Y94" s="307">
        <f>(S94*(M94+O94))*12</f>
        <v>0</v>
      </c>
      <c r="Z94" s="308"/>
      <c r="AA94" s="321"/>
      <c r="AB94" s="306">
        <f>(I94*R94)</f>
        <v>0</v>
      </c>
      <c r="AC94" s="307">
        <f>(L94*T94*12)</f>
        <v>0</v>
      </c>
      <c r="AD94" s="308">
        <f>(S94*(N94+P94))*12</f>
        <v>0</v>
      </c>
      <c r="AE94" s="321"/>
      <c r="AF94" s="306">
        <f t="shared" ref="AF94:AG96" si="151">AB94-W94</f>
        <v>0</v>
      </c>
      <c r="AG94" s="307">
        <f t="shared" si="151"/>
        <v>0</v>
      </c>
      <c r="AH94" s="308">
        <f t="shared" ref="AH94:AH96" si="152">AD94-Y94</f>
        <v>0</v>
      </c>
      <c r="AI94" s="320"/>
      <c r="AJ94" s="338"/>
      <c r="AK94" s="339"/>
      <c r="AL94" s="320"/>
      <c r="AM94" s="306">
        <f>(F94*R94)</f>
        <v>0</v>
      </c>
      <c r="AN94" s="307">
        <v>0</v>
      </c>
      <c r="AO94" s="308">
        <f t="shared" ref="AO94:AO96" si="153">(AE94*(Y94+AB94))*12</f>
        <v>0</v>
      </c>
      <c r="AP94" s="320"/>
      <c r="AQ94" s="154"/>
      <c r="AR94" s="154"/>
      <c r="AS94" s="320"/>
    </row>
    <row r="95" spans="1:45" x14ac:dyDescent="0.2">
      <c r="A95" s="86">
        <f t="shared" si="125"/>
        <v>88</v>
      </c>
      <c r="B95" s="723" t="str">
        <f>'WA Volumes &amp; Revenues'!B82</f>
        <v>43 Interr Transpt</v>
      </c>
      <c r="C95" s="724" t="s">
        <v>283</v>
      </c>
      <c r="D95" s="162"/>
      <c r="E95" s="392">
        <f>ROUND('Rates in Detail'!L80,5)</f>
        <v>0</v>
      </c>
      <c r="F95" s="392">
        <f>'Allocation = % of Margin'!U81</f>
        <v>0</v>
      </c>
      <c r="G95" s="162"/>
      <c r="H95" s="396">
        <f>ROUND('Rates in Detail'!N80,5)</f>
        <v>4.9100000000000003E-3</v>
      </c>
      <c r="I95" s="776">
        <f t="shared" si="126"/>
        <v>4.9100000000000003E-3</v>
      </c>
      <c r="J95" s="162"/>
      <c r="K95" s="155">
        <f>'WA Volumes &amp; Revenues'!O82</f>
        <v>38000</v>
      </c>
      <c r="L95" s="156">
        <f>'WA Volumes &amp; Revenues'!N82</f>
        <v>38000</v>
      </c>
      <c r="M95" s="122">
        <f>'Rates in Detail'!AF80</f>
        <v>0</v>
      </c>
      <c r="N95" s="122">
        <f>'Rates in Detail'!AG80</f>
        <v>0</v>
      </c>
      <c r="O95" s="122">
        <f>'Rates in Detail'!AH80</f>
        <v>0</v>
      </c>
      <c r="P95" s="774">
        <f>'Rates in Detail'!AI80</f>
        <v>0</v>
      </c>
      <c r="Q95" s="162"/>
      <c r="R95" s="298">
        <f>'WA Volumes &amp; Revenues'!E82</f>
        <v>0</v>
      </c>
      <c r="S95" s="160"/>
      <c r="T95" s="300">
        <f>'WA Volumes &amp; Revenues'!H82</f>
        <v>0</v>
      </c>
      <c r="U95" s="301">
        <f>'WA Volumes &amp; Revenues'!I82</f>
        <v>0</v>
      </c>
      <c r="V95" s="162"/>
      <c r="W95" s="322">
        <f t="shared" si="149"/>
        <v>0</v>
      </c>
      <c r="X95" s="321">
        <f t="shared" si="150"/>
        <v>0</v>
      </c>
      <c r="Y95" s="321">
        <f>(S95*(M95+O95))*12</f>
        <v>0</v>
      </c>
      <c r="Z95" s="323"/>
      <c r="AA95" s="320"/>
      <c r="AB95" s="322">
        <f>(I95*R95)</f>
        <v>0</v>
      </c>
      <c r="AC95" s="321">
        <f>(L95*T95*12)</f>
        <v>0</v>
      </c>
      <c r="AD95" s="323">
        <f>(S95*(N95+P95))*12</f>
        <v>0</v>
      </c>
      <c r="AE95" s="320"/>
      <c r="AF95" s="322">
        <f t="shared" si="151"/>
        <v>0</v>
      </c>
      <c r="AG95" s="321">
        <f t="shared" si="151"/>
        <v>0</v>
      </c>
      <c r="AH95" s="323">
        <f t="shared" si="152"/>
        <v>0</v>
      </c>
      <c r="AI95" s="320"/>
      <c r="AJ95" s="320"/>
      <c r="AK95" s="320"/>
      <c r="AL95" s="320"/>
      <c r="AM95" s="322">
        <f>(F95*R95)</f>
        <v>0</v>
      </c>
      <c r="AN95" s="321">
        <v>0</v>
      </c>
      <c r="AO95" s="323">
        <f t="shared" si="153"/>
        <v>0</v>
      </c>
      <c r="AP95" s="320"/>
      <c r="AQ95" s="154"/>
      <c r="AR95" s="154"/>
      <c r="AS95" s="320"/>
    </row>
    <row r="96" spans="1:45" ht="13.5" thickBot="1" x14ac:dyDescent="0.25">
      <c r="A96" s="86">
        <f t="shared" si="125"/>
        <v>89</v>
      </c>
      <c r="B96" s="779" t="str">
        <f>'WA Volumes &amp; Revenues'!B83</f>
        <v>Special Contract</v>
      </c>
      <c r="C96" s="780" t="s">
        <v>283</v>
      </c>
      <c r="D96" s="166"/>
      <c r="E96" s="781">
        <f>ROUND('Rates in Detail'!L81,5)</f>
        <v>0</v>
      </c>
      <c r="F96" s="836">
        <f>'Allocation = % of Margin'!U82</f>
        <v>0</v>
      </c>
      <c r="G96" s="782"/>
      <c r="H96" s="777">
        <f>ROUND('Rates in Detail'!N81,5)</f>
        <v>0</v>
      </c>
      <c r="I96" s="778">
        <f t="shared" si="126"/>
        <v>0</v>
      </c>
      <c r="J96" s="162"/>
      <c r="K96" s="785">
        <f>'WA Volumes &amp; Revenues'!O83</f>
        <v>0</v>
      </c>
      <c r="L96" s="786">
        <f>'WA Volumes &amp; Revenues'!N83</f>
        <v>0</v>
      </c>
      <c r="M96" s="795">
        <f>'Rates in Detail'!AF81</f>
        <v>0</v>
      </c>
      <c r="N96" s="795">
        <f>'Rates in Detail'!AG81</f>
        <v>0</v>
      </c>
      <c r="O96" s="795">
        <f>'Rates in Detail'!AH81</f>
        <v>0</v>
      </c>
      <c r="P96" s="778">
        <f>'Rates in Detail'!AI81</f>
        <v>0</v>
      </c>
      <c r="Q96" s="162"/>
      <c r="R96" s="796">
        <f>'WA Volumes &amp; Revenues'!E83</f>
        <v>2895114</v>
      </c>
      <c r="S96" s="167"/>
      <c r="T96" s="801">
        <f>'WA Volumes &amp; Revenues'!H83</f>
        <v>1</v>
      </c>
      <c r="U96" s="802">
        <f>'WA Volumes &amp; Revenues'!I83</f>
        <v>241259.5</v>
      </c>
      <c r="V96" s="162"/>
      <c r="W96" s="597">
        <f t="shared" si="149"/>
        <v>0</v>
      </c>
      <c r="X96" s="598">
        <f t="shared" si="150"/>
        <v>0</v>
      </c>
      <c r="Y96" s="598">
        <f>(S96*(M96+O96))*12</f>
        <v>0</v>
      </c>
      <c r="Z96" s="599"/>
      <c r="AA96" s="320"/>
      <c r="AB96" s="324">
        <f>(I96*R96)</f>
        <v>0</v>
      </c>
      <c r="AC96" s="325">
        <f>(L96*T96*12)</f>
        <v>0</v>
      </c>
      <c r="AD96" s="326">
        <f>(S96*(N96+P96))*12</f>
        <v>0</v>
      </c>
      <c r="AE96" s="320"/>
      <c r="AF96" s="324">
        <f t="shared" si="151"/>
        <v>0</v>
      </c>
      <c r="AG96" s="325">
        <f t="shared" si="151"/>
        <v>0</v>
      </c>
      <c r="AH96" s="326">
        <f t="shared" si="152"/>
        <v>0</v>
      </c>
      <c r="AI96" s="320"/>
      <c r="AJ96" s="320"/>
      <c r="AK96" s="320"/>
      <c r="AL96" s="320"/>
      <c r="AM96" s="597">
        <f>(F96*R96)</f>
        <v>0</v>
      </c>
      <c r="AN96" s="598">
        <v>0</v>
      </c>
      <c r="AO96" s="599">
        <f t="shared" si="153"/>
        <v>0</v>
      </c>
      <c r="AP96" s="320"/>
      <c r="AQ96" s="162"/>
      <c r="AR96" s="162"/>
      <c r="AS96" s="320"/>
    </row>
    <row r="97" spans="1:45" x14ac:dyDescent="0.2">
      <c r="A97" s="86">
        <f t="shared" si="125"/>
        <v>90</v>
      </c>
      <c r="F97" s="1137"/>
    </row>
    <row r="98" spans="1:45" x14ac:dyDescent="0.2">
      <c r="A98" s="86">
        <f t="shared" si="125"/>
        <v>91</v>
      </c>
      <c r="B98" s="168" t="s">
        <v>58</v>
      </c>
    </row>
    <row r="99" spans="1:45" x14ac:dyDescent="0.2">
      <c r="A99" s="86">
        <f t="shared" si="125"/>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65"/>
      <c r="AJ99" s="765"/>
      <c r="AK99" s="765"/>
      <c r="AL99" s="765"/>
      <c r="AM99" s="798"/>
      <c r="AN99" s="798"/>
      <c r="AO99" s="798"/>
      <c r="AP99" s="799"/>
      <c r="AS99" s="55"/>
    </row>
    <row r="100" spans="1:45" x14ac:dyDescent="0.2">
      <c r="A100" s="86">
        <f t="shared" si="125"/>
        <v>93</v>
      </c>
      <c r="B100" s="169"/>
      <c r="R100" s="327"/>
      <c r="S100" s="327"/>
      <c r="T100" s="327"/>
    </row>
    <row r="101" spans="1:45" x14ac:dyDescent="0.2">
      <c r="A101" s="86">
        <f t="shared" si="125"/>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800"/>
      <c r="AS101" s="55"/>
    </row>
    <row r="102" spans="1:45" x14ac:dyDescent="0.2">
      <c r="A102" s="86">
        <f t="shared" si="125"/>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800"/>
      <c r="AS102" s="55"/>
    </row>
    <row r="103" spans="1:45" x14ac:dyDescent="0.2">
      <c r="A103" s="86"/>
      <c r="B103" s="169"/>
      <c r="F103" s="1137"/>
    </row>
  </sheetData>
  <customSheetViews>
    <customSheetView guid="{80646397-1CEF-4A79-B348-594AB32B8020}"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scale="90" hiddenColumns="1">
      <pane xSplit="9" ySplit="14" topLeftCell="J15" activePane="bottomRight" state="frozen"/>
      <selection pane="bottomRight" activeCell="AM24" sqref="AM24"/>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10">
    <mergeCell ref="AQ14:AS14"/>
    <mergeCell ref="AF10:AH10"/>
    <mergeCell ref="AQ2:AR2"/>
    <mergeCell ref="H7:I7"/>
    <mergeCell ref="K7:P7"/>
    <mergeCell ref="R7:U7"/>
    <mergeCell ref="AB10:AD10"/>
    <mergeCell ref="AM10:AO10"/>
    <mergeCell ref="W10:Z10"/>
    <mergeCell ref="W8:Z8"/>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ignoredErrors>
    <ignoredError sqref="AA37:AK37 AA93:AK93 AA79:AK79 AA22:AK22 AA28:AK28 AA26:AA27 AA31:AK31 AA29:AA30 AA35:AA36 AA44:AD44 AA38:AA43 AA51:AK51 AA45:AA50 AA58:AK58 AA52:AA57 AA65:AK65 AA59:AA64 AA72:AK72 AA66:AA71 AA73:AA78 AA87:AA92 AA94:AA96 AE26:AE27 AE29:AE30 AE35:AE36 AE38:AE43 AE45:AE50 AE52:AE57 AE59:AE64 AE66:AE71 AE73:AE78 AE87:AE92 AE94:AE96 AI94:AK96 AI26:AK27 AI29:AK30 AI35:AK36 AI38:AK43 AI45:AK50 AI52:AK57 AI59:AK64 AI66:AK71 AI73:AK78 AI87:AK92 AF44:AK44 W72:Y72 W65:Y65 W58:Y58 W51:Y51 W44:Y44 W31:Y31 W28:Y28 W22:Y22 W79:Y79 Y93 W37:Y3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0D7907-46EC-4D5D-B200-C952277F9682}">
  <sheetPr>
    <tabColor theme="8" tint="0.79998168889431442"/>
  </sheetPr>
  <dimension ref="A1:AZ103"/>
  <sheetViews>
    <sheetView zoomScale="90" zoomScaleNormal="90" workbookViewId="0">
      <pane xSplit="10" ySplit="13" topLeftCell="AF14" activePane="bottomRight" state="frozen"/>
      <selection pane="topRight" activeCell="K1" sqref="K1"/>
      <selection pane="bottomLeft" activeCell="A14" sqref="A14"/>
      <selection pane="bottomRight" activeCell="A4" sqref="A4"/>
    </sheetView>
  </sheetViews>
  <sheetFormatPr defaultColWidth="9.33203125" defaultRowHeight="12.75" outlineLevelCol="1" x14ac:dyDescent="0.2"/>
  <cols>
    <col min="1" max="1" width="6.83203125" style="55" customWidth="1"/>
    <col min="2" max="2" width="19" style="56" customWidth="1"/>
    <col min="3" max="3" width="10.33203125" style="56" customWidth="1"/>
    <col min="4" max="4" width="2.83203125" style="56" customWidth="1"/>
    <col min="5" max="5" width="14.83203125" style="56" customWidth="1"/>
    <col min="6" max="6" width="14.83203125" style="56" hidden="1" customWidth="1" outlineLevel="1"/>
    <col min="7" max="7" width="2.83203125" style="56" customWidth="1" collapsed="1"/>
    <col min="8" max="9" width="15.83203125" style="56" customWidth="1"/>
    <col min="10" max="10" width="2.83203125" style="56" customWidth="1"/>
    <col min="11" max="16" width="15.83203125" style="56" customWidth="1"/>
    <col min="17" max="17" width="2.83203125" style="56" customWidth="1"/>
    <col min="18" max="21" width="15.83203125" style="56" customWidth="1"/>
    <col min="22" max="22" width="2.83203125" style="56" customWidth="1"/>
    <col min="23"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6" width="15.6640625" style="56" hidden="1" customWidth="1"/>
    <col min="37" max="37" width="15.83203125" style="56" hidden="1" customWidth="1"/>
    <col min="38" max="38" width="2.83203125" style="56" customWidth="1"/>
    <col min="39" max="41" width="15.83203125" style="56" customWidth="1"/>
    <col min="42" max="42" width="2.83203125" style="56" customWidth="1"/>
    <col min="43" max="43" width="23.83203125" style="56" customWidth="1"/>
    <col min="44" max="44" width="22.1640625" style="56" customWidth="1"/>
    <col min="45" max="45" width="2.83203125" style="56" customWidth="1"/>
    <col min="46" max="46" width="9.33203125" style="55"/>
    <col min="47" max="47" width="17" style="55" bestFit="1" customWidth="1"/>
    <col min="48" max="16384" width="9.33203125" style="55"/>
  </cols>
  <sheetData>
    <row r="1" spans="1:52" ht="13.5" thickBot="1" x14ac:dyDescent="0.25">
      <c r="A1" s="139" t="str">
        <f>+'WA Volumes &amp; Revenues'!A1</f>
        <v>NW Natural</v>
      </c>
    </row>
    <row r="2" spans="1:52" ht="13.5" thickBot="1" x14ac:dyDescent="0.25">
      <c r="A2" s="139" t="str">
        <f>+'WA Volumes &amp; Revenues'!A2</f>
        <v>Rates &amp; Regulatory Affairs</v>
      </c>
      <c r="E2" s="140"/>
      <c r="F2" s="140"/>
      <c r="T2" s="265"/>
      <c r="W2" s="266" t="s">
        <v>114</v>
      </c>
      <c r="X2" s="267" t="s">
        <v>115</v>
      </c>
      <c r="Y2" s="267" t="s">
        <v>99</v>
      </c>
      <c r="Z2" s="1145" t="s">
        <v>475</v>
      </c>
      <c r="AB2" s="266" t="s">
        <v>114</v>
      </c>
      <c r="AC2" s="267" t="s">
        <v>115</v>
      </c>
      <c r="AD2" s="268" t="s">
        <v>99</v>
      </c>
      <c r="AF2" s="266" t="s">
        <v>114</v>
      </c>
      <c r="AG2" s="267" t="s">
        <v>115</v>
      </c>
      <c r="AH2" s="268" t="s">
        <v>99</v>
      </c>
      <c r="AK2" s="145"/>
      <c r="AM2" s="266" t="s">
        <v>114</v>
      </c>
      <c r="AN2" s="267" t="s">
        <v>115</v>
      </c>
      <c r="AO2" s="268" t="s">
        <v>99</v>
      </c>
      <c r="AQ2" s="1583" t="s">
        <v>279</v>
      </c>
      <c r="AR2" s="1584"/>
    </row>
    <row r="3" spans="1:52" x14ac:dyDescent="0.2">
      <c r="A3" s="139" t="str">
        <f>+'WA Volumes &amp; Revenues'!A3</f>
        <v>Test Year Ending September 30, 2020</v>
      </c>
      <c r="E3" s="140"/>
      <c r="F3" s="140"/>
      <c r="W3" s="269">
        <f>SUM(W14:W19)+W22+W28+W31+W37+W44+W51+W58+W65+W72+W79+W93+W94+W25+W34+W86+W95+W96</f>
        <v>43542835.679936796</v>
      </c>
      <c r="X3" s="270">
        <f>SUM(X14:X19)+X22+X28+X31+X37+X44+X51+X58+X65+X72+X79+X93+X94+X25+X34+X86+X95+X96</f>
        <v>10678018</v>
      </c>
      <c r="Y3" s="270">
        <f>SUM(Y14:Y19)+Y22+Y28+Y31+Y37+Y44+Y51+Y58+Y65+Y72+Y79+Y93+Y94+Y25+Y34+Y86+Y95+Y96</f>
        <v>141275.86116</v>
      </c>
      <c r="Z3" s="271">
        <f>SUM(Z14:Z19)+Z22+Z28+Z31+Z37+Z44+Z51+Z58+Z65+Z72+Z79+Z93+Z94+Z25+Z34+Z86+Z95+Z96</f>
        <v>1255588.086808023</v>
      </c>
      <c r="AB3" s="269">
        <f>SUM(AB14:AB19)+AB22+AB28+AB31+AB37+AB44+AB51+AB58+AB65+AB72+AB79+AB93+AB94+AB25+AB34+AB86+AB95+AB96</f>
        <v>46693023.956143141</v>
      </c>
      <c r="AC3" s="270">
        <f>SUM(AC14:AC19)+AC22+AC28+AC31+AC37+AC44+AC51+AC58+AC65+AC72+AC79+AC93+AC94+AC25+AC34+AC86+AC95+AC96</f>
        <v>10678018</v>
      </c>
      <c r="AD3" s="271">
        <f>SUM(AD14:AD19)+AD22+AD28+AD31+AD37+AD44+AD51+AD58+AD65+AD72+AD79+AD93+AD94+AD25+AD34+AD86+AD95+AD96</f>
        <v>141275.86116</v>
      </c>
      <c r="AF3" s="269">
        <f t="shared" ref="AF3:AH3" si="0">SUM(AF14:AF19)+AF22+AF28+AF31+AF37+AF44+AF51+AF58+AF65+AF72+AF79+AF93+AF94+AF25+AF34+AF86+AF95+AF96</f>
        <v>3150188.2762063476</v>
      </c>
      <c r="AG3" s="270">
        <f t="shared" si="0"/>
        <v>0</v>
      </c>
      <c r="AH3" s="271">
        <f t="shared" si="0"/>
        <v>0</v>
      </c>
      <c r="AK3" s="270"/>
      <c r="AM3" s="269">
        <f t="shared" ref="AM3:AO3" si="1">SUM(AM14:AM19)+AM22+AM28+AM31+AM37+AM44+AM51+AM58+AM65+AM72+AM79+AM93+AM94+AM25+AM34+AM86+AM95+AM96</f>
        <v>0</v>
      </c>
      <c r="AN3" s="270">
        <f t="shared" si="1"/>
        <v>0</v>
      </c>
      <c r="AO3" s="271">
        <f t="shared" si="1"/>
        <v>0</v>
      </c>
      <c r="AQ3" s="56" t="s">
        <v>100</v>
      </c>
      <c r="AR3" s="272">
        <f>AF3</f>
        <v>3150188.2762063476</v>
      </c>
    </row>
    <row r="4" spans="1:52" x14ac:dyDescent="0.2">
      <c r="A4" s="139" t="s">
        <v>122</v>
      </c>
      <c r="D4" s="140"/>
      <c r="E4" s="140"/>
      <c r="F4" s="140"/>
      <c r="G4" s="140"/>
      <c r="H4" s="140"/>
      <c r="J4" s="140"/>
      <c r="K4" s="140"/>
      <c r="L4" s="140"/>
      <c r="Q4" s="140"/>
      <c r="V4" s="140"/>
      <c r="W4" s="273"/>
      <c r="X4" s="55"/>
      <c r="Y4" s="55"/>
      <c r="Z4" s="1146" t="s">
        <v>78</v>
      </c>
      <c r="AA4" s="140"/>
      <c r="AB4" s="273"/>
      <c r="AC4" s="55"/>
      <c r="AD4" s="274" t="s">
        <v>78</v>
      </c>
      <c r="AE4" s="140"/>
      <c r="AF4" s="273"/>
      <c r="AG4" s="55"/>
      <c r="AH4" s="274" t="s">
        <v>78</v>
      </c>
      <c r="AI4" s="140"/>
      <c r="AJ4" s="140"/>
      <c r="AK4" s="145"/>
      <c r="AL4" s="140"/>
      <c r="AM4" s="273"/>
      <c r="AN4" s="55"/>
      <c r="AO4" s="274" t="s">
        <v>78</v>
      </c>
      <c r="AP4" s="140"/>
      <c r="AQ4" s="56" t="s">
        <v>101</v>
      </c>
      <c r="AR4" s="272">
        <f>AG3</f>
        <v>0</v>
      </c>
    </row>
    <row r="5" spans="1:52" ht="13.5" thickBot="1" x14ac:dyDescent="0.25">
      <c r="E5" s="140"/>
      <c r="F5" s="140"/>
      <c r="W5" s="555"/>
      <c r="X5" s="556"/>
      <c r="Y5" s="556"/>
      <c r="Z5" s="1147">
        <f>SUM(W3:Z3)</f>
        <v>55617717.627904825</v>
      </c>
      <c r="AB5" s="275"/>
      <c r="AC5" s="276"/>
      <c r="AD5" s="277">
        <f>SUM(AB3:AD3)</f>
        <v>57512317.817303143</v>
      </c>
      <c r="AF5" s="275"/>
      <c r="AG5" s="276"/>
      <c r="AH5" s="277">
        <f>SUM(AF3:AH3)</f>
        <v>3150188.2762063476</v>
      </c>
      <c r="AK5" s="270"/>
      <c r="AM5" s="275"/>
      <c r="AN5" s="276"/>
      <c r="AO5" s="277">
        <f>SUM(AM3:AO3)</f>
        <v>0</v>
      </c>
      <c r="AQ5" s="56" t="s">
        <v>102</v>
      </c>
      <c r="AR5" s="272">
        <f>AH3</f>
        <v>0</v>
      </c>
    </row>
    <row r="6" spans="1:52" ht="13.5" thickBot="1" x14ac:dyDescent="0.25">
      <c r="E6" s="140"/>
      <c r="F6" s="140"/>
      <c r="W6" s="55"/>
      <c r="X6" s="55"/>
      <c r="Y6" s="270"/>
      <c r="Z6" s="1142" t="s">
        <v>474</v>
      </c>
      <c r="AB6" s="55"/>
      <c r="AC6" s="55"/>
      <c r="AD6" s="270"/>
      <c r="AF6" s="55"/>
      <c r="AG6" s="55"/>
      <c r="AH6" s="270"/>
      <c r="AK6" s="270"/>
      <c r="AM6" s="55"/>
      <c r="AN6" s="55"/>
      <c r="AO6" s="270"/>
      <c r="AR6" s="272"/>
    </row>
    <row r="7" spans="1:52" ht="13.5" thickBot="1" x14ac:dyDescent="0.25">
      <c r="E7" s="518"/>
      <c r="F7" s="518"/>
      <c r="H7" s="1585" t="s">
        <v>123</v>
      </c>
      <c r="I7" s="1586"/>
      <c r="K7" s="1585" t="s">
        <v>125</v>
      </c>
      <c r="L7" s="1587"/>
      <c r="M7" s="1587"/>
      <c r="N7" s="1587"/>
      <c r="O7" s="1587"/>
      <c r="P7" s="1586"/>
      <c r="R7" s="1585" t="s">
        <v>124</v>
      </c>
      <c r="S7" s="1587"/>
      <c r="T7" s="1587"/>
      <c r="U7" s="1586"/>
      <c r="AD7" s="280"/>
      <c r="AO7" s="280"/>
      <c r="AQ7" s="56" t="s">
        <v>103</v>
      </c>
      <c r="AR7" s="281">
        <f>SUM(AR3:AR5)</f>
        <v>3150188.2762063476</v>
      </c>
      <c r="AU7" s="1150"/>
    </row>
    <row r="8" spans="1:52" x14ac:dyDescent="0.2">
      <c r="A8" s="86">
        <v>1</v>
      </c>
      <c r="D8" s="142"/>
      <c r="E8" s="518" t="s">
        <v>557</v>
      </c>
      <c r="F8" s="518" t="str">
        <f>E8</f>
        <v>UG-20XXXX</v>
      </c>
      <c r="G8" s="142"/>
      <c r="H8" s="148"/>
      <c r="I8" s="297"/>
      <c r="J8" s="142"/>
      <c r="K8" s="329" t="s">
        <v>17</v>
      </c>
      <c r="L8" s="330" t="s">
        <v>20</v>
      </c>
      <c r="M8" s="330" t="s">
        <v>17</v>
      </c>
      <c r="N8" s="330" t="s">
        <v>20</v>
      </c>
      <c r="O8" s="330" t="s">
        <v>17</v>
      </c>
      <c r="P8" s="331" t="s">
        <v>20</v>
      </c>
      <c r="Q8" s="142"/>
      <c r="R8" s="141"/>
      <c r="S8" s="282"/>
      <c r="T8" s="282"/>
      <c r="U8" s="283"/>
      <c r="V8" s="142"/>
      <c r="W8" s="1588" t="s">
        <v>126</v>
      </c>
      <c r="X8" s="1588"/>
      <c r="Y8" s="1588"/>
      <c r="Z8" s="1588"/>
      <c r="AA8" s="145"/>
      <c r="AB8" s="278"/>
      <c r="AC8" s="279" t="s">
        <v>244</v>
      </c>
      <c r="AD8" s="278"/>
      <c r="AE8" s="142"/>
      <c r="AG8" s="803" t="s">
        <v>127</v>
      </c>
      <c r="AI8" s="142"/>
      <c r="AJ8" s="422"/>
      <c r="AL8" s="142"/>
      <c r="AM8" s="278"/>
      <c r="AN8" s="279"/>
      <c r="AO8" s="278"/>
      <c r="AP8" s="142"/>
      <c r="AQ8" s="56" t="s">
        <v>104</v>
      </c>
      <c r="AR8" s="272"/>
      <c r="AU8" s="474"/>
      <c r="AV8" s="293"/>
    </row>
    <row r="9" spans="1:52" ht="13.5" thickBot="1" x14ac:dyDescent="0.25">
      <c r="A9" s="86">
        <f>+A8+1</f>
        <v>2</v>
      </c>
      <c r="D9" s="143"/>
      <c r="E9" s="144" t="s">
        <v>179</v>
      </c>
      <c r="F9" s="144" t="s">
        <v>179</v>
      </c>
      <c r="G9" s="143"/>
      <c r="H9" s="423" t="s">
        <v>118</v>
      </c>
      <c r="I9" s="1015" t="str">
        <f>E8</f>
        <v>UG-20XXXX</v>
      </c>
      <c r="J9" s="143"/>
      <c r="K9" s="332" t="str">
        <f>H9</f>
        <v>CURRENT</v>
      </c>
      <c r="L9" s="497" t="str">
        <f>E8</f>
        <v>UG-20XXXX</v>
      </c>
      <c r="M9" s="143" t="str">
        <f>K9</f>
        <v>CURRENT</v>
      </c>
      <c r="N9" s="497" t="str">
        <f>E8</f>
        <v>UG-20XXXX</v>
      </c>
      <c r="O9" s="143" t="str">
        <f>K9</f>
        <v>CURRENT</v>
      </c>
      <c r="P9" s="1015" t="str">
        <f>E8</f>
        <v>UG-20XXXX</v>
      </c>
      <c r="Q9" s="143"/>
      <c r="R9" s="1016" t="str">
        <f>E8</f>
        <v>UG-20XXXX</v>
      </c>
      <c r="S9" s="1017" t="str">
        <f>R9</f>
        <v>UG-20XXXX</v>
      </c>
      <c r="T9" s="1017" t="str">
        <f>S9</f>
        <v>UG-20XXXX</v>
      </c>
      <c r="U9" s="1018" t="str">
        <f>T9</f>
        <v>UG-20XXXX</v>
      </c>
      <c r="V9" s="143"/>
      <c r="W9" s="278"/>
      <c r="X9" s="278"/>
      <c r="Y9" s="278"/>
      <c r="Z9" s="278"/>
      <c r="AA9" s="145"/>
      <c r="AB9" s="278"/>
      <c r="AC9" s="1149"/>
      <c r="AD9" s="278"/>
      <c r="AE9" s="143"/>
      <c r="AF9" s="278"/>
      <c r="AG9" s="1149"/>
      <c r="AH9" s="278"/>
      <c r="AI9" s="143"/>
      <c r="AJ9" s="143"/>
      <c r="AK9" s="278"/>
      <c r="AL9" s="143"/>
      <c r="AM9" s="278"/>
      <c r="AN9" s="279"/>
      <c r="AO9" s="278"/>
      <c r="AP9" s="143"/>
      <c r="AQ9" s="604" t="s">
        <v>415</v>
      </c>
      <c r="AR9" s="272">
        <f>AO5</f>
        <v>0</v>
      </c>
      <c r="AU9" s="596"/>
      <c r="AV9" s="293"/>
    </row>
    <row r="10" spans="1:52" ht="15.75" thickBot="1" x14ac:dyDescent="0.4">
      <c r="A10" s="86">
        <f t="shared" ref="A10:A73" si="2">+A9+1</f>
        <v>3</v>
      </c>
      <c r="D10" s="145"/>
      <c r="E10" s="59" t="s">
        <v>90</v>
      </c>
      <c r="F10" s="59" t="s">
        <v>90</v>
      </c>
      <c r="G10" s="145"/>
      <c r="H10" s="423" t="s">
        <v>105</v>
      </c>
      <c r="I10" s="783" t="s">
        <v>105</v>
      </c>
      <c r="J10" s="145"/>
      <c r="K10" s="289" t="s">
        <v>83</v>
      </c>
      <c r="L10" s="86" t="s">
        <v>83</v>
      </c>
      <c r="M10" s="145" t="s">
        <v>376</v>
      </c>
      <c r="N10" s="86" t="s">
        <v>376</v>
      </c>
      <c r="O10" s="145" t="s">
        <v>109</v>
      </c>
      <c r="P10" s="783" t="s">
        <v>109</v>
      </c>
      <c r="Q10" s="145"/>
      <c r="R10" s="284" t="s">
        <v>110</v>
      </c>
      <c r="S10" s="278" t="s">
        <v>110</v>
      </c>
      <c r="T10" s="278" t="s">
        <v>120</v>
      </c>
      <c r="U10" s="285" t="s">
        <v>70</v>
      </c>
      <c r="V10" s="145"/>
      <c r="W10" s="1580" t="s">
        <v>116</v>
      </c>
      <c r="X10" s="1581"/>
      <c r="Y10" s="1581"/>
      <c r="Z10" s="1582"/>
      <c r="AA10" s="143"/>
      <c r="AB10" s="1580" t="s">
        <v>117</v>
      </c>
      <c r="AC10" s="1581"/>
      <c r="AD10" s="1582"/>
      <c r="AE10" s="145"/>
      <c r="AF10" s="1580" t="s">
        <v>107</v>
      </c>
      <c r="AG10" s="1581"/>
      <c r="AH10" s="1582"/>
      <c r="AI10" s="145"/>
      <c r="AJ10" s="58" t="s">
        <v>136</v>
      </c>
      <c r="AK10" s="58" t="s">
        <v>114</v>
      </c>
      <c r="AL10" s="145"/>
      <c r="AM10" s="1580" t="s">
        <v>117</v>
      </c>
      <c r="AN10" s="1581"/>
      <c r="AO10" s="1582"/>
      <c r="AP10" s="145"/>
      <c r="AQ10" s="60" t="s">
        <v>91</v>
      </c>
      <c r="AR10" s="281">
        <f>AR7+AR9</f>
        <v>3150188.2762063476</v>
      </c>
      <c r="AU10" s="1177"/>
      <c r="AV10" s="1178"/>
      <c r="AW10" s="613"/>
      <c r="AX10" s="613"/>
      <c r="AY10" s="613"/>
      <c r="AZ10" s="613"/>
    </row>
    <row r="11" spans="1:52" s="57" customFormat="1" ht="13.5" thickBot="1" x14ac:dyDescent="0.25">
      <c r="A11" s="86">
        <f t="shared" si="2"/>
        <v>4</v>
      </c>
      <c r="B11" s="147"/>
      <c r="C11" s="147"/>
      <c r="D11" s="145"/>
      <c r="E11" s="172" t="s">
        <v>98</v>
      </c>
      <c r="F11" s="1144"/>
      <c r="G11" s="145"/>
      <c r="H11" s="426" t="s">
        <v>106</v>
      </c>
      <c r="I11" s="784" t="s">
        <v>106</v>
      </c>
      <c r="J11" s="145"/>
      <c r="K11" s="333" t="s">
        <v>71</v>
      </c>
      <c r="L11" s="358" t="s">
        <v>71</v>
      </c>
      <c r="M11" s="334" t="s">
        <v>71</v>
      </c>
      <c r="N11" s="358" t="s">
        <v>71</v>
      </c>
      <c r="O11" s="334" t="s">
        <v>71</v>
      </c>
      <c r="P11" s="784" t="s">
        <v>71</v>
      </c>
      <c r="Q11" s="145"/>
      <c r="R11" s="286" t="s">
        <v>111</v>
      </c>
      <c r="S11" s="287" t="s">
        <v>113</v>
      </c>
      <c r="T11" s="287" t="s">
        <v>75</v>
      </c>
      <c r="U11" s="288" t="s">
        <v>112</v>
      </c>
      <c r="V11" s="145"/>
      <c r="W11" s="289" t="s">
        <v>114</v>
      </c>
      <c r="X11" s="145" t="s">
        <v>115</v>
      </c>
      <c r="Y11" s="267" t="s">
        <v>99</v>
      </c>
      <c r="Z11" s="274" t="s">
        <v>475</v>
      </c>
      <c r="AA11" s="58"/>
      <c r="AB11" s="289" t="s">
        <v>114</v>
      </c>
      <c r="AC11" s="145" t="s">
        <v>115</v>
      </c>
      <c r="AD11" s="274" t="s">
        <v>99</v>
      </c>
      <c r="AE11" s="145"/>
      <c r="AF11" s="289" t="s">
        <v>114</v>
      </c>
      <c r="AG11" s="145" t="s">
        <v>115</v>
      </c>
      <c r="AH11" s="274" t="s">
        <v>99</v>
      </c>
      <c r="AI11" s="145"/>
      <c r="AJ11" s="58" t="s">
        <v>27</v>
      </c>
      <c r="AK11" s="58" t="s">
        <v>27</v>
      </c>
      <c r="AL11" s="145"/>
      <c r="AM11" s="266" t="s">
        <v>114</v>
      </c>
      <c r="AN11" s="267" t="s">
        <v>115</v>
      </c>
      <c r="AO11" s="268" t="s">
        <v>99</v>
      </c>
      <c r="AP11" s="145"/>
      <c r="AQ11" s="278"/>
      <c r="AR11" s="278"/>
      <c r="AS11" s="145"/>
      <c r="AU11" s="596"/>
      <c r="AV11" s="293"/>
    </row>
    <row r="12" spans="1:52" s="57" customFormat="1" ht="15" x14ac:dyDescent="0.35">
      <c r="A12" s="86">
        <f t="shared" si="2"/>
        <v>5</v>
      </c>
      <c r="B12" s="56"/>
      <c r="C12" s="56"/>
      <c r="D12" s="58"/>
      <c r="E12" s="150"/>
      <c r="F12" s="150"/>
      <c r="G12" s="58"/>
      <c r="H12" s="151"/>
      <c r="I12" s="603"/>
      <c r="J12" s="58"/>
      <c r="K12" s="335"/>
      <c r="L12" s="336"/>
      <c r="M12" s="336"/>
      <c r="N12" s="336"/>
      <c r="O12" s="336"/>
      <c r="P12" s="337"/>
      <c r="Q12" s="58"/>
      <c r="R12" s="290"/>
      <c r="S12" s="146"/>
      <c r="T12" s="146"/>
      <c r="U12" s="291"/>
      <c r="V12" s="58"/>
      <c r="W12" s="151"/>
      <c r="Z12" s="149"/>
      <c r="AB12" s="151"/>
      <c r="AD12" s="149"/>
      <c r="AE12" s="58"/>
      <c r="AF12" s="151"/>
      <c r="AH12" s="149"/>
      <c r="AI12" s="58"/>
      <c r="AJ12" s="58" t="s">
        <v>128</v>
      </c>
      <c r="AK12" s="58" t="s">
        <v>128</v>
      </c>
      <c r="AL12" s="58"/>
      <c r="AM12" s="151"/>
      <c r="AO12" s="149"/>
      <c r="AP12" s="58"/>
      <c r="AQ12" s="145"/>
      <c r="AR12" s="292">
        <f>'Rate Spread Proposal'!D28</f>
        <v>3150116.0024598953</v>
      </c>
      <c r="AS12" s="293" t="s">
        <v>157</v>
      </c>
      <c r="AU12" s="1177"/>
      <c r="AV12" s="1178"/>
      <c r="AW12" s="614"/>
      <c r="AX12" s="614"/>
      <c r="AY12" s="614"/>
      <c r="AZ12" s="614"/>
    </row>
    <row r="13" spans="1:52" s="57" customFormat="1" ht="13.5" thickBot="1" x14ac:dyDescent="0.25">
      <c r="A13" s="86">
        <f t="shared" si="2"/>
        <v>6</v>
      </c>
      <c r="B13" s="771" t="s">
        <v>2</v>
      </c>
      <c r="C13" s="771" t="s">
        <v>3</v>
      </c>
      <c r="D13" s="294"/>
      <c r="E13" s="294" t="s">
        <v>35</v>
      </c>
      <c r="F13" s="294" t="s">
        <v>36</v>
      </c>
      <c r="G13" s="294"/>
      <c r="H13" s="295" t="s">
        <v>13</v>
      </c>
      <c r="I13" s="296" t="s">
        <v>37</v>
      </c>
      <c r="J13" s="294"/>
      <c r="K13" s="295" t="s">
        <v>38</v>
      </c>
      <c r="L13" s="294" t="s">
        <v>39</v>
      </c>
      <c r="M13" s="294" t="s">
        <v>40</v>
      </c>
      <c r="N13" s="294" t="s">
        <v>41</v>
      </c>
      <c r="O13" s="294" t="s">
        <v>42</v>
      </c>
      <c r="P13" s="296" t="s">
        <v>129</v>
      </c>
      <c r="Q13" s="294"/>
      <c r="R13" s="295" t="s">
        <v>130</v>
      </c>
      <c r="S13" s="294" t="s">
        <v>43</v>
      </c>
      <c r="T13" s="294" t="s">
        <v>131</v>
      </c>
      <c r="U13" s="296" t="s">
        <v>132</v>
      </c>
      <c r="V13" s="58"/>
      <c r="W13" s="148" t="s">
        <v>133</v>
      </c>
      <c r="X13" s="58" t="s">
        <v>134</v>
      </c>
      <c r="Y13" s="58" t="s">
        <v>135</v>
      </c>
      <c r="Z13" s="297" t="s">
        <v>89</v>
      </c>
      <c r="AA13" s="58"/>
      <c r="AB13" s="148" t="s">
        <v>92</v>
      </c>
      <c r="AC13" s="58" t="s">
        <v>93</v>
      </c>
      <c r="AD13" s="297" t="s">
        <v>94</v>
      </c>
      <c r="AE13" s="58"/>
      <c r="AF13" s="148" t="s">
        <v>186</v>
      </c>
      <c r="AG13" s="58" t="s">
        <v>232</v>
      </c>
      <c r="AH13" s="297" t="s">
        <v>227</v>
      </c>
      <c r="AI13" s="58"/>
      <c r="AJ13" s="58" t="s">
        <v>127</v>
      </c>
      <c r="AK13" s="58" t="s">
        <v>127</v>
      </c>
      <c r="AL13" s="58"/>
      <c r="AM13" s="148" t="s">
        <v>233</v>
      </c>
      <c r="AN13" s="58" t="s">
        <v>234</v>
      </c>
      <c r="AO13" s="297" t="s">
        <v>235</v>
      </c>
      <c r="AP13" s="58"/>
      <c r="AR13" s="931">
        <f>AR12-AR10</f>
        <v>-72.27374645229429</v>
      </c>
      <c r="AS13" s="293" t="s">
        <v>168</v>
      </c>
      <c r="AT13" s="932"/>
      <c r="AU13" s="1179"/>
      <c r="AV13" s="610"/>
    </row>
    <row r="14" spans="1:52" ht="12.95" customHeight="1" x14ac:dyDescent="0.2">
      <c r="A14" s="86">
        <f t="shared" si="2"/>
        <v>7</v>
      </c>
      <c r="B14" s="723" t="str">
        <f>'WA Volumes &amp; Revenues'!B15</f>
        <v>1R</v>
      </c>
      <c r="C14" s="723" t="s">
        <v>283</v>
      </c>
      <c r="D14" s="154"/>
      <c r="E14" s="772">
        <f>ROUND('Rates in Detail'!Y13,5)</f>
        <v>6.2010000000000003E-2</v>
      </c>
      <c r="F14" s="123"/>
      <c r="G14" s="154"/>
      <c r="H14" s="368">
        <f>ROUND('Rates in Detail'!R13,5)</f>
        <v>0.79967999999999995</v>
      </c>
      <c r="I14" s="773">
        <f>H14+E14</f>
        <v>0.86168999999999996</v>
      </c>
      <c r="J14" s="154"/>
      <c r="K14" s="155">
        <f>'WA Volumes &amp; Revenues'!O15</f>
        <v>5.5</v>
      </c>
      <c r="L14" s="156">
        <f>'WA Volumes &amp; Revenues'!N15</f>
        <v>5.5</v>
      </c>
      <c r="M14" s="122">
        <f>'Rates in Detail'!AF13</f>
        <v>0</v>
      </c>
      <c r="N14" s="122">
        <f>'Rates in Detail'!AG13</f>
        <v>0</v>
      </c>
      <c r="O14" s="122">
        <f>'Rates in Detail'!AH13</f>
        <v>0</v>
      </c>
      <c r="P14" s="774">
        <f>'Rates in Detail'!AI13</f>
        <v>0</v>
      </c>
      <c r="Q14" s="154"/>
      <c r="R14" s="298">
        <f>'WA Volumes &amp; Revenues'!E15</f>
        <v>214704.20066131229</v>
      </c>
      <c r="S14" s="299"/>
      <c r="T14" s="300">
        <f>'WA Volumes &amp; Revenues'!H15</f>
        <v>911</v>
      </c>
      <c r="U14" s="301">
        <f>'WA Volumes &amp; Revenues'!I15</f>
        <v>19.639970000000002</v>
      </c>
      <c r="V14" s="154"/>
      <c r="W14" s="302">
        <f>(H14*R14)</f>
        <v>171694.65518483819</v>
      </c>
      <c r="X14" s="303">
        <f>(K14*T14*12)</f>
        <v>60126</v>
      </c>
      <c r="Y14" s="303">
        <f t="shared" ref="Y14:Y21" si="3">(S14*(M14+O14))*12</f>
        <v>0</v>
      </c>
      <c r="Z14" s="304">
        <f>'Rate Spread Proposal'!E$74-SUM(W14:Y14)</f>
        <v>3255.5467165729206</v>
      </c>
      <c r="AA14" s="305"/>
      <c r="AB14" s="302">
        <f>(I14*R14)</f>
        <v>185008.46266784618</v>
      </c>
      <c r="AC14" s="303">
        <f t="shared" ref="AC14:AC21" si="4">(L14*T14*12)</f>
        <v>60126</v>
      </c>
      <c r="AD14" s="304">
        <f t="shared" ref="AD14:AD21" si="5">(S14*(N14+P14))*12</f>
        <v>0</v>
      </c>
      <c r="AE14" s="305"/>
      <c r="AF14" s="302">
        <f>AB14-W14</f>
        <v>13313.807483007986</v>
      </c>
      <c r="AG14" s="303">
        <f>AC14-X14</f>
        <v>0</v>
      </c>
      <c r="AH14" s="304">
        <f>AD14-Y14</f>
        <v>0</v>
      </c>
      <c r="AI14" s="305"/>
      <c r="AJ14" s="338"/>
      <c r="AK14" s="339"/>
      <c r="AL14" s="305"/>
      <c r="AM14" s="302">
        <f t="shared" ref="AM14:AM21" si="6">(F14*R14)</f>
        <v>0</v>
      </c>
      <c r="AN14" s="303">
        <v>0</v>
      </c>
      <c r="AO14" s="304">
        <f t="shared" ref="AO14:AO21" si="7">(AE14*(Y14+AB14))*12</f>
        <v>0</v>
      </c>
      <c r="AP14" s="305"/>
      <c r="AQ14" s="1579" t="s">
        <v>169</v>
      </c>
      <c r="AR14" s="1579"/>
      <c r="AS14" s="1579"/>
    </row>
    <row r="15" spans="1:52" x14ac:dyDescent="0.2">
      <c r="A15" s="86">
        <f t="shared" si="2"/>
        <v>8</v>
      </c>
      <c r="B15" s="724" t="str">
        <f>'WA Volumes &amp; Revenues'!B16</f>
        <v>1C</v>
      </c>
      <c r="C15" s="724" t="s">
        <v>283</v>
      </c>
      <c r="D15" s="157"/>
      <c r="E15" s="123">
        <f>ROUND('Rates in Detail'!Y14,5)</f>
        <v>5.1569999999999998E-2</v>
      </c>
      <c r="F15" s="123"/>
      <c r="G15" s="157"/>
      <c r="H15" s="368">
        <f>ROUND('Rates in Detail'!R14,5)</f>
        <v>0.83389999999999997</v>
      </c>
      <c r="I15" s="773">
        <f>H15+E15</f>
        <v>0.88546999999999998</v>
      </c>
      <c r="J15" s="157"/>
      <c r="K15" s="155">
        <f>'WA Volumes &amp; Revenues'!O16</f>
        <v>7</v>
      </c>
      <c r="L15" s="156">
        <f>'WA Volumes &amp; Revenues'!N16</f>
        <v>7</v>
      </c>
      <c r="M15" s="122">
        <f>'Rates in Detail'!AF14</f>
        <v>0</v>
      </c>
      <c r="N15" s="122">
        <f>'Rates in Detail'!AG14</f>
        <v>0</v>
      </c>
      <c r="O15" s="122">
        <f>'Rates in Detail'!AH14</f>
        <v>0</v>
      </c>
      <c r="P15" s="774">
        <f>'Rates in Detail'!AI14</f>
        <v>0</v>
      </c>
      <c r="Q15" s="157"/>
      <c r="R15" s="298">
        <f>'WA Volumes &amp; Revenues'!E16</f>
        <v>46539.057144390383</v>
      </c>
      <c r="S15" s="299"/>
      <c r="T15" s="300">
        <f>'WA Volumes &amp; Revenues'!H16</f>
        <v>34</v>
      </c>
      <c r="U15" s="301">
        <f>'WA Volumes &amp; Revenues'!I16</f>
        <v>114.06632</v>
      </c>
      <c r="V15" s="157"/>
      <c r="W15" s="306">
        <f>(H15*R15)</f>
        <v>38808.919752707137</v>
      </c>
      <c r="X15" s="307">
        <f>(K15*T15*12)</f>
        <v>2856</v>
      </c>
      <c r="Y15" s="307">
        <f t="shared" si="3"/>
        <v>0</v>
      </c>
      <c r="Z15" s="308">
        <f>'Rate Spread Proposal'!F$74-SUM(W15:Y15)</f>
        <v>705.19753651392966</v>
      </c>
      <c r="AA15" s="309"/>
      <c r="AB15" s="306">
        <f>(I15*R15)</f>
        <v>41208.938929643351</v>
      </c>
      <c r="AC15" s="307">
        <f>(L15*T15*12)</f>
        <v>2856</v>
      </c>
      <c r="AD15" s="308">
        <f>(S15*(N15+P15))*12</f>
        <v>0</v>
      </c>
      <c r="AE15" s="309"/>
      <c r="AF15" s="306">
        <f t="shared" ref="AF15:AH21" si="8">AB15-W15</f>
        <v>2400.0191769362136</v>
      </c>
      <c r="AG15" s="307">
        <f t="shared" si="8"/>
        <v>0</v>
      </c>
      <c r="AH15" s="308">
        <f t="shared" si="8"/>
        <v>0</v>
      </c>
      <c r="AI15" s="309"/>
      <c r="AJ15" s="338"/>
      <c r="AK15" s="339"/>
      <c r="AL15" s="309"/>
      <c r="AM15" s="306">
        <f>(F15*R15)</f>
        <v>0</v>
      </c>
      <c r="AN15" s="307">
        <v>0</v>
      </c>
      <c r="AO15" s="308">
        <f t="shared" si="7"/>
        <v>0</v>
      </c>
      <c r="AP15" s="309"/>
      <c r="AQ15" s="310"/>
      <c r="AR15" s="310"/>
      <c r="AS15" s="309"/>
    </row>
    <row r="16" spans="1:52" x14ac:dyDescent="0.2">
      <c r="A16" s="86">
        <f t="shared" si="2"/>
        <v>9</v>
      </c>
      <c r="B16" s="724" t="str">
        <f>'WA Volumes &amp; Revenues'!B17</f>
        <v>2R</v>
      </c>
      <c r="C16" s="724" t="s">
        <v>283</v>
      </c>
      <c r="D16" s="157"/>
      <c r="E16" s="772">
        <f>ROUND('Rates in Detail'!Y15,5)</f>
        <v>3.925E-2</v>
      </c>
      <c r="F16" s="772"/>
      <c r="G16" s="157"/>
      <c r="H16" s="368">
        <f>ROUND('Rates in Detail'!R15,5)</f>
        <v>0.53610000000000002</v>
      </c>
      <c r="I16" s="773">
        <f t="shared" ref="I16:I78" si="9">H16+E16</f>
        <v>0.57535000000000003</v>
      </c>
      <c r="J16" s="157"/>
      <c r="K16" s="155">
        <f>'WA Volumes &amp; Revenues'!O17</f>
        <v>8</v>
      </c>
      <c r="L16" s="156">
        <f>'WA Volumes &amp; Revenues'!N17</f>
        <v>8</v>
      </c>
      <c r="M16" s="122">
        <f>'Rates in Detail'!AF15</f>
        <v>0</v>
      </c>
      <c r="N16" s="122">
        <f>'Rates in Detail'!AG15</f>
        <v>0</v>
      </c>
      <c r="O16" s="122">
        <f>'Rates in Detail'!AH15</f>
        <v>0</v>
      </c>
      <c r="P16" s="774">
        <f>'Rates in Detail'!AI15</f>
        <v>0</v>
      </c>
      <c r="Q16" s="157"/>
      <c r="R16" s="298">
        <f>'WA Volumes &amp; Revenues'!E17</f>
        <v>54953515.785084128</v>
      </c>
      <c r="S16" s="311"/>
      <c r="T16" s="300">
        <f>'WA Volumes &amp; Revenues'!H17</f>
        <v>81119</v>
      </c>
      <c r="U16" s="301">
        <f>'WA Volumes &amp; Revenues'!I17</f>
        <v>56.453600000000002</v>
      </c>
      <c r="V16" s="157"/>
      <c r="W16" s="306">
        <f t="shared" ref="W16:W21" si="10">(H16*R16)</f>
        <v>29460579.812383603</v>
      </c>
      <c r="X16" s="307">
        <f t="shared" ref="X16:X18" si="11">(K16*T16*12)</f>
        <v>7787424</v>
      </c>
      <c r="Y16" s="307">
        <f t="shared" si="3"/>
        <v>0</v>
      </c>
      <c r="Z16" s="308">
        <f>'Rate Spread Proposal'!G$74-SUM(W16:Y16)</f>
        <v>833448.73301208019</v>
      </c>
      <c r="AA16" s="309"/>
      <c r="AB16" s="306">
        <f t="shared" ref="AB16:AB21" si="12">(I16*R16)</f>
        <v>31617505.306948155</v>
      </c>
      <c r="AC16" s="307">
        <f t="shared" si="4"/>
        <v>7787424</v>
      </c>
      <c r="AD16" s="308">
        <f t="shared" si="5"/>
        <v>0</v>
      </c>
      <c r="AE16" s="309"/>
      <c r="AF16" s="306">
        <f t="shared" si="8"/>
        <v>2156925.4945645519</v>
      </c>
      <c r="AG16" s="307">
        <f t="shared" si="8"/>
        <v>0</v>
      </c>
      <c r="AH16" s="308">
        <f t="shared" si="8"/>
        <v>0</v>
      </c>
      <c r="AI16" s="309"/>
      <c r="AJ16" s="338">
        <f>SUM(AF16:AH16)/SUM(W16:Y16)</f>
        <v>5.7907143304346757E-2</v>
      </c>
      <c r="AK16" s="339">
        <f t="shared" ref="AK16:AK41" si="13">SUM(AF16)/SUM(W16)</f>
        <v>7.321395262077969E-2</v>
      </c>
      <c r="AL16" s="309"/>
      <c r="AM16" s="306">
        <f t="shared" si="6"/>
        <v>0</v>
      </c>
      <c r="AN16" s="307">
        <v>0</v>
      </c>
      <c r="AO16" s="308">
        <f t="shared" si="7"/>
        <v>0</v>
      </c>
      <c r="AP16" s="309"/>
      <c r="AQ16" s="310"/>
      <c r="AR16" s="50"/>
      <c r="AS16" s="309"/>
    </row>
    <row r="17" spans="1:45" x14ac:dyDescent="0.2">
      <c r="A17" s="86">
        <f t="shared" si="2"/>
        <v>10</v>
      </c>
      <c r="B17" s="724" t="str">
        <f>'WA Volumes &amp; Revenues'!B18</f>
        <v>3 CFS</v>
      </c>
      <c r="C17" s="724" t="s">
        <v>283</v>
      </c>
      <c r="D17" s="157"/>
      <c r="E17" s="123">
        <f>ROUND('Rates in Detail'!Y16,5)</f>
        <v>3.524E-2</v>
      </c>
      <c r="F17" s="123"/>
      <c r="G17" s="157"/>
      <c r="H17" s="368">
        <f>ROUND('Rates in Detail'!R16,5)</f>
        <v>0.51366000000000001</v>
      </c>
      <c r="I17" s="773">
        <f t="shared" si="9"/>
        <v>0.54890000000000005</v>
      </c>
      <c r="J17" s="157"/>
      <c r="K17" s="155">
        <f>'WA Volumes &amp; Revenues'!O18</f>
        <v>22</v>
      </c>
      <c r="L17" s="156">
        <f>'WA Volumes &amp; Revenues'!N18</f>
        <v>22</v>
      </c>
      <c r="M17" s="122">
        <f>'Rates in Detail'!AF16</f>
        <v>0</v>
      </c>
      <c r="N17" s="122">
        <f>'Rates in Detail'!AG16</f>
        <v>0</v>
      </c>
      <c r="O17" s="122">
        <f>'Rates in Detail'!AH16</f>
        <v>0</v>
      </c>
      <c r="P17" s="774">
        <f>'Rates in Detail'!AI16</f>
        <v>0</v>
      </c>
      <c r="Q17" s="157"/>
      <c r="R17" s="298">
        <f>'WA Volumes &amp; Revenues'!E18</f>
        <v>17867210.60654201</v>
      </c>
      <c r="S17" s="311"/>
      <c r="T17" s="300">
        <f>'WA Volumes &amp; Revenues'!H18</f>
        <v>6318</v>
      </c>
      <c r="U17" s="301">
        <f>'WA Volumes &amp; Revenues'!I18</f>
        <v>235.66542999999999</v>
      </c>
      <c r="V17" s="157"/>
      <c r="W17" s="306">
        <f t="shared" si="10"/>
        <v>9177671.4001563694</v>
      </c>
      <c r="X17" s="307">
        <f t="shared" si="11"/>
        <v>1667952</v>
      </c>
      <c r="Y17" s="307">
        <f t="shared" si="3"/>
        <v>0</v>
      </c>
      <c r="Z17" s="308">
        <f>'Rate Spread Proposal'!H$74-SUM(W17:Y17)</f>
        <v>270919.11789412238</v>
      </c>
      <c r="AA17" s="309"/>
      <c r="AB17" s="306">
        <f t="shared" si="12"/>
        <v>9807311.9019309096</v>
      </c>
      <c r="AC17" s="307">
        <f t="shared" si="4"/>
        <v>1667952</v>
      </c>
      <c r="AD17" s="308">
        <f t="shared" si="5"/>
        <v>0</v>
      </c>
      <c r="AE17" s="309"/>
      <c r="AF17" s="306">
        <f t="shared" si="8"/>
        <v>629640.50177454017</v>
      </c>
      <c r="AG17" s="307">
        <f t="shared" si="8"/>
        <v>0</v>
      </c>
      <c r="AH17" s="308">
        <f t="shared" si="8"/>
        <v>0</v>
      </c>
      <c r="AI17" s="309"/>
      <c r="AJ17" s="338">
        <f>SUM(AF17:AH17)/SUM(W17:Y17)</f>
        <v>5.805480040598332E-2</v>
      </c>
      <c r="AK17" s="339">
        <f t="shared" si="13"/>
        <v>6.8605692481407896E-2</v>
      </c>
      <c r="AL17" s="309"/>
      <c r="AM17" s="306">
        <f t="shared" si="6"/>
        <v>0</v>
      </c>
      <c r="AN17" s="307">
        <v>0</v>
      </c>
      <c r="AO17" s="308">
        <f t="shared" si="7"/>
        <v>0</v>
      </c>
      <c r="AP17" s="309"/>
      <c r="AQ17" s="310"/>
      <c r="AR17" s="310"/>
      <c r="AS17" s="309"/>
    </row>
    <row r="18" spans="1:45" x14ac:dyDescent="0.2">
      <c r="A18" s="86">
        <f t="shared" si="2"/>
        <v>11</v>
      </c>
      <c r="B18" s="724" t="str">
        <f>'WA Volumes &amp; Revenues'!B19</f>
        <v>3 IFS</v>
      </c>
      <c r="C18" s="724" t="s">
        <v>283</v>
      </c>
      <c r="D18" s="157"/>
      <c r="E18" s="123">
        <f>ROUND('Rates in Detail'!Y17,5)</f>
        <v>3.1919999999999997E-2</v>
      </c>
      <c r="F18" s="123"/>
      <c r="G18" s="157"/>
      <c r="H18" s="368">
        <f>ROUND('Rates in Detail'!R17,5)</f>
        <v>0.52588000000000001</v>
      </c>
      <c r="I18" s="773">
        <f t="shared" si="9"/>
        <v>0.55779999999999996</v>
      </c>
      <c r="J18" s="157"/>
      <c r="K18" s="155">
        <f>'WA Volumes &amp; Revenues'!O19</f>
        <v>22</v>
      </c>
      <c r="L18" s="156">
        <f>'WA Volumes &amp; Revenues'!N19</f>
        <v>22</v>
      </c>
      <c r="M18" s="122">
        <f>'Rates in Detail'!AF17</f>
        <v>0</v>
      </c>
      <c r="N18" s="122">
        <f>'Rates in Detail'!AG17</f>
        <v>0</v>
      </c>
      <c r="O18" s="122">
        <f>'Rates in Detail'!AH17</f>
        <v>0</v>
      </c>
      <c r="P18" s="774">
        <f>'Rates in Detail'!AI17</f>
        <v>0</v>
      </c>
      <c r="Q18" s="157"/>
      <c r="R18" s="298">
        <f>'WA Volumes &amp; Revenues'!E19</f>
        <v>283651.99999999994</v>
      </c>
      <c r="S18" s="311"/>
      <c r="T18" s="300">
        <f>'WA Volumes &amp; Revenues'!H19</f>
        <v>24.25</v>
      </c>
      <c r="U18" s="301">
        <f>'WA Volumes &amp; Revenues'!I19</f>
        <v>974.74914000000001</v>
      </c>
      <c r="V18" s="157"/>
      <c r="W18" s="306">
        <f t="shared" si="10"/>
        <v>149166.91375999997</v>
      </c>
      <c r="X18" s="307">
        <f t="shared" si="11"/>
        <v>6402</v>
      </c>
      <c r="Y18" s="307">
        <f t="shared" si="3"/>
        <v>0</v>
      </c>
      <c r="Z18" s="308">
        <f>'Rate Spread Proposal'!I$74-SUM(W18:Y18)</f>
        <v>4301.8723311134963</v>
      </c>
      <c r="AA18" s="309"/>
      <c r="AB18" s="306">
        <f t="shared" si="12"/>
        <v>158221.08559999996</v>
      </c>
      <c r="AC18" s="307">
        <f t="shared" si="4"/>
        <v>6402</v>
      </c>
      <c r="AD18" s="308">
        <f t="shared" si="5"/>
        <v>0</v>
      </c>
      <c r="AE18" s="309"/>
      <c r="AF18" s="306">
        <f t="shared" si="8"/>
        <v>9054.1718399999954</v>
      </c>
      <c r="AG18" s="307">
        <f t="shared" si="8"/>
        <v>0</v>
      </c>
      <c r="AH18" s="308">
        <f t="shared" si="8"/>
        <v>0</v>
      </c>
      <c r="AI18" s="309"/>
      <c r="AJ18" s="338">
        <f>SUM(AF18:AH18)/SUM(W18:Y18)</f>
        <v>5.8200392489518131E-2</v>
      </c>
      <c r="AK18" s="339">
        <f t="shared" si="13"/>
        <v>6.0698258157754606E-2</v>
      </c>
      <c r="AL18" s="309"/>
      <c r="AM18" s="306">
        <f t="shared" si="6"/>
        <v>0</v>
      </c>
      <c r="AN18" s="307">
        <v>0</v>
      </c>
      <c r="AO18" s="308">
        <f t="shared" si="7"/>
        <v>0</v>
      </c>
      <c r="AP18" s="309"/>
      <c r="AQ18" s="310"/>
      <c r="AR18" s="310"/>
      <c r="AS18" s="309"/>
    </row>
    <row r="19" spans="1:45" x14ac:dyDescent="0.2">
      <c r="A19" s="86">
        <f t="shared" si="2"/>
        <v>12</v>
      </c>
      <c r="B19" s="724" t="str">
        <f>'WA Volumes &amp; Revenues'!B20</f>
        <v>27R</v>
      </c>
      <c r="C19" s="724" t="s">
        <v>283</v>
      </c>
      <c r="D19" s="157"/>
      <c r="E19" s="123">
        <f>ROUND('Rates in Detail'!Y18,5)</f>
        <v>2.793E-2</v>
      </c>
      <c r="F19" s="123"/>
      <c r="G19" s="157"/>
      <c r="H19" s="368">
        <f>ROUND('Rates in Detail'!R18,5)</f>
        <v>0.29635</v>
      </c>
      <c r="I19" s="773">
        <f t="shared" si="9"/>
        <v>0.32428000000000001</v>
      </c>
      <c r="J19" s="157"/>
      <c r="K19" s="155">
        <f>'WA Volumes &amp; Revenues'!O20</f>
        <v>9</v>
      </c>
      <c r="L19" s="156">
        <f>'WA Volumes &amp; Revenues'!N20</f>
        <v>9</v>
      </c>
      <c r="M19" s="122">
        <f>'Rates in Detail'!AF18</f>
        <v>0</v>
      </c>
      <c r="N19" s="122">
        <f>'Rates in Detail'!AG18</f>
        <v>0</v>
      </c>
      <c r="O19" s="122">
        <f>'Rates in Detail'!AH18</f>
        <v>0</v>
      </c>
      <c r="P19" s="774">
        <f>'Rates in Detail'!AI18</f>
        <v>0</v>
      </c>
      <c r="Q19" s="157"/>
      <c r="R19" s="298">
        <f>'WA Volumes &amp; Revenues'!E20</f>
        <v>461371.76933137607</v>
      </c>
      <c r="S19" s="311"/>
      <c r="T19" s="300">
        <f>'WA Volumes &amp; Revenues'!H20</f>
        <v>776</v>
      </c>
      <c r="U19" s="301">
        <f>'WA Volumes &amp; Revenues'!I20</f>
        <v>49.545940000000002</v>
      </c>
      <c r="V19" s="157"/>
      <c r="W19" s="306">
        <f t="shared" si="10"/>
        <v>136727.52384135331</v>
      </c>
      <c r="X19" s="307">
        <f>(K19*T19*12)</f>
        <v>83808</v>
      </c>
      <c r="Y19" s="307">
        <f t="shared" si="3"/>
        <v>0</v>
      </c>
      <c r="Z19" s="308">
        <f>'Rate Spread Proposal'!J$74-SUM(W19:Y19)</f>
        <v>6995.0249315144902</v>
      </c>
      <c r="AA19" s="309"/>
      <c r="AB19" s="306">
        <f t="shared" si="12"/>
        <v>149613.63735877865</v>
      </c>
      <c r="AC19" s="307">
        <f t="shared" si="4"/>
        <v>83808</v>
      </c>
      <c r="AD19" s="308">
        <f t="shared" si="5"/>
        <v>0</v>
      </c>
      <c r="AE19" s="309"/>
      <c r="AF19" s="306">
        <f t="shared" si="8"/>
        <v>12886.113517425343</v>
      </c>
      <c r="AG19" s="307">
        <f t="shared" si="8"/>
        <v>0</v>
      </c>
      <c r="AH19" s="308">
        <f t="shared" si="8"/>
        <v>0</v>
      </c>
      <c r="AI19" s="309"/>
      <c r="AJ19" s="338">
        <f>SUM(AF19:AH19)/SUM(W19:Y19)</f>
        <v>5.8431010537310216E-2</v>
      </c>
      <c r="AK19" s="339">
        <f t="shared" si="13"/>
        <v>9.424666779146286E-2</v>
      </c>
      <c r="AL19" s="309"/>
      <c r="AM19" s="306">
        <f t="shared" si="6"/>
        <v>0</v>
      </c>
      <c r="AN19" s="307">
        <v>0</v>
      </c>
      <c r="AO19" s="308">
        <f t="shared" si="7"/>
        <v>0</v>
      </c>
      <c r="AP19" s="309"/>
      <c r="AQ19" s="310"/>
      <c r="AR19" s="310"/>
      <c r="AS19" s="309"/>
    </row>
    <row r="20" spans="1:45" x14ac:dyDescent="0.2">
      <c r="A20" s="86">
        <f t="shared" si="2"/>
        <v>13</v>
      </c>
      <c r="B20" s="733" t="str">
        <f>'WA Volumes &amp; Revenues'!B21</f>
        <v>41C Firm Sales</v>
      </c>
      <c r="C20" s="726" t="s">
        <v>4</v>
      </c>
      <c r="D20" s="157"/>
      <c r="E20" s="122">
        <f>ROUND('Rates in Detail'!Y19,5)</f>
        <v>2.7990000000000001E-2</v>
      </c>
      <c r="F20" s="122"/>
      <c r="G20" s="157"/>
      <c r="H20" s="373">
        <f>ROUND('Rates in Detail'!R19,5)</f>
        <v>0.40031</v>
      </c>
      <c r="I20" s="774">
        <f t="shared" si="9"/>
        <v>0.42830000000000001</v>
      </c>
      <c r="J20" s="157"/>
      <c r="K20" s="155">
        <f>'WA Volumes &amp; Revenues'!O21</f>
        <v>250</v>
      </c>
      <c r="L20" s="156">
        <f>'WA Volumes &amp; Revenues'!N21</f>
        <v>250</v>
      </c>
      <c r="M20" s="122">
        <f>'Rates in Detail'!AF19</f>
        <v>0</v>
      </c>
      <c r="N20" s="122">
        <f>'Rates in Detail'!AG19</f>
        <v>0</v>
      </c>
      <c r="O20" s="122">
        <f>'Rates in Detail'!AH19</f>
        <v>0</v>
      </c>
      <c r="P20" s="774">
        <f>'Rates in Detail'!AI19</f>
        <v>0</v>
      </c>
      <c r="Q20" s="157"/>
      <c r="R20" s="298">
        <f>'WA Volumes &amp; Revenues'!E21</f>
        <v>1777065.1510316674</v>
      </c>
      <c r="S20" s="311"/>
      <c r="T20" s="300">
        <f>'WA Volumes &amp; Revenues'!H21</f>
        <v>91</v>
      </c>
      <c r="U20" s="301">
        <f>'WA Volumes &amp; Revenues'!I21</f>
        <v>3436</v>
      </c>
      <c r="V20" s="157"/>
      <c r="W20" s="313">
        <f t="shared" si="10"/>
        <v>711376.95060948678</v>
      </c>
      <c r="X20" s="309">
        <f t="shared" ref="X20:X21" si="14">(K20*T20*12)</f>
        <v>273000</v>
      </c>
      <c r="Y20" s="309">
        <f t="shared" si="3"/>
        <v>0</v>
      </c>
      <c r="Z20" s="314"/>
      <c r="AA20" s="309"/>
      <c r="AB20" s="313">
        <f t="shared" si="12"/>
        <v>761117.0041868632</v>
      </c>
      <c r="AC20" s="309">
        <f t="shared" si="4"/>
        <v>273000</v>
      </c>
      <c r="AD20" s="314">
        <f t="shared" si="5"/>
        <v>0</v>
      </c>
      <c r="AE20" s="309"/>
      <c r="AF20" s="313">
        <f t="shared" si="8"/>
        <v>49740.053577376413</v>
      </c>
      <c r="AG20" s="309">
        <f t="shared" si="8"/>
        <v>0</v>
      </c>
      <c r="AH20" s="314">
        <f t="shared" si="8"/>
        <v>0</v>
      </c>
      <c r="AI20" s="309"/>
      <c r="AJ20" s="338"/>
      <c r="AK20" s="340">
        <f t="shared" si="13"/>
        <v>6.9920811371187386E-2</v>
      </c>
      <c r="AL20" s="309"/>
      <c r="AM20" s="313">
        <f t="shared" si="6"/>
        <v>0</v>
      </c>
      <c r="AN20" s="309">
        <v>0</v>
      </c>
      <c r="AO20" s="314">
        <f t="shared" si="7"/>
        <v>0</v>
      </c>
      <c r="AP20" s="309"/>
      <c r="AQ20" s="310"/>
      <c r="AR20" s="310"/>
      <c r="AS20" s="309"/>
    </row>
    <row r="21" spans="1:45" x14ac:dyDescent="0.2">
      <c r="A21" s="86">
        <f t="shared" si="2"/>
        <v>14</v>
      </c>
      <c r="B21" s="725"/>
      <c r="C21" s="726" t="s">
        <v>5</v>
      </c>
      <c r="D21" s="157"/>
      <c r="E21" s="122">
        <f>ROUND('Rates in Detail'!Y20,5)</f>
        <v>2.4660000000000001E-2</v>
      </c>
      <c r="F21" s="122"/>
      <c r="G21" s="157"/>
      <c r="H21" s="373">
        <f>ROUND('Rates in Detail'!R20,5)</f>
        <v>0.35274</v>
      </c>
      <c r="I21" s="774">
        <f t="shared" si="9"/>
        <v>0.37740000000000001</v>
      </c>
      <c r="J21" s="157"/>
      <c r="K21" s="155"/>
      <c r="L21" s="156"/>
      <c r="M21" s="157"/>
      <c r="N21" s="157"/>
      <c r="O21" s="157"/>
      <c r="P21" s="158"/>
      <c r="Q21" s="157"/>
      <c r="R21" s="298">
        <f>'WA Volumes &amp; Revenues'!E22</f>
        <v>1974656.4658023661</v>
      </c>
      <c r="S21" s="311"/>
      <c r="T21" s="300"/>
      <c r="U21" s="301"/>
      <c r="V21" s="157"/>
      <c r="W21" s="313">
        <f t="shared" si="10"/>
        <v>696540.32174712664</v>
      </c>
      <c r="X21" s="309">
        <f t="shared" si="14"/>
        <v>0</v>
      </c>
      <c r="Y21" s="309">
        <f t="shared" si="3"/>
        <v>0</v>
      </c>
      <c r="Z21" s="314"/>
      <c r="AA21" s="309"/>
      <c r="AB21" s="313">
        <f t="shared" si="12"/>
        <v>745235.35019381298</v>
      </c>
      <c r="AC21" s="309">
        <f t="shared" si="4"/>
        <v>0</v>
      </c>
      <c r="AD21" s="314">
        <f t="shared" si="5"/>
        <v>0</v>
      </c>
      <c r="AE21" s="309"/>
      <c r="AF21" s="313">
        <f t="shared" si="8"/>
        <v>48695.028446686338</v>
      </c>
      <c r="AG21" s="309">
        <f t="shared" si="8"/>
        <v>0</v>
      </c>
      <c r="AH21" s="314">
        <f t="shared" si="8"/>
        <v>0</v>
      </c>
      <c r="AI21" s="309"/>
      <c r="AJ21" s="338"/>
      <c r="AK21" s="340">
        <f t="shared" si="13"/>
        <v>6.9909848613709802E-2</v>
      </c>
      <c r="AL21" s="309"/>
      <c r="AM21" s="313">
        <f t="shared" si="6"/>
        <v>0</v>
      </c>
      <c r="AN21" s="309">
        <v>0</v>
      </c>
      <c r="AO21" s="314">
        <f t="shared" si="7"/>
        <v>0</v>
      </c>
      <c r="AP21" s="309"/>
      <c r="AQ21" s="310"/>
      <c r="AR21" s="310"/>
      <c r="AS21" s="309"/>
    </row>
    <row r="22" spans="1:45" x14ac:dyDescent="0.2">
      <c r="A22" s="86">
        <f t="shared" si="2"/>
        <v>15</v>
      </c>
      <c r="B22" s="723"/>
      <c r="C22" s="742" t="s">
        <v>78</v>
      </c>
      <c r="D22" s="153"/>
      <c r="E22" s="123"/>
      <c r="F22" s="123"/>
      <c r="G22" s="153"/>
      <c r="H22" s="368"/>
      <c r="I22" s="773"/>
      <c r="J22" s="157"/>
      <c r="K22" s="155"/>
      <c r="L22" s="156"/>
      <c r="M22" s="157"/>
      <c r="N22" s="157"/>
      <c r="O22" s="157"/>
      <c r="P22" s="158"/>
      <c r="Q22" s="157"/>
      <c r="R22" s="298"/>
      <c r="S22" s="311"/>
      <c r="T22" s="300"/>
      <c r="U22" s="301"/>
      <c r="V22" s="157"/>
      <c r="W22" s="315">
        <f>SUM(W20:W21)</f>
        <v>1407917.2723566135</v>
      </c>
      <c r="X22" s="316">
        <f t="shared" ref="X22:Y22" si="15">SUM(X20:X21)</f>
        <v>273000</v>
      </c>
      <c r="Y22" s="316">
        <f t="shared" si="15"/>
        <v>0</v>
      </c>
      <c r="Z22" s="317">
        <f>'Rate Spread Proposal'!K$74-SUM(W22:Y22)</f>
        <v>56898.153947442072</v>
      </c>
      <c r="AA22" s="309"/>
      <c r="AB22" s="315">
        <f>SUM(AB20:AB21)</f>
        <v>1506352.3543806761</v>
      </c>
      <c r="AC22" s="316">
        <f t="shared" ref="AC22:AD22" si="16">SUM(AC20:AC21)</f>
        <v>273000</v>
      </c>
      <c r="AD22" s="317">
        <f t="shared" si="16"/>
        <v>0</v>
      </c>
      <c r="AE22" s="309"/>
      <c r="AF22" s="315">
        <f>SUM(AF20:AF21)</f>
        <v>98435.082024062751</v>
      </c>
      <c r="AG22" s="316">
        <f t="shared" ref="AG22:AH22" si="17">SUM(AG20:AG21)</f>
        <v>0</v>
      </c>
      <c r="AH22" s="317">
        <f t="shared" si="17"/>
        <v>0</v>
      </c>
      <c r="AI22" s="309"/>
      <c r="AJ22" s="338">
        <f>SUM(AF22:AH22)/SUM(W22:Y22)</f>
        <v>5.8560337051007078E-2</v>
      </c>
      <c r="AK22" s="339">
        <f t="shared" si="13"/>
        <v>6.9915387755204686E-2</v>
      </c>
      <c r="AL22" s="309"/>
      <c r="AM22" s="315">
        <f>SUM(AM20:AM21)</f>
        <v>0</v>
      </c>
      <c r="AN22" s="316">
        <f t="shared" ref="AN22:AO22" si="18">SUM(AN20:AN21)</f>
        <v>0</v>
      </c>
      <c r="AO22" s="317">
        <f t="shared" si="18"/>
        <v>0</v>
      </c>
      <c r="AP22" s="309"/>
      <c r="AQ22" s="310"/>
      <c r="AR22" s="310"/>
      <c r="AS22" s="309"/>
    </row>
    <row r="23" spans="1:45" x14ac:dyDescent="0.2">
      <c r="A23" s="86">
        <f t="shared" si="2"/>
        <v>16</v>
      </c>
      <c r="B23" s="733" t="str">
        <f>'WA Volumes &amp; Revenues'!B23</f>
        <v>41I Firm Sales</v>
      </c>
      <c r="C23" s="726" t="s">
        <v>4</v>
      </c>
      <c r="D23" s="157"/>
      <c r="E23" s="122">
        <f>ROUND('Rates in Detail'!Y21,5)</f>
        <v>2.664E-2</v>
      </c>
      <c r="F23" s="122"/>
      <c r="G23" s="157"/>
      <c r="H23" s="373">
        <f>ROUND('Rates in Detail'!R21,5)</f>
        <v>0.39706000000000002</v>
      </c>
      <c r="I23" s="774">
        <f t="shared" si="9"/>
        <v>0.42370000000000002</v>
      </c>
      <c r="J23" s="157"/>
      <c r="K23" s="155">
        <f>'WA Volumes &amp; Revenues'!O23</f>
        <v>250</v>
      </c>
      <c r="L23" s="156">
        <f>'WA Volumes &amp; Revenues'!N23</f>
        <v>250</v>
      </c>
      <c r="M23" s="122">
        <f>'Rates in Detail'!AF21</f>
        <v>0</v>
      </c>
      <c r="N23" s="122">
        <f>'Rates in Detail'!AG21</f>
        <v>0</v>
      </c>
      <c r="O23" s="122">
        <f>'Rates in Detail'!AH21</f>
        <v>0</v>
      </c>
      <c r="P23" s="774">
        <f>'Rates in Detail'!AI21</f>
        <v>0</v>
      </c>
      <c r="Q23" s="157"/>
      <c r="R23" s="298">
        <f>'WA Volumes &amp; Revenues'!E23</f>
        <v>392890.20000000007</v>
      </c>
      <c r="S23" s="311"/>
      <c r="T23" s="300">
        <f>'WA Volumes &amp; Revenues'!H23</f>
        <v>17.833333333333332</v>
      </c>
      <c r="U23" s="301">
        <f>'WA Volumes &amp; Revenues'!I23</f>
        <v>4741</v>
      </c>
      <c r="V23" s="157"/>
      <c r="W23" s="313">
        <f t="shared" ref="W23:W24" si="19">(H23*R23)</f>
        <v>156000.98281200003</v>
      </c>
      <c r="X23" s="309">
        <f t="shared" ref="X23:X24" si="20">(K23*T23*12)</f>
        <v>53500</v>
      </c>
      <c r="Y23" s="309">
        <f>(S23*(M23+O23))*12</f>
        <v>0</v>
      </c>
      <c r="Z23" s="314"/>
      <c r="AA23" s="309"/>
      <c r="AB23" s="313">
        <f>(I23*R23)</f>
        <v>166467.57774000004</v>
      </c>
      <c r="AC23" s="309">
        <f>(L23*T23*12)</f>
        <v>53500</v>
      </c>
      <c r="AD23" s="314">
        <f>(S23*(N23+P23))*12</f>
        <v>0</v>
      </c>
      <c r="AE23" s="309"/>
      <c r="AF23" s="313">
        <f>AB23-W23</f>
        <v>10466.594928000006</v>
      </c>
      <c r="AG23" s="309">
        <f>AC23-X23</f>
        <v>0</v>
      </c>
      <c r="AH23" s="314">
        <f t="shared" ref="AH23:AH24" si="21">AD23-Y23</f>
        <v>0</v>
      </c>
      <c r="AI23" s="309"/>
      <c r="AJ23" s="338"/>
      <c r="AK23" s="340">
        <f t="shared" si="13"/>
        <v>6.7093134538860649E-2</v>
      </c>
      <c r="AL23" s="309"/>
      <c r="AM23" s="313">
        <f>(F23*R23)</f>
        <v>0</v>
      </c>
      <c r="AN23" s="309">
        <v>0</v>
      </c>
      <c r="AO23" s="314">
        <f t="shared" ref="AO23:AO24" si="22">(AE23*(Y23+AB23))*12</f>
        <v>0</v>
      </c>
      <c r="AP23" s="309"/>
      <c r="AQ23" s="310"/>
      <c r="AR23" s="310"/>
      <c r="AS23" s="309"/>
    </row>
    <row r="24" spans="1:45" x14ac:dyDescent="0.2">
      <c r="A24" s="86">
        <f t="shared" si="2"/>
        <v>17</v>
      </c>
      <c r="B24" s="725"/>
      <c r="C24" s="726" t="s">
        <v>5</v>
      </c>
      <c r="D24" s="157"/>
      <c r="E24" s="122">
        <f>ROUND('Rates in Detail'!Y22,5)</f>
        <v>2.3470000000000001E-2</v>
      </c>
      <c r="F24" s="122"/>
      <c r="G24" s="157"/>
      <c r="H24" s="373">
        <f>ROUND('Rates in Detail'!R22,5)</f>
        <v>0.34986</v>
      </c>
      <c r="I24" s="774">
        <f t="shared" si="9"/>
        <v>0.37333</v>
      </c>
      <c r="J24" s="157"/>
      <c r="K24" s="155"/>
      <c r="L24" s="156"/>
      <c r="M24" s="157"/>
      <c r="N24" s="157"/>
      <c r="O24" s="157"/>
      <c r="P24" s="158"/>
      <c r="Q24" s="157"/>
      <c r="R24" s="298">
        <f>'WA Volumes &amp; Revenues'!E24</f>
        <v>621650.00000000012</v>
      </c>
      <c r="S24" s="311"/>
      <c r="T24" s="300"/>
      <c r="U24" s="301"/>
      <c r="V24" s="157"/>
      <c r="W24" s="313">
        <f t="shared" si="19"/>
        <v>217490.46900000004</v>
      </c>
      <c r="X24" s="309">
        <f t="shared" si="20"/>
        <v>0</v>
      </c>
      <c r="Y24" s="309">
        <f>(S24*(M24+O24))*12</f>
        <v>0</v>
      </c>
      <c r="Z24" s="314"/>
      <c r="AA24" s="309"/>
      <c r="AB24" s="313">
        <f>(I24*R24)</f>
        <v>232080.59450000004</v>
      </c>
      <c r="AC24" s="309">
        <f>(L24*T24*12)</f>
        <v>0</v>
      </c>
      <c r="AD24" s="314">
        <f>(S24*(N24+P24))*12</f>
        <v>0</v>
      </c>
      <c r="AE24" s="309"/>
      <c r="AF24" s="313">
        <f>AB24-W24</f>
        <v>14590.125499999995</v>
      </c>
      <c r="AG24" s="309">
        <f>AC24-X24</f>
        <v>0</v>
      </c>
      <c r="AH24" s="314">
        <f t="shared" si="21"/>
        <v>0</v>
      </c>
      <c r="AI24" s="309"/>
      <c r="AJ24" s="338"/>
      <c r="AK24" s="340">
        <f t="shared" si="13"/>
        <v>6.7083976447721905E-2</v>
      </c>
      <c r="AL24" s="309"/>
      <c r="AM24" s="313">
        <f>(F24*R24)</f>
        <v>0</v>
      </c>
      <c r="AN24" s="309">
        <v>0</v>
      </c>
      <c r="AO24" s="314">
        <f t="shared" si="22"/>
        <v>0</v>
      </c>
      <c r="AP24" s="309"/>
      <c r="AQ24" s="310"/>
      <c r="AR24" s="310"/>
      <c r="AS24" s="309"/>
    </row>
    <row r="25" spans="1:45" x14ac:dyDescent="0.2">
      <c r="A25" s="86">
        <f t="shared" si="2"/>
        <v>18</v>
      </c>
      <c r="B25" s="723"/>
      <c r="C25" s="742" t="s">
        <v>78</v>
      </c>
      <c r="D25" s="153"/>
      <c r="E25" s="123"/>
      <c r="F25" s="123"/>
      <c r="G25" s="153"/>
      <c r="H25" s="368"/>
      <c r="I25" s="773"/>
      <c r="J25" s="157"/>
      <c r="K25" s="155"/>
      <c r="L25" s="156"/>
      <c r="M25" s="157"/>
      <c r="N25" s="157"/>
      <c r="O25" s="157"/>
      <c r="P25" s="158"/>
      <c r="Q25" s="157"/>
      <c r="R25" s="298"/>
      <c r="S25" s="311"/>
      <c r="T25" s="300"/>
      <c r="U25" s="301"/>
      <c r="V25" s="157"/>
      <c r="W25" s="315">
        <f>SUM(W23:W24)</f>
        <v>373491.45181200007</v>
      </c>
      <c r="X25" s="316">
        <f t="shared" ref="X25:Y25" si="23">SUM(X23:X24)</f>
        <v>53500</v>
      </c>
      <c r="Y25" s="316">
        <f t="shared" si="23"/>
        <v>0</v>
      </c>
      <c r="Z25" s="317">
        <f>'Rate Spread Proposal'!L$74-SUM(W25:Y25)</f>
        <v>15380.228009918006</v>
      </c>
      <c r="AA25" s="309"/>
      <c r="AB25" s="315">
        <f>SUM(AB23:AB24)</f>
        <v>398548.1722400001</v>
      </c>
      <c r="AC25" s="316">
        <f t="shared" ref="AC25:AD25" si="24">SUM(AC23:AC24)</f>
        <v>53500</v>
      </c>
      <c r="AD25" s="317">
        <f t="shared" si="24"/>
        <v>0</v>
      </c>
      <c r="AE25" s="309"/>
      <c r="AF25" s="315">
        <f>SUM(AF23:AF24)</f>
        <v>25056.720428000001</v>
      </c>
      <c r="AG25" s="316">
        <f t="shared" ref="AG25:AH25" si="25">SUM(AG23:AG24)</f>
        <v>0</v>
      </c>
      <c r="AH25" s="317">
        <f t="shared" si="25"/>
        <v>0</v>
      </c>
      <c r="AI25" s="309"/>
      <c r="AJ25" s="338">
        <f>SUM(AF25:AH25)/SUM(W25:Y25)</f>
        <v>5.86820188593195E-2</v>
      </c>
      <c r="AK25" s="339">
        <f t="shared" si="13"/>
        <v>6.7087801625544299E-2</v>
      </c>
      <c r="AL25" s="309"/>
      <c r="AM25" s="315">
        <f>SUM(AM23:AM24)</f>
        <v>0</v>
      </c>
      <c r="AN25" s="316">
        <f t="shared" ref="AN25:AO25" si="26">SUM(AN23:AN24)</f>
        <v>0</v>
      </c>
      <c r="AO25" s="317">
        <f t="shared" si="26"/>
        <v>0</v>
      </c>
      <c r="AP25" s="309"/>
      <c r="AQ25" s="310"/>
      <c r="AR25" s="310"/>
      <c r="AS25" s="309"/>
    </row>
    <row r="26" spans="1:45" x14ac:dyDescent="0.2">
      <c r="A26" s="86">
        <f t="shared" si="2"/>
        <v>19</v>
      </c>
      <c r="B26" s="725" t="str">
        <f>'WA Volumes &amp; Revenues'!B25</f>
        <v>41C Interr Sales</v>
      </c>
      <c r="C26" s="726" t="s">
        <v>4</v>
      </c>
      <c r="D26" s="157"/>
      <c r="E26" s="122">
        <f>ROUND('Rates in Detail'!Y23,5)</f>
        <v>2.1749999999999999E-2</v>
      </c>
      <c r="F26" s="122"/>
      <c r="G26" s="157"/>
      <c r="H26" s="373">
        <f>ROUND('Rates in Detail'!R23,5)</f>
        <v>0.38407000000000002</v>
      </c>
      <c r="I26" s="774">
        <f t="shared" si="9"/>
        <v>0.40582000000000001</v>
      </c>
      <c r="J26" s="157"/>
      <c r="K26" s="155">
        <f>'WA Volumes &amp; Revenues'!O25</f>
        <v>250</v>
      </c>
      <c r="L26" s="156">
        <f>'WA Volumes &amp; Revenues'!N25</f>
        <v>250</v>
      </c>
      <c r="M26" s="122">
        <f>'Rates in Detail'!AF23</f>
        <v>0</v>
      </c>
      <c r="N26" s="122">
        <f>'Rates in Detail'!AG23</f>
        <v>0</v>
      </c>
      <c r="O26" s="122">
        <f>'Rates in Detail'!AH23</f>
        <v>0</v>
      </c>
      <c r="P26" s="774">
        <f>'Rates in Detail'!AI23</f>
        <v>0</v>
      </c>
      <c r="Q26" s="157"/>
      <c r="R26" s="298">
        <f>'WA Volumes &amp; Revenues'!E25</f>
        <v>0</v>
      </c>
      <c r="S26" s="311"/>
      <c r="T26" s="300">
        <f>'WA Volumes &amp; Revenues'!H25</f>
        <v>0</v>
      </c>
      <c r="U26" s="301">
        <f>'WA Volumes &amp; Revenues'!I25</f>
        <v>0</v>
      </c>
      <c r="V26" s="157"/>
      <c r="W26" s="313">
        <f t="shared" ref="W26:W27" si="27">(H26*R26)</f>
        <v>0</v>
      </c>
      <c r="X26" s="309">
        <f t="shared" ref="X26:X27" si="28">(K26*T26*12)</f>
        <v>0</v>
      </c>
      <c r="Y26" s="309">
        <f>(S26*(M26+O26))*12</f>
        <v>0</v>
      </c>
      <c r="Z26" s="314"/>
      <c r="AA26" s="309"/>
      <c r="AB26" s="313">
        <f>(I26*R26)</f>
        <v>0</v>
      </c>
      <c r="AC26" s="309">
        <f>(L26*T26*12)</f>
        <v>0</v>
      </c>
      <c r="AD26" s="314">
        <f>(S26*(N26+P26))*12</f>
        <v>0</v>
      </c>
      <c r="AE26" s="309"/>
      <c r="AF26" s="313">
        <f>AB26-W26</f>
        <v>0</v>
      </c>
      <c r="AG26" s="309">
        <f>AC26-X26</f>
        <v>0</v>
      </c>
      <c r="AH26" s="314">
        <f t="shared" ref="AH26:AH27" si="29">AD26-Y26</f>
        <v>0</v>
      </c>
      <c r="AI26" s="309"/>
      <c r="AJ26" s="338"/>
      <c r="AK26" s="340" t="e">
        <f t="shared" si="13"/>
        <v>#DIV/0!</v>
      </c>
      <c r="AL26" s="309"/>
      <c r="AM26" s="313">
        <f>(F26*R26)</f>
        <v>0</v>
      </c>
      <c r="AN26" s="309">
        <v>0</v>
      </c>
      <c r="AO26" s="314">
        <f t="shared" ref="AO26:AO27" si="30">(AE26*(Y26+AB26))*12</f>
        <v>0</v>
      </c>
      <c r="AP26" s="309"/>
      <c r="AQ26" s="310"/>
      <c r="AR26" s="310"/>
      <c r="AS26" s="309"/>
    </row>
    <row r="27" spans="1:45" x14ac:dyDescent="0.2">
      <c r="A27" s="86">
        <f t="shared" si="2"/>
        <v>20</v>
      </c>
      <c r="B27" s="725"/>
      <c r="C27" s="726" t="s">
        <v>5</v>
      </c>
      <c r="D27" s="157"/>
      <c r="E27" s="122">
        <f>ROUND('Rates in Detail'!Y24,5)</f>
        <v>1.917E-2</v>
      </c>
      <c r="F27" s="122"/>
      <c r="G27" s="157"/>
      <c r="H27" s="373">
        <f>ROUND('Rates in Detail'!R24,5)</f>
        <v>0.33839000000000002</v>
      </c>
      <c r="I27" s="774">
        <f t="shared" si="9"/>
        <v>0.35756000000000004</v>
      </c>
      <c r="J27" s="157"/>
      <c r="K27" s="155"/>
      <c r="L27" s="156"/>
      <c r="M27" s="157"/>
      <c r="N27" s="157"/>
      <c r="O27" s="157"/>
      <c r="P27" s="158"/>
      <c r="Q27" s="157"/>
      <c r="R27" s="298">
        <f>'WA Volumes &amp; Revenues'!E26</f>
        <v>0</v>
      </c>
      <c r="S27" s="311"/>
      <c r="T27" s="300"/>
      <c r="U27" s="301"/>
      <c r="V27" s="157"/>
      <c r="W27" s="313">
        <f t="shared" si="27"/>
        <v>0</v>
      </c>
      <c r="X27" s="309">
        <f t="shared" si="28"/>
        <v>0</v>
      </c>
      <c r="Y27" s="309">
        <f>(S27*(M27+O27))*12</f>
        <v>0</v>
      </c>
      <c r="Z27" s="314"/>
      <c r="AA27" s="309"/>
      <c r="AB27" s="313">
        <f>(I27*R27)</f>
        <v>0</v>
      </c>
      <c r="AC27" s="309">
        <f>(L27*T27*12)</f>
        <v>0</v>
      </c>
      <c r="AD27" s="314">
        <f>(S27*(N27+P27))*12</f>
        <v>0</v>
      </c>
      <c r="AE27" s="309"/>
      <c r="AF27" s="313">
        <f>AB27-W27</f>
        <v>0</v>
      </c>
      <c r="AG27" s="309">
        <f>AC27-X27</f>
        <v>0</v>
      </c>
      <c r="AH27" s="314">
        <f t="shared" si="29"/>
        <v>0</v>
      </c>
      <c r="AI27" s="309"/>
      <c r="AJ27" s="338"/>
      <c r="AK27" s="340" t="e">
        <f t="shared" si="13"/>
        <v>#DIV/0!</v>
      </c>
      <c r="AL27" s="309"/>
      <c r="AM27" s="313">
        <f>(F27*R27)</f>
        <v>0</v>
      </c>
      <c r="AN27" s="309">
        <v>0</v>
      </c>
      <c r="AO27" s="314">
        <f t="shared" si="30"/>
        <v>0</v>
      </c>
      <c r="AP27" s="309"/>
      <c r="AQ27" s="310"/>
      <c r="AR27" s="310"/>
      <c r="AS27" s="309"/>
    </row>
    <row r="28" spans="1:45" x14ac:dyDescent="0.2">
      <c r="A28" s="86">
        <f t="shared" si="2"/>
        <v>21</v>
      </c>
      <c r="B28" s="723"/>
      <c r="C28" s="742" t="s">
        <v>78</v>
      </c>
      <c r="D28" s="153"/>
      <c r="E28" s="123"/>
      <c r="F28" s="123"/>
      <c r="G28" s="153"/>
      <c r="H28" s="368"/>
      <c r="I28" s="773"/>
      <c r="J28" s="157"/>
      <c r="K28" s="155"/>
      <c r="L28" s="156"/>
      <c r="M28" s="157"/>
      <c r="N28" s="157"/>
      <c r="O28" s="157"/>
      <c r="P28" s="158"/>
      <c r="Q28" s="157"/>
      <c r="R28" s="298"/>
      <c r="S28" s="311"/>
      <c r="T28" s="300"/>
      <c r="U28" s="301"/>
      <c r="V28" s="157"/>
      <c r="W28" s="315">
        <f>SUM(W26:W27)</f>
        <v>0</v>
      </c>
      <c r="X28" s="316">
        <f t="shared" ref="X28:Y28" si="31">SUM(X26:X27)</f>
        <v>0</v>
      </c>
      <c r="Y28" s="316">
        <f t="shared" si="31"/>
        <v>0</v>
      </c>
      <c r="Z28" s="317">
        <f>'Rate Spread Proposal'!M$74-SUM(W28:Y28)</f>
        <v>0</v>
      </c>
      <c r="AA28" s="309"/>
      <c r="AB28" s="315">
        <f>SUM(AB26:AB27)</f>
        <v>0</v>
      </c>
      <c r="AC28" s="316">
        <f t="shared" ref="AC28:AD28" si="32">SUM(AC26:AC27)</f>
        <v>0</v>
      </c>
      <c r="AD28" s="317">
        <f t="shared" si="32"/>
        <v>0</v>
      </c>
      <c r="AE28" s="309"/>
      <c r="AF28" s="315">
        <f>SUM(AF26:AF27)</f>
        <v>0</v>
      </c>
      <c r="AG28" s="316">
        <f t="shared" ref="AG28:AH28" si="33">SUM(AG26:AG27)</f>
        <v>0</v>
      </c>
      <c r="AH28" s="317">
        <f t="shared" si="33"/>
        <v>0</v>
      </c>
      <c r="AI28" s="309"/>
      <c r="AJ28" s="338" t="e">
        <f>SUM(AF28:AH28)/SUM(W28:Y28)</f>
        <v>#DIV/0!</v>
      </c>
      <c r="AK28" s="339" t="e">
        <f t="shared" si="13"/>
        <v>#DIV/0!</v>
      </c>
      <c r="AL28" s="309"/>
      <c r="AM28" s="315">
        <f>SUM(AM26:AM27)</f>
        <v>0</v>
      </c>
      <c r="AN28" s="316">
        <f t="shared" ref="AN28:AO28" si="34">SUM(AN26:AN27)</f>
        <v>0</v>
      </c>
      <c r="AO28" s="317">
        <f t="shared" si="34"/>
        <v>0</v>
      </c>
      <c r="AP28" s="309"/>
      <c r="AQ28" s="310"/>
      <c r="AR28" s="310"/>
      <c r="AS28" s="309"/>
    </row>
    <row r="29" spans="1:45" x14ac:dyDescent="0.2">
      <c r="A29" s="86">
        <f t="shared" si="2"/>
        <v>22</v>
      </c>
      <c r="B29" s="725" t="str">
        <f>'WA Volumes &amp; Revenues'!B27</f>
        <v>41I Interr Sales</v>
      </c>
      <c r="C29" s="726" t="s">
        <v>4</v>
      </c>
      <c r="D29" s="157"/>
      <c r="E29" s="122">
        <f>ROUND('Rates in Detail'!Y25,5)</f>
        <v>2.1749999999999999E-2</v>
      </c>
      <c r="F29" s="122"/>
      <c r="G29" s="157"/>
      <c r="H29" s="373">
        <f>ROUND('Rates in Detail'!R25,5)</f>
        <v>0.38407000000000002</v>
      </c>
      <c r="I29" s="774">
        <f t="shared" si="9"/>
        <v>0.40582000000000001</v>
      </c>
      <c r="J29" s="157"/>
      <c r="K29" s="155">
        <f>'WA Volumes &amp; Revenues'!O27</f>
        <v>250</v>
      </c>
      <c r="L29" s="156">
        <f>'WA Volumes &amp; Revenues'!N27</f>
        <v>250</v>
      </c>
      <c r="M29" s="122">
        <f>'Rates in Detail'!AF25</f>
        <v>0</v>
      </c>
      <c r="N29" s="122">
        <f>'Rates in Detail'!AG25</f>
        <v>0</v>
      </c>
      <c r="O29" s="122">
        <f>'Rates in Detail'!AH25</f>
        <v>0</v>
      </c>
      <c r="P29" s="774">
        <f>'Rates in Detail'!AI25</f>
        <v>0</v>
      </c>
      <c r="Q29" s="157"/>
      <c r="R29" s="298">
        <f>'WA Volumes &amp; Revenues'!E27</f>
        <v>0</v>
      </c>
      <c r="S29" s="311"/>
      <c r="T29" s="300">
        <f>'WA Volumes &amp; Revenues'!H27</f>
        <v>0</v>
      </c>
      <c r="U29" s="301">
        <f>'WA Volumes &amp; Revenues'!I27</f>
        <v>0</v>
      </c>
      <c r="V29" s="157"/>
      <c r="W29" s="313">
        <f t="shared" ref="W29:W30" si="35">(H29*R29)</f>
        <v>0</v>
      </c>
      <c r="X29" s="309">
        <f t="shared" ref="X29:X30" si="36">(K29*T29*12)</f>
        <v>0</v>
      </c>
      <c r="Y29" s="309">
        <f>(S29*(M29+O29))*12</f>
        <v>0</v>
      </c>
      <c r="Z29" s="314"/>
      <c r="AA29" s="309"/>
      <c r="AB29" s="313">
        <f>(I29*R29)</f>
        <v>0</v>
      </c>
      <c r="AC29" s="309">
        <f>(L29*T29*12)</f>
        <v>0</v>
      </c>
      <c r="AD29" s="314">
        <f>(S29*(N29+P29))*12</f>
        <v>0</v>
      </c>
      <c r="AE29" s="309"/>
      <c r="AF29" s="313">
        <f>AB29-W29</f>
        <v>0</v>
      </c>
      <c r="AG29" s="309">
        <f>AC29-X29</f>
        <v>0</v>
      </c>
      <c r="AH29" s="314">
        <f t="shared" ref="AH29:AH30" si="37">AD29-Y29</f>
        <v>0</v>
      </c>
      <c r="AI29" s="309"/>
      <c r="AJ29" s="338"/>
      <c r="AK29" s="340" t="e">
        <f t="shared" si="13"/>
        <v>#DIV/0!</v>
      </c>
      <c r="AL29" s="309"/>
      <c r="AM29" s="313">
        <f>(F29*R29)</f>
        <v>0</v>
      </c>
      <c r="AN29" s="309">
        <v>0</v>
      </c>
      <c r="AO29" s="314">
        <f t="shared" ref="AO29:AO30" si="38">(AE29*(Y29+AB29))*12</f>
        <v>0</v>
      </c>
      <c r="AP29" s="309"/>
      <c r="AQ29" s="310"/>
      <c r="AR29" s="310"/>
      <c r="AS29" s="309"/>
    </row>
    <row r="30" spans="1:45" x14ac:dyDescent="0.2">
      <c r="A30" s="86">
        <f t="shared" si="2"/>
        <v>23</v>
      </c>
      <c r="B30" s="725"/>
      <c r="C30" s="726" t="s">
        <v>5</v>
      </c>
      <c r="D30" s="157"/>
      <c r="E30" s="122">
        <f>ROUND('Rates in Detail'!Y26,5)</f>
        <v>1.917E-2</v>
      </c>
      <c r="F30" s="122"/>
      <c r="G30" s="157"/>
      <c r="H30" s="373">
        <f>ROUND('Rates in Detail'!R26,5)</f>
        <v>0.33839000000000002</v>
      </c>
      <c r="I30" s="774">
        <f t="shared" si="9"/>
        <v>0.35756000000000004</v>
      </c>
      <c r="J30" s="157"/>
      <c r="K30" s="155"/>
      <c r="L30" s="156"/>
      <c r="M30" s="157"/>
      <c r="N30" s="157"/>
      <c r="O30" s="157"/>
      <c r="P30" s="158"/>
      <c r="Q30" s="157"/>
      <c r="R30" s="298">
        <f>'WA Volumes &amp; Revenues'!E28</f>
        <v>0</v>
      </c>
      <c r="S30" s="311"/>
      <c r="T30" s="300"/>
      <c r="U30" s="301"/>
      <c r="V30" s="157"/>
      <c r="W30" s="313">
        <f t="shared" si="35"/>
        <v>0</v>
      </c>
      <c r="X30" s="309">
        <f t="shared" si="36"/>
        <v>0</v>
      </c>
      <c r="Y30" s="309">
        <f>(S30*(M30+O30))*12</f>
        <v>0</v>
      </c>
      <c r="Z30" s="314"/>
      <c r="AA30" s="309"/>
      <c r="AB30" s="313">
        <f>(I30*R30)</f>
        <v>0</v>
      </c>
      <c r="AC30" s="309">
        <f>(L30*T30*12)</f>
        <v>0</v>
      </c>
      <c r="AD30" s="314">
        <f>(S30*(N30+P30))*12</f>
        <v>0</v>
      </c>
      <c r="AE30" s="309"/>
      <c r="AF30" s="313">
        <f>AB30-W30</f>
        <v>0</v>
      </c>
      <c r="AG30" s="309">
        <f>AC30-X30</f>
        <v>0</v>
      </c>
      <c r="AH30" s="314">
        <f t="shared" si="37"/>
        <v>0</v>
      </c>
      <c r="AI30" s="309"/>
      <c r="AJ30" s="338"/>
      <c r="AK30" s="340" t="e">
        <f t="shared" si="13"/>
        <v>#DIV/0!</v>
      </c>
      <c r="AL30" s="309"/>
      <c r="AM30" s="313">
        <f>(F30*R30)</f>
        <v>0</v>
      </c>
      <c r="AN30" s="309">
        <v>0</v>
      </c>
      <c r="AO30" s="314">
        <f t="shared" si="38"/>
        <v>0</v>
      </c>
      <c r="AP30" s="309"/>
      <c r="AQ30" s="310"/>
      <c r="AR30" s="310"/>
      <c r="AS30" s="309"/>
    </row>
    <row r="31" spans="1:45" x14ac:dyDescent="0.2">
      <c r="A31" s="86">
        <f t="shared" si="2"/>
        <v>24</v>
      </c>
      <c r="B31" s="723"/>
      <c r="C31" s="742" t="s">
        <v>78</v>
      </c>
      <c r="D31" s="153"/>
      <c r="E31" s="123"/>
      <c r="F31" s="123"/>
      <c r="G31" s="153"/>
      <c r="H31" s="368"/>
      <c r="I31" s="773"/>
      <c r="J31" s="157"/>
      <c r="K31" s="155"/>
      <c r="L31" s="156"/>
      <c r="M31" s="157"/>
      <c r="N31" s="157"/>
      <c r="O31" s="157"/>
      <c r="P31" s="158"/>
      <c r="Q31" s="157"/>
      <c r="R31" s="298"/>
      <c r="S31" s="311"/>
      <c r="T31" s="300"/>
      <c r="U31" s="301"/>
      <c r="V31" s="157"/>
      <c r="W31" s="315">
        <f>SUM(W29:W30)</f>
        <v>0</v>
      </c>
      <c r="X31" s="316">
        <f t="shared" ref="X31:Y31" si="39">SUM(X29:X30)</f>
        <v>0</v>
      </c>
      <c r="Y31" s="316">
        <f t="shared" si="39"/>
        <v>0</v>
      </c>
      <c r="Z31" s="317">
        <f>'Rate Spread Proposal'!N$74-SUM(W31:Y31)</f>
        <v>0</v>
      </c>
      <c r="AA31" s="309"/>
      <c r="AB31" s="315">
        <f>SUM(AB29:AB30)</f>
        <v>0</v>
      </c>
      <c r="AC31" s="316">
        <f t="shared" ref="AC31:AD31" si="40">SUM(AC29:AC30)</f>
        <v>0</v>
      </c>
      <c r="AD31" s="317">
        <f t="shared" si="40"/>
        <v>0</v>
      </c>
      <c r="AE31" s="309"/>
      <c r="AF31" s="315">
        <f>SUM(AF29:AF30)</f>
        <v>0</v>
      </c>
      <c r="AG31" s="316">
        <f t="shared" ref="AG31:AH31" si="41">SUM(AG29:AG30)</f>
        <v>0</v>
      </c>
      <c r="AH31" s="317">
        <f t="shared" si="41"/>
        <v>0</v>
      </c>
      <c r="AI31" s="309"/>
      <c r="AJ31" s="338" t="e">
        <f>SUM(AF31:AH31)/SUM(W31:Y31)</f>
        <v>#DIV/0!</v>
      </c>
      <c r="AK31" s="339" t="e">
        <f t="shared" si="13"/>
        <v>#DIV/0!</v>
      </c>
      <c r="AL31" s="309"/>
      <c r="AM31" s="315">
        <f>SUM(AM29:AM30)</f>
        <v>0</v>
      </c>
      <c r="AN31" s="316">
        <f t="shared" ref="AN31:AO31" si="42">SUM(AN29:AN30)</f>
        <v>0</v>
      </c>
      <c r="AO31" s="317">
        <f t="shared" si="42"/>
        <v>0</v>
      </c>
      <c r="AP31" s="309"/>
      <c r="AQ31" s="310"/>
      <c r="AR31" s="310"/>
      <c r="AS31" s="309"/>
    </row>
    <row r="32" spans="1:45" x14ac:dyDescent="0.2">
      <c r="A32" s="86">
        <f t="shared" si="2"/>
        <v>25</v>
      </c>
      <c r="B32" s="725" t="str">
        <f>'WA Volumes &amp; Revenues'!B29</f>
        <v>41C Firm Transpt</v>
      </c>
      <c r="C32" s="726" t="s">
        <v>4</v>
      </c>
      <c r="D32" s="157"/>
      <c r="E32" s="122">
        <f>ROUND('Rates in Detail'!Y27,5)</f>
        <v>2.9610000000000001E-2</v>
      </c>
      <c r="F32" s="122"/>
      <c r="G32" s="157"/>
      <c r="H32" s="373">
        <f>ROUND('Rates in Detail'!R27,5)</f>
        <v>0.40671000000000002</v>
      </c>
      <c r="I32" s="774">
        <f t="shared" si="9"/>
        <v>0.43632000000000004</v>
      </c>
      <c r="J32" s="157"/>
      <c r="K32" s="155">
        <f>'WA Volumes &amp; Revenues'!O29</f>
        <v>500</v>
      </c>
      <c r="L32" s="156">
        <f>'WA Volumes &amp; Revenues'!N29</f>
        <v>500</v>
      </c>
      <c r="M32" s="122">
        <f>'Rates in Detail'!AF27</f>
        <v>0</v>
      </c>
      <c r="N32" s="122">
        <f>'Rates in Detail'!AG27</f>
        <v>0</v>
      </c>
      <c r="O32" s="122">
        <f>'Rates in Detail'!AH27</f>
        <v>0</v>
      </c>
      <c r="P32" s="774">
        <f>'Rates in Detail'!AI27</f>
        <v>0</v>
      </c>
      <c r="Q32" s="157"/>
      <c r="R32" s="298">
        <f>'WA Volumes &amp; Revenues'!E29</f>
        <v>168721</v>
      </c>
      <c r="S32" s="311"/>
      <c r="T32" s="300">
        <f>'WA Volumes &amp; Revenues'!H29</f>
        <v>7.916666666666667</v>
      </c>
      <c r="U32" s="301">
        <f>'WA Volumes &amp; Revenues'!I29</f>
        <v>4648</v>
      </c>
      <c r="V32" s="157"/>
      <c r="W32" s="313">
        <f t="shared" ref="W32:W33" si="43">(H32*R32)</f>
        <v>68620.51791000001</v>
      </c>
      <c r="X32" s="309">
        <f t="shared" ref="X32:X33" si="44">(K32*T32*12)</f>
        <v>47500</v>
      </c>
      <c r="Y32" s="309">
        <f>(S32*(M32+O32))*12</f>
        <v>0</v>
      </c>
      <c r="Z32" s="314"/>
      <c r="AA32" s="309"/>
      <c r="AB32" s="313">
        <f>(I32*R32)</f>
        <v>73616.346720000001</v>
      </c>
      <c r="AC32" s="309">
        <f>(L32*T32*12)</f>
        <v>47500</v>
      </c>
      <c r="AD32" s="314">
        <f>(S32*(N32+P32))*12</f>
        <v>0</v>
      </c>
      <c r="AE32" s="309"/>
      <c r="AF32" s="313">
        <f>AB32-W32</f>
        <v>4995.8288099999918</v>
      </c>
      <c r="AG32" s="309">
        <f>AC32-X32</f>
        <v>0</v>
      </c>
      <c r="AH32" s="314">
        <f t="shared" ref="AH32:AH33" si="45">AD32-Y32</f>
        <v>0</v>
      </c>
      <c r="AI32" s="309"/>
      <c r="AJ32" s="338"/>
      <c r="AK32" s="340">
        <f t="shared" si="13"/>
        <v>7.2803717636645143E-2</v>
      </c>
      <c r="AL32" s="309"/>
      <c r="AM32" s="313">
        <f>(F32*R32)</f>
        <v>0</v>
      </c>
      <c r="AN32" s="309">
        <v>0</v>
      </c>
      <c r="AO32" s="314">
        <f t="shared" ref="AO32:AO33" si="46">(AE32*(Y32+AB32))*12</f>
        <v>0</v>
      </c>
      <c r="AP32" s="309"/>
      <c r="AQ32" s="310"/>
      <c r="AR32" s="310"/>
      <c r="AS32" s="309"/>
    </row>
    <row r="33" spans="1:45" x14ac:dyDescent="0.2">
      <c r="A33" s="86">
        <f t="shared" si="2"/>
        <v>26</v>
      </c>
      <c r="B33" s="725"/>
      <c r="C33" s="726" t="s">
        <v>5</v>
      </c>
      <c r="D33" s="157"/>
      <c r="E33" s="122">
        <f>ROUND('Rates in Detail'!Y28,5)</f>
        <v>2.6089999999999999E-2</v>
      </c>
      <c r="F33" s="122"/>
      <c r="G33" s="157"/>
      <c r="H33" s="373">
        <f>ROUND('Rates in Detail'!R28,5)</f>
        <v>0.35833999999999999</v>
      </c>
      <c r="I33" s="774">
        <f t="shared" si="9"/>
        <v>0.38442999999999999</v>
      </c>
      <c r="J33" s="157"/>
      <c r="K33" s="155"/>
      <c r="L33" s="156"/>
      <c r="M33" s="157"/>
      <c r="N33" s="157"/>
      <c r="O33" s="157"/>
      <c r="P33" s="158"/>
      <c r="Q33" s="157"/>
      <c r="R33" s="298">
        <f>'WA Volumes &amp; Revenues'!E30</f>
        <v>272866</v>
      </c>
      <c r="S33" s="311"/>
      <c r="T33" s="300"/>
      <c r="U33" s="301"/>
      <c r="V33" s="157"/>
      <c r="W33" s="313">
        <f t="shared" si="43"/>
        <v>97778.802439999999</v>
      </c>
      <c r="X33" s="309">
        <f t="shared" si="44"/>
        <v>0</v>
      </c>
      <c r="Y33" s="309">
        <f>(S33*(M33+O33))*12</f>
        <v>0</v>
      </c>
      <c r="Z33" s="314"/>
      <c r="AA33" s="309"/>
      <c r="AB33" s="313">
        <f>(I33*R33)</f>
        <v>104897.87638</v>
      </c>
      <c r="AC33" s="309">
        <f>(L33*T33*12)</f>
        <v>0</v>
      </c>
      <c r="AD33" s="314">
        <f>(S33*(N33+P33))*12</f>
        <v>0</v>
      </c>
      <c r="AE33" s="309"/>
      <c r="AF33" s="313">
        <f>AB33-W33</f>
        <v>7119.073940000002</v>
      </c>
      <c r="AG33" s="309">
        <f>AC33-X33</f>
        <v>0</v>
      </c>
      <c r="AH33" s="314">
        <f t="shared" si="45"/>
        <v>0</v>
      </c>
      <c r="AI33" s="309"/>
      <c r="AJ33" s="338"/>
      <c r="AK33" s="340">
        <f t="shared" si="13"/>
        <v>7.280794775911148E-2</v>
      </c>
      <c r="AL33" s="309"/>
      <c r="AM33" s="313">
        <f>(F33*R33)</f>
        <v>0</v>
      </c>
      <c r="AN33" s="309">
        <v>0</v>
      </c>
      <c r="AO33" s="314">
        <f t="shared" si="46"/>
        <v>0</v>
      </c>
      <c r="AP33" s="309"/>
      <c r="AQ33" s="310"/>
      <c r="AR33" s="310"/>
      <c r="AS33" s="309"/>
    </row>
    <row r="34" spans="1:45" x14ac:dyDescent="0.2">
      <c r="A34" s="86">
        <f t="shared" si="2"/>
        <v>27</v>
      </c>
      <c r="B34" s="723"/>
      <c r="C34" s="742" t="s">
        <v>78</v>
      </c>
      <c r="D34" s="153"/>
      <c r="E34" s="123"/>
      <c r="F34" s="123"/>
      <c r="G34" s="153"/>
      <c r="H34" s="368"/>
      <c r="I34" s="773"/>
      <c r="J34" s="157"/>
      <c r="K34" s="155"/>
      <c r="L34" s="156"/>
      <c r="M34" s="157"/>
      <c r="N34" s="157"/>
      <c r="O34" s="157"/>
      <c r="P34" s="158"/>
      <c r="Q34" s="157"/>
      <c r="R34" s="298"/>
      <c r="S34" s="311"/>
      <c r="T34" s="300"/>
      <c r="U34" s="301"/>
      <c r="V34" s="157"/>
      <c r="W34" s="315">
        <f>SUM(W32:W33)</f>
        <v>166399.32034999999</v>
      </c>
      <c r="X34" s="316">
        <f t="shared" ref="X34:Y34" si="47">SUM(X32:X33)</f>
        <v>47500</v>
      </c>
      <c r="Y34" s="316">
        <f t="shared" si="47"/>
        <v>0</v>
      </c>
      <c r="Z34" s="317">
        <f>'Rate Spread Proposal'!O$74-SUM(W34:Y34)</f>
        <v>1.2833937813993543</v>
      </c>
      <c r="AA34" s="309"/>
      <c r="AB34" s="315">
        <f>SUM(AB32:AB33)</f>
        <v>178514.2231</v>
      </c>
      <c r="AC34" s="316">
        <f t="shared" ref="AC34:AD34" si="48">SUM(AC32:AC33)</f>
        <v>47500</v>
      </c>
      <c r="AD34" s="317">
        <f t="shared" si="48"/>
        <v>0</v>
      </c>
      <c r="AE34" s="309"/>
      <c r="AF34" s="315">
        <f>SUM(AF32:AF33)</f>
        <v>12114.902749999994</v>
      </c>
      <c r="AG34" s="316">
        <f t="shared" ref="AG34:AH34" si="49">SUM(AG32:AG33)</f>
        <v>0</v>
      </c>
      <c r="AH34" s="317">
        <f t="shared" si="49"/>
        <v>0</v>
      </c>
      <c r="AI34" s="309"/>
      <c r="AJ34" s="338">
        <f>SUM(AF34:AH34)/SUM(W34:Y34)</f>
        <v>5.6638341487839111E-2</v>
      </c>
      <c r="AK34" s="339">
        <f t="shared" si="13"/>
        <v>7.2806203321731267E-2</v>
      </c>
      <c r="AL34" s="309"/>
      <c r="AM34" s="315">
        <f>SUM(AM32:AM33)</f>
        <v>0</v>
      </c>
      <c r="AN34" s="316">
        <f t="shared" ref="AN34:AO34" si="50">SUM(AN32:AN33)</f>
        <v>0</v>
      </c>
      <c r="AO34" s="317">
        <f t="shared" si="50"/>
        <v>0</v>
      </c>
      <c r="AP34" s="309"/>
      <c r="AQ34" s="310"/>
      <c r="AR34" s="310"/>
      <c r="AS34" s="309"/>
    </row>
    <row r="35" spans="1:45" x14ac:dyDescent="0.2">
      <c r="A35" s="86">
        <f t="shared" si="2"/>
        <v>28</v>
      </c>
      <c r="B35" s="725" t="str">
        <f>'WA Volumes &amp; Revenues'!B31</f>
        <v>41I Firm Transpt</v>
      </c>
      <c r="C35" s="726" t="s">
        <v>4</v>
      </c>
      <c r="D35" s="157"/>
      <c r="E35" s="122">
        <f>ROUND('Rates in Detail'!Y29,5)</f>
        <v>2.2020000000000001E-2</v>
      </c>
      <c r="F35" s="122"/>
      <c r="G35" s="157"/>
      <c r="H35" s="373">
        <f>ROUND('Rates in Detail'!R29,5)</f>
        <v>0.38873999999999997</v>
      </c>
      <c r="I35" s="774">
        <f t="shared" si="9"/>
        <v>0.41075999999999996</v>
      </c>
      <c r="J35" s="157"/>
      <c r="K35" s="155">
        <f>'WA Volumes &amp; Revenues'!O31</f>
        <v>500</v>
      </c>
      <c r="L35" s="156">
        <f>'WA Volumes &amp; Revenues'!N31</f>
        <v>500</v>
      </c>
      <c r="M35" s="122">
        <f>'Rates in Detail'!AF29</f>
        <v>0</v>
      </c>
      <c r="N35" s="122">
        <f>'Rates in Detail'!AG29</f>
        <v>0</v>
      </c>
      <c r="O35" s="122">
        <f>'Rates in Detail'!AH29</f>
        <v>0</v>
      </c>
      <c r="P35" s="774">
        <f>'Rates in Detail'!AI29</f>
        <v>0</v>
      </c>
      <c r="Q35" s="157"/>
      <c r="R35" s="298">
        <f>'WA Volumes &amp; Revenues'!E31</f>
        <v>0</v>
      </c>
      <c r="S35" s="311"/>
      <c r="T35" s="300">
        <f>'WA Volumes &amp; Revenues'!H31</f>
        <v>0</v>
      </c>
      <c r="U35" s="301">
        <f>'WA Volumes &amp; Revenues'!I31</f>
        <v>0</v>
      </c>
      <c r="V35" s="157"/>
      <c r="W35" s="313">
        <f t="shared" ref="W35:W36" si="51">(H35*R35)</f>
        <v>0</v>
      </c>
      <c r="X35" s="309">
        <f t="shared" ref="X35:X36" si="52">(K35*T35*12)</f>
        <v>0</v>
      </c>
      <c r="Y35" s="309">
        <f>(S35*(M35+O35))*12</f>
        <v>0</v>
      </c>
      <c r="Z35" s="314"/>
      <c r="AA35" s="309"/>
      <c r="AB35" s="313">
        <f>(I35*R35)</f>
        <v>0</v>
      </c>
      <c r="AC35" s="309">
        <f>(L35*T35*12)</f>
        <v>0</v>
      </c>
      <c r="AD35" s="314">
        <f>(S35*(N35+P35))*12</f>
        <v>0</v>
      </c>
      <c r="AE35" s="309"/>
      <c r="AF35" s="313">
        <f>AB35-W35</f>
        <v>0</v>
      </c>
      <c r="AG35" s="309">
        <f>AC35-X35</f>
        <v>0</v>
      </c>
      <c r="AH35" s="314">
        <f t="shared" ref="AH35:AH36" si="53">AD35-Y35</f>
        <v>0</v>
      </c>
      <c r="AI35" s="309"/>
      <c r="AJ35" s="338"/>
      <c r="AK35" s="340" t="e">
        <f t="shared" si="13"/>
        <v>#DIV/0!</v>
      </c>
      <c r="AL35" s="309"/>
      <c r="AM35" s="313">
        <f>(F35*R35)</f>
        <v>0</v>
      </c>
      <c r="AN35" s="309">
        <v>0</v>
      </c>
      <c r="AO35" s="314">
        <f t="shared" ref="AO35:AO36" si="54">(AE35*(Y35+AB35))*12</f>
        <v>0</v>
      </c>
      <c r="AP35" s="309"/>
      <c r="AQ35" s="310"/>
      <c r="AR35" s="310"/>
      <c r="AS35" s="309"/>
    </row>
    <row r="36" spans="1:45" x14ac:dyDescent="0.2">
      <c r="A36" s="86">
        <f t="shared" si="2"/>
        <v>29</v>
      </c>
      <c r="B36" s="725"/>
      <c r="C36" s="726" t="s">
        <v>5</v>
      </c>
      <c r="D36" s="157"/>
      <c r="E36" s="122">
        <f>ROUND('Rates in Detail'!Y30,5)</f>
        <v>1.9400000000000001E-2</v>
      </c>
      <c r="F36" s="122"/>
      <c r="G36" s="157"/>
      <c r="H36" s="373">
        <f>ROUND('Rates in Detail'!R30,5)</f>
        <v>0.34250999999999998</v>
      </c>
      <c r="I36" s="774">
        <f t="shared" si="9"/>
        <v>0.36190999999999995</v>
      </c>
      <c r="J36" s="157"/>
      <c r="K36" s="273"/>
      <c r="L36" s="55"/>
      <c r="M36" s="157"/>
      <c r="N36" s="157"/>
      <c r="O36" s="157"/>
      <c r="P36" s="158"/>
      <c r="Q36" s="157"/>
      <c r="R36" s="298">
        <f>'WA Volumes &amp; Revenues'!E32</f>
        <v>0</v>
      </c>
      <c r="S36" s="311"/>
      <c r="T36" s="300"/>
      <c r="U36" s="301"/>
      <c r="V36" s="157"/>
      <c r="W36" s="313">
        <f t="shared" si="51"/>
        <v>0</v>
      </c>
      <c r="X36" s="309">
        <f t="shared" si="52"/>
        <v>0</v>
      </c>
      <c r="Y36" s="309">
        <f>(S36*(M36+O36))*12</f>
        <v>0</v>
      </c>
      <c r="Z36" s="314"/>
      <c r="AA36" s="309"/>
      <c r="AB36" s="313">
        <f>(I36*R36)</f>
        <v>0</v>
      </c>
      <c r="AC36" s="309">
        <f>(L36*T36*12)</f>
        <v>0</v>
      </c>
      <c r="AD36" s="314">
        <f>(S36*(N36+P36))*12</f>
        <v>0</v>
      </c>
      <c r="AE36" s="309"/>
      <c r="AF36" s="313">
        <f>AB36-W36</f>
        <v>0</v>
      </c>
      <c r="AG36" s="309">
        <f>AC36-X36</f>
        <v>0</v>
      </c>
      <c r="AH36" s="314">
        <f t="shared" si="53"/>
        <v>0</v>
      </c>
      <c r="AI36" s="309"/>
      <c r="AJ36" s="338"/>
      <c r="AK36" s="340" t="e">
        <f t="shared" si="13"/>
        <v>#DIV/0!</v>
      </c>
      <c r="AL36" s="309"/>
      <c r="AM36" s="313">
        <f>(F36*R36)</f>
        <v>0</v>
      </c>
      <c r="AN36" s="309">
        <v>0</v>
      </c>
      <c r="AO36" s="314">
        <f t="shared" si="54"/>
        <v>0</v>
      </c>
      <c r="AP36" s="309"/>
      <c r="AQ36" s="310"/>
      <c r="AR36" s="310"/>
      <c r="AS36" s="309"/>
    </row>
    <row r="37" spans="1:45" x14ac:dyDescent="0.2">
      <c r="A37" s="86">
        <f t="shared" si="2"/>
        <v>30</v>
      </c>
      <c r="B37" s="723"/>
      <c r="C37" s="742" t="s">
        <v>78</v>
      </c>
      <c r="D37" s="153"/>
      <c r="E37" s="123"/>
      <c r="F37" s="123"/>
      <c r="G37" s="153"/>
      <c r="H37" s="368"/>
      <c r="I37" s="773"/>
      <c r="J37" s="157"/>
      <c r="K37" s="273"/>
      <c r="L37" s="55"/>
      <c r="M37" s="157"/>
      <c r="N37" s="157"/>
      <c r="O37" s="157"/>
      <c r="P37" s="158"/>
      <c r="Q37" s="157"/>
      <c r="R37" s="298"/>
      <c r="S37" s="311"/>
      <c r="T37" s="300"/>
      <c r="U37" s="301"/>
      <c r="V37" s="157"/>
      <c r="W37" s="315">
        <f>SUM(W35:W36)</f>
        <v>0</v>
      </c>
      <c r="X37" s="316">
        <f t="shared" ref="X37:Y37" si="55">SUM(X35:X36)</f>
        <v>0</v>
      </c>
      <c r="Y37" s="316">
        <f t="shared" si="55"/>
        <v>0</v>
      </c>
      <c r="Z37" s="317">
        <f>'Rate Spread Proposal'!P$74-SUM(W37:Y37)</f>
        <v>0</v>
      </c>
      <c r="AA37" s="309"/>
      <c r="AB37" s="315">
        <f>SUM(AB35:AB36)</f>
        <v>0</v>
      </c>
      <c r="AC37" s="316">
        <f t="shared" ref="AC37:AD37" si="56">SUM(AC35:AC36)</f>
        <v>0</v>
      </c>
      <c r="AD37" s="317">
        <f t="shared" si="56"/>
        <v>0</v>
      </c>
      <c r="AE37" s="309"/>
      <c r="AF37" s="315">
        <f>SUM(AF35:AF36)</f>
        <v>0</v>
      </c>
      <c r="AG37" s="316">
        <f t="shared" ref="AG37:AH37" si="57">SUM(AG35:AG36)</f>
        <v>0</v>
      </c>
      <c r="AH37" s="317">
        <f t="shared" si="57"/>
        <v>0</v>
      </c>
      <c r="AI37" s="309"/>
      <c r="AJ37" s="338" t="e">
        <f>SUM(AF37:AH37)/SUM(W37:Y37)</f>
        <v>#DIV/0!</v>
      </c>
      <c r="AK37" s="339" t="e">
        <f t="shared" si="13"/>
        <v>#DIV/0!</v>
      </c>
      <c r="AL37" s="309"/>
      <c r="AM37" s="315">
        <f>SUM(AM35:AM36)</f>
        <v>0</v>
      </c>
      <c r="AN37" s="316">
        <f t="shared" ref="AN37:AO37" si="58">SUM(AN35:AN36)</f>
        <v>0</v>
      </c>
      <c r="AO37" s="317">
        <f t="shared" si="58"/>
        <v>0</v>
      </c>
      <c r="AP37" s="309"/>
      <c r="AQ37" s="310"/>
      <c r="AR37" s="310"/>
      <c r="AS37" s="309"/>
    </row>
    <row r="38" spans="1:45" x14ac:dyDescent="0.2">
      <c r="A38" s="86">
        <f t="shared" si="2"/>
        <v>31</v>
      </c>
      <c r="B38" s="725" t="str">
        <f>'WA Volumes &amp; Revenues'!B33</f>
        <v>42C Firm Sales</v>
      </c>
      <c r="C38" s="726" t="s">
        <v>4</v>
      </c>
      <c r="D38" s="157"/>
      <c r="E38" s="122">
        <f>ROUND('Rates in Detail'!Y31,5)</f>
        <v>2.1080000000000002E-2</v>
      </c>
      <c r="F38" s="122"/>
      <c r="G38" s="157"/>
      <c r="H38" s="373">
        <f>ROUND('Rates in Detail'!R31,5)</f>
        <v>0.19431999999999999</v>
      </c>
      <c r="I38" s="774">
        <f t="shared" si="9"/>
        <v>0.21539999999999998</v>
      </c>
      <c r="J38" s="157"/>
      <c r="K38" s="155">
        <f>'WA Volumes &amp; Revenues'!O33</f>
        <v>1300</v>
      </c>
      <c r="L38" s="156">
        <f>'WA Volumes &amp; Revenues'!N33</f>
        <v>1300</v>
      </c>
      <c r="M38" s="122">
        <f>'Rates in Detail'!AF31</f>
        <v>0.15748000000000001</v>
      </c>
      <c r="N38" s="122">
        <f>'Rates in Detail'!AG31</f>
        <v>0.15748000000000001</v>
      </c>
      <c r="O38" s="122">
        <f>'Rates in Detail'!AH31</f>
        <v>0.20415</v>
      </c>
      <c r="P38" s="774">
        <f>'Rates in Detail'!AI31</f>
        <v>0.20415</v>
      </c>
      <c r="Q38" s="157"/>
      <c r="R38" s="298">
        <f>'WA Volumes &amp; Revenues'!E33</f>
        <v>350769.66174469434</v>
      </c>
      <c r="S38" s="311">
        <v>6761</v>
      </c>
      <c r="T38" s="300">
        <f>'WA Volumes &amp; Revenues'!H33</f>
        <v>5</v>
      </c>
      <c r="U38" s="301">
        <f>'WA Volumes &amp; Revenues'!I33</f>
        <v>11949</v>
      </c>
      <c r="V38" s="157"/>
      <c r="W38" s="313">
        <f t="shared" ref="W38:W43" si="59">(H38*R38)</f>
        <v>68161.560670228995</v>
      </c>
      <c r="X38" s="309">
        <f t="shared" ref="X38:X43" si="60">(K38*T38*12)</f>
        <v>78000</v>
      </c>
      <c r="Y38" s="309">
        <f t="shared" ref="Y38:Y43" si="61">(S38*(M38+O38))*12</f>
        <v>29339.765160000003</v>
      </c>
      <c r="Z38" s="314"/>
      <c r="AA38" s="309"/>
      <c r="AB38" s="313">
        <f t="shared" ref="AB38:AB43" si="62">(I38*R38)</f>
        <v>75555.785139807151</v>
      </c>
      <c r="AC38" s="309">
        <f t="shared" ref="AC38:AC43" si="63">(L38*T38*12)</f>
        <v>78000</v>
      </c>
      <c r="AD38" s="314">
        <f t="shared" ref="AD38:AD43" si="64">(S38*(N38+P38))*12</f>
        <v>29339.765160000003</v>
      </c>
      <c r="AE38" s="309"/>
      <c r="AF38" s="313">
        <f t="shared" ref="AF38:AH43" si="65">AB38-W38</f>
        <v>7394.2244695781555</v>
      </c>
      <c r="AG38" s="309">
        <f t="shared" si="65"/>
        <v>0</v>
      </c>
      <c r="AH38" s="314">
        <f t="shared" si="65"/>
        <v>0</v>
      </c>
      <c r="AI38" s="309"/>
      <c r="AJ38" s="338"/>
      <c r="AK38" s="340">
        <f t="shared" si="13"/>
        <v>0.10848085631947303</v>
      </c>
      <c r="AL38" s="309"/>
      <c r="AM38" s="313">
        <f t="shared" ref="AM38:AM43" si="66">(F38*R38)</f>
        <v>0</v>
      </c>
      <c r="AN38" s="309">
        <v>0</v>
      </c>
      <c r="AO38" s="314">
        <f t="shared" ref="AO38:AO43" si="67">(AE38*(Y38+AB38))*12</f>
        <v>0</v>
      </c>
      <c r="AP38" s="309"/>
      <c r="AQ38" s="310"/>
      <c r="AR38" s="310"/>
      <c r="AS38" s="309"/>
    </row>
    <row r="39" spans="1:45" x14ac:dyDescent="0.2">
      <c r="A39" s="86">
        <f t="shared" si="2"/>
        <v>32</v>
      </c>
      <c r="B39" s="725"/>
      <c r="C39" s="726" t="s">
        <v>5</v>
      </c>
      <c r="D39" s="157"/>
      <c r="E39" s="122">
        <f>ROUND('Rates in Detail'!Y32,5)</f>
        <v>1.8859999999999998E-2</v>
      </c>
      <c r="F39" s="122"/>
      <c r="G39" s="157"/>
      <c r="H39" s="373">
        <f>ROUND('Rates in Detail'!R32,5)</f>
        <v>0.17393</v>
      </c>
      <c r="I39" s="774">
        <f t="shared" si="9"/>
        <v>0.19278999999999999</v>
      </c>
      <c r="J39" s="157"/>
      <c r="K39" s="155"/>
      <c r="L39" s="156"/>
      <c r="M39" s="122"/>
      <c r="N39" s="122"/>
      <c r="O39" s="122"/>
      <c r="P39" s="774"/>
      <c r="Q39" s="157"/>
      <c r="R39" s="298">
        <f>'WA Volumes &amp; Revenues'!E34</f>
        <v>303088.75426472601</v>
      </c>
      <c r="S39" s="311"/>
      <c r="T39" s="300"/>
      <c r="U39" s="301"/>
      <c r="V39" s="157"/>
      <c r="W39" s="313">
        <f t="shared" si="59"/>
        <v>52716.227029263799</v>
      </c>
      <c r="X39" s="309">
        <f t="shared" si="60"/>
        <v>0</v>
      </c>
      <c r="Y39" s="309">
        <f t="shared" si="61"/>
        <v>0</v>
      </c>
      <c r="Z39" s="314"/>
      <c r="AA39" s="309"/>
      <c r="AB39" s="313">
        <f t="shared" si="62"/>
        <v>58432.480934696527</v>
      </c>
      <c r="AC39" s="309">
        <f t="shared" si="63"/>
        <v>0</v>
      </c>
      <c r="AD39" s="314">
        <f t="shared" si="64"/>
        <v>0</v>
      </c>
      <c r="AE39" s="309"/>
      <c r="AF39" s="313">
        <f t="shared" si="65"/>
        <v>5716.2539054327281</v>
      </c>
      <c r="AG39" s="309">
        <f t="shared" si="65"/>
        <v>0</v>
      </c>
      <c r="AH39" s="314">
        <f t="shared" si="65"/>
        <v>0</v>
      </c>
      <c r="AI39" s="309"/>
      <c r="AJ39" s="338"/>
      <c r="AK39" s="340">
        <f t="shared" si="13"/>
        <v>0.10843442764330469</v>
      </c>
      <c r="AL39" s="309"/>
      <c r="AM39" s="313">
        <f t="shared" si="66"/>
        <v>0</v>
      </c>
      <c r="AN39" s="309">
        <v>0</v>
      </c>
      <c r="AO39" s="314">
        <f t="shared" si="67"/>
        <v>0</v>
      </c>
      <c r="AP39" s="309"/>
      <c r="AQ39" s="310"/>
      <c r="AR39" s="310"/>
      <c r="AS39" s="309"/>
    </row>
    <row r="40" spans="1:45" x14ac:dyDescent="0.2">
      <c r="A40" s="86">
        <f t="shared" si="2"/>
        <v>33</v>
      </c>
      <c r="B40" s="725"/>
      <c r="C40" s="726" t="s">
        <v>6</v>
      </c>
      <c r="D40" s="157"/>
      <c r="E40" s="122">
        <f>ROUND('Rates in Detail'!Y33,5)</f>
        <v>1.447E-2</v>
      </c>
      <c r="F40" s="122"/>
      <c r="G40" s="157"/>
      <c r="H40" s="373">
        <f>ROUND('Rates in Detail'!R33,5)</f>
        <v>0.13341</v>
      </c>
      <c r="I40" s="774">
        <f t="shared" si="9"/>
        <v>0.14788000000000001</v>
      </c>
      <c r="J40" s="157"/>
      <c r="K40" s="743"/>
      <c r="L40" s="372"/>
      <c r="M40" s="122"/>
      <c r="N40" s="122"/>
      <c r="O40" s="122"/>
      <c r="P40" s="774"/>
      <c r="Q40" s="157"/>
      <c r="R40" s="298">
        <f>'WA Volumes &amp; Revenues'!E35</f>
        <v>59441.942130257296</v>
      </c>
      <c r="S40" s="311"/>
      <c r="T40" s="300"/>
      <c r="U40" s="301"/>
      <c r="V40" s="157"/>
      <c r="W40" s="313">
        <f t="shared" si="59"/>
        <v>7930.1494995976254</v>
      </c>
      <c r="X40" s="309">
        <f t="shared" si="60"/>
        <v>0</v>
      </c>
      <c r="Y40" s="309">
        <f t="shared" si="61"/>
        <v>0</v>
      </c>
      <c r="Z40" s="314"/>
      <c r="AA40" s="309"/>
      <c r="AB40" s="313">
        <f t="shared" si="62"/>
        <v>8790.2744022224488</v>
      </c>
      <c r="AC40" s="309">
        <f t="shared" si="63"/>
        <v>0</v>
      </c>
      <c r="AD40" s="314">
        <f t="shared" si="64"/>
        <v>0</v>
      </c>
      <c r="AE40" s="309"/>
      <c r="AF40" s="313">
        <f t="shared" si="65"/>
        <v>860.12490262482333</v>
      </c>
      <c r="AG40" s="309">
        <f t="shared" si="65"/>
        <v>0</v>
      </c>
      <c r="AH40" s="314">
        <f t="shared" si="65"/>
        <v>0</v>
      </c>
      <c r="AI40" s="309"/>
      <c r="AJ40" s="338"/>
      <c r="AK40" s="340">
        <f t="shared" si="13"/>
        <v>0.1084626339854584</v>
      </c>
      <c r="AL40" s="309"/>
      <c r="AM40" s="313">
        <f t="shared" si="66"/>
        <v>0</v>
      </c>
      <c r="AN40" s="309">
        <v>0</v>
      </c>
      <c r="AO40" s="314">
        <f t="shared" si="67"/>
        <v>0</v>
      </c>
      <c r="AP40" s="309"/>
      <c r="AQ40" s="310"/>
      <c r="AR40" s="310"/>
      <c r="AS40" s="309"/>
    </row>
    <row r="41" spans="1:45" x14ac:dyDescent="0.2">
      <c r="A41" s="86">
        <f t="shared" si="2"/>
        <v>34</v>
      </c>
      <c r="B41" s="725"/>
      <c r="C41" s="726" t="s">
        <v>7</v>
      </c>
      <c r="D41" s="157"/>
      <c r="E41" s="122">
        <f>ROUND('Rates in Detail'!Y34,5)</f>
        <v>1.157E-2</v>
      </c>
      <c r="F41" s="122"/>
      <c r="G41" s="157"/>
      <c r="H41" s="373">
        <f>ROUND('Rates in Detail'!R34,5)</f>
        <v>0.10671</v>
      </c>
      <c r="I41" s="774">
        <f t="shared" si="9"/>
        <v>0.11828</v>
      </c>
      <c r="J41" s="157"/>
      <c r="K41" s="155"/>
      <c r="L41" s="156"/>
      <c r="M41" s="122"/>
      <c r="N41" s="122"/>
      <c r="O41" s="122"/>
      <c r="P41" s="774"/>
      <c r="Q41" s="157"/>
      <c r="R41" s="298">
        <f>'WA Volumes &amp; Revenues'!E36</f>
        <v>3614.6071898605187</v>
      </c>
      <c r="S41" s="311"/>
      <c r="T41" s="300"/>
      <c r="U41" s="301"/>
      <c r="V41" s="157"/>
      <c r="W41" s="313">
        <f t="shared" si="59"/>
        <v>385.71473323001595</v>
      </c>
      <c r="X41" s="309">
        <f t="shared" si="60"/>
        <v>0</v>
      </c>
      <c r="Y41" s="309">
        <f t="shared" si="61"/>
        <v>0</v>
      </c>
      <c r="Z41" s="314"/>
      <c r="AA41" s="309"/>
      <c r="AB41" s="313">
        <f t="shared" si="62"/>
        <v>427.53573841670215</v>
      </c>
      <c r="AC41" s="309">
        <f t="shared" si="63"/>
        <v>0</v>
      </c>
      <c r="AD41" s="314">
        <f t="shared" si="64"/>
        <v>0</v>
      </c>
      <c r="AE41" s="309"/>
      <c r="AF41" s="313">
        <f t="shared" si="65"/>
        <v>41.821005186686193</v>
      </c>
      <c r="AG41" s="309">
        <f t="shared" si="65"/>
        <v>0</v>
      </c>
      <c r="AH41" s="314">
        <f t="shared" si="65"/>
        <v>0</v>
      </c>
      <c r="AI41" s="309"/>
      <c r="AJ41" s="338"/>
      <c r="AK41" s="340">
        <f t="shared" si="13"/>
        <v>0.10842470246462373</v>
      </c>
      <c r="AL41" s="309"/>
      <c r="AM41" s="313">
        <f t="shared" si="66"/>
        <v>0</v>
      </c>
      <c r="AN41" s="309">
        <v>0</v>
      </c>
      <c r="AO41" s="314">
        <f t="shared" si="67"/>
        <v>0</v>
      </c>
      <c r="AP41" s="309"/>
      <c r="AQ41" s="310"/>
      <c r="AR41" s="310"/>
      <c r="AS41" s="309"/>
    </row>
    <row r="42" spans="1:45" x14ac:dyDescent="0.2">
      <c r="A42" s="86">
        <f t="shared" si="2"/>
        <v>35</v>
      </c>
      <c r="B42" s="725"/>
      <c r="C42" s="726" t="s">
        <v>8</v>
      </c>
      <c r="D42" s="157"/>
      <c r="E42" s="122">
        <f>ROUND('Rates in Detail'!Y35,5)</f>
        <v>7.7099999999999998E-3</v>
      </c>
      <c r="F42" s="122"/>
      <c r="G42" s="157"/>
      <c r="H42" s="373">
        <f>ROUND('Rates in Detail'!R35,5)</f>
        <v>7.1129999999999999E-2</v>
      </c>
      <c r="I42" s="774">
        <f t="shared" si="9"/>
        <v>7.8839999999999993E-2</v>
      </c>
      <c r="J42" s="157"/>
      <c r="K42" s="155"/>
      <c r="L42" s="156"/>
      <c r="M42" s="122"/>
      <c r="N42" s="122"/>
      <c r="O42" s="122"/>
      <c r="P42" s="774"/>
      <c r="Q42" s="157"/>
      <c r="R42" s="298">
        <f>'WA Volumes &amp; Revenues'!E37</f>
        <v>0</v>
      </c>
      <c r="S42" s="311"/>
      <c r="T42" s="300"/>
      <c r="U42" s="301"/>
      <c r="V42" s="157"/>
      <c r="W42" s="313">
        <f t="shared" si="59"/>
        <v>0</v>
      </c>
      <c r="X42" s="309">
        <f t="shared" si="60"/>
        <v>0</v>
      </c>
      <c r="Y42" s="309">
        <f t="shared" si="61"/>
        <v>0</v>
      </c>
      <c r="Z42" s="314"/>
      <c r="AA42" s="309"/>
      <c r="AB42" s="313">
        <f t="shared" si="62"/>
        <v>0</v>
      </c>
      <c r="AC42" s="309">
        <f t="shared" si="63"/>
        <v>0</v>
      </c>
      <c r="AD42" s="314">
        <f t="shared" si="64"/>
        <v>0</v>
      </c>
      <c r="AE42" s="309"/>
      <c r="AF42" s="313">
        <f t="shared" si="65"/>
        <v>0</v>
      </c>
      <c r="AG42" s="309">
        <f t="shared" si="65"/>
        <v>0</v>
      </c>
      <c r="AH42" s="314">
        <f t="shared" si="65"/>
        <v>0</v>
      </c>
      <c r="AI42" s="309"/>
      <c r="AJ42" s="338"/>
      <c r="AK42" s="340">
        <f>AK41</f>
        <v>0.10842470246462373</v>
      </c>
      <c r="AL42" s="309"/>
      <c r="AM42" s="313">
        <f t="shared" si="66"/>
        <v>0</v>
      </c>
      <c r="AN42" s="309">
        <v>0</v>
      </c>
      <c r="AO42" s="314">
        <f t="shared" si="67"/>
        <v>0</v>
      </c>
      <c r="AP42" s="309"/>
      <c r="AQ42" s="310"/>
      <c r="AR42" s="310"/>
      <c r="AS42" s="309"/>
    </row>
    <row r="43" spans="1:45" x14ac:dyDescent="0.2">
      <c r="A43" s="86">
        <f t="shared" si="2"/>
        <v>36</v>
      </c>
      <c r="B43" s="725"/>
      <c r="C43" s="726" t="s">
        <v>9</v>
      </c>
      <c r="D43" s="157"/>
      <c r="E43" s="122">
        <f>ROUND('Rates in Detail'!Y36,5)</f>
        <v>2.8900000000000002E-3</v>
      </c>
      <c r="F43" s="122"/>
      <c r="G43" s="157"/>
      <c r="H43" s="373">
        <f>ROUND('Rates in Detail'!R36,5)</f>
        <v>2.6669999999999999E-2</v>
      </c>
      <c r="I43" s="774">
        <f t="shared" si="9"/>
        <v>2.9559999999999999E-2</v>
      </c>
      <c r="J43" s="157"/>
      <c r="K43" s="743"/>
      <c r="L43" s="372"/>
      <c r="M43" s="122"/>
      <c r="N43" s="122"/>
      <c r="O43" s="122"/>
      <c r="P43" s="774"/>
      <c r="Q43" s="157"/>
      <c r="R43" s="298">
        <f>'WA Volumes &amp; Revenues'!E38</f>
        <v>0</v>
      </c>
      <c r="S43" s="311"/>
      <c r="T43" s="300"/>
      <c r="U43" s="301"/>
      <c r="V43" s="157"/>
      <c r="W43" s="313">
        <f t="shared" si="59"/>
        <v>0</v>
      </c>
      <c r="X43" s="309">
        <f t="shared" si="60"/>
        <v>0</v>
      </c>
      <c r="Y43" s="309">
        <f t="shared" si="61"/>
        <v>0</v>
      </c>
      <c r="Z43" s="314"/>
      <c r="AA43" s="309"/>
      <c r="AB43" s="313">
        <f t="shared" si="62"/>
        <v>0</v>
      </c>
      <c r="AC43" s="309">
        <f t="shared" si="63"/>
        <v>0</v>
      </c>
      <c r="AD43" s="314">
        <f t="shared" si="64"/>
        <v>0</v>
      </c>
      <c r="AE43" s="309"/>
      <c r="AF43" s="313">
        <f t="shared" si="65"/>
        <v>0</v>
      </c>
      <c r="AG43" s="309">
        <f t="shared" si="65"/>
        <v>0</v>
      </c>
      <c r="AH43" s="314">
        <f t="shared" si="65"/>
        <v>0</v>
      </c>
      <c r="AI43" s="309"/>
      <c r="AJ43" s="338"/>
      <c r="AK43" s="340">
        <f>AK42</f>
        <v>0.10842470246462373</v>
      </c>
      <c r="AL43" s="309"/>
      <c r="AM43" s="313">
        <f t="shared" si="66"/>
        <v>0</v>
      </c>
      <c r="AN43" s="309">
        <v>0</v>
      </c>
      <c r="AO43" s="314">
        <f t="shared" si="67"/>
        <v>0</v>
      </c>
      <c r="AP43" s="309"/>
      <c r="AQ43" s="310"/>
      <c r="AR43" s="310"/>
      <c r="AS43" s="309"/>
    </row>
    <row r="44" spans="1:45" x14ac:dyDescent="0.2">
      <c r="A44" s="86">
        <f t="shared" si="2"/>
        <v>37</v>
      </c>
      <c r="B44" s="723"/>
      <c r="C44" s="742" t="s">
        <v>78</v>
      </c>
      <c r="D44" s="153"/>
      <c r="E44" s="123"/>
      <c r="F44" s="123"/>
      <c r="G44" s="153"/>
      <c r="H44" s="368"/>
      <c r="I44" s="773"/>
      <c r="J44" s="157"/>
      <c r="K44" s="743"/>
      <c r="L44" s="372"/>
      <c r="M44" s="122"/>
      <c r="N44" s="122"/>
      <c r="O44" s="122"/>
      <c r="P44" s="774"/>
      <c r="Q44" s="157"/>
      <c r="R44" s="298"/>
      <c r="S44" s="311"/>
      <c r="T44" s="300"/>
      <c r="U44" s="301"/>
      <c r="V44" s="157"/>
      <c r="W44" s="315">
        <f>SUM(W38:W43)</f>
        <v>129193.65193232044</v>
      </c>
      <c r="X44" s="316">
        <f>SUM(X38:X43)</f>
        <v>78000</v>
      </c>
      <c r="Y44" s="316">
        <f>SUM(Y38:Y43)</f>
        <v>29339.765160000003</v>
      </c>
      <c r="Z44" s="317">
        <f>'Rate Spread Proposal'!Q$74-SUM(W44:Y44)</f>
        <v>10868.651176767249</v>
      </c>
      <c r="AA44" s="309"/>
      <c r="AB44" s="315">
        <f>SUM(AB38:AB43)</f>
        <v>143206.07621514285</v>
      </c>
      <c r="AC44" s="316">
        <f>SUM(AC38:AC43)</f>
        <v>78000</v>
      </c>
      <c r="AD44" s="317">
        <f>SUM(AD38:AD43)</f>
        <v>29339.765160000003</v>
      </c>
      <c r="AE44" s="309"/>
      <c r="AF44" s="315">
        <f>SUM(AF38:AF43)</f>
        <v>14012.424282822392</v>
      </c>
      <c r="AG44" s="316">
        <f>SUM(AG38:AG43)</f>
        <v>0</v>
      </c>
      <c r="AH44" s="317">
        <f>SUM(AH38:AH43)</f>
        <v>0</v>
      </c>
      <c r="AI44" s="309"/>
      <c r="AJ44" s="338">
        <f>SUM(AF44:AH44)/SUM(W44:Y44)</f>
        <v>5.9240780668861077E-2</v>
      </c>
      <c r="AK44" s="339">
        <f>SUM(AF44)/SUM(W44)</f>
        <v>0.10846062537316431</v>
      </c>
      <c r="AL44" s="309"/>
      <c r="AM44" s="315">
        <f>SUM(AM38:AM43)</f>
        <v>0</v>
      </c>
      <c r="AN44" s="316">
        <f>SUM(AN38:AN43)</f>
        <v>0</v>
      </c>
      <c r="AO44" s="317">
        <f>SUM(AO38:AO43)</f>
        <v>0</v>
      </c>
      <c r="AP44" s="309"/>
      <c r="AQ44" s="310"/>
      <c r="AR44" s="310"/>
      <c r="AS44" s="309"/>
    </row>
    <row r="45" spans="1:45" x14ac:dyDescent="0.2">
      <c r="A45" s="86">
        <f t="shared" si="2"/>
        <v>38</v>
      </c>
      <c r="B45" s="725" t="str">
        <f>'WA Volumes &amp; Revenues'!B39</f>
        <v>42I Firm Sales</v>
      </c>
      <c r="C45" s="726" t="s">
        <v>4</v>
      </c>
      <c r="D45" s="157"/>
      <c r="E45" s="122">
        <f>ROUND('Rates in Detail'!Y37,5)</f>
        <v>1.8749999999999999E-2</v>
      </c>
      <c r="F45" s="122"/>
      <c r="G45" s="157"/>
      <c r="H45" s="373">
        <f>ROUND('Rates in Detail'!R37,5)</f>
        <v>0.18443999999999999</v>
      </c>
      <c r="I45" s="774">
        <f t="shared" si="9"/>
        <v>0.20318999999999998</v>
      </c>
      <c r="J45" s="157"/>
      <c r="K45" s="155">
        <f>'WA Volumes &amp; Revenues'!O39</f>
        <v>1300</v>
      </c>
      <c r="L45" s="156">
        <f>'WA Volumes &amp; Revenues'!N39</f>
        <v>1300</v>
      </c>
      <c r="M45" s="122">
        <f>'Rates in Detail'!AF37</f>
        <v>0.15748000000000001</v>
      </c>
      <c r="N45" s="122">
        <f>'Rates in Detail'!AG37</f>
        <v>0.15748000000000001</v>
      </c>
      <c r="O45" s="122">
        <f>'Rates in Detail'!AH37</f>
        <v>0.20415</v>
      </c>
      <c r="P45" s="774">
        <f>'Rates in Detail'!AI37</f>
        <v>0.20415</v>
      </c>
      <c r="Q45" s="157"/>
      <c r="R45" s="298">
        <f>'WA Volumes &amp; Revenues'!E39</f>
        <v>1093724.2000000002</v>
      </c>
      <c r="S45" s="311">
        <v>9556</v>
      </c>
      <c r="T45" s="300">
        <f>'WA Volumes &amp; Revenues'!H39</f>
        <v>11.916666666666666</v>
      </c>
      <c r="U45" s="301">
        <f>'WA Volumes &amp; Revenues'!I39</f>
        <v>12869</v>
      </c>
      <c r="V45" s="157"/>
      <c r="W45" s="313">
        <f t="shared" ref="W45:W50" si="68">(H45*R45)</f>
        <v>201726.49144800002</v>
      </c>
      <c r="X45" s="309">
        <f t="shared" ref="X45:X50" si="69">(K45*T45*12)</f>
        <v>185900</v>
      </c>
      <c r="Y45" s="309">
        <f t="shared" ref="Y45:Y50" si="70">(S45*(M45+O45))*12</f>
        <v>41468.835359999997</v>
      </c>
      <c r="Z45" s="314"/>
      <c r="AA45" s="309"/>
      <c r="AB45" s="313">
        <f t="shared" ref="AB45:AB50" si="71">(I45*R45)</f>
        <v>222233.82019800003</v>
      </c>
      <c r="AC45" s="309">
        <f t="shared" ref="AC45:AC50" si="72">(L45*T45*12)</f>
        <v>185900</v>
      </c>
      <c r="AD45" s="314">
        <f t="shared" ref="AD45:AD50" si="73">(S45*(N45+P45))*12</f>
        <v>41468.835359999997</v>
      </c>
      <c r="AE45" s="309"/>
      <c r="AF45" s="313">
        <f t="shared" ref="AF45:AH50" si="74">AB45-W45</f>
        <v>20507.328750000015</v>
      </c>
      <c r="AG45" s="309">
        <f t="shared" si="74"/>
        <v>0</v>
      </c>
      <c r="AH45" s="314">
        <f t="shared" si="74"/>
        <v>0</v>
      </c>
      <c r="AI45" s="309"/>
      <c r="AJ45" s="338"/>
      <c r="AK45" s="340">
        <f>SUM(AF45)/SUM(W45)</f>
        <v>0.10165907612231627</v>
      </c>
      <c r="AL45" s="309"/>
      <c r="AM45" s="313">
        <f t="shared" ref="AM45:AM50" si="75">(F45*R45)</f>
        <v>0</v>
      </c>
      <c r="AN45" s="309">
        <v>0</v>
      </c>
      <c r="AO45" s="314">
        <f t="shared" ref="AO45:AO50" si="76">(AE45*(Y45+AB45))*12</f>
        <v>0</v>
      </c>
      <c r="AP45" s="309"/>
      <c r="AQ45" s="310"/>
      <c r="AR45" s="310"/>
      <c r="AS45" s="309"/>
    </row>
    <row r="46" spans="1:45" x14ac:dyDescent="0.2">
      <c r="A46" s="86">
        <f t="shared" si="2"/>
        <v>39</v>
      </c>
      <c r="B46" s="725"/>
      <c r="C46" s="726" t="s">
        <v>5</v>
      </c>
      <c r="D46" s="157"/>
      <c r="E46" s="122">
        <f>ROUND('Rates in Detail'!Y38,5)</f>
        <v>1.678E-2</v>
      </c>
      <c r="F46" s="122"/>
      <c r="G46" s="157"/>
      <c r="H46" s="373">
        <f>ROUND('Rates in Detail'!R38,5)</f>
        <v>0.1651</v>
      </c>
      <c r="I46" s="774">
        <f t="shared" si="9"/>
        <v>0.18187999999999999</v>
      </c>
      <c r="J46" s="157"/>
      <c r="K46" s="155"/>
      <c r="L46" s="156"/>
      <c r="M46" s="122"/>
      <c r="N46" s="122"/>
      <c r="O46" s="122"/>
      <c r="P46" s="774"/>
      <c r="Q46" s="157"/>
      <c r="R46" s="298">
        <f>'WA Volumes &amp; Revenues'!E40</f>
        <v>655939.80000000005</v>
      </c>
      <c r="S46" s="311"/>
      <c r="T46" s="300"/>
      <c r="U46" s="301"/>
      <c r="V46" s="157"/>
      <c r="W46" s="313">
        <f t="shared" si="68"/>
        <v>108295.66098</v>
      </c>
      <c r="X46" s="309">
        <f t="shared" si="69"/>
        <v>0</v>
      </c>
      <c r="Y46" s="309">
        <f t="shared" si="70"/>
        <v>0</v>
      </c>
      <c r="Z46" s="314"/>
      <c r="AA46" s="309"/>
      <c r="AB46" s="313">
        <f t="shared" si="71"/>
        <v>119302.330824</v>
      </c>
      <c r="AC46" s="309">
        <f t="shared" si="72"/>
        <v>0</v>
      </c>
      <c r="AD46" s="314">
        <f t="shared" si="73"/>
        <v>0</v>
      </c>
      <c r="AE46" s="309"/>
      <c r="AF46" s="313">
        <f t="shared" si="74"/>
        <v>11006.669844000004</v>
      </c>
      <c r="AG46" s="309">
        <f t="shared" si="74"/>
        <v>0</v>
      </c>
      <c r="AH46" s="314">
        <f t="shared" si="74"/>
        <v>0</v>
      </c>
      <c r="AI46" s="309"/>
      <c r="AJ46" s="338"/>
      <c r="AK46" s="340">
        <f>SUM(AF46)/SUM(W46)</f>
        <v>0.10163537250151426</v>
      </c>
      <c r="AL46" s="309"/>
      <c r="AM46" s="313">
        <f t="shared" si="75"/>
        <v>0</v>
      </c>
      <c r="AN46" s="309">
        <v>0</v>
      </c>
      <c r="AO46" s="314">
        <f t="shared" si="76"/>
        <v>0</v>
      </c>
      <c r="AP46" s="309"/>
      <c r="AQ46" s="310"/>
      <c r="AR46" s="310"/>
      <c r="AS46" s="309"/>
    </row>
    <row r="47" spans="1:45" x14ac:dyDescent="0.2">
      <c r="A47" s="86">
        <f t="shared" si="2"/>
        <v>40</v>
      </c>
      <c r="B47" s="725"/>
      <c r="C47" s="726" t="s">
        <v>6</v>
      </c>
      <c r="D47" s="157"/>
      <c r="E47" s="122">
        <f>ROUND('Rates in Detail'!Y39,5)</f>
        <v>1.2869999999999999E-2</v>
      </c>
      <c r="F47" s="122"/>
      <c r="G47" s="157"/>
      <c r="H47" s="373">
        <f>ROUND('Rates in Detail'!R39,5)</f>
        <v>0.12659999999999999</v>
      </c>
      <c r="I47" s="774">
        <f t="shared" si="9"/>
        <v>0.13946999999999998</v>
      </c>
      <c r="J47" s="157"/>
      <c r="K47" s="155"/>
      <c r="L47" s="156"/>
      <c r="M47" s="122"/>
      <c r="N47" s="122"/>
      <c r="O47" s="122"/>
      <c r="P47" s="774"/>
      <c r="Q47" s="157"/>
      <c r="R47" s="298">
        <f>'WA Volumes &amp; Revenues'!E41</f>
        <v>81241.3</v>
      </c>
      <c r="S47" s="311"/>
      <c r="T47" s="300"/>
      <c r="U47" s="301"/>
      <c r="V47" s="157"/>
      <c r="W47" s="313">
        <f t="shared" si="68"/>
        <v>10285.148579999999</v>
      </c>
      <c r="X47" s="309">
        <f t="shared" si="69"/>
        <v>0</v>
      </c>
      <c r="Y47" s="309">
        <f t="shared" si="70"/>
        <v>0</v>
      </c>
      <c r="Z47" s="314"/>
      <c r="AA47" s="309"/>
      <c r="AB47" s="313">
        <f t="shared" si="71"/>
        <v>11330.724111</v>
      </c>
      <c r="AC47" s="309">
        <f t="shared" si="72"/>
        <v>0</v>
      </c>
      <c r="AD47" s="314">
        <f t="shared" si="73"/>
        <v>0</v>
      </c>
      <c r="AE47" s="309"/>
      <c r="AF47" s="313">
        <f t="shared" si="74"/>
        <v>1045.5755310000004</v>
      </c>
      <c r="AG47" s="309">
        <f t="shared" si="74"/>
        <v>0</v>
      </c>
      <c r="AH47" s="314">
        <f t="shared" si="74"/>
        <v>0</v>
      </c>
      <c r="AI47" s="309"/>
      <c r="AJ47" s="338"/>
      <c r="AK47" s="340">
        <f>SUM(AF47)/SUM(W47)</f>
        <v>0.1016587677725119</v>
      </c>
      <c r="AL47" s="309"/>
      <c r="AM47" s="313">
        <f t="shared" si="75"/>
        <v>0</v>
      </c>
      <c r="AN47" s="309">
        <v>0</v>
      </c>
      <c r="AO47" s="314">
        <f t="shared" si="76"/>
        <v>0</v>
      </c>
      <c r="AP47" s="309"/>
      <c r="AQ47" s="310"/>
      <c r="AR47" s="310"/>
      <c r="AS47" s="309"/>
    </row>
    <row r="48" spans="1:45" x14ac:dyDescent="0.2">
      <c r="A48" s="86">
        <f t="shared" si="2"/>
        <v>41</v>
      </c>
      <c r="B48" s="725"/>
      <c r="C48" s="726" t="s">
        <v>7</v>
      </c>
      <c r="D48" s="157"/>
      <c r="E48" s="122">
        <f>ROUND('Rates in Detail'!Y40,5)</f>
        <v>1.03E-2</v>
      </c>
      <c r="F48" s="122"/>
      <c r="G48" s="157"/>
      <c r="H48" s="373">
        <f>ROUND('Rates in Detail'!R40,5)</f>
        <v>0.10129000000000001</v>
      </c>
      <c r="I48" s="774">
        <f t="shared" si="9"/>
        <v>0.11159000000000001</v>
      </c>
      <c r="J48" s="157"/>
      <c r="K48" s="155"/>
      <c r="L48" s="156"/>
      <c r="M48" s="122"/>
      <c r="N48" s="122"/>
      <c r="O48" s="122"/>
      <c r="P48" s="774"/>
      <c r="Q48" s="157"/>
      <c r="R48" s="298">
        <f>'WA Volumes &amp; Revenues'!E42</f>
        <v>9320.1</v>
      </c>
      <c r="S48" s="311"/>
      <c r="T48" s="300"/>
      <c r="U48" s="301"/>
      <c r="V48" s="157"/>
      <c r="W48" s="313">
        <f t="shared" si="68"/>
        <v>944.03292900000008</v>
      </c>
      <c r="X48" s="309">
        <f t="shared" si="69"/>
        <v>0</v>
      </c>
      <c r="Y48" s="309">
        <f t="shared" si="70"/>
        <v>0</v>
      </c>
      <c r="Z48" s="314"/>
      <c r="AA48" s="309"/>
      <c r="AB48" s="313">
        <f t="shared" si="71"/>
        <v>1040.0299590000002</v>
      </c>
      <c r="AC48" s="309">
        <f t="shared" si="72"/>
        <v>0</v>
      </c>
      <c r="AD48" s="314">
        <f t="shared" si="73"/>
        <v>0</v>
      </c>
      <c r="AE48" s="309"/>
      <c r="AF48" s="313">
        <f t="shared" si="74"/>
        <v>95.997030000000109</v>
      </c>
      <c r="AG48" s="309">
        <f t="shared" si="74"/>
        <v>0</v>
      </c>
      <c r="AH48" s="314">
        <f t="shared" si="74"/>
        <v>0</v>
      </c>
      <c r="AI48" s="309"/>
      <c r="AJ48" s="338"/>
      <c r="AK48" s="340">
        <f>SUM(AF48)/SUM(W48)</f>
        <v>0.10168822193701264</v>
      </c>
      <c r="AL48" s="309"/>
      <c r="AM48" s="313">
        <f t="shared" si="75"/>
        <v>0</v>
      </c>
      <c r="AN48" s="309">
        <v>0</v>
      </c>
      <c r="AO48" s="314">
        <f t="shared" si="76"/>
        <v>0</v>
      </c>
      <c r="AP48" s="309"/>
      <c r="AQ48" s="310"/>
      <c r="AR48" s="310"/>
      <c r="AS48" s="309"/>
    </row>
    <row r="49" spans="1:45" x14ac:dyDescent="0.2">
      <c r="A49" s="86">
        <f t="shared" si="2"/>
        <v>42</v>
      </c>
      <c r="B49" s="725"/>
      <c r="C49" s="726" t="s">
        <v>8</v>
      </c>
      <c r="D49" s="157"/>
      <c r="E49" s="122">
        <f>ROUND('Rates in Detail'!Y41,5)</f>
        <v>6.8700000000000002E-3</v>
      </c>
      <c r="F49" s="122"/>
      <c r="G49" s="157"/>
      <c r="H49" s="373">
        <f>ROUND('Rates in Detail'!R41,5)</f>
        <v>6.7540000000000003E-2</v>
      </c>
      <c r="I49" s="774">
        <f t="shared" si="9"/>
        <v>7.4410000000000004E-2</v>
      </c>
      <c r="J49" s="157"/>
      <c r="K49" s="155"/>
      <c r="L49" s="156"/>
      <c r="M49" s="122"/>
      <c r="N49" s="122"/>
      <c r="O49" s="122"/>
      <c r="P49" s="774"/>
      <c r="Q49" s="157"/>
      <c r="R49" s="298">
        <f>'WA Volumes &amp; Revenues'!E43</f>
        <v>0</v>
      </c>
      <c r="S49" s="311"/>
      <c r="T49" s="300"/>
      <c r="U49" s="301"/>
      <c r="V49" s="157"/>
      <c r="W49" s="313">
        <f t="shared" si="68"/>
        <v>0</v>
      </c>
      <c r="X49" s="309">
        <f t="shared" si="69"/>
        <v>0</v>
      </c>
      <c r="Y49" s="309">
        <f t="shared" si="70"/>
        <v>0</v>
      </c>
      <c r="Z49" s="314"/>
      <c r="AA49" s="309"/>
      <c r="AB49" s="313">
        <f t="shared" si="71"/>
        <v>0</v>
      </c>
      <c r="AC49" s="309">
        <f t="shared" si="72"/>
        <v>0</v>
      </c>
      <c r="AD49" s="314">
        <f t="shared" si="73"/>
        <v>0</v>
      </c>
      <c r="AE49" s="309"/>
      <c r="AF49" s="313">
        <f t="shared" si="74"/>
        <v>0</v>
      </c>
      <c r="AG49" s="309">
        <f t="shared" si="74"/>
        <v>0</v>
      </c>
      <c r="AH49" s="314">
        <f t="shared" si="74"/>
        <v>0</v>
      </c>
      <c r="AI49" s="309"/>
      <c r="AJ49" s="338"/>
      <c r="AK49" s="340">
        <f>AK48</f>
        <v>0.10168822193701264</v>
      </c>
      <c r="AL49" s="309"/>
      <c r="AM49" s="313">
        <f t="shared" si="75"/>
        <v>0</v>
      </c>
      <c r="AN49" s="309">
        <v>0</v>
      </c>
      <c r="AO49" s="314">
        <f t="shared" si="76"/>
        <v>0</v>
      </c>
      <c r="AP49" s="309"/>
      <c r="AQ49" s="310"/>
      <c r="AR49" s="310"/>
      <c r="AS49" s="309"/>
    </row>
    <row r="50" spans="1:45" x14ac:dyDescent="0.2">
      <c r="A50" s="86">
        <f t="shared" si="2"/>
        <v>43</v>
      </c>
      <c r="B50" s="725"/>
      <c r="C50" s="726" t="s">
        <v>9</v>
      </c>
      <c r="D50" s="157"/>
      <c r="E50" s="122">
        <f>ROUND('Rates in Detail'!Y42,5)</f>
        <v>2.5699999999999998E-3</v>
      </c>
      <c r="F50" s="122"/>
      <c r="G50" s="157"/>
      <c r="H50" s="373">
        <f>ROUND('Rates in Detail'!R42,5)</f>
        <v>2.5309999999999999E-2</v>
      </c>
      <c r="I50" s="774">
        <f t="shared" si="9"/>
        <v>2.7879999999999999E-2</v>
      </c>
      <c r="J50" s="157"/>
      <c r="K50" s="155"/>
      <c r="L50" s="156"/>
      <c r="M50" s="122"/>
      <c r="N50" s="122"/>
      <c r="O50" s="122"/>
      <c r="P50" s="774"/>
      <c r="Q50" s="157"/>
      <c r="R50" s="298">
        <f>'WA Volumes &amp; Revenues'!E44</f>
        <v>0</v>
      </c>
      <c r="S50" s="311"/>
      <c r="T50" s="300"/>
      <c r="U50" s="301"/>
      <c r="V50" s="157"/>
      <c r="W50" s="313">
        <f t="shared" si="68"/>
        <v>0</v>
      </c>
      <c r="X50" s="309">
        <f t="shared" si="69"/>
        <v>0</v>
      </c>
      <c r="Y50" s="309">
        <f t="shared" si="70"/>
        <v>0</v>
      </c>
      <c r="Z50" s="314"/>
      <c r="AA50" s="309"/>
      <c r="AB50" s="313">
        <f t="shared" si="71"/>
        <v>0</v>
      </c>
      <c r="AC50" s="309">
        <f t="shared" si="72"/>
        <v>0</v>
      </c>
      <c r="AD50" s="314">
        <f t="shared" si="73"/>
        <v>0</v>
      </c>
      <c r="AE50" s="309"/>
      <c r="AF50" s="313">
        <f t="shared" si="74"/>
        <v>0</v>
      </c>
      <c r="AG50" s="309">
        <f t="shared" si="74"/>
        <v>0</v>
      </c>
      <c r="AH50" s="314">
        <f t="shared" si="74"/>
        <v>0</v>
      </c>
      <c r="AI50" s="309"/>
      <c r="AJ50" s="338"/>
      <c r="AK50" s="340">
        <f>AK49</f>
        <v>0.10168822193701264</v>
      </c>
      <c r="AL50" s="309"/>
      <c r="AM50" s="313">
        <f t="shared" si="75"/>
        <v>0</v>
      </c>
      <c r="AN50" s="309">
        <v>0</v>
      </c>
      <c r="AO50" s="314">
        <f t="shared" si="76"/>
        <v>0</v>
      </c>
      <c r="AP50" s="309"/>
      <c r="AQ50" s="310"/>
      <c r="AR50" s="310"/>
      <c r="AS50" s="309"/>
    </row>
    <row r="51" spans="1:45" x14ac:dyDescent="0.2">
      <c r="A51" s="86">
        <f t="shared" si="2"/>
        <v>44</v>
      </c>
      <c r="B51" s="723"/>
      <c r="C51" s="742" t="s">
        <v>78</v>
      </c>
      <c r="D51" s="153"/>
      <c r="E51" s="123"/>
      <c r="F51" s="123"/>
      <c r="G51" s="153"/>
      <c r="H51" s="368"/>
      <c r="I51" s="773"/>
      <c r="J51" s="157"/>
      <c r="K51" s="155"/>
      <c r="L51" s="156"/>
      <c r="M51" s="122"/>
      <c r="N51" s="122"/>
      <c r="O51" s="122"/>
      <c r="P51" s="774"/>
      <c r="Q51" s="157"/>
      <c r="R51" s="298"/>
      <c r="S51" s="311"/>
      <c r="T51" s="300"/>
      <c r="U51" s="301"/>
      <c r="V51" s="157"/>
      <c r="W51" s="315">
        <f>SUM(W45:W50)</f>
        <v>321251.33393699996</v>
      </c>
      <c r="X51" s="316">
        <f>SUM(X45:X50)</f>
        <v>185900</v>
      </c>
      <c r="Y51" s="316">
        <f>SUM(Y45:Y50)</f>
        <v>41468.835359999997</v>
      </c>
      <c r="Z51" s="317">
        <f>'Rate Spread Proposal'!R$74-SUM(W51:Y51)</f>
        <v>27898.26425673638</v>
      </c>
      <c r="AA51" s="309"/>
      <c r="AB51" s="315">
        <f>SUM(AB45:AB50)</f>
        <v>353906.90509200003</v>
      </c>
      <c r="AC51" s="316">
        <f>SUM(AC45:AC50)</f>
        <v>185900</v>
      </c>
      <c r="AD51" s="317">
        <f>SUM(AD45:AD50)</f>
        <v>41468.835359999997</v>
      </c>
      <c r="AE51" s="309"/>
      <c r="AF51" s="315">
        <f>SUM(AF45:AF50)</f>
        <v>32655.57115500002</v>
      </c>
      <c r="AG51" s="316">
        <f>SUM(AG45:AG50)</f>
        <v>0</v>
      </c>
      <c r="AH51" s="317">
        <f>SUM(AH45:AH50)</f>
        <v>0</v>
      </c>
      <c r="AI51" s="309"/>
      <c r="AJ51" s="338">
        <f>SUM(AF51:AH51)/SUM(W51:Y51)</f>
        <v>5.9523096274139466E-2</v>
      </c>
      <c r="AK51" s="339">
        <f t="shared" ref="AK51:AK56" si="77">SUM(AF51)/SUM(W51)</f>
        <v>0.10165116127238882</v>
      </c>
      <c r="AL51" s="309"/>
      <c r="AM51" s="315">
        <f>SUM(AM45:AM50)</f>
        <v>0</v>
      </c>
      <c r="AN51" s="316">
        <f>SUM(AN45:AN50)</f>
        <v>0</v>
      </c>
      <c r="AO51" s="317">
        <f>SUM(AO45:AO50)</f>
        <v>0</v>
      </c>
      <c r="AP51" s="309"/>
      <c r="AQ51" s="310"/>
      <c r="AR51" s="310"/>
      <c r="AS51" s="309"/>
    </row>
    <row r="52" spans="1:45" x14ac:dyDescent="0.2">
      <c r="A52" s="86">
        <f t="shared" si="2"/>
        <v>45</v>
      </c>
      <c r="B52" s="725" t="str">
        <f>'WA Volumes &amp; Revenues'!B45</f>
        <v>42C Firm Transpt</v>
      </c>
      <c r="C52" s="726" t="s">
        <v>4</v>
      </c>
      <c r="D52" s="157"/>
      <c r="E52" s="122">
        <f>ROUND('Rates in Detail'!Y43,5)</f>
        <v>1.191E-2</v>
      </c>
      <c r="F52" s="122"/>
      <c r="G52" s="157"/>
      <c r="H52" s="373">
        <f>ROUND('Rates in Detail'!R43,5)</f>
        <v>0.16156999999999999</v>
      </c>
      <c r="I52" s="774">
        <f t="shared" si="9"/>
        <v>0.17348</v>
      </c>
      <c r="J52" s="157"/>
      <c r="K52" s="155">
        <f>'WA Volumes &amp; Revenues'!O45</f>
        <v>1550</v>
      </c>
      <c r="L52" s="156">
        <f>'WA Volumes &amp; Revenues'!N45</f>
        <v>1550</v>
      </c>
      <c r="M52" s="122">
        <f>'Rates in Detail'!AF43</f>
        <v>0.15748000000000001</v>
      </c>
      <c r="N52" s="122">
        <f>'Rates in Detail'!AG43</f>
        <v>0.15748000000000001</v>
      </c>
      <c r="O52" s="122">
        <f>'Rates in Detail'!AH43</f>
        <v>0</v>
      </c>
      <c r="P52" s="774">
        <f>'Rates in Detail'!AI43</f>
        <v>0</v>
      </c>
      <c r="Q52" s="157"/>
      <c r="R52" s="298">
        <f>'WA Volumes &amp; Revenues'!E45</f>
        <v>480000</v>
      </c>
      <c r="S52" s="311">
        <v>10479</v>
      </c>
      <c r="T52" s="300">
        <f>'WA Volumes &amp; Revenues'!H45</f>
        <v>4</v>
      </c>
      <c r="U52" s="301">
        <f>'WA Volumes &amp; Revenues'!I45</f>
        <v>51470</v>
      </c>
      <c r="V52" s="157"/>
      <c r="W52" s="313">
        <f t="shared" ref="W52:W57" si="78">(H52*R52)</f>
        <v>77553.599999999991</v>
      </c>
      <c r="X52" s="309">
        <f t="shared" ref="X52:X57" si="79">(K52*T52*12)</f>
        <v>74400</v>
      </c>
      <c r="Y52" s="309">
        <f t="shared" ref="Y52:Y57" si="80">(S52*(M52+O52))*12</f>
        <v>19802.795040000001</v>
      </c>
      <c r="Z52" s="314"/>
      <c r="AA52" s="309"/>
      <c r="AB52" s="313">
        <f t="shared" ref="AB52:AB57" si="81">(I52*R52)</f>
        <v>83270.399999999994</v>
      </c>
      <c r="AC52" s="309">
        <f t="shared" ref="AC52:AC57" si="82">(L52*T52*12)</f>
        <v>74400</v>
      </c>
      <c r="AD52" s="314">
        <f t="shared" ref="AD52:AD57" si="83">(S52*(N52+P52))*12</f>
        <v>19802.795040000001</v>
      </c>
      <c r="AE52" s="309"/>
      <c r="AF52" s="313">
        <f t="shared" ref="AF52:AH57" si="84">AB52-W52</f>
        <v>5716.8000000000029</v>
      </c>
      <c r="AG52" s="309">
        <f t="shared" si="84"/>
        <v>0</v>
      </c>
      <c r="AH52" s="314">
        <f t="shared" si="84"/>
        <v>0</v>
      </c>
      <c r="AI52" s="309"/>
      <c r="AJ52" s="338"/>
      <c r="AK52" s="340">
        <f t="shared" si="77"/>
        <v>7.3714179612551875E-2</v>
      </c>
      <c r="AL52" s="309"/>
      <c r="AM52" s="313">
        <f t="shared" ref="AM52:AM57" si="85">(F52*R52)</f>
        <v>0</v>
      </c>
      <c r="AN52" s="309">
        <v>0</v>
      </c>
      <c r="AO52" s="314">
        <f t="shared" ref="AO52:AO57" si="86">(AE52*(Y52+AB52))*12</f>
        <v>0</v>
      </c>
      <c r="AP52" s="309"/>
      <c r="AQ52" s="310"/>
      <c r="AR52" s="310"/>
      <c r="AS52" s="309"/>
    </row>
    <row r="53" spans="1:45" x14ac:dyDescent="0.2">
      <c r="A53" s="86">
        <f t="shared" si="2"/>
        <v>46</v>
      </c>
      <c r="B53" s="725"/>
      <c r="C53" s="726" t="s">
        <v>5</v>
      </c>
      <c r="D53" s="157"/>
      <c r="E53" s="122">
        <f>ROUND('Rates in Detail'!Y44,5)</f>
        <v>1.0659999999999999E-2</v>
      </c>
      <c r="F53" s="122"/>
      <c r="G53" s="157"/>
      <c r="H53" s="373">
        <f>ROUND('Rates in Detail'!R44,5)</f>
        <v>0.14463999999999999</v>
      </c>
      <c r="I53" s="774">
        <f t="shared" si="9"/>
        <v>0.15529999999999999</v>
      </c>
      <c r="J53" s="157"/>
      <c r="K53" s="155"/>
      <c r="L53" s="156"/>
      <c r="M53" s="122"/>
      <c r="N53" s="122"/>
      <c r="O53" s="122"/>
      <c r="P53" s="774"/>
      <c r="Q53" s="157"/>
      <c r="R53" s="298">
        <f>'WA Volumes &amp; Revenues'!E46</f>
        <v>807846</v>
      </c>
      <c r="S53" s="311"/>
      <c r="T53" s="300"/>
      <c r="U53" s="301"/>
      <c r="V53" s="157"/>
      <c r="W53" s="313">
        <f t="shared" si="78"/>
        <v>116846.84543999999</v>
      </c>
      <c r="X53" s="309">
        <f t="shared" si="79"/>
        <v>0</v>
      </c>
      <c r="Y53" s="309">
        <f t="shared" si="80"/>
        <v>0</v>
      </c>
      <c r="Z53" s="314"/>
      <c r="AA53" s="309"/>
      <c r="AB53" s="313">
        <f t="shared" si="81"/>
        <v>125458.4838</v>
      </c>
      <c r="AC53" s="309">
        <f t="shared" si="82"/>
        <v>0</v>
      </c>
      <c r="AD53" s="314">
        <f t="shared" si="83"/>
        <v>0</v>
      </c>
      <c r="AE53" s="309"/>
      <c r="AF53" s="313">
        <f t="shared" si="84"/>
        <v>8611.6383600000117</v>
      </c>
      <c r="AG53" s="309">
        <f t="shared" si="84"/>
        <v>0</v>
      </c>
      <c r="AH53" s="314">
        <f t="shared" si="84"/>
        <v>0</v>
      </c>
      <c r="AI53" s="309"/>
      <c r="AJ53" s="338"/>
      <c r="AK53" s="340">
        <f t="shared" si="77"/>
        <v>7.3700221238938157E-2</v>
      </c>
      <c r="AL53" s="309"/>
      <c r="AM53" s="313">
        <f t="shared" si="85"/>
        <v>0</v>
      </c>
      <c r="AN53" s="309">
        <v>0</v>
      </c>
      <c r="AO53" s="314">
        <f t="shared" si="86"/>
        <v>0</v>
      </c>
      <c r="AP53" s="309"/>
      <c r="AQ53" s="310"/>
      <c r="AR53" s="310"/>
      <c r="AS53" s="309"/>
    </row>
    <row r="54" spans="1:45" x14ac:dyDescent="0.2">
      <c r="A54" s="86">
        <f t="shared" si="2"/>
        <v>47</v>
      </c>
      <c r="B54" s="725"/>
      <c r="C54" s="726" t="s">
        <v>6</v>
      </c>
      <c r="D54" s="157"/>
      <c r="E54" s="122">
        <f>ROUND('Rates in Detail'!Y45,5)</f>
        <v>8.1799999999999998E-3</v>
      </c>
      <c r="F54" s="122"/>
      <c r="G54" s="157"/>
      <c r="H54" s="373">
        <f>ROUND('Rates in Detail'!R45,5)</f>
        <v>0.11090999999999999</v>
      </c>
      <c r="I54" s="774">
        <f t="shared" si="9"/>
        <v>0.11909</v>
      </c>
      <c r="J54" s="157"/>
      <c r="K54" s="155"/>
      <c r="L54" s="156"/>
      <c r="M54" s="122"/>
      <c r="N54" s="122"/>
      <c r="O54" s="122"/>
      <c r="P54" s="774"/>
      <c r="Q54" s="157"/>
      <c r="R54" s="298">
        <f>'WA Volumes &amp; Revenues'!E47</f>
        <v>583779</v>
      </c>
      <c r="S54" s="311"/>
      <c r="T54" s="300"/>
      <c r="U54" s="301"/>
      <c r="V54" s="157"/>
      <c r="W54" s="313">
        <f t="shared" si="78"/>
        <v>64746.928889999996</v>
      </c>
      <c r="X54" s="309">
        <f t="shared" si="79"/>
        <v>0</v>
      </c>
      <c r="Y54" s="309">
        <f t="shared" si="80"/>
        <v>0</v>
      </c>
      <c r="Z54" s="314"/>
      <c r="AA54" s="309"/>
      <c r="AB54" s="313">
        <f t="shared" si="81"/>
        <v>69522.241110000003</v>
      </c>
      <c r="AC54" s="309">
        <f t="shared" si="82"/>
        <v>0</v>
      </c>
      <c r="AD54" s="314">
        <f t="shared" si="83"/>
        <v>0</v>
      </c>
      <c r="AE54" s="309"/>
      <c r="AF54" s="313">
        <f t="shared" si="84"/>
        <v>4775.3122200000071</v>
      </c>
      <c r="AG54" s="309">
        <f t="shared" si="84"/>
        <v>0</v>
      </c>
      <c r="AH54" s="314">
        <f t="shared" si="84"/>
        <v>0</v>
      </c>
      <c r="AI54" s="309"/>
      <c r="AJ54" s="338"/>
      <c r="AK54" s="340">
        <f t="shared" si="77"/>
        <v>7.3753493823821237E-2</v>
      </c>
      <c r="AL54" s="309"/>
      <c r="AM54" s="313">
        <f t="shared" si="85"/>
        <v>0</v>
      </c>
      <c r="AN54" s="309">
        <v>0</v>
      </c>
      <c r="AO54" s="314">
        <f t="shared" si="86"/>
        <v>0</v>
      </c>
      <c r="AP54" s="309"/>
      <c r="AQ54" s="310"/>
      <c r="AR54" s="310"/>
      <c r="AS54" s="309"/>
    </row>
    <row r="55" spans="1:45" x14ac:dyDescent="0.2">
      <c r="A55" s="86">
        <f t="shared" si="2"/>
        <v>48</v>
      </c>
      <c r="B55" s="725"/>
      <c r="C55" s="726" t="s">
        <v>7</v>
      </c>
      <c r="D55" s="157"/>
      <c r="E55" s="122">
        <f>ROUND('Rates in Detail'!Y46,5)</f>
        <v>6.5399999999999998E-3</v>
      </c>
      <c r="F55" s="122"/>
      <c r="G55" s="157"/>
      <c r="H55" s="373">
        <f>ROUND('Rates in Detail'!R46,5)</f>
        <v>8.8739999999999999E-2</v>
      </c>
      <c r="I55" s="774">
        <f t="shared" si="9"/>
        <v>9.5280000000000004E-2</v>
      </c>
      <c r="J55" s="157"/>
      <c r="K55" s="155"/>
      <c r="L55" s="156"/>
      <c r="M55" s="122"/>
      <c r="N55" s="122"/>
      <c r="O55" s="122"/>
      <c r="P55" s="774"/>
      <c r="Q55" s="157"/>
      <c r="R55" s="298">
        <f>'WA Volumes &amp; Revenues'!E48</f>
        <v>598933</v>
      </c>
      <c r="S55" s="311"/>
      <c r="T55" s="300"/>
      <c r="U55" s="301"/>
      <c r="V55" s="157"/>
      <c r="W55" s="313">
        <f t="shared" si="78"/>
        <v>53149.314420000002</v>
      </c>
      <c r="X55" s="309">
        <f t="shared" si="79"/>
        <v>0</v>
      </c>
      <c r="Y55" s="309">
        <f t="shared" si="80"/>
        <v>0</v>
      </c>
      <c r="Z55" s="314"/>
      <c r="AA55" s="309"/>
      <c r="AB55" s="313">
        <f t="shared" si="81"/>
        <v>57066.336240000004</v>
      </c>
      <c r="AC55" s="309">
        <f t="shared" si="82"/>
        <v>0</v>
      </c>
      <c r="AD55" s="314">
        <f t="shared" si="83"/>
        <v>0</v>
      </c>
      <c r="AE55" s="309"/>
      <c r="AF55" s="313">
        <f t="shared" si="84"/>
        <v>3917.0218200000018</v>
      </c>
      <c r="AG55" s="309">
        <f t="shared" si="84"/>
        <v>0</v>
      </c>
      <c r="AH55" s="314">
        <f t="shared" si="84"/>
        <v>0</v>
      </c>
      <c r="AI55" s="309"/>
      <c r="AJ55" s="338"/>
      <c r="AK55" s="340">
        <f t="shared" si="77"/>
        <v>7.3698444895199486E-2</v>
      </c>
      <c r="AL55" s="309"/>
      <c r="AM55" s="313">
        <f t="shared" si="85"/>
        <v>0</v>
      </c>
      <c r="AN55" s="309">
        <v>0</v>
      </c>
      <c r="AO55" s="314">
        <f t="shared" si="86"/>
        <v>0</v>
      </c>
      <c r="AP55" s="309"/>
      <c r="AQ55" s="310"/>
      <c r="AR55" s="310"/>
      <c r="AS55" s="309"/>
    </row>
    <row r="56" spans="1:45" x14ac:dyDescent="0.2">
      <c r="A56" s="86">
        <f t="shared" si="2"/>
        <v>49</v>
      </c>
      <c r="B56" s="725"/>
      <c r="C56" s="726" t="s">
        <v>8</v>
      </c>
      <c r="D56" s="157"/>
      <c r="E56" s="122">
        <f>ROUND('Rates in Detail'!Y47,5)</f>
        <v>4.3600000000000002E-3</v>
      </c>
      <c r="F56" s="122"/>
      <c r="G56" s="157"/>
      <c r="H56" s="373">
        <f>ROUND('Rates in Detail'!R47,5)</f>
        <v>5.9159999999999997E-2</v>
      </c>
      <c r="I56" s="774">
        <f t="shared" si="9"/>
        <v>6.3519999999999993E-2</v>
      </c>
      <c r="J56" s="157"/>
      <c r="K56" s="155"/>
      <c r="L56" s="156"/>
      <c r="M56" s="122"/>
      <c r="N56" s="122"/>
      <c r="O56" s="122"/>
      <c r="P56" s="774"/>
      <c r="Q56" s="157"/>
      <c r="R56" s="298">
        <f>'WA Volumes &amp; Revenues'!E49</f>
        <v>0</v>
      </c>
      <c r="S56" s="311"/>
      <c r="T56" s="300"/>
      <c r="U56" s="301"/>
      <c r="V56" s="157"/>
      <c r="W56" s="313">
        <f t="shared" si="78"/>
        <v>0</v>
      </c>
      <c r="X56" s="309">
        <f t="shared" si="79"/>
        <v>0</v>
      </c>
      <c r="Y56" s="309">
        <f t="shared" si="80"/>
        <v>0</v>
      </c>
      <c r="Z56" s="314"/>
      <c r="AA56" s="309"/>
      <c r="AB56" s="313">
        <f t="shared" si="81"/>
        <v>0</v>
      </c>
      <c r="AC56" s="309">
        <f t="shared" si="82"/>
        <v>0</v>
      </c>
      <c r="AD56" s="314">
        <f t="shared" si="83"/>
        <v>0</v>
      </c>
      <c r="AE56" s="309"/>
      <c r="AF56" s="313">
        <f t="shared" si="84"/>
        <v>0</v>
      </c>
      <c r="AG56" s="309">
        <f t="shared" si="84"/>
        <v>0</v>
      </c>
      <c r="AH56" s="314">
        <f t="shared" si="84"/>
        <v>0</v>
      </c>
      <c r="AI56" s="309"/>
      <c r="AJ56" s="338"/>
      <c r="AK56" s="340" t="e">
        <f t="shared" si="77"/>
        <v>#DIV/0!</v>
      </c>
      <c r="AL56" s="309"/>
      <c r="AM56" s="313">
        <f t="shared" si="85"/>
        <v>0</v>
      </c>
      <c r="AN56" s="309">
        <v>0</v>
      </c>
      <c r="AO56" s="314">
        <f t="shared" si="86"/>
        <v>0</v>
      </c>
      <c r="AP56" s="309"/>
      <c r="AQ56" s="310"/>
      <c r="AR56" s="310"/>
      <c r="AS56" s="309"/>
    </row>
    <row r="57" spans="1:45" x14ac:dyDescent="0.2">
      <c r="A57" s="86">
        <f t="shared" si="2"/>
        <v>50</v>
      </c>
      <c r="B57" s="725"/>
      <c r="C57" s="726" t="s">
        <v>9</v>
      </c>
      <c r="D57" s="157"/>
      <c r="E57" s="122">
        <f>ROUND('Rates in Detail'!Y48,5)</f>
        <v>1.64E-3</v>
      </c>
      <c r="F57" s="122"/>
      <c r="G57" s="157"/>
      <c r="H57" s="373">
        <f>ROUND('Rates in Detail'!R48,5)</f>
        <v>2.2179999999999998E-2</v>
      </c>
      <c r="I57" s="774">
        <f t="shared" si="9"/>
        <v>2.3819999999999997E-2</v>
      </c>
      <c r="J57" s="157"/>
      <c r="K57" s="155"/>
      <c r="L57" s="156"/>
      <c r="M57" s="122"/>
      <c r="N57" s="122"/>
      <c r="O57" s="122"/>
      <c r="P57" s="774"/>
      <c r="Q57" s="157"/>
      <c r="R57" s="298">
        <f>'WA Volumes &amp; Revenues'!E50</f>
        <v>0</v>
      </c>
      <c r="S57" s="311"/>
      <c r="T57" s="300"/>
      <c r="U57" s="301"/>
      <c r="V57" s="157"/>
      <c r="W57" s="313">
        <f t="shared" si="78"/>
        <v>0</v>
      </c>
      <c r="X57" s="309">
        <f t="shared" si="79"/>
        <v>0</v>
      </c>
      <c r="Y57" s="309">
        <f t="shared" si="80"/>
        <v>0</v>
      </c>
      <c r="Z57" s="314"/>
      <c r="AA57" s="309"/>
      <c r="AB57" s="313">
        <f t="shared" si="81"/>
        <v>0</v>
      </c>
      <c r="AC57" s="309">
        <f t="shared" si="82"/>
        <v>0</v>
      </c>
      <c r="AD57" s="314">
        <f t="shared" si="83"/>
        <v>0</v>
      </c>
      <c r="AE57" s="309"/>
      <c r="AF57" s="313">
        <f t="shared" si="84"/>
        <v>0</v>
      </c>
      <c r="AG57" s="309">
        <f t="shared" si="84"/>
        <v>0</v>
      </c>
      <c r="AH57" s="314">
        <f t="shared" si="84"/>
        <v>0</v>
      </c>
      <c r="AI57" s="309"/>
      <c r="AJ57" s="338"/>
      <c r="AK57" s="340" t="e">
        <f>AK56</f>
        <v>#DIV/0!</v>
      </c>
      <c r="AL57" s="309"/>
      <c r="AM57" s="313">
        <f t="shared" si="85"/>
        <v>0</v>
      </c>
      <c r="AN57" s="309">
        <v>0</v>
      </c>
      <c r="AO57" s="314">
        <f t="shared" si="86"/>
        <v>0</v>
      </c>
      <c r="AP57" s="309"/>
      <c r="AQ57" s="318"/>
      <c r="AR57" s="310"/>
      <c r="AS57" s="309"/>
    </row>
    <row r="58" spans="1:45" x14ac:dyDescent="0.2">
      <c r="A58" s="86">
        <f t="shared" si="2"/>
        <v>51</v>
      </c>
      <c r="B58" s="723"/>
      <c r="C58" s="742" t="s">
        <v>78</v>
      </c>
      <c r="D58" s="153"/>
      <c r="E58" s="123"/>
      <c r="F58" s="123"/>
      <c r="G58" s="153"/>
      <c r="H58" s="368"/>
      <c r="I58" s="773"/>
      <c r="J58" s="157"/>
      <c r="K58" s="155"/>
      <c r="L58" s="156"/>
      <c r="M58" s="122"/>
      <c r="N58" s="122"/>
      <c r="O58" s="122"/>
      <c r="P58" s="774"/>
      <c r="Q58" s="157"/>
      <c r="R58" s="298"/>
      <c r="S58" s="311"/>
      <c r="T58" s="300"/>
      <c r="U58" s="301"/>
      <c r="V58" s="157"/>
      <c r="W58" s="315">
        <f>SUM(W52:W57)</f>
        <v>312296.68874999997</v>
      </c>
      <c r="X58" s="316">
        <f>SUM(X52:X57)</f>
        <v>74400</v>
      </c>
      <c r="Y58" s="316">
        <f>SUM(Y52:Y57)</f>
        <v>19802.795040000001</v>
      </c>
      <c r="Z58" s="317">
        <f>'Rate Spread Proposal'!S$74-SUM(W58:Y58)</f>
        <v>8.7099751703790389</v>
      </c>
      <c r="AA58" s="309"/>
      <c r="AB58" s="315">
        <f>SUM(AB52:AB57)</f>
        <v>335317.46114999999</v>
      </c>
      <c r="AC58" s="316">
        <f>SUM(AC52:AC57)</f>
        <v>74400</v>
      </c>
      <c r="AD58" s="317">
        <f>SUM(AD52:AD57)</f>
        <v>19802.795040000001</v>
      </c>
      <c r="AE58" s="309"/>
      <c r="AF58" s="315">
        <f>SUM(AF52:AF57)</f>
        <v>23020.772400000023</v>
      </c>
      <c r="AG58" s="316">
        <f>SUM(AG52:AG57)</f>
        <v>0</v>
      </c>
      <c r="AH58" s="317">
        <f>SUM(AH52:AH57)</f>
        <v>0</v>
      </c>
      <c r="AI58" s="309"/>
      <c r="AJ58" s="338">
        <f>SUM(AF58:AH58)/SUM(W58:Y58)</f>
        <v>5.6631738336702757E-2</v>
      </c>
      <c r="AK58" s="339">
        <f t="shared" ref="AK58:AK70" si="87">SUM(AF58)/SUM(W58)</f>
        <v>7.3714429993295999E-2</v>
      </c>
      <c r="AL58" s="309"/>
      <c r="AM58" s="315">
        <f>SUM(AM52:AM57)</f>
        <v>0</v>
      </c>
      <c r="AN58" s="316">
        <f>SUM(AN52:AN57)</f>
        <v>0</v>
      </c>
      <c r="AO58" s="317">
        <f>SUM(AO52:AO57)</f>
        <v>0</v>
      </c>
      <c r="AP58" s="309"/>
      <c r="AQ58" s="310"/>
      <c r="AR58" s="310"/>
      <c r="AS58" s="309"/>
    </row>
    <row r="59" spans="1:45" x14ac:dyDescent="0.2">
      <c r="A59" s="86">
        <f t="shared" si="2"/>
        <v>52</v>
      </c>
      <c r="B59" s="725" t="str">
        <f>'WA Volumes &amp; Revenues'!B51</f>
        <v>42I Firm Transpt</v>
      </c>
      <c r="C59" s="726" t="s">
        <v>4</v>
      </c>
      <c r="D59" s="157"/>
      <c r="E59" s="122">
        <f>ROUND('Rates in Detail'!Y49,5)</f>
        <v>1.2070000000000001E-2</v>
      </c>
      <c r="F59" s="122"/>
      <c r="G59" s="157"/>
      <c r="H59" s="373">
        <f>ROUND('Rates in Detail'!R49,5)</f>
        <v>0.16338</v>
      </c>
      <c r="I59" s="774">
        <f t="shared" si="9"/>
        <v>0.17544999999999999</v>
      </c>
      <c r="J59" s="157"/>
      <c r="K59" s="155">
        <f>'WA Volumes &amp; Revenues'!O51</f>
        <v>1550</v>
      </c>
      <c r="L59" s="156">
        <f>'WA Volumes &amp; Revenues'!N51</f>
        <v>1550</v>
      </c>
      <c r="M59" s="122">
        <f>'Rates in Detail'!AF49</f>
        <v>0.15748000000000001</v>
      </c>
      <c r="N59" s="122">
        <f>'Rates in Detail'!AG49</f>
        <v>0.15748000000000001</v>
      </c>
      <c r="O59" s="122">
        <f>'Rates in Detail'!AH49</f>
        <v>0</v>
      </c>
      <c r="P59" s="774">
        <f>'Rates in Detail'!AI49</f>
        <v>0</v>
      </c>
      <c r="Q59" s="157"/>
      <c r="R59" s="298">
        <f>'WA Volumes &amp; Revenues'!E51</f>
        <v>924395</v>
      </c>
      <c r="S59" s="311">
        <v>26810</v>
      </c>
      <c r="T59" s="300">
        <f>'WA Volumes &amp; Revenues'!H51</f>
        <v>8.9166666666666661</v>
      </c>
      <c r="U59" s="301">
        <f>'WA Volumes &amp; Revenues'!I51</f>
        <v>63374</v>
      </c>
      <c r="V59" s="157"/>
      <c r="W59" s="313">
        <f t="shared" ref="W59:W64" si="88">(H59*R59)</f>
        <v>151027.6551</v>
      </c>
      <c r="X59" s="309">
        <f t="shared" ref="X59:X64" si="89">(K59*T59*12)</f>
        <v>165850</v>
      </c>
      <c r="Y59" s="309">
        <f t="shared" ref="Y59:Y64" si="90">(S59*(M59+O59))*12</f>
        <v>50664.465600000003</v>
      </c>
      <c r="Z59" s="314"/>
      <c r="AA59" s="309"/>
      <c r="AB59" s="313">
        <f t="shared" ref="AB59:AB64" si="91">(I59*R59)</f>
        <v>162185.10274999999</v>
      </c>
      <c r="AC59" s="309">
        <f t="shared" ref="AC59:AC64" si="92">(L59*T59*12)</f>
        <v>165850</v>
      </c>
      <c r="AD59" s="314">
        <f t="shared" ref="AD59:AD64" si="93">(S59*(N59+P59))*12</f>
        <v>50664.465600000003</v>
      </c>
      <c r="AE59" s="309"/>
      <c r="AF59" s="313">
        <f t="shared" ref="AF59:AH64" si="94">AB59-W59</f>
        <v>11157.447649999987</v>
      </c>
      <c r="AG59" s="309">
        <f t="shared" si="94"/>
        <v>0</v>
      </c>
      <c r="AH59" s="314">
        <f t="shared" si="94"/>
        <v>0</v>
      </c>
      <c r="AI59" s="309"/>
      <c r="AJ59" s="338"/>
      <c r="AK59" s="340">
        <f t="shared" si="87"/>
        <v>7.3876851511812863E-2</v>
      </c>
      <c r="AL59" s="309"/>
      <c r="AM59" s="313">
        <f t="shared" ref="AM59:AM64" si="95">(F59*R59)</f>
        <v>0</v>
      </c>
      <c r="AN59" s="309">
        <v>0</v>
      </c>
      <c r="AO59" s="314">
        <f t="shared" ref="AO59:AO64" si="96">(AE59*(Y59+AB59))*12</f>
        <v>0</v>
      </c>
      <c r="AP59" s="309"/>
      <c r="AQ59" s="310"/>
      <c r="AR59" s="310"/>
      <c r="AS59" s="309"/>
    </row>
    <row r="60" spans="1:45" x14ac:dyDescent="0.2">
      <c r="A60" s="86">
        <f t="shared" si="2"/>
        <v>53</v>
      </c>
      <c r="B60" s="725"/>
      <c r="C60" s="726" t="s">
        <v>5</v>
      </c>
      <c r="D60" s="157"/>
      <c r="E60" s="122">
        <f>ROUND('Rates in Detail'!Y50,5)</f>
        <v>1.0800000000000001E-2</v>
      </c>
      <c r="F60" s="122"/>
      <c r="G60" s="157"/>
      <c r="H60" s="373">
        <f>ROUND('Rates in Detail'!R50,5)</f>
        <v>0.14624000000000001</v>
      </c>
      <c r="I60" s="774">
        <f t="shared" si="9"/>
        <v>0.15704000000000001</v>
      </c>
      <c r="J60" s="157"/>
      <c r="K60" s="155"/>
      <c r="L60" s="156"/>
      <c r="M60" s="122"/>
      <c r="N60" s="122"/>
      <c r="O60" s="122"/>
      <c r="P60" s="774"/>
      <c r="Q60" s="157"/>
      <c r="R60" s="298">
        <f>'WA Volumes &amp; Revenues'!E52</f>
        <v>1036796</v>
      </c>
      <c r="S60" s="311"/>
      <c r="T60" s="300"/>
      <c r="U60" s="301"/>
      <c r="V60" s="157"/>
      <c r="W60" s="313">
        <f t="shared" si="88"/>
        <v>151621.04704</v>
      </c>
      <c r="X60" s="309">
        <f t="shared" si="89"/>
        <v>0</v>
      </c>
      <c r="Y60" s="309">
        <f t="shared" si="90"/>
        <v>0</v>
      </c>
      <c r="Z60" s="314"/>
      <c r="AA60" s="309"/>
      <c r="AB60" s="313">
        <f t="shared" si="91"/>
        <v>162818.44384000002</v>
      </c>
      <c r="AC60" s="309">
        <f t="shared" si="92"/>
        <v>0</v>
      </c>
      <c r="AD60" s="314">
        <f t="shared" si="93"/>
        <v>0</v>
      </c>
      <c r="AE60" s="309"/>
      <c r="AF60" s="313">
        <f t="shared" si="94"/>
        <v>11197.396800000017</v>
      </c>
      <c r="AG60" s="309">
        <f t="shared" si="94"/>
        <v>0</v>
      </c>
      <c r="AH60" s="314">
        <f t="shared" si="94"/>
        <v>0</v>
      </c>
      <c r="AI60" s="309"/>
      <c r="AJ60" s="338"/>
      <c r="AK60" s="340">
        <f t="shared" si="87"/>
        <v>7.3851203501094198E-2</v>
      </c>
      <c r="AL60" s="309"/>
      <c r="AM60" s="313">
        <f t="shared" si="95"/>
        <v>0</v>
      </c>
      <c r="AN60" s="309">
        <v>0</v>
      </c>
      <c r="AO60" s="314">
        <f t="shared" si="96"/>
        <v>0</v>
      </c>
      <c r="AP60" s="309"/>
      <c r="AQ60" s="310"/>
      <c r="AR60" s="310"/>
      <c r="AS60" s="309"/>
    </row>
    <row r="61" spans="1:45" x14ac:dyDescent="0.2">
      <c r="A61" s="86">
        <f t="shared" si="2"/>
        <v>54</v>
      </c>
      <c r="B61" s="725"/>
      <c r="C61" s="726" t="s">
        <v>6</v>
      </c>
      <c r="D61" s="157"/>
      <c r="E61" s="122">
        <f>ROUND('Rates in Detail'!Y51,5)</f>
        <v>8.2799999999999992E-3</v>
      </c>
      <c r="F61" s="122"/>
      <c r="G61" s="157"/>
      <c r="H61" s="373">
        <f>ROUND('Rates in Detail'!R51,5)</f>
        <v>0.11214</v>
      </c>
      <c r="I61" s="774">
        <f t="shared" si="9"/>
        <v>0.12042</v>
      </c>
      <c r="J61" s="157"/>
      <c r="K61" s="155"/>
      <c r="L61" s="156"/>
      <c r="M61" s="122"/>
      <c r="N61" s="122"/>
      <c r="O61" s="122"/>
      <c r="P61" s="774"/>
      <c r="Q61" s="157"/>
      <c r="R61" s="298">
        <f>'WA Volumes &amp; Revenues'!E53</f>
        <v>937215</v>
      </c>
      <c r="S61" s="311"/>
      <c r="T61" s="300"/>
      <c r="U61" s="301"/>
      <c r="V61" s="157"/>
      <c r="W61" s="313">
        <f t="shared" si="88"/>
        <v>105099.2901</v>
      </c>
      <c r="X61" s="309">
        <f t="shared" si="89"/>
        <v>0</v>
      </c>
      <c r="Y61" s="309">
        <f t="shared" si="90"/>
        <v>0</v>
      </c>
      <c r="Z61" s="314"/>
      <c r="AA61" s="309"/>
      <c r="AB61" s="313">
        <f t="shared" si="91"/>
        <v>112859.43029999999</v>
      </c>
      <c r="AC61" s="309">
        <f t="shared" si="92"/>
        <v>0</v>
      </c>
      <c r="AD61" s="314">
        <f t="shared" si="93"/>
        <v>0</v>
      </c>
      <c r="AE61" s="309"/>
      <c r="AF61" s="313">
        <f t="shared" si="94"/>
        <v>7760.1401999999944</v>
      </c>
      <c r="AG61" s="309">
        <f t="shared" si="94"/>
        <v>0</v>
      </c>
      <c r="AH61" s="314">
        <f t="shared" si="94"/>
        <v>0</v>
      </c>
      <c r="AI61" s="309"/>
      <c r="AJ61" s="338"/>
      <c r="AK61" s="340">
        <f t="shared" si="87"/>
        <v>7.3836276083467045E-2</v>
      </c>
      <c r="AL61" s="309"/>
      <c r="AM61" s="313">
        <f t="shared" si="95"/>
        <v>0</v>
      </c>
      <c r="AN61" s="309">
        <v>0</v>
      </c>
      <c r="AO61" s="314">
        <f t="shared" si="96"/>
        <v>0</v>
      </c>
      <c r="AP61" s="309"/>
      <c r="AQ61" s="310"/>
      <c r="AR61" s="310"/>
      <c r="AS61" s="309"/>
    </row>
    <row r="62" spans="1:45" x14ac:dyDescent="0.2">
      <c r="A62" s="86">
        <f t="shared" si="2"/>
        <v>55</v>
      </c>
      <c r="B62" s="725"/>
      <c r="C62" s="726" t="s">
        <v>7</v>
      </c>
      <c r="D62" s="157"/>
      <c r="E62" s="122">
        <f>ROUND('Rates in Detail'!Y52,5)</f>
        <v>6.6299999999999996E-3</v>
      </c>
      <c r="F62" s="122"/>
      <c r="G62" s="157"/>
      <c r="H62" s="373">
        <f>ROUND('Rates in Detail'!R52,5)</f>
        <v>8.9730000000000004E-2</v>
      </c>
      <c r="I62" s="774">
        <f t="shared" si="9"/>
        <v>9.6360000000000001E-2</v>
      </c>
      <c r="J62" s="157"/>
      <c r="K62" s="155"/>
      <c r="L62" s="156"/>
      <c r="M62" s="122"/>
      <c r="N62" s="122"/>
      <c r="O62" s="122"/>
      <c r="P62" s="774"/>
      <c r="Q62" s="157"/>
      <c r="R62" s="298">
        <f>'WA Volumes &amp; Revenues'!E54</f>
        <v>2390318</v>
      </c>
      <c r="S62" s="311"/>
      <c r="T62" s="300"/>
      <c r="U62" s="301"/>
      <c r="V62" s="157"/>
      <c r="W62" s="313">
        <f t="shared" si="88"/>
        <v>214483.23414000002</v>
      </c>
      <c r="X62" s="309">
        <f t="shared" si="89"/>
        <v>0</v>
      </c>
      <c r="Y62" s="309">
        <f t="shared" si="90"/>
        <v>0</v>
      </c>
      <c r="Z62" s="314"/>
      <c r="AA62" s="309"/>
      <c r="AB62" s="313">
        <f t="shared" si="91"/>
        <v>230331.04248</v>
      </c>
      <c r="AC62" s="309">
        <f t="shared" si="92"/>
        <v>0</v>
      </c>
      <c r="AD62" s="314">
        <f t="shared" si="93"/>
        <v>0</v>
      </c>
      <c r="AE62" s="309"/>
      <c r="AF62" s="313">
        <f t="shared" si="94"/>
        <v>15847.808339999989</v>
      </c>
      <c r="AG62" s="309">
        <f t="shared" si="94"/>
        <v>0</v>
      </c>
      <c r="AH62" s="314">
        <f t="shared" si="94"/>
        <v>0</v>
      </c>
      <c r="AI62" s="309"/>
      <c r="AJ62" s="338"/>
      <c r="AK62" s="340">
        <f t="shared" si="87"/>
        <v>7.3888331661651568E-2</v>
      </c>
      <c r="AL62" s="309"/>
      <c r="AM62" s="313">
        <f t="shared" si="95"/>
        <v>0</v>
      </c>
      <c r="AN62" s="309">
        <v>0</v>
      </c>
      <c r="AO62" s="314">
        <f t="shared" si="96"/>
        <v>0</v>
      </c>
      <c r="AP62" s="309"/>
      <c r="AQ62" s="310"/>
      <c r="AR62" s="310"/>
      <c r="AS62" s="309"/>
    </row>
    <row r="63" spans="1:45" x14ac:dyDescent="0.2">
      <c r="A63" s="86">
        <f t="shared" si="2"/>
        <v>56</v>
      </c>
      <c r="B63" s="725"/>
      <c r="C63" s="726" t="s">
        <v>8</v>
      </c>
      <c r="D63" s="157"/>
      <c r="E63" s="122">
        <f>ROUND('Rates in Detail'!Y53,5)</f>
        <v>4.4200000000000003E-3</v>
      </c>
      <c r="F63" s="122"/>
      <c r="G63" s="157"/>
      <c r="H63" s="373">
        <f>ROUND('Rates in Detail'!R53,5)</f>
        <v>5.9810000000000002E-2</v>
      </c>
      <c r="I63" s="774">
        <f t="shared" si="9"/>
        <v>6.4230000000000009E-2</v>
      </c>
      <c r="J63" s="157"/>
      <c r="K63" s="155"/>
      <c r="L63" s="156"/>
      <c r="M63" s="122"/>
      <c r="N63" s="122"/>
      <c r="O63" s="122"/>
      <c r="P63" s="774"/>
      <c r="Q63" s="157"/>
      <c r="R63" s="298">
        <f>'WA Volumes &amp; Revenues'!E55</f>
        <v>1492257</v>
      </c>
      <c r="S63" s="311"/>
      <c r="T63" s="300"/>
      <c r="U63" s="301"/>
      <c r="V63" s="157"/>
      <c r="W63" s="313">
        <f t="shared" si="88"/>
        <v>89251.891170000003</v>
      </c>
      <c r="X63" s="309">
        <f t="shared" si="89"/>
        <v>0</v>
      </c>
      <c r="Y63" s="309">
        <f t="shared" si="90"/>
        <v>0</v>
      </c>
      <c r="Z63" s="314"/>
      <c r="AA63" s="309"/>
      <c r="AB63" s="313">
        <f t="shared" si="91"/>
        <v>95847.667110000009</v>
      </c>
      <c r="AC63" s="309">
        <f t="shared" si="92"/>
        <v>0</v>
      </c>
      <c r="AD63" s="314">
        <f t="shared" si="93"/>
        <v>0</v>
      </c>
      <c r="AE63" s="309"/>
      <c r="AF63" s="313">
        <f t="shared" si="94"/>
        <v>6595.7759400000068</v>
      </c>
      <c r="AG63" s="309">
        <f t="shared" si="94"/>
        <v>0</v>
      </c>
      <c r="AH63" s="314">
        <f t="shared" si="94"/>
        <v>0</v>
      </c>
      <c r="AI63" s="309"/>
      <c r="AJ63" s="338"/>
      <c r="AK63" s="340">
        <f t="shared" si="87"/>
        <v>7.3900685504096383E-2</v>
      </c>
      <c r="AL63" s="309"/>
      <c r="AM63" s="313">
        <f t="shared" si="95"/>
        <v>0</v>
      </c>
      <c r="AN63" s="309">
        <v>0</v>
      </c>
      <c r="AO63" s="314">
        <f t="shared" si="96"/>
        <v>0</v>
      </c>
      <c r="AP63" s="309"/>
      <c r="AQ63" s="310"/>
      <c r="AR63" s="310"/>
      <c r="AS63" s="309"/>
    </row>
    <row r="64" spans="1:45" x14ac:dyDescent="0.2">
      <c r="A64" s="86">
        <f t="shared" si="2"/>
        <v>57</v>
      </c>
      <c r="B64" s="725"/>
      <c r="C64" s="726" t="s">
        <v>9</v>
      </c>
      <c r="D64" s="157"/>
      <c r="E64" s="122">
        <f>ROUND('Rates in Detail'!Y54,5)</f>
        <v>1.66E-3</v>
      </c>
      <c r="F64" s="122"/>
      <c r="G64" s="157"/>
      <c r="H64" s="373">
        <f>ROUND('Rates in Detail'!R54,5)</f>
        <v>2.2429999999999999E-2</v>
      </c>
      <c r="I64" s="774">
        <f t="shared" si="9"/>
        <v>2.409E-2</v>
      </c>
      <c r="J64" s="157"/>
      <c r="K64" s="155"/>
      <c r="L64" s="156"/>
      <c r="M64" s="122"/>
      <c r="N64" s="122"/>
      <c r="O64" s="122"/>
      <c r="P64" s="774"/>
      <c r="Q64" s="157"/>
      <c r="R64" s="298">
        <f>'WA Volumes &amp; Revenues'!E56</f>
        <v>0</v>
      </c>
      <c r="S64" s="311"/>
      <c r="T64" s="300"/>
      <c r="U64" s="301"/>
      <c r="V64" s="157"/>
      <c r="W64" s="313">
        <f t="shared" si="88"/>
        <v>0</v>
      </c>
      <c r="X64" s="309">
        <f t="shared" si="89"/>
        <v>0</v>
      </c>
      <c r="Y64" s="309">
        <f t="shared" si="90"/>
        <v>0</v>
      </c>
      <c r="Z64" s="314"/>
      <c r="AA64" s="309"/>
      <c r="AB64" s="313">
        <f t="shared" si="91"/>
        <v>0</v>
      </c>
      <c r="AC64" s="309">
        <f t="shared" si="92"/>
        <v>0</v>
      </c>
      <c r="AD64" s="314">
        <f t="shared" si="93"/>
        <v>0</v>
      </c>
      <c r="AE64" s="309"/>
      <c r="AF64" s="313">
        <f t="shared" si="94"/>
        <v>0</v>
      </c>
      <c r="AG64" s="309">
        <f t="shared" si="94"/>
        <v>0</v>
      </c>
      <c r="AH64" s="314">
        <f t="shared" si="94"/>
        <v>0</v>
      </c>
      <c r="AI64" s="309"/>
      <c r="AJ64" s="338"/>
      <c r="AK64" s="340" t="e">
        <f t="shared" si="87"/>
        <v>#DIV/0!</v>
      </c>
      <c r="AL64" s="309"/>
      <c r="AM64" s="313">
        <f t="shared" si="95"/>
        <v>0</v>
      </c>
      <c r="AN64" s="309">
        <v>0</v>
      </c>
      <c r="AO64" s="314">
        <f t="shared" si="96"/>
        <v>0</v>
      </c>
      <c r="AP64" s="309"/>
      <c r="AQ64" s="310"/>
      <c r="AR64" s="310"/>
      <c r="AS64" s="309"/>
    </row>
    <row r="65" spans="1:45" x14ac:dyDescent="0.2">
      <c r="A65" s="86">
        <f t="shared" si="2"/>
        <v>58</v>
      </c>
      <c r="B65" s="723"/>
      <c r="C65" s="742" t="s">
        <v>78</v>
      </c>
      <c r="D65" s="153"/>
      <c r="E65" s="123"/>
      <c r="F65" s="123"/>
      <c r="G65" s="153"/>
      <c r="H65" s="368"/>
      <c r="I65" s="773"/>
      <c r="J65" s="157"/>
      <c r="K65" s="155"/>
      <c r="L65" s="156"/>
      <c r="M65" s="122"/>
      <c r="N65" s="122"/>
      <c r="O65" s="122"/>
      <c r="P65" s="774"/>
      <c r="Q65" s="157"/>
      <c r="R65" s="298"/>
      <c r="S65" s="311"/>
      <c r="T65" s="300"/>
      <c r="U65" s="301"/>
      <c r="V65" s="157"/>
      <c r="W65" s="315">
        <f>SUM(W59:W64)</f>
        <v>711483.11754999997</v>
      </c>
      <c r="X65" s="316">
        <f>SUM(X59:X64)</f>
        <v>165850</v>
      </c>
      <c r="Y65" s="316">
        <f>SUM(Y59:Y64)</f>
        <v>50664.465600000003</v>
      </c>
      <c r="Z65" s="317">
        <f>'Rate Spread Proposal'!T$74-SUM(W65:Y65)</f>
        <v>-2.0424760130699724</v>
      </c>
      <c r="AA65" s="309"/>
      <c r="AB65" s="315">
        <f>SUM(AB59:AB64)</f>
        <v>764041.68648000015</v>
      </c>
      <c r="AC65" s="316">
        <f>SUM(AC59:AC64)</f>
        <v>165850</v>
      </c>
      <c r="AD65" s="317">
        <f>SUM(AD59:AD64)</f>
        <v>50664.465600000003</v>
      </c>
      <c r="AE65" s="309"/>
      <c r="AF65" s="315">
        <f>SUM(AF59:AF64)</f>
        <v>52558.568929999994</v>
      </c>
      <c r="AG65" s="316">
        <f>SUM(AG59:AG64)</f>
        <v>0</v>
      </c>
      <c r="AH65" s="317">
        <f>SUM(AH59:AH64)</f>
        <v>0</v>
      </c>
      <c r="AI65" s="309"/>
      <c r="AJ65" s="338">
        <f>SUM(AF65:AH65)/SUM(W65:Y65)</f>
        <v>5.6636536435358924E-2</v>
      </c>
      <c r="AK65" s="339">
        <f t="shared" si="87"/>
        <v>7.3871842681223432E-2</v>
      </c>
      <c r="AL65" s="309"/>
      <c r="AM65" s="315">
        <f>SUM(AM59:AM64)</f>
        <v>0</v>
      </c>
      <c r="AN65" s="316">
        <f>SUM(AN59:AN64)</f>
        <v>0</v>
      </c>
      <c r="AO65" s="317">
        <f>SUM(AO59:AO64)</f>
        <v>0</v>
      </c>
      <c r="AP65" s="309"/>
      <c r="AQ65" s="310"/>
      <c r="AR65" s="310"/>
      <c r="AS65" s="309"/>
    </row>
    <row r="66" spans="1:45" x14ac:dyDescent="0.2">
      <c r="A66" s="86">
        <f t="shared" si="2"/>
        <v>59</v>
      </c>
      <c r="B66" s="725" t="str">
        <f>'WA Volumes &amp; Revenues'!B57</f>
        <v>42C Interr Sales</v>
      </c>
      <c r="C66" s="726" t="s">
        <v>4</v>
      </c>
      <c r="D66" s="157"/>
      <c r="E66" s="122">
        <f>ROUND('Rates in Detail'!Y55,5)</f>
        <v>1.252E-2</v>
      </c>
      <c r="F66" s="122"/>
      <c r="G66" s="157"/>
      <c r="H66" s="373">
        <f>ROUND('Rates in Detail'!R55,5)</f>
        <v>0.16167999999999999</v>
      </c>
      <c r="I66" s="774">
        <f t="shared" si="9"/>
        <v>0.17419999999999999</v>
      </c>
      <c r="J66" s="157"/>
      <c r="K66" s="155">
        <f>'WA Volumes &amp; Revenues'!O57</f>
        <v>1300</v>
      </c>
      <c r="L66" s="156">
        <f>'WA Volumes &amp; Revenues'!N57</f>
        <v>1300</v>
      </c>
      <c r="M66" s="122">
        <f>'Rates in Detail'!AF55</f>
        <v>0</v>
      </c>
      <c r="N66" s="122">
        <f>'Rates in Detail'!AG55</f>
        <v>0</v>
      </c>
      <c r="O66" s="122">
        <f>'Rates in Detail'!AH55</f>
        <v>0</v>
      </c>
      <c r="P66" s="774">
        <f>'Rates in Detail'!AI55</f>
        <v>0</v>
      </c>
      <c r="Q66" s="157"/>
      <c r="R66" s="298">
        <f>'WA Volumes &amp; Revenues'!E57</f>
        <v>240000</v>
      </c>
      <c r="S66" s="311">
        <v>4620</v>
      </c>
      <c r="T66" s="300">
        <f>'WA Volumes &amp; Revenues'!H57</f>
        <v>2</v>
      </c>
      <c r="U66" s="301">
        <f>'WA Volumes &amp; Revenues'!I57</f>
        <v>39322</v>
      </c>
      <c r="V66" s="157"/>
      <c r="W66" s="313">
        <f t="shared" ref="W66:W71" si="97">(H66*R66)</f>
        <v>38803.199999999997</v>
      </c>
      <c r="X66" s="309">
        <f t="shared" ref="X66:X71" si="98">(K66*T66*12)</f>
        <v>31200</v>
      </c>
      <c r="Y66" s="309">
        <f t="shared" ref="Y66:Y71" si="99">(S66*(M66+O66))*12</f>
        <v>0</v>
      </c>
      <c r="Z66" s="314"/>
      <c r="AA66" s="309"/>
      <c r="AB66" s="313">
        <f t="shared" ref="AB66:AB71" si="100">(I66*R66)</f>
        <v>41808</v>
      </c>
      <c r="AC66" s="309">
        <f t="shared" ref="AC66:AC71" si="101">(L66*T66*12)</f>
        <v>31200</v>
      </c>
      <c r="AD66" s="314">
        <f t="shared" ref="AD66:AD71" si="102">(S66*(N66+P66))*12</f>
        <v>0</v>
      </c>
      <c r="AE66" s="309"/>
      <c r="AF66" s="313">
        <f t="shared" ref="AF66:AH71" si="103">AB66-W66</f>
        <v>3004.8000000000029</v>
      </c>
      <c r="AG66" s="309">
        <f t="shared" si="103"/>
        <v>0</v>
      </c>
      <c r="AH66" s="314">
        <f t="shared" si="103"/>
        <v>0</v>
      </c>
      <c r="AI66" s="309"/>
      <c r="AJ66" s="338"/>
      <c r="AK66" s="340">
        <f t="shared" si="87"/>
        <v>7.7436912419594342E-2</v>
      </c>
      <c r="AL66" s="309"/>
      <c r="AM66" s="313">
        <f t="shared" ref="AM66:AM71" si="104">(F66*R66)</f>
        <v>0</v>
      </c>
      <c r="AN66" s="309">
        <v>0</v>
      </c>
      <c r="AO66" s="314">
        <f t="shared" ref="AO66:AO71" si="105">(AE66*(Y66+AB66))*12</f>
        <v>0</v>
      </c>
      <c r="AP66" s="309"/>
      <c r="AQ66" s="310"/>
      <c r="AR66" s="310"/>
      <c r="AS66" s="309"/>
    </row>
    <row r="67" spans="1:45" x14ac:dyDescent="0.2">
      <c r="A67" s="86">
        <f t="shared" si="2"/>
        <v>60</v>
      </c>
      <c r="B67" s="725"/>
      <c r="C67" s="726" t="s">
        <v>5</v>
      </c>
      <c r="D67" s="157"/>
      <c r="E67" s="122">
        <f>ROUND('Rates in Detail'!Y56,5)</f>
        <v>1.1209999999999999E-2</v>
      </c>
      <c r="F67" s="122"/>
      <c r="G67" s="157"/>
      <c r="H67" s="373">
        <f>ROUND('Rates in Detail'!R56,5)</f>
        <v>0.14473</v>
      </c>
      <c r="I67" s="774">
        <f t="shared" si="9"/>
        <v>0.15594</v>
      </c>
      <c r="J67" s="157"/>
      <c r="K67" s="743"/>
      <c r="L67" s="372"/>
      <c r="M67" s="122"/>
      <c r="N67" s="122"/>
      <c r="O67" s="122"/>
      <c r="P67" s="774"/>
      <c r="Q67" s="157"/>
      <c r="R67" s="298">
        <f>'WA Volumes &amp; Revenues'!E58</f>
        <v>467511</v>
      </c>
      <c r="S67" s="311"/>
      <c r="T67" s="300"/>
      <c r="U67" s="301"/>
      <c r="V67" s="157"/>
      <c r="W67" s="313">
        <f t="shared" si="97"/>
        <v>67662.867029999994</v>
      </c>
      <c r="X67" s="309">
        <f t="shared" si="98"/>
        <v>0</v>
      </c>
      <c r="Y67" s="309">
        <f t="shared" si="99"/>
        <v>0</v>
      </c>
      <c r="Z67" s="314"/>
      <c r="AA67" s="309"/>
      <c r="AB67" s="313">
        <f t="shared" si="100"/>
        <v>72903.665339999992</v>
      </c>
      <c r="AC67" s="309">
        <f t="shared" si="101"/>
        <v>0</v>
      </c>
      <c r="AD67" s="314">
        <f t="shared" si="102"/>
        <v>0</v>
      </c>
      <c r="AE67" s="309"/>
      <c r="AF67" s="313">
        <f t="shared" si="103"/>
        <v>5240.7983099999983</v>
      </c>
      <c r="AG67" s="309">
        <f t="shared" si="103"/>
        <v>0</v>
      </c>
      <c r="AH67" s="314">
        <f t="shared" si="103"/>
        <v>0</v>
      </c>
      <c r="AI67" s="309"/>
      <c r="AJ67" s="338"/>
      <c r="AK67" s="340">
        <f t="shared" si="87"/>
        <v>7.7454570579700108E-2</v>
      </c>
      <c r="AL67" s="309"/>
      <c r="AM67" s="313">
        <f t="shared" si="104"/>
        <v>0</v>
      </c>
      <c r="AN67" s="309">
        <v>0</v>
      </c>
      <c r="AO67" s="314">
        <f t="shared" si="105"/>
        <v>0</v>
      </c>
      <c r="AP67" s="309"/>
      <c r="AQ67" s="310"/>
      <c r="AR67" s="310"/>
      <c r="AS67" s="309"/>
    </row>
    <row r="68" spans="1:45" x14ac:dyDescent="0.2">
      <c r="A68" s="86">
        <f t="shared" si="2"/>
        <v>61</v>
      </c>
      <c r="B68" s="725"/>
      <c r="C68" s="726" t="s">
        <v>6</v>
      </c>
      <c r="D68" s="157"/>
      <c r="E68" s="122">
        <f>ROUND('Rates in Detail'!Y57,5)</f>
        <v>8.5900000000000004E-3</v>
      </c>
      <c r="F68" s="122"/>
      <c r="G68" s="157"/>
      <c r="H68" s="373">
        <f>ROUND('Rates in Detail'!R57,5)</f>
        <v>0.11098</v>
      </c>
      <c r="I68" s="774">
        <f t="shared" si="9"/>
        <v>0.11957</v>
      </c>
      <c r="J68" s="157"/>
      <c r="K68" s="155"/>
      <c r="L68" s="156"/>
      <c r="M68" s="122"/>
      <c r="N68" s="122"/>
      <c r="O68" s="122"/>
      <c r="P68" s="774"/>
      <c r="Q68" s="157"/>
      <c r="R68" s="298">
        <f>'WA Volumes &amp; Revenues'!E59</f>
        <v>218004</v>
      </c>
      <c r="S68" s="311"/>
      <c r="T68" s="300"/>
      <c r="U68" s="301"/>
      <c r="V68" s="157"/>
      <c r="W68" s="313">
        <f t="shared" si="97"/>
        <v>24194.083919999997</v>
      </c>
      <c r="X68" s="309">
        <f t="shared" si="98"/>
        <v>0</v>
      </c>
      <c r="Y68" s="309">
        <f t="shared" si="99"/>
        <v>0</v>
      </c>
      <c r="Z68" s="314"/>
      <c r="AA68" s="309"/>
      <c r="AB68" s="313">
        <f t="shared" si="100"/>
        <v>26066.738279999998</v>
      </c>
      <c r="AC68" s="309">
        <f t="shared" si="101"/>
        <v>0</v>
      </c>
      <c r="AD68" s="314">
        <f t="shared" si="102"/>
        <v>0</v>
      </c>
      <c r="AE68" s="309"/>
      <c r="AF68" s="313">
        <f t="shared" si="103"/>
        <v>1872.6543600000005</v>
      </c>
      <c r="AG68" s="309">
        <f t="shared" si="103"/>
        <v>0</v>
      </c>
      <c r="AH68" s="314">
        <f t="shared" si="103"/>
        <v>0</v>
      </c>
      <c r="AI68" s="309"/>
      <c r="AJ68" s="338"/>
      <c r="AK68" s="340">
        <f t="shared" si="87"/>
        <v>7.7401333573616893E-2</v>
      </c>
      <c r="AL68" s="309"/>
      <c r="AM68" s="313">
        <f t="shared" si="104"/>
        <v>0</v>
      </c>
      <c r="AN68" s="309">
        <v>0</v>
      </c>
      <c r="AO68" s="314">
        <f t="shared" si="105"/>
        <v>0</v>
      </c>
      <c r="AP68" s="309"/>
      <c r="AQ68" s="310"/>
      <c r="AR68" s="310"/>
      <c r="AS68" s="309"/>
    </row>
    <row r="69" spans="1:45" x14ac:dyDescent="0.2">
      <c r="A69" s="86">
        <f t="shared" si="2"/>
        <v>62</v>
      </c>
      <c r="B69" s="725"/>
      <c r="C69" s="726" t="s">
        <v>7</v>
      </c>
      <c r="D69" s="157"/>
      <c r="E69" s="122">
        <f>ROUND('Rates in Detail'!Y58,5)</f>
        <v>6.8799999999999998E-3</v>
      </c>
      <c r="F69" s="122"/>
      <c r="G69" s="157"/>
      <c r="H69" s="373">
        <f>ROUND('Rates in Detail'!R58,5)</f>
        <v>8.8779999999999998E-2</v>
      </c>
      <c r="I69" s="774">
        <f t="shared" si="9"/>
        <v>9.5659999999999995E-2</v>
      </c>
      <c r="J69" s="157"/>
      <c r="K69" s="155"/>
      <c r="L69" s="156"/>
      <c r="M69" s="122"/>
      <c r="N69" s="122"/>
      <c r="O69" s="122"/>
      <c r="P69" s="774"/>
      <c r="Q69" s="157"/>
      <c r="R69" s="298">
        <f>'WA Volumes &amp; Revenues'!E60</f>
        <v>18208</v>
      </c>
      <c r="S69" s="311"/>
      <c r="T69" s="300"/>
      <c r="U69" s="301"/>
      <c r="V69" s="157"/>
      <c r="W69" s="313">
        <f t="shared" si="97"/>
        <v>1616.5062399999999</v>
      </c>
      <c r="X69" s="309">
        <f t="shared" si="98"/>
        <v>0</v>
      </c>
      <c r="Y69" s="309">
        <f t="shared" si="99"/>
        <v>0</v>
      </c>
      <c r="Z69" s="314"/>
      <c r="AA69" s="309"/>
      <c r="AB69" s="313">
        <f t="shared" si="100"/>
        <v>1741.77728</v>
      </c>
      <c r="AC69" s="309">
        <f t="shared" si="101"/>
        <v>0</v>
      </c>
      <c r="AD69" s="314">
        <f t="shared" si="102"/>
        <v>0</v>
      </c>
      <c r="AE69" s="309"/>
      <c r="AF69" s="313">
        <f t="shared" si="103"/>
        <v>125.27104000000008</v>
      </c>
      <c r="AG69" s="309">
        <f t="shared" si="103"/>
        <v>0</v>
      </c>
      <c r="AH69" s="314">
        <f t="shared" si="103"/>
        <v>0</v>
      </c>
      <c r="AI69" s="309"/>
      <c r="AJ69" s="338"/>
      <c r="AK69" s="340">
        <f t="shared" si="87"/>
        <v>7.749493129083132E-2</v>
      </c>
      <c r="AL69" s="309"/>
      <c r="AM69" s="313">
        <f t="shared" si="104"/>
        <v>0</v>
      </c>
      <c r="AN69" s="309">
        <v>0</v>
      </c>
      <c r="AO69" s="314">
        <f t="shared" si="105"/>
        <v>0</v>
      </c>
      <c r="AP69" s="309"/>
      <c r="AQ69" s="310"/>
      <c r="AR69" s="310"/>
      <c r="AS69" s="309"/>
    </row>
    <row r="70" spans="1:45" x14ac:dyDescent="0.2">
      <c r="A70" s="86">
        <f t="shared" si="2"/>
        <v>63</v>
      </c>
      <c r="B70" s="725"/>
      <c r="C70" s="726" t="s">
        <v>8</v>
      </c>
      <c r="D70" s="157"/>
      <c r="E70" s="122">
        <f>ROUND('Rates in Detail'!Y59,5)</f>
        <v>4.5799999999999999E-3</v>
      </c>
      <c r="F70" s="122"/>
      <c r="G70" s="157"/>
      <c r="H70" s="373">
        <f>ROUND('Rates in Detail'!R59,5)</f>
        <v>5.9200000000000003E-2</v>
      </c>
      <c r="I70" s="774">
        <f t="shared" si="9"/>
        <v>6.3780000000000003E-2</v>
      </c>
      <c r="J70" s="157"/>
      <c r="K70" s="155"/>
      <c r="L70" s="156"/>
      <c r="M70" s="122"/>
      <c r="N70" s="122"/>
      <c r="O70" s="122"/>
      <c r="P70" s="774"/>
      <c r="Q70" s="157"/>
      <c r="R70" s="298">
        <f>'WA Volumes &amp; Revenues'!E61</f>
        <v>0</v>
      </c>
      <c r="S70" s="311"/>
      <c r="T70" s="300"/>
      <c r="U70" s="301"/>
      <c r="V70" s="157"/>
      <c r="W70" s="313">
        <f t="shared" si="97"/>
        <v>0</v>
      </c>
      <c r="X70" s="309">
        <f t="shared" si="98"/>
        <v>0</v>
      </c>
      <c r="Y70" s="309">
        <f t="shared" si="99"/>
        <v>0</v>
      </c>
      <c r="Z70" s="314"/>
      <c r="AA70" s="309"/>
      <c r="AB70" s="313">
        <f t="shared" si="100"/>
        <v>0</v>
      </c>
      <c r="AC70" s="309">
        <f t="shared" si="101"/>
        <v>0</v>
      </c>
      <c r="AD70" s="314">
        <f t="shared" si="102"/>
        <v>0</v>
      </c>
      <c r="AE70" s="309"/>
      <c r="AF70" s="313">
        <f t="shared" si="103"/>
        <v>0</v>
      </c>
      <c r="AG70" s="309">
        <f t="shared" si="103"/>
        <v>0</v>
      </c>
      <c r="AH70" s="314">
        <f t="shared" si="103"/>
        <v>0</v>
      </c>
      <c r="AI70" s="309"/>
      <c r="AJ70" s="338"/>
      <c r="AK70" s="340" t="e">
        <f t="shared" si="87"/>
        <v>#DIV/0!</v>
      </c>
      <c r="AL70" s="309"/>
      <c r="AM70" s="313">
        <f t="shared" si="104"/>
        <v>0</v>
      </c>
      <c r="AN70" s="309">
        <v>0</v>
      </c>
      <c r="AO70" s="314">
        <f t="shared" si="105"/>
        <v>0</v>
      </c>
      <c r="AP70" s="309"/>
      <c r="AQ70" s="310"/>
      <c r="AR70" s="310"/>
      <c r="AS70" s="309"/>
    </row>
    <row r="71" spans="1:45" x14ac:dyDescent="0.2">
      <c r="A71" s="86">
        <f t="shared" si="2"/>
        <v>64</v>
      </c>
      <c r="B71" s="725"/>
      <c r="C71" s="726" t="s">
        <v>9</v>
      </c>
      <c r="D71" s="157"/>
      <c r="E71" s="122">
        <f>ROUND('Rates in Detail'!Y60,5)</f>
        <v>1.72E-3</v>
      </c>
      <c r="F71" s="122"/>
      <c r="G71" s="157"/>
      <c r="H71" s="373">
        <f>ROUND('Rates in Detail'!R60,5)</f>
        <v>2.2210000000000001E-2</v>
      </c>
      <c r="I71" s="774">
        <f t="shared" si="9"/>
        <v>2.393E-2</v>
      </c>
      <c r="J71" s="157"/>
      <c r="K71" s="155"/>
      <c r="L71" s="156"/>
      <c r="M71" s="122"/>
      <c r="N71" s="122"/>
      <c r="O71" s="122"/>
      <c r="P71" s="774"/>
      <c r="Q71" s="157"/>
      <c r="R71" s="298">
        <f>'WA Volumes &amp; Revenues'!E62</f>
        <v>0</v>
      </c>
      <c r="S71" s="311"/>
      <c r="T71" s="300"/>
      <c r="U71" s="301"/>
      <c r="V71" s="157"/>
      <c r="W71" s="313">
        <f t="shared" si="97"/>
        <v>0</v>
      </c>
      <c r="X71" s="309">
        <f t="shared" si="98"/>
        <v>0</v>
      </c>
      <c r="Y71" s="309">
        <f t="shared" si="99"/>
        <v>0</v>
      </c>
      <c r="Z71" s="314"/>
      <c r="AA71" s="309"/>
      <c r="AB71" s="313">
        <f t="shared" si="100"/>
        <v>0</v>
      </c>
      <c r="AC71" s="309">
        <f t="shared" si="101"/>
        <v>0</v>
      </c>
      <c r="AD71" s="314">
        <f t="shared" si="102"/>
        <v>0</v>
      </c>
      <c r="AE71" s="309"/>
      <c r="AF71" s="313">
        <f t="shared" si="103"/>
        <v>0</v>
      </c>
      <c r="AG71" s="309">
        <f t="shared" si="103"/>
        <v>0</v>
      </c>
      <c r="AH71" s="314">
        <f t="shared" si="103"/>
        <v>0</v>
      </c>
      <c r="AI71" s="309"/>
      <c r="AJ71" s="338"/>
      <c r="AK71" s="340" t="e">
        <f>AK70</f>
        <v>#DIV/0!</v>
      </c>
      <c r="AL71" s="309"/>
      <c r="AM71" s="313">
        <f t="shared" si="104"/>
        <v>0</v>
      </c>
      <c r="AN71" s="309">
        <v>0</v>
      </c>
      <c r="AO71" s="314">
        <f t="shared" si="105"/>
        <v>0</v>
      </c>
      <c r="AP71" s="309"/>
      <c r="AQ71" s="310"/>
      <c r="AR71" s="310"/>
      <c r="AS71" s="309"/>
    </row>
    <row r="72" spans="1:45" x14ac:dyDescent="0.2">
      <c r="A72" s="86">
        <f t="shared" si="2"/>
        <v>65</v>
      </c>
      <c r="B72" s="723"/>
      <c r="C72" s="742" t="s">
        <v>78</v>
      </c>
      <c r="D72" s="153"/>
      <c r="E72" s="123"/>
      <c r="F72" s="123"/>
      <c r="G72" s="153"/>
      <c r="H72" s="368"/>
      <c r="I72" s="773"/>
      <c r="J72" s="157"/>
      <c r="K72" s="155"/>
      <c r="L72" s="156"/>
      <c r="M72" s="122"/>
      <c r="N72" s="122"/>
      <c r="O72" s="122"/>
      <c r="P72" s="774"/>
      <c r="Q72" s="157"/>
      <c r="R72" s="298"/>
      <c r="S72" s="311"/>
      <c r="T72" s="300"/>
      <c r="U72" s="301"/>
      <c r="V72" s="157"/>
      <c r="W72" s="315">
        <f>SUM(W66:W71)</f>
        <v>132276.65718999997</v>
      </c>
      <c r="X72" s="316">
        <f>SUM(X66:X71)</f>
        <v>31200</v>
      </c>
      <c r="Y72" s="316">
        <f>SUM(Y66:Y71)</f>
        <v>0</v>
      </c>
      <c r="Z72" s="317">
        <f>'Rate Spread Proposal'!U$74-SUM(W72:Y72)</f>
        <v>17378.286917371413</v>
      </c>
      <c r="AA72" s="309"/>
      <c r="AB72" s="315">
        <f>SUM(AB66:AB71)</f>
        <v>142520.18090000001</v>
      </c>
      <c r="AC72" s="316">
        <f>SUM(AC66:AC71)</f>
        <v>31200</v>
      </c>
      <c r="AD72" s="317">
        <f>SUM(AD66:AD71)</f>
        <v>0</v>
      </c>
      <c r="AE72" s="309"/>
      <c r="AF72" s="315">
        <f>SUM(AF66:AF71)</f>
        <v>10243.523710000001</v>
      </c>
      <c r="AG72" s="316">
        <f>SUM(AG66:AG71)</f>
        <v>0</v>
      </c>
      <c r="AH72" s="317">
        <f>SUM(AH66:AH71)</f>
        <v>0</v>
      </c>
      <c r="AI72" s="309"/>
      <c r="AJ72" s="338">
        <f>SUM(AF72:AH72)/SUM(W72:Y72)</f>
        <v>6.266046716440081E-2</v>
      </c>
      <c r="AK72" s="339">
        <f t="shared" ref="AK72:AK77" si="106">SUM(AF72)/SUM(W72)</f>
        <v>7.7440146489991618E-2</v>
      </c>
      <c r="AL72" s="309"/>
      <c r="AM72" s="315">
        <f>SUM(AM66:AM71)</f>
        <v>0</v>
      </c>
      <c r="AN72" s="316">
        <f>SUM(AN66:AN71)</f>
        <v>0</v>
      </c>
      <c r="AO72" s="317">
        <f>SUM(AO66:AO71)</f>
        <v>0</v>
      </c>
      <c r="AP72" s="309"/>
      <c r="AQ72" s="319"/>
      <c r="AR72" s="310"/>
      <c r="AS72" s="309"/>
    </row>
    <row r="73" spans="1:45" x14ac:dyDescent="0.2">
      <c r="A73" s="86">
        <f t="shared" si="2"/>
        <v>66</v>
      </c>
      <c r="B73" s="725" t="str">
        <f>'WA Volumes &amp; Revenues'!B63</f>
        <v>42I Interr Sales</v>
      </c>
      <c r="C73" s="726" t="s">
        <v>4</v>
      </c>
      <c r="D73" s="157"/>
      <c r="E73" s="122">
        <f>ROUND('Rates in Detail'!Y61,5)</f>
        <v>1.728E-2</v>
      </c>
      <c r="F73" s="122"/>
      <c r="G73" s="157"/>
      <c r="H73" s="373">
        <f>ROUND('Rates in Detail'!R61,5)</f>
        <v>0.18013999999999999</v>
      </c>
      <c r="I73" s="774">
        <f t="shared" si="9"/>
        <v>0.19741999999999998</v>
      </c>
      <c r="J73" s="157"/>
      <c r="K73" s="155">
        <f>'WA Volumes &amp; Revenues'!O63</f>
        <v>1300</v>
      </c>
      <c r="L73" s="156">
        <f>'WA Volumes &amp; Revenues'!N63</f>
        <v>1300</v>
      </c>
      <c r="M73" s="122">
        <f>'Rates in Detail'!AF61</f>
        <v>0</v>
      </c>
      <c r="N73" s="122">
        <f>'Rates in Detail'!AG61</f>
        <v>0</v>
      </c>
      <c r="O73" s="122">
        <f>'Rates in Detail'!AH61</f>
        <v>0</v>
      </c>
      <c r="P73" s="774">
        <f>'Rates in Detail'!AI61</f>
        <v>0</v>
      </c>
      <c r="Q73" s="157"/>
      <c r="R73" s="298">
        <f>'WA Volumes &amp; Revenues'!E63</f>
        <v>156740</v>
      </c>
      <c r="S73" s="311">
        <v>2934</v>
      </c>
      <c r="T73" s="300">
        <f>'WA Volumes &amp; Revenues'!H63</f>
        <v>1.9166666666666701</v>
      </c>
      <c r="U73" s="301">
        <f>'WA Volumes &amp; Revenues'!I63</f>
        <v>13758</v>
      </c>
      <c r="V73" s="157"/>
      <c r="W73" s="313">
        <f t="shared" ref="W73:W78" si="107">(H73*R73)</f>
        <v>28235.143599999999</v>
      </c>
      <c r="X73" s="309">
        <f t="shared" ref="X73:X78" si="108">(K73*T73*12)</f>
        <v>29900.000000000051</v>
      </c>
      <c r="Y73" s="309">
        <f t="shared" ref="Y73:Y78" si="109">(S73*(M73+O73))*12</f>
        <v>0</v>
      </c>
      <c r="Z73" s="314"/>
      <c r="AA73" s="309"/>
      <c r="AB73" s="313">
        <f t="shared" ref="AB73:AB78" si="110">(I73*R73)</f>
        <v>30943.610799999999</v>
      </c>
      <c r="AC73" s="309">
        <f t="shared" ref="AC73:AC78" si="111">(L73*T73*12)</f>
        <v>29900.000000000051</v>
      </c>
      <c r="AD73" s="314">
        <f t="shared" ref="AD73:AD78" si="112">(S73*(N73+P73))*12</f>
        <v>0</v>
      </c>
      <c r="AE73" s="309"/>
      <c r="AF73" s="313">
        <f t="shared" ref="AF73:AH78" si="113">AB73-W73</f>
        <v>2708.4671999999991</v>
      </c>
      <c r="AG73" s="309">
        <f t="shared" si="113"/>
        <v>0</v>
      </c>
      <c r="AH73" s="314">
        <f t="shared" si="113"/>
        <v>0</v>
      </c>
      <c r="AI73" s="309"/>
      <c r="AJ73" s="338"/>
      <c r="AK73" s="340">
        <f t="shared" si="106"/>
        <v>9.5925391362273765E-2</v>
      </c>
      <c r="AL73" s="309"/>
      <c r="AM73" s="313">
        <f t="shared" ref="AM73:AM78" si="114">(F73*R73)</f>
        <v>0</v>
      </c>
      <c r="AN73" s="309">
        <v>0</v>
      </c>
      <c r="AO73" s="314">
        <f t="shared" ref="AO73:AO78" si="115">(AE73*(Y73+AB73))*12</f>
        <v>0</v>
      </c>
      <c r="AP73" s="309"/>
      <c r="AQ73" s="310"/>
      <c r="AR73" s="310"/>
      <c r="AS73" s="309"/>
    </row>
    <row r="74" spans="1:45" x14ac:dyDescent="0.2">
      <c r="A74" s="86">
        <f t="shared" ref="A74:A102" si="116">+A73+1</f>
        <v>67</v>
      </c>
      <c r="B74" s="725"/>
      <c r="C74" s="726" t="s">
        <v>5</v>
      </c>
      <c r="D74" s="157"/>
      <c r="E74" s="122">
        <f>ROUND('Rates in Detail'!Y62,5)</f>
        <v>1.546E-2</v>
      </c>
      <c r="F74" s="122"/>
      <c r="G74" s="157"/>
      <c r="H74" s="373">
        <f>ROUND('Rates in Detail'!R62,5)</f>
        <v>0.16125999999999999</v>
      </c>
      <c r="I74" s="774">
        <f t="shared" si="9"/>
        <v>0.17671999999999999</v>
      </c>
      <c r="J74" s="157"/>
      <c r="K74" s="155"/>
      <c r="L74" s="156"/>
      <c r="M74" s="122"/>
      <c r="N74" s="122"/>
      <c r="O74" s="122"/>
      <c r="P74" s="774"/>
      <c r="Q74" s="157"/>
      <c r="R74" s="298">
        <f>'WA Volumes &amp; Revenues'!E64</f>
        <v>159690</v>
      </c>
      <c r="S74" s="311"/>
      <c r="T74" s="300"/>
      <c r="U74" s="301"/>
      <c r="V74" s="157"/>
      <c r="W74" s="313">
        <f t="shared" si="107"/>
        <v>25751.609399999998</v>
      </c>
      <c r="X74" s="309">
        <f t="shared" si="108"/>
        <v>0</v>
      </c>
      <c r="Y74" s="309">
        <f t="shared" si="109"/>
        <v>0</v>
      </c>
      <c r="Z74" s="314"/>
      <c r="AA74" s="309"/>
      <c r="AB74" s="313">
        <f t="shared" si="110"/>
        <v>28220.416799999999</v>
      </c>
      <c r="AC74" s="309">
        <f t="shared" si="111"/>
        <v>0</v>
      </c>
      <c r="AD74" s="314">
        <f t="shared" si="112"/>
        <v>0</v>
      </c>
      <c r="AE74" s="309"/>
      <c r="AF74" s="313">
        <f t="shared" si="113"/>
        <v>2468.8074000000015</v>
      </c>
      <c r="AG74" s="309">
        <f t="shared" si="113"/>
        <v>0</v>
      </c>
      <c r="AH74" s="314">
        <f t="shared" si="113"/>
        <v>0</v>
      </c>
      <c r="AI74" s="309"/>
      <c r="AJ74" s="338"/>
      <c r="AK74" s="340">
        <f t="shared" si="106"/>
        <v>9.5870023564430182E-2</v>
      </c>
      <c r="AL74" s="309"/>
      <c r="AM74" s="313">
        <f t="shared" si="114"/>
        <v>0</v>
      </c>
      <c r="AN74" s="309">
        <v>0</v>
      </c>
      <c r="AO74" s="314">
        <f t="shared" si="115"/>
        <v>0</v>
      </c>
      <c r="AP74" s="309"/>
      <c r="AQ74" s="310"/>
      <c r="AR74" s="310"/>
      <c r="AS74" s="309"/>
    </row>
    <row r="75" spans="1:45" x14ac:dyDescent="0.2">
      <c r="A75" s="86">
        <f t="shared" si="116"/>
        <v>68</v>
      </c>
      <c r="B75" s="725"/>
      <c r="C75" s="726" t="s">
        <v>6</v>
      </c>
      <c r="D75" s="157"/>
      <c r="E75" s="122">
        <f>ROUND('Rates in Detail'!Y63,5)</f>
        <v>1.1860000000000001E-2</v>
      </c>
      <c r="F75" s="122"/>
      <c r="G75" s="157"/>
      <c r="H75" s="373">
        <f>ROUND('Rates in Detail'!R63,5)</f>
        <v>0.12366000000000001</v>
      </c>
      <c r="I75" s="774">
        <f t="shared" si="9"/>
        <v>0.13552</v>
      </c>
      <c r="J75" s="157"/>
      <c r="K75" s="155"/>
      <c r="L75" s="156"/>
      <c r="M75" s="122"/>
      <c r="N75" s="122"/>
      <c r="O75" s="122"/>
      <c r="P75" s="774"/>
      <c r="Q75" s="157"/>
      <c r="R75" s="298">
        <f>'WA Volumes &amp; Revenues'!E65</f>
        <v>0</v>
      </c>
      <c r="S75" s="311"/>
      <c r="T75" s="300"/>
      <c r="U75" s="301"/>
      <c r="V75" s="157"/>
      <c r="W75" s="313">
        <f t="shared" si="107"/>
        <v>0</v>
      </c>
      <c r="X75" s="309">
        <f t="shared" si="108"/>
        <v>0</v>
      </c>
      <c r="Y75" s="309">
        <f t="shared" si="109"/>
        <v>0</v>
      </c>
      <c r="Z75" s="314"/>
      <c r="AA75" s="309"/>
      <c r="AB75" s="313">
        <f t="shared" si="110"/>
        <v>0</v>
      </c>
      <c r="AC75" s="309">
        <f t="shared" si="111"/>
        <v>0</v>
      </c>
      <c r="AD75" s="314">
        <f t="shared" si="112"/>
        <v>0</v>
      </c>
      <c r="AE75" s="309"/>
      <c r="AF75" s="313">
        <f t="shared" si="113"/>
        <v>0</v>
      </c>
      <c r="AG75" s="309">
        <f t="shared" si="113"/>
        <v>0</v>
      </c>
      <c r="AH75" s="314">
        <f t="shared" si="113"/>
        <v>0</v>
      </c>
      <c r="AI75" s="309"/>
      <c r="AJ75" s="338"/>
      <c r="AK75" s="340" t="e">
        <f t="shared" si="106"/>
        <v>#DIV/0!</v>
      </c>
      <c r="AL75" s="309"/>
      <c r="AM75" s="313">
        <f t="shared" si="114"/>
        <v>0</v>
      </c>
      <c r="AN75" s="309">
        <v>0</v>
      </c>
      <c r="AO75" s="314">
        <f t="shared" si="115"/>
        <v>0</v>
      </c>
      <c r="AP75" s="309"/>
      <c r="AQ75" s="310"/>
      <c r="AR75" s="310"/>
      <c r="AS75" s="309"/>
    </row>
    <row r="76" spans="1:45" x14ac:dyDescent="0.2">
      <c r="A76" s="86">
        <f t="shared" si="116"/>
        <v>69</v>
      </c>
      <c r="B76" s="725"/>
      <c r="C76" s="726" t="s">
        <v>7</v>
      </c>
      <c r="D76" s="157"/>
      <c r="E76" s="122">
        <f>ROUND('Rates in Detail'!Y64,5)</f>
        <v>9.4900000000000002E-3</v>
      </c>
      <c r="F76" s="122"/>
      <c r="G76" s="157"/>
      <c r="H76" s="373">
        <f>ROUND('Rates in Detail'!R64,5)</f>
        <v>9.8930000000000004E-2</v>
      </c>
      <c r="I76" s="774">
        <f t="shared" si="9"/>
        <v>0.10842</v>
      </c>
      <c r="J76" s="157"/>
      <c r="K76" s="155"/>
      <c r="L76" s="156"/>
      <c r="M76" s="122"/>
      <c r="N76" s="122"/>
      <c r="O76" s="122"/>
      <c r="P76" s="774"/>
      <c r="Q76" s="157"/>
      <c r="R76" s="298">
        <f>'WA Volumes &amp; Revenues'!E66</f>
        <v>0</v>
      </c>
      <c r="S76" s="311"/>
      <c r="T76" s="300"/>
      <c r="U76" s="301"/>
      <c r="V76" s="157"/>
      <c r="W76" s="313">
        <f t="shared" si="107"/>
        <v>0</v>
      </c>
      <c r="X76" s="309">
        <f t="shared" si="108"/>
        <v>0</v>
      </c>
      <c r="Y76" s="309">
        <f t="shared" si="109"/>
        <v>0</v>
      </c>
      <c r="Z76" s="314"/>
      <c r="AA76" s="309"/>
      <c r="AB76" s="313">
        <f t="shared" si="110"/>
        <v>0</v>
      </c>
      <c r="AC76" s="309">
        <f t="shared" si="111"/>
        <v>0</v>
      </c>
      <c r="AD76" s="314">
        <f t="shared" si="112"/>
        <v>0</v>
      </c>
      <c r="AE76" s="309"/>
      <c r="AF76" s="313">
        <f t="shared" si="113"/>
        <v>0</v>
      </c>
      <c r="AG76" s="309">
        <f t="shared" si="113"/>
        <v>0</v>
      </c>
      <c r="AH76" s="314">
        <f t="shared" si="113"/>
        <v>0</v>
      </c>
      <c r="AI76" s="309"/>
      <c r="AJ76" s="338"/>
      <c r="AK76" s="340" t="e">
        <f t="shared" si="106"/>
        <v>#DIV/0!</v>
      </c>
      <c r="AL76" s="309"/>
      <c r="AM76" s="313">
        <f t="shared" si="114"/>
        <v>0</v>
      </c>
      <c r="AN76" s="309">
        <v>0</v>
      </c>
      <c r="AO76" s="314">
        <f t="shared" si="115"/>
        <v>0</v>
      </c>
      <c r="AP76" s="309"/>
      <c r="AQ76" s="310"/>
      <c r="AR76" s="310"/>
      <c r="AS76" s="309"/>
    </row>
    <row r="77" spans="1:45" x14ac:dyDescent="0.2">
      <c r="A77" s="86">
        <f t="shared" si="116"/>
        <v>70</v>
      </c>
      <c r="B77" s="725"/>
      <c r="C77" s="726" t="s">
        <v>8</v>
      </c>
      <c r="D77" s="157"/>
      <c r="E77" s="122">
        <f>ROUND('Rates in Detail'!Y65,5)</f>
        <v>6.3200000000000001E-3</v>
      </c>
      <c r="F77" s="122"/>
      <c r="G77" s="157"/>
      <c r="H77" s="373">
        <f>ROUND('Rates in Detail'!R65,5)</f>
        <v>6.5949999999999995E-2</v>
      </c>
      <c r="I77" s="774">
        <f t="shared" si="9"/>
        <v>7.2270000000000001E-2</v>
      </c>
      <c r="J77" s="157"/>
      <c r="K77" s="155"/>
      <c r="L77" s="156"/>
      <c r="M77" s="122"/>
      <c r="N77" s="122"/>
      <c r="O77" s="122"/>
      <c r="P77" s="774"/>
      <c r="Q77" s="157"/>
      <c r="R77" s="298">
        <f>'WA Volumes &amp; Revenues'!E67</f>
        <v>0</v>
      </c>
      <c r="S77" s="311"/>
      <c r="T77" s="300"/>
      <c r="U77" s="301"/>
      <c r="V77" s="157"/>
      <c r="W77" s="313">
        <f t="shared" si="107"/>
        <v>0</v>
      </c>
      <c r="X77" s="309">
        <f t="shared" si="108"/>
        <v>0</v>
      </c>
      <c r="Y77" s="309">
        <f t="shared" si="109"/>
        <v>0</v>
      </c>
      <c r="Z77" s="314"/>
      <c r="AA77" s="309"/>
      <c r="AB77" s="313">
        <f t="shared" si="110"/>
        <v>0</v>
      </c>
      <c r="AC77" s="309">
        <f t="shared" si="111"/>
        <v>0</v>
      </c>
      <c r="AD77" s="314">
        <f t="shared" si="112"/>
        <v>0</v>
      </c>
      <c r="AE77" s="309"/>
      <c r="AF77" s="313">
        <f t="shared" si="113"/>
        <v>0</v>
      </c>
      <c r="AG77" s="309">
        <f t="shared" si="113"/>
        <v>0</v>
      </c>
      <c r="AH77" s="314">
        <f t="shared" si="113"/>
        <v>0</v>
      </c>
      <c r="AI77" s="309"/>
      <c r="AJ77" s="338"/>
      <c r="AK77" s="340" t="e">
        <f t="shared" si="106"/>
        <v>#DIV/0!</v>
      </c>
      <c r="AL77" s="309"/>
      <c r="AM77" s="313">
        <f t="shared" si="114"/>
        <v>0</v>
      </c>
      <c r="AN77" s="309">
        <v>0</v>
      </c>
      <c r="AO77" s="314">
        <f t="shared" si="115"/>
        <v>0</v>
      </c>
      <c r="AP77" s="309"/>
      <c r="AQ77" s="310"/>
      <c r="AR77" s="310"/>
      <c r="AS77" s="309"/>
    </row>
    <row r="78" spans="1:45" x14ac:dyDescent="0.2">
      <c r="A78" s="86">
        <f t="shared" si="116"/>
        <v>71</v>
      </c>
      <c r="B78" s="725"/>
      <c r="C78" s="726" t="s">
        <v>9</v>
      </c>
      <c r="D78" s="157"/>
      <c r="E78" s="122">
        <f>ROUND('Rates in Detail'!Y66,5)</f>
        <v>2.3700000000000001E-3</v>
      </c>
      <c r="F78" s="122"/>
      <c r="G78" s="157"/>
      <c r="H78" s="373">
        <f>ROUND('Rates in Detail'!R66,5)</f>
        <v>2.4729999999999999E-2</v>
      </c>
      <c r="I78" s="774">
        <f t="shared" si="9"/>
        <v>2.7099999999999999E-2</v>
      </c>
      <c r="J78" s="157"/>
      <c r="K78" s="743"/>
      <c r="L78" s="372"/>
      <c r="M78" s="122"/>
      <c r="N78" s="122"/>
      <c r="O78" s="122"/>
      <c r="P78" s="774"/>
      <c r="Q78" s="157"/>
      <c r="R78" s="298">
        <f>'WA Volumes &amp; Revenues'!E68</f>
        <v>0</v>
      </c>
      <c r="S78" s="311"/>
      <c r="T78" s="300"/>
      <c r="U78" s="301"/>
      <c r="V78" s="157"/>
      <c r="W78" s="313">
        <f t="shared" si="107"/>
        <v>0</v>
      </c>
      <c r="X78" s="309">
        <f t="shared" si="108"/>
        <v>0</v>
      </c>
      <c r="Y78" s="309">
        <f t="shared" si="109"/>
        <v>0</v>
      </c>
      <c r="Z78" s="314"/>
      <c r="AA78" s="309"/>
      <c r="AB78" s="313">
        <f t="shared" si="110"/>
        <v>0</v>
      </c>
      <c r="AC78" s="309">
        <f t="shared" si="111"/>
        <v>0</v>
      </c>
      <c r="AD78" s="314">
        <f t="shared" si="112"/>
        <v>0</v>
      </c>
      <c r="AE78" s="309"/>
      <c r="AF78" s="313">
        <f t="shared" si="113"/>
        <v>0</v>
      </c>
      <c r="AG78" s="309">
        <f t="shared" si="113"/>
        <v>0</v>
      </c>
      <c r="AH78" s="314">
        <f t="shared" si="113"/>
        <v>0</v>
      </c>
      <c r="AI78" s="309"/>
      <c r="AJ78" s="338"/>
      <c r="AK78" s="340" t="e">
        <f>AK77</f>
        <v>#DIV/0!</v>
      </c>
      <c r="AL78" s="309"/>
      <c r="AM78" s="313">
        <f t="shared" si="114"/>
        <v>0</v>
      </c>
      <c r="AN78" s="309">
        <v>0</v>
      </c>
      <c r="AO78" s="314">
        <f t="shared" si="115"/>
        <v>0</v>
      </c>
      <c r="AP78" s="309"/>
      <c r="AQ78" s="310"/>
      <c r="AR78" s="310"/>
      <c r="AS78" s="309"/>
    </row>
    <row r="79" spans="1:45" x14ac:dyDescent="0.2">
      <c r="A79" s="86">
        <f t="shared" si="116"/>
        <v>72</v>
      </c>
      <c r="B79" s="723"/>
      <c r="C79" s="742" t="s">
        <v>78</v>
      </c>
      <c r="D79" s="153"/>
      <c r="E79" s="123"/>
      <c r="F79" s="123"/>
      <c r="G79" s="153"/>
      <c r="H79" s="368"/>
      <c r="I79" s="773"/>
      <c r="J79" s="157"/>
      <c r="K79" s="743"/>
      <c r="L79" s="372"/>
      <c r="M79" s="122"/>
      <c r="N79" s="122"/>
      <c r="O79" s="122"/>
      <c r="P79" s="774"/>
      <c r="Q79" s="157"/>
      <c r="R79" s="298"/>
      <c r="S79" s="311"/>
      <c r="T79" s="300"/>
      <c r="U79" s="301"/>
      <c r="V79" s="157"/>
      <c r="W79" s="315">
        <f>SUM(W73:W78)</f>
        <v>53986.752999999997</v>
      </c>
      <c r="X79" s="316">
        <f>SUM(X73:X78)</f>
        <v>29900.000000000051</v>
      </c>
      <c r="Y79" s="316">
        <f>SUM(Y73:Y78)</f>
        <v>0</v>
      </c>
      <c r="Z79" s="317">
        <f>'Rate Spread Proposal'!V$74-SUM(W79:Y79)</f>
        <v>7525.1784393445123</v>
      </c>
      <c r="AA79" s="309"/>
      <c r="AB79" s="315">
        <f>SUM(AB73:AB78)</f>
        <v>59164.027600000001</v>
      </c>
      <c r="AC79" s="316">
        <f>SUM(AC73:AC78)</f>
        <v>29900.000000000051</v>
      </c>
      <c r="AD79" s="317">
        <f>SUM(AD73:AD78)</f>
        <v>0</v>
      </c>
      <c r="AE79" s="309"/>
      <c r="AF79" s="315">
        <f>SUM(AF73:AF78)</f>
        <v>5177.2746000000006</v>
      </c>
      <c r="AG79" s="316">
        <f>SUM(AG73:AG78)</f>
        <v>0</v>
      </c>
      <c r="AH79" s="317">
        <f>SUM(AH73:AH78)</f>
        <v>0</v>
      </c>
      <c r="AI79" s="309"/>
      <c r="AJ79" s="338">
        <f>SUM(AF79:AH79)/SUM(W79:Y79)</f>
        <v>6.1717427541867036E-2</v>
      </c>
      <c r="AK79" s="339">
        <f t="shared" ref="AK79:AK84" si="117">SUM(AF79)/SUM(W79)</f>
        <v>9.5898980996319619E-2</v>
      </c>
      <c r="AL79" s="309"/>
      <c r="AM79" s="315">
        <f>SUM(AM73:AM78)</f>
        <v>0</v>
      </c>
      <c r="AN79" s="316">
        <f>SUM(AN73:AN78)</f>
        <v>0</v>
      </c>
      <c r="AO79" s="317">
        <f>SUM(AO73:AO78)</f>
        <v>0</v>
      </c>
      <c r="AP79" s="309"/>
      <c r="AQ79" s="310"/>
      <c r="AR79" s="310"/>
      <c r="AS79" s="309"/>
    </row>
    <row r="80" spans="1:45" x14ac:dyDescent="0.2">
      <c r="A80" s="86">
        <f t="shared" si="116"/>
        <v>73</v>
      </c>
      <c r="B80" s="725" t="str">
        <f>'WA Volumes &amp; Revenues'!B69</f>
        <v>42C Inter Transpt</v>
      </c>
      <c r="C80" s="726" t="s">
        <v>4</v>
      </c>
      <c r="D80" s="157"/>
      <c r="E80" s="122">
        <f>ROUND('Rates in Detail'!Y67,5)</f>
        <v>8.4799999999999997E-3</v>
      </c>
      <c r="F80" s="122"/>
      <c r="G80" s="157"/>
      <c r="H80" s="373">
        <f>ROUND('Rates in Detail'!R67,5)</f>
        <v>0.14976</v>
      </c>
      <c r="I80" s="774">
        <f t="shared" ref="I80:I96" si="118">H80+E80</f>
        <v>0.15823999999999999</v>
      </c>
      <c r="J80" s="157"/>
      <c r="K80" s="155">
        <f>'WA Volumes &amp; Revenues'!O69</f>
        <v>1550</v>
      </c>
      <c r="L80" s="156">
        <f>'WA Volumes &amp; Revenues'!N69</f>
        <v>1550</v>
      </c>
      <c r="M80" s="122">
        <f>'Rates in Detail'!AF67</f>
        <v>0</v>
      </c>
      <c r="N80" s="122">
        <f>'Rates in Detail'!AG67</f>
        <v>0</v>
      </c>
      <c r="O80" s="122">
        <f>'Rates in Detail'!AH67</f>
        <v>0</v>
      </c>
      <c r="P80" s="774">
        <f>'Rates in Detail'!AI67</f>
        <v>0</v>
      </c>
      <c r="Q80" s="157"/>
      <c r="R80" s="298">
        <f>'WA Volumes &amp; Revenues'!E69</f>
        <v>0</v>
      </c>
      <c r="S80" s="311"/>
      <c r="T80" s="300">
        <f>'WA Volumes &amp; Revenues'!H69</f>
        <v>0</v>
      </c>
      <c r="U80" s="301">
        <f>'WA Volumes &amp; Revenues'!I69</f>
        <v>0</v>
      </c>
      <c r="V80" s="157"/>
      <c r="W80" s="313">
        <f t="shared" ref="W80:W85" si="119">(H80*R80)</f>
        <v>0</v>
      </c>
      <c r="X80" s="309">
        <f t="shared" ref="X80:X85" si="120">(K80*T80*12)</f>
        <v>0</v>
      </c>
      <c r="Y80" s="309">
        <f t="shared" ref="Y80:Y85" si="121">(S80*(M80+O80))*12</f>
        <v>0</v>
      </c>
      <c r="Z80" s="314"/>
      <c r="AA80" s="309"/>
      <c r="AB80" s="313">
        <f t="shared" ref="AB80:AB85" si="122">(I80*R80)</f>
        <v>0</v>
      </c>
      <c r="AC80" s="309">
        <f t="shared" ref="AC80:AC85" si="123">(L80*T80*12)</f>
        <v>0</v>
      </c>
      <c r="AD80" s="314">
        <f t="shared" ref="AD80:AD85" si="124">(S80*(N80+P80))*12</f>
        <v>0</v>
      </c>
      <c r="AE80" s="309"/>
      <c r="AF80" s="313">
        <f t="shared" ref="AF80:AH85" si="125">AB80-W80</f>
        <v>0</v>
      </c>
      <c r="AG80" s="309">
        <f t="shared" si="125"/>
        <v>0</v>
      </c>
      <c r="AH80" s="314">
        <f t="shared" si="125"/>
        <v>0</v>
      </c>
      <c r="AI80" s="309"/>
      <c r="AJ80" s="338"/>
      <c r="AK80" s="340" t="e">
        <f t="shared" si="117"/>
        <v>#DIV/0!</v>
      </c>
      <c r="AL80" s="309"/>
      <c r="AM80" s="313">
        <f t="shared" ref="AM80:AM85" si="126">(F80*R80)</f>
        <v>0</v>
      </c>
      <c r="AN80" s="309">
        <v>0</v>
      </c>
      <c r="AO80" s="314">
        <f t="shared" ref="AO80:AO85" si="127">(AE80*(Y80+AB80))*12</f>
        <v>0</v>
      </c>
      <c r="AP80" s="309"/>
      <c r="AQ80" s="310"/>
      <c r="AR80" s="310"/>
      <c r="AS80" s="309"/>
    </row>
    <row r="81" spans="1:45" x14ac:dyDescent="0.2">
      <c r="A81" s="86">
        <f t="shared" si="116"/>
        <v>74</v>
      </c>
      <c r="B81" s="725"/>
      <c r="C81" s="726" t="s">
        <v>5</v>
      </c>
      <c r="D81" s="157"/>
      <c r="E81" s="122">
        <f>ROUND('Rates in Detail'!Y68,5)</f>
        <v>7.5900000000000004E-3</v>
      </c>
      <c r="F81" s="122"/>
      <c r="G81" s="157"/>
      <c r="H81" s="373">
        <f>ROUND('Rates in Detail'!R68,5)</f>
        <v>0.13406999999999999</v>
      </c>
      <c r="I81" s="774">
        <f t="shared" si="118"/>
        <v>0.14166000000000001</v>
      </c>
      <c r="J81" s="157"/>
      <c r="K81" s="155"/>
      <c r="L81" s="156"/>
      <c r="M81" s="122"/>
      <c r="N81" s="122"/>
      <c r="O81" s="122"/>
      <c r="P81" s="774"/>
      <c r="Q81" s="157"/>
      <c r="R81" s="298">
        <f>'WA Volumes &amp; Revenues'!E70</f>
        <v>0</v>
      </c>
      <c r="S81" s="311"/>
      <c r="T81" s="300"/>
      <c r="U81" s="301"/>
      <c r="V81" s="157"/>
      <c r="W81" s="313">
        <f t="shared" si="119"/>
        <v>0</v>
      </c>
      <c r="X81" s="309">
        <f t="shared" si="120"/>
        <v>0</v>
      </c>
      <c r="Y81" s="309">
        <f t="shared" si="121"/>
        <v>0</v>
      </c>
      <c r="Z81" s="314"/>
      <c r="AA81" s="309"/>
      <c r="AB81" s="313">
        <f t="shared" si="122"/>
        <v>0</v>
      </c>
      <c r="AC81" s="309">
        <f t="shared" si="123"/>
        <v>0</v>
      </c>
      <c r="AD81" s="314">
        <f t="shared" si="124"/>
        <v>0</v>
      </c>
      <c r="AE81" s="309"/>
      <c r="AF81" s="313">
        <f t="shared" si="125"/>
        <v>0</v>
      </c>
      <c r="AG81" s="309">
        <f t="shared" si="125"/>
        <v>0</v>
      </c>
      <c r="AH81" s="314">
        <f t="shared" si="125"/>
        <v>0</v>
      </c>
      <c r="AI81" s="309"/>
      <c r="AJ81" s="338"/>
      <c r="AK81" s="340" t="e">
        <f t="shared" si="117"/>
        <v>#DIV/0!</v>
      </c>
      <c r="AL81" s="309"/>
      <c r="AM81" s="313">
        <f t="shared" si="126"/>
        <v>0</v>
      </c>
      <c r="AN81" s="309">
        <v>0</v>
      </c>
      <c r="AO81" s="314">
        <f t="shared" si="127"/>
        <v>0</v>
      </c>
      <c r="AP81" s="309"/>
      <c r="AQ81" s="310"/>
      <c r="AR81" s="310"/>
      <c r="AS81" s="309"/>
    </row>
    <row r="82" spans="1:45" x14ac:dyDescent="0.2">
      <c r="A82" s="86">
        <f t="shared" si="116"/>
        <v>75</v>
      </c>
      <c r="B82" s="725"/>
      <c r="C82" s="726" t="s">
        <v>6</v>
      </c>
      <c r="D82" s="157"/>
      <c r="E82" s="122">
        <f>ROUND('Rates in Detail'!Y69,5)</f>
        <v>5.8199999999999997E-3</v>
      </c>
      <c r="F82" s="122"/>
      <c r="G82" s="157"/>
      <c r="H82" s="373">
        <f>ROUND('Rates in Detail'!R69,5)</f>
        <v>0.1028</v>
      </c>
      <c r="I82" s="774">
        <f t="shared" si="118"/>
        <v>0.10862000000000001</v>
      </c>
      <c r="J82" s="157"/>
      <c r="K82" s="155"/>
      <c r="L82" s="156"/>
      <c r="M82" s="122"/>
      <c r="N82" s="122"/>
      <c r="O82" s="122"/>
      <c r="P82" s="774"/>
      <c r="Q82" s="157"/>
      <c r="R82" s="298">
        <f>'WA Volumes &amp; Revenues'!E71</f>
        <v>0</v>
      </c>
      <c r="S82" s="311"/>
      <c r="T82" s="300"/>
      <c r="U82" s="301"/>
      <c r="V82" s="157"/>
      <c r="W82" s="313">
        <f t="shared" si="119"/>
        <v>0</v>
      </c>
      <c r="X82" s="309">
        <f t="shared" si="120"/>
        <v>0</v>
      </c>
      <c r="Y82" s="309">
        <f t="shared" si="121"/>
        <v>0</v>
      </c>
      <c r="Z82" s="314"/>
      <c r="AA82" s="309"/>
      <c r="AB82" s="313">
        <f t="shared" si="122"/>
        <v>0</v>
      </c>
      <c r="AC82" s="309">
        <f t="shared" si="123"/>
        <v>0</v>
      </c>
      <c r="AD82" s="314">
        <f t="shared" si="124"/>
        <v>0</v>
      </c>
      <c r="AE82" s="309"/>
      <c r="AF82" s="313">
        <f t="shared" si="125"/>
        <v>0</v>
      </c>
      <c r="AG82" s="309">
        <f t="shared" si="125"/>
        <v>0</v>
      </c>
      <c r="AH82" s="314">
        <f t="shared" si="125"/>
        <v>0</v>
      </c>
      <c r="AI82" s="309"/>
      <c r="AJ82" s="338"/>
      <c r="AK82" s="340" t="e">
        <f t="shared" si="117"/>
        <v>#DIV/0!</v>
      </c>
      <c r="AL82" s="309"/>
      <c r="AM82" s="313">
        <f t="shared" si="126"/>
        <v>0</v>
      </c>
      <c r="AN82" s="309">
        <v>0</v>
      </c>
      <c r="AO82" s="314">
        <f t="shared" si="127"/>
        <v>0</v>
      </c>
      <c r="AP82" s="309"/>
      <c r="AQ82" s="310"/>
      <c r="AR82" s="310"/>
      <c r="AS82" s="309"/>
    </row>
    <row r="83" spans="1:45" x14ac:dyDescent="0.2">
      <c r="A83" s="86">
        <f t="shared" si="116"/>
        <v>76</v>
      </c>
      <c r="B83" s="725"/>
      <c r="C83" s="726" t="s">
        <v>7</v>
      </c>
      <c r="D83" s="157"/>
      <c r="E83" s="122">
        <f>ROUND('Rates in Detail'!Y70,5)</f>
        <v>4.6600000000000001E-3</v>
      </c>
      <c r="F83" s="122"/>
      <c r="G83" s="157"/>
      <c r="H83" s="373">
        <f>ROUND('Rates in Detail'!R70,5)</f>
        <v>8.2250000000000004E-2</v>
      </c>
      <c r="I83" s="774">
        <f t="shared" si="118"/>
        <v>8.6910000000000001E-2</v>
      </c>
      <c r="J83" s="157"/>
      <c r="K83" s="155"/>
      <c r="L83" s="156"/>
      <c r="M83" s="122"/>
      <c r="N83" s="122"/>
      <c r="O83" s="122"/>
      <c r="P83" s="774"/>
      <c r="Q83" s="157"/>
      <c r="R83" s="298">
        <f>'WA Volumes &amp; Revenues'!E72</f>
        <v>0</v>
      </c>
      <c r="S83" s="311"/>
      <c r="T83" s="300"/>
      <c r="U83" s="301"/>
      <c r="V83" s="157"/>
      <c r="W83" s="313">
        <f t="shared" si="119"/>
        <v>0</v>
      </c>
      <c r="X83" s="309">
        <f t="shared" si="120"/>
        <v>0</v>
      </c>
      <c r="Y83" s="309">
        <f t="shared" si="121"/>
        <v>0</v>
      </c>
      <c r="Z83" s="314"/>
      <c r="AA83" s="309"/>
      <c r="AB83" s="313">
        <f t="shared" si="122"/>
        <v>0</v>
      </c>
      <c r="AC83" s="309">
        <f t="shared" si="123"/>
        <v>0</v>
      </c>
      <c r="AD83" s="314">
        <f t="shared" si="124"/>
        <v>0</v>
      </c>
      <c r="AE83" s="309"/>
      <c r="AF83" s="313">
        <f t="shared" si="125"/>
        <v>0</v>
      </c>
      <c r="AG83" s="309">
        <f t="shared" si="125"/>
        <v>0</v>
      </c>
      <c r="AH83" s="314">
        <f t="shared" si="125"/>
        <v>0</v>
      </c>
      <c r="AI83" s="309"/>
      <c r="AJ83" s="338"/>
      <c r="AK83" s="340" t="e">
        <f t="shared" si="117"/>
        <v>#DIV/0!</v>
      </c>
      <c r="AL83" s="309"/>
      <c r="AM83" s="313">
        <f t="shared" si="126"/>
        <v>0</v>
      </c>
      <c r="AN83" s="309">
        <v>0</v>
      </c>
      <c r="AO83" s="314">
        <f t="shared" si="127"/>
        <v>0</v>
      </c>
      <c r="AP83" s="309"/>
      <c r="AQ83" s="310"/>
      <c r="AR83" s="310"/>
      <c r="AS83" s="309"/>
    </row>
    <row r="84" spans="1:45" x14ac:dyDescent="0.2">
      <c r="A84" s="86">
        <f t="shared" si="116"/>
        <v>77</v>
      </c>
      <c r="B84" s="725"/>
      <c r="C84" s="726" t="s">
        <v>8</v>
      </c>
      <c r="D84" s="157"/>
      <c r="E84" s="122">
        <f>ROUND('Rates in Detail'!Y71,5)</f>
        <v>3.1099999999999999E-3</v>
      </c>
      <c r="F84" s="122"/>
      <c r="G84" s="157"/>
      <c r="H84" s="373">
        <f>ROUND('Rates in Detail'!R71,5)</f>
        <v>5.484E-2</v>
      </c>
      <c r="I84" s="774">
        <f t="shared" si="118"/>
        <v>5.7950000000000002E-2</v>
      </c>
      <c r="J84" s="157"/>
      <c r="K84" s="155"/>
      <c r="L84" s="156"/>
      <c r="M84" s="122"/>
      <c r="N84" s="122"/>
      <c r="O84" s="122"/>
      <c r="P84" s="774"/>
      <c r="Q84" s="157"/>
      <c r="R84" s="298">
        <f>'WA Volumes &amp; Revenues'!E73</f>
        <v>0</v>
      </c>
      <c r="S84" s="311"/>
      <c r="T84" s="300"/>
      <c r="U84" s="301"/>
      <c r="V84" s="157"/>
      <c r="W84" s="313">
        <f t="shared" si="119"/>
        <v>0</v>
      </c>
      <c r="X84" s="309">
        <f t="shared" si="120"/>
        <v>0</v>
      </c>
      <c r="Y84" s="309">
        <f t="shared" si="121"/>
        <v>0</v>
      </c>
      <c r="Z84" s="314"/>
      <c r="AA84" s="309"/>
      <c r="AB84" s="313">
        <f t="shared" si="122"/>
        <v>0</v>
      </c>
      <c r="AC84" s="309">
        <f t="shared" si="123"/>
        <v>0</v>
      </c>
      <c r="AD84" s="314">
        <f t="shared" si="124"/>
        <v>0</v>
      </c>
      <c r="AE84" s="309"/>
      <c r="AF84" s="313">
        <f t="shared" si="125"/>
        <v>0</v>
      </c>
      <c r="AG84" s="309">
        <f t="shared" si="125"/>
        <v>0</v>
      </c>
      <c r="AH84" s="314">
        <f t="shared" si="125"/>
        <v>0</v>
      </c>
      <c r="AI84" s="309"/>
      <c r="AJ84" s="338"/>
      <c r="AK84" s="340" t="e">
        <f t="shared" si="117"/>
        <v>#DIV/0!</v>
      </c>
      <c r="AL84" s="309"/>
      <c r="AM84" s="313">
        <f t="shared" si="126"/>
        <v>0</v>
      </c>
      <c r="AN84" s="309">
        <v>0</v>
      </c>
      <c r="AO84" s="314">
        <f t="shared" si="127"/>
        <v>0</v>
      </c>
      <c r="AP84" s="309"/>
      <c r="AQ84" s="310"/>
      <c r="AR84" s="310"/>
      <c r="AS84" s="309"/>
    </row>
    <row r="85" spans="1:45" x14ac:dyDescent="0.2">
      <c r="A85" s="86">
        <f t="shared" si="116"/>
        <v>78</v>
      </c>
      <c r="B85" s="725"/>
      <c r="C85" s="726" t="s">
        <v>9</v>
      </c>
      <c r="D85" s="157"/>
      <c r="E85" s="122">
        <f>ROUND('Rates in Detail'!Y72,5)</f>
        <v>1.16E-3</v>
      </c>
      <c r="F85" s="122"/>
      <c r="G85" s="157"/>
      <c r="H85" s="373">
        <f>ROUND('Rates in Detail'!R72,5)</f>
        <v>2.0549999999999999E-2</v>
      </c>
      <c r="I85" s="774">
        <f t="shared" si="118"/>
        <v>2.171E-2</v>
      </c>
      <c r="J85" s="157"/>
      <c r="K85" s="743"/>
      <c r="L85" s="372"/>
      <c r="M85" s="122"/>
      <c r="N85" s="122"/>
      <c r="O85" s="122"/>
      <c r="P85" s="774"/>
      <c r="Q85" s="157"/>
      <c r="R85" s="298">
        <f>'WA Volumes &amp; Revenues'!E74</f>
        <v>0</v>
      </c>
      <c r="S85" s="311"/>
      <c r="T85" s="300"/>
      <c r="U85" s="301"/>
      <c r="V85" s="157"/>
      <c r="W85" s="313">
        <f t="shared" si="119"/>
        <v>0</v>
      </c>
      <c r="X85" s="309">
        <f t="shared" si="120"/>
        <v>0</v>
      </c>
      <c r="Y85" s="309">
        <f t="shared" si="121"/>
        <v>0</v>
      </c>
      <c r="Z85" s="314"/>
      <c r="AA85" s="309"/>
      <c r="AB85" s="313">
        <f t="shared" si="122"/>
        <v>0</v>
      </c>
      <c r="AC85" s="309">
        <f t="shared" si="123"/>
        <v>0</v>
      </c>
      <c r="AD85" s="314">
        <f t="shared" si="124"/>
        <v>0</v>
      </c>
      <c r="AE85" s="309"/>
      <c r="AF85" s="313">
        <f t="shared" si="125"/>
        <v>0</v>
      </c>
      <c r="AG85" s="309">
        <f t="shared" si="125"/>
        <v>0</v>
      </c>
      <c r="AH85" s="314">
        <f t="shared" si="125"/>
        <v>0</v>
      </c>
      <c r="AI85" s="309"/>
      <c r="AJ85" s="338"/>
      <c r="AK85" s="340" t="e">
        <f>AK84</f>
        <v>#DIV/0!</v>
      </c>
      <c r="AL85" s="309"/>
      <c r="AM85" s="313">
        <f t="shared" si="126"/>
        <v>0</v>
      </c>
      <c r="AN85" s="309">
        <v>0</v>
      </c>
      <c r="AO85" s="314">
        <f t="shared" si="127"/>
        <v>0</v>
      </c>
      <c r="AP85" s="309"/>
      <c r="AQ85" s="310"/>
      <c r="AR85" s="310"/>
      <c r="AS85" s="309"/>
    </row>
    <row r="86" spans="1:45" x14ac:dyDescent="0.2">
      <c r="A86" s="86">
        <f t="shared" si="116"/>
        <v>79</v>
      </c>
      <c r="B86" s="723"/>
      <c r="C86" s="742" t="s">
        <v>78</v>
      </c>
      <c r="D86" s="153"/>
      <c r="E86" s="123"/>
      <c r="F86" s="123"/>
      <c r="G86" s="153"/>
      <c r="H86" s="368"/>
      <c r="I86" s="773"/>
      <c r="J86" s="157"/>
      <c r="K86" s="743"/>
      <c r="L86" s="372"/>
      <c r="M86" s="122"/>
      <c r="N86" s="122"/>
      <c r="O86" s="122"/>
      <c r="P86" s="774"/>
      <c r="Q86" s="157"/>
      <c r="R86" s="298"/>
      <c r="S86" s="311"/>
      <c r="T86" s="300"/>
      <c r="U86" s="301"/>
      <c r="V86" s="157"/>
      <c r="W86" s="315">
        <f>SUM(W80:W85)</f>
        <v>0</v>
      </c>
      <c r="X86" s="316">
        <f>SUM(X80:X85)</f>
        <v>0</v>
      </c>
      <c r="Y86" s="316">
        <f>SUM(Y80:Y85)</f>
        <v>0</v>
      </c>
      <c r="Z86" s="317">
        <f>'Rate Spread Proposal'!W$74-SUM(W86:Y86)</f>
        <v>0</v>
      </c>
      <c r="AA86" s="309"/>
      <c r="AB86" s="315">
        <f>SUM(AB80:AB85)</f>
        <v>0</v>
      </c>
      <c r="AC86" s="316">
        <f>SUM(AC80:AC85)</f>
        <v>0</v>
      </c>
      <c r="AD86" s="317">
        <f>SUM(AD80:AD85)</f>
        <v>0</v>
      </c>
      <c r="AE86" s="309"/>
      <c r="AF86" s="315">
        <f>SUM(AF80:AF85)</f>
        <v>0</v>
      </c>
      <c r="AG86" s="316">
        <f>SUM(AG80:AG85)</f>
        <v>0</v>
      </c>
      <c r="AH86" s="317">
        <f>SUM(AH80:AH85)</f>
        <v>0</v>
      </c>
      <c r="AI86" s="309"/>
      <c r="AJ86" s="338" t="e">
        <f>SUM(AF86:AH86)/SUM(W86:Y86)</f>
        <v>#DIV/0!</v>
      </c>
      <c r="AK86" s="339" t="e">
        <f t="shared" ref="AK86:AK93" si="128">SUM(AF86)/SUM(W86)</f>
        <v>#DIV/0!</v>
      </c>
      <c r="AL86" s="309"/>
      <c r="AM86" s="315">
        <f>SUM(AM80:AM85)</f>
        <v>0</v>
      </c>
      <c r="AN86" s="316">
        <f>SUM(AN80:AN85)</f>
        <v>0</v>
      </c>
      <c r="AO86" s="317">
        <f>SUM(AO80:AO85)</f>
        <v>0</v>
      </c>
      <c r="AP86" s="309"/>
      <c r="AQ86" s="310"/>
      <c r="AR86" s="310"/>
      <c r="AS86" s="309"/>
    </row>
    <row r="87" spans="1:45" x14ac:dyDescent="0.2">
      <c r="A87" s="86">
        <f t="shared" si="116"/>
        <v>80</v>
      </c>
      <c r="B87" s="725" t="str">
        <f>'WA Volumes &amp; Revenues'!B75</f>
        <v>42I Inter Transpt</v>
      </c>
      <c r="C87" s="726" t="s">
        <v>4</v>
      </c>
      <c r="D87" s="162"/>
      <c r="E87" s="122">
        <f>ROUND('Rates in Detail'!Y73,5)</f>
        <v>1.0160000000000001E-2</v>
      </c>
      <c r="F87" s="122"/>
      <c r="G87" s="162"/>
      <c r="H87" s="373">
        <f>ROUND('Rates in Detail'!R73,5)</f>
        <v>0.1542</v>
      </c>
      <c r="I87" s="774">
        <f t="shared" si="118"/>
        <v>0.16436000000000001</v>
      </c>
      <c r="J87" s="162"/>
      <c r="K87" s="155">
        <f>'WA Volumes &amp; Revenues'!O75</f>
        <v>1550</v>
      </c>
      <c r="L87" s="156">
        <f>'WA Volumes &amp; Revenues'!N75</f>
        <v>1550</v>
      </c>
      <c r="M87" s="122">
        <f>'Rates in Detail'!AF73</f>
        <v>0</v>
      </c>
      <c r="N87" s="122">
        <f>'Rates in Detail'!AG73</f>
        <v>0</v>
      </c>
      <c r="O87" s="122">
        <f>'Rates in Detail'!AH73</f>
        <v>0</v>
      </c>
      <c r="P87" s="774">
        <f>'Rates in Detail'!AI73</f>
        <v>0</v>
      </c>
      <c r="Q87" s="162"/>
      <c r="R87" s="298">
        <f>'WA Volumes &amp; Revenues'!E75</f>
        <v>844078</v>
      </c>
      <c r="S87" s="311"/>
      <c r="T87" s="300">
        <f>'WA Volumes &amp; Revenues'!H75</f>
        <v>7</v>
      </c>
      <c r="U87" s="301">
        <f>'WA Volumes &amp; Revenues'!I75</f>
        <v>95634</v>
      </c>
      <c r="V87" s="162"/>
      <c r="W87" s="313">
        <f t="shared" ref="W87:W92" si="129">(H87*R87)</f>
        <v>130156.8276</v>
      </c>
      <c r="X87" s="309">
        <f t="shared" ref="X87:X92" si="130">(K87*T87*12)</f>
        <v>130200</v>
      </c>
      <c r="Y87" s="309">
        <f t="shared" ref="Y87:Y92" si="131">(S87*(M87+O87))*12</f>
        <v>0</v>
      </c>
      <c r="Z87" s="314"/>
      <c r="AA87" s="320"/>
      <c r="AB87" s="313">
        <f t="shared" ref="AB87:AB92" si="132">(I87*R87)</f>
        <v>138732.66008</v>
      </c>
      <c r="AC87" s="309">
        <f t="shared" ref="AC87:AC92" si="133">(L87*T87*12)</f>
        <v>130200</v>
      </c>
      <c r="AD87" s="314">
        <f t="shared" ref="AD87:AD92" si="134">(S87*(N87+P87))*12</f>
        <v>0</v>
      </c>
      <c r="AE87" s="320"/>
      <c r="AF87" s="313">
        <f t="shared" ref="AF87:AH92" si="135">AB87-W87</f>
        <v>8575.8324799999973</v>
      </c>
      <c r="AG87" s="309">
        <f t="shared" si="135"/>
        <v>0</v>
      </c>
      <c r="AH87" s="314">
        <f t="shared" si="135"/>
        <v>0</v>
      </c>
      <c r="AI87" s="320"/>
      <c r="AJ87" s="338"/>
      <c r="AK87" s="340">
        <f t="shared" si="128"/>
        <v>6.5888456549935123E-2</v>
      </c>
      <c r="AL87" s="320"/>
      <c r="AM87" s="313">
        <f t="shared" ref="AM87:AM92" si="136">(F87*R87)</f>
        <v>0</v>
      </c>
      <c r="AN87" s="309">
        <v>0</v>
      </c>
      <c r="AO87" s="314">
        <f t="shared" ref="AO87:AO92" si="137">(AE87*(Y87+AB87))*12</f>
        <v>0</v>
      </c>
      <c r="AP87" s="320"/>
      <c r="AQ87" s="310"/>
      <c r="AR87" s="310"/>
      <c r="AS87" s="320"/>
    </row>
    <row r="88" spans="1:45" x14ac:dyDescent="0.2">
      <c r="A88" s="86">
        <f t="shared" si="116"/>
        <v>81</v>
      </c>
      <c r="B88" s="725"/>
      <c r="C88" s="726" t="s">
        <v>5</v>
      </c>
      <c r="D88" s="162"/>
      <c r="E88" s="122">
        <f>ROUND('Rates in Detail'!Y74,5)</f>
        <v>9.0900000000000009E-3</v>
      </c>
      <c r="F88" s="122"/>
      <c r="G88" s="162"/>
      <c r="H88" s="373">
        <f>ROUND('Rates in Detail'!R74,5)</f>
        <v>0.13804</v>
      </c>
      <c r="I88" s="774">
        <f t="shared" si="118"/>
        <v>0.14712999999999998</v>
      </c>
      <c r="J88" s="162"/>
      <c r="K88" s="743"/>
      <c r="L88" s="372"/>
      <c r="M88" s="122"/>
      <c r="N88" s="122"/>
      <c r="O88" s="122"/>
      <c r="P88" s="774"/>
      <c r="Q88" s="162"/>
      <c r="R88" s="298">
        <f>'WA Volumes &amp; Revenues'!E76</f>
        <v>1445175</v>
      </c>
      <c r="S88" s="160"/>
      <c r="T88" s="157"/>
      <c r="U88" s="158"/>
      <c r="V88" s="162"/>
      <c r="W88" s="313">
        <f t="shared" si="129"/>
        <v>199491.95699999999</v>
      </c>
      <c r="X88" s="309">
        <f t="shared" si="130"/>
        <v>0</v>
      </c>
      <c r="Y88" s="309">
        <f t="shared" si="131"/>
        <v>0</v>
      </c>
      <c r="Z88" s="314"/>
      <c r="AA88" s="320"/>
      <c r="AB88" s="313">
        <f t="shared" si="132"/>
        <v>212628.59774999999</v>
      </c>
      <c r="AC88" s="309">
        <f t="shared" si="133"/>
        <v>0</v>
      </c>
      <c r="AD88" s="314">
        <f t="shared" si="134"/>
        <v>0</v>
      </c>
      <c r="AE88" s="320"/>
      <c r="AF88" s="313">
        <f t="shared" si="135"/>
        <v>13136.640749999991</v>
      </c>
      <c r="AG88" s="309">
        <f t="shared" si="135"/>
        <v>0</v>
      </c>
      <c r="AH88" s="314">
        <f t="shared" si="135"/>
        <v>0</v>
      </c>
      <c r="AI88" s="320"/>
      <c r="AJ88" s="338"/>
      <c r="AK88" s="340">
        <f t="shared" si="128"/>
        <v>6.5850478122283354E-2</v>
      </c>
      <c r="AL88" s="320"/>
      <c r="AM88" s="313">
        <f t="shared" si="136"/>
        <v>0</v>
      </c>
      <c r="AN88" s="309">
        <v>0</v>
      </c>
      <c r="AO88" s="314">
        <f t="shared" si="137"/>
        <v>0</v>
      </c>
      <c r="AP88" s="320"/>
      <c r="AQ88" s="310"/>
      <c r="AR88" s="156"/>
      <c r="AS88" s="320"/>
    </row>
    <row r="89" spans="1:45" x14ac:dyDescent="0.2">
      <c r="A89" s="86">
        <f t="shared" si="116"/>
        <v>82</v>
      </c>
      <c r="B89" s="725"/>
      <c r="C89" s="726" t="s">
        <v>6</v>
      </c>
      <c r="D89" s="162"/>
      <c r="E89" s="122">
        <f>ROUND('Rates in Detail'!Y75,5)</f>
        <v>6.9699999999999996E-3</v>
      </c>
      <c r="F89" s="122"/>
      <c r="G89" s="162"/>
      <c r="H89" s="373">
        <f>ROUND('Rates in Detail'!R75,5)</f>
        <v>0.10585</v>
      </c>
      <c r="I89" s="774">
        <f t="shared" si="118"/>
        <v>0.11282</v>
      </c>
      <c r="J89" s="162"/>
      <c r="K89" s="155"/>
      <c r="L89" s="156"/>
      <c r="M89" s="122"/>
      <c r="N89" s="122"/>
      <c r="O89" s="122"/>
      <c r="P89" s="774"/>
      <c r="Q89" s="162"/>
      <c r="R89" s="298">
        <f>'WA Volumes &amp; Revenues'!E77</f>
        <v>1034978</v>
      </c>
      <c r="S89" s="160"/>
      <c r="T89" s="157"/>
      <c r="U89" s="158"/>
      <c r="V89" s="162"/>
      <c r="W89" s="313">
        <f t="shared" si="129"/>
        <v>109552.4213</v>
      </c>
      <c r="X89" s="309">
        <f t="shared" si="130"/>
        <v>0</v>
      </c>
      <c r="Y89" s="309">
        <f t="shared" si="131"/>
        <v>0</v>
      </c>
      <c r="Z89" s="314"/>
      <c r="AA89" s="320"/>
      <c r="AB89" s="313">
        <f t="shared" si="132"/>
        <v>116766.21796000001</v>
      </c>
      <c r="AC89" s="309">
        <f t="shared" si="133"/>
        <v>0</v>
      </c>
      <c r="AD89" s="314">
        <f t="shared" si="134"/>
        <v>0</v>
      </c>
      <c r="AE89" s="320"/>
      <c r="AF89" s="313">
        <f t="shared" si="135"/>
        <v>7213.7966600000073</v>
      </c>
      <c r="AG89" s="309">
        <f t="shared" si="135"/>
        <v>0</v>
      </c>
      <c r="AH89" s="314">
        <f t="shared" si="135"/>
        <v>0</v>
      </c>
      <c r="AI89" s="320"/>
      <c r="AJ89" s="338"/>
      <c r="AK89" s="340">
        <f t="shared" si="128"/>
        <v>6.5847897968823871E-2</v>
      </c>
      <c r="AL89" s="320"/>
      <c r="AM89" s="313">
        <f t="shared" si="136"/>
        <v>0</v>
      </c>
      <c r="AN89" s="309">
        <v>0</v>
      </c>
      <c r="AO89" s="314">
        <f t="shared" si="137"/>
        <v>0</v>
      </c>
      <c r="AP89" s="320"/>
      <c r="AQ89" s="310"/>
      <c r="AR89" s="156"/>
      <c r="AS89" s="320"/>
    </row>
    <row r="90" spans="1:45" x14ac:dyDescent="0.2">
      <c r="A90" s="86">
        <f t="shared" si="116"/>
        <v>83</v>
      </c>
      <c r="B90" s="725"/>
      <c r="C90" s="726" t="s">
        <v>7</v>
      </c>
      <c r="D90" s="162"/>
      <c r="E90" s="122">
        <f>ROUND('Rates in Detail'!Y76,5)</f>
        <v>5.5799999999999999E-3</v>
      </c>
      <c r="F90" s="122"/>
      <c r="G90" s="162"/>
      <c r="H90" s="373">
        <f>ROUND('Rates in Detail'!R76,5)</f>
        <v>8.4680000000000005E-2</v>
      </c>
      <c r="I90" s="774">
        <f t="shared" si="118"/>
        <v>9.0260000000000007E-2</v>
      </c>
      <c r="J90" s="162"/>
      <c r="K90" s="155"/>
      <c r="L90" s="156"/>
      <c r="M90" s="122"/>
      <c r="N90" s="122"/>
      <c r="O90" s="122"/>
      <c r="P90" s="774"/>
      <c r="Q90" s="162"/>
      <c r="R90" s="298">
        <f>'WA Volumes &amp; Revenues'!E78</f>
        <v>3359916</v>
      </c>
      <c r="S90" s="160"/>
      <c r="T90" s="157"/>
      <c r="U90" s="158"/>
      <c r="V90" s="162"/>
      <c r="W90" s="313">
        <f t="shared" si="129"/>
        <v>284517.68687999999</v>
      </c>
      <c r="X90" s="309">
        <f t="shared" si="130"/>
        <v>0</v>
      </c>
      <c r="Y90" s="309">
        <f t="shared" si="131"/>
        <v>0</v>
      </c>
      <c r="Z90" s="314"/>
      <c r="AA90" s="320"/>
      <c r="AB90" s="313">
        <f t="shared" si="132"/>
        <v>303266.01816000004</v>
      </c>
      <c r="AC90" s="309">
        <f t="shared" si="133"/>
        <v>0</v>
      </c>
      <c r="AD90" s="314">
        <f t="shared" si="134"/>
        <v>0</v>
      </c>
      <c r="AE90" s="320"/>
      <c r="AF90" s="313">
        <f t="shared" si="135"/>
        <v>18748.331280000042</v>
      </c>
      <c r="AG90" s="309">
        <f t="shared" si="135"/>
        <v>0</v>
      </c>
      <c r="AH90" s="314">
        <f t="shared" si="135"/>
        <v>0</v>
      </c>
      <c r="AI90" s="320"/>
      <c r="AJ90" s="338"/>
      <c r="AK90" s="340">
        <f t="shared" si="128"/>
        <v>6.5895134624468735E-2</v>
      </c>
      <c r="AL90" s="320"/>
      <c r="AM90" s="313">
        <f t="shared" si="136"/>
        <v>0</v>
      </c>
      <c r="AN90" s="309">
        <v>0</v>
      </c>
      <c r="AO90" s="314">
        <f t="shared" si="137"/>
        <v>0</v>
      </c>
      <c r="AP90" s="320"/>
      <c r="AQ90" s="310"/>
      <c r="AR90" s="156"/>
      <c r="AS90" s="320"/>
    </row>
    <row r="91" spans="1:45" x14ac:dyDescent="0.2">
      <c r="A91" s="86">
        <f t="shared" si="116"/>
        <v>84</v>
      </c>
      <c r="B91" s="725"/>
      <c r="C91" s="726" t="s">
        <v>8</v>
      </c>
      <c r="D91" s="162"/>
      <c r="E91" s="122">
        <f>ROUND('Rates in Detail'!Y77,5)</f>
        <v>3.7200000000000002E-3</v>
      </c>
      <c r="F91" s="122"/>
      <c r="G91" s="162"/>
      <c r="H91" s="373">
        <f>ROUND('Rates in Detail'!R77,5)</f>
        <v>5.6460000000000003E-2</v>
      </c>
      <c r="I91" s="774">
        <f t="shared" si="118"/>
        <v>6.0180000000000004E-2</v>
      </c>
      <c r="J91" s="162"/>
      <c r="K91" s="155"/>
      <c r="L91" s="156"/>
      <c r="M91" s="122"/>
      <c r="N91" s="122"/>
      <c r="O91" s="122"/>
      <c r="P91" s="774"/>
      <c r="Q91" s="162"/>
      <c r="R91" s="298">
        <f>'WA Volumes &amp; Revenues'!E79</f>
        <v>1349120</v>
      </c>
      <c r="S91" s="160"/>
      <c r="T91" s="157"/>
      <c r="U91" s="158"/>
      <c r="V91" s="162"/>
      <c r="W91" s="313">
        <f t="shared" si="129"/>
        <v>76171.315199999997</v>
      </c>
      <c r="X91" s="309">
        <f t="shared" si="130"/>
        <v>0</v>
      </c>
      <c r="Y91" s="309">
        <f t="shared" si="131"/>
        <v>0</v>
      </c>
      <c r="Z91" s="314"/>
      <c r="AA91" s="320"/>
      <c r="AB91" s="313">
        <f t="shared" si="132"/>
        <v>81190.041600000011</v>
      </c>
      <c r="AC91" s="309">
        <f t="shared" si="133"/>
        <v>0</v>
      </c>
      <c r="AD91" s="314">
        <f t="shared" si="134"/>
        <v>0</v>
      </c>
      <c r="AE91" s="320"/>
      <c r="AF91" s="313">
        <f t="shared" si="135"/>
        <v>5018.7264000000141</v>
      </c>
      <c r="AG91" s="309">
        <f t="shared" si="135"/>
        <v>0</v>
      </c>
      <c r="AH91" s="314">
        <f t="shared" si="135"/>
        <v>0</v>
      </c>
      <c r="AI91" s="320"/>
      <c r="AJ91" s="338"/>
      <c r="AK91" s="340">
        <f t="shared" si="128"/>
        <v>6.5887353878852473E-2</v>
      </c>
      <c r="AL91" s="320"/>
      <c r="AM91" s="313">
        <f t="shared" si="136"/>
        <v>0</v>
      </c>
      <c r="AN91" s="309">
        <v>0</v>
      </c>
      <c r="AO91" s="314">
        <f t="shared" si="137"/>
        <v>0</v>
      </c>
      <c r="AP91" s="320"/>
      <c r="AQ91" s="310"/>
      <c r="AR91" s="154"/>
      <c r="AS91" s="320"/>
    </row>
    <row r="92" spans="1:45" x14ac:dyDescent="0.2">
      <c r="A92" s="86">
        <f t="shared" si="116"/>
        <v>85</v>
      </c>
      <c r="B92" s="725"/>
      <c r="C92" s="726" t="s">
        <v>9</v>
      </c>
      <c r="D92" s="162"/>
      <c r="E92" s="122">
        <f>ROUND('Rates in Detail'!Y78,5)</f>
        <v>1.39E-3</v>
      </c>
      <c r="F92" s="122"/>
      <c r="G92" s="162"/>
      <c r="H92" s="373">
        <f>ROUND('Rates in Detail'!R78,5)</f>
        <v>2.1160000000000002E-2</v>
      </c>
      <c r="I92" s="774">
        <f t="shared" si="118"/>
        <v>2.2550000000000001E-2</v>
      </c>
      <c r="J92" s="162"/>
      <c r="K92" s="155"/>
      <c r="L92" s="156"/>
      <c r="M92" s="122"/>
      <c r="N92" s="122"/>
      <c r="O92" s="122"/>
      <c r="P92" s="774"/>
      <c r="Q92" s="162"/>
      <c r="R92" s="298">
        <f>'WA Volumes &amp; Revenues'!E80</f>
        <v>0</v>
      </c>
      <c r="S92" s="160"/>
      <c r="T92" s="157"/>
      <c r="U92" s="158"/>
      <c r="V92" s="162"/>
      <c r="W92" s="313">
        <f t="shared" si="129"/>
        <v>0</v>
      </c>
      <c r="X92" s="309">
        <f t="shared" si="130"/>
        <v>0</v>
      </c>
      <c r="Y92" s="309">
        <f t="shared" si="131"/>
        <v>0</v>
      </c>
      <c r="Z92" s="314"/>
      <c r="AA92" s="320"/>
      <c r="AB92" s="313">
        <f t="shared" si="132"/>
        <v>0</v>
      </c>
      <c r="AC92" s="309">
        <f t="shared" si="133"/>
        <v>0</v>
      </c>
      <c r="AD92" s="314">
        <f t="shared" si="134"/>
        <v>0</v>
      </c>
      <c r="AE92" s="320"/>
      <c r="AF92" s="313">
        <f t="shared" si="135"/>
        <v>0</v>
      </c>
      <c r="AG92" s="309">
        <f t="shared" si="135"/>
        <v>0</v>
      </c>
      <c r="AH92" s="314">
        <f t="shared" si="135"/>
        <v>0</v>
      </c>
      <c r="AI92" s="320"/>
      <c r="AJ92" s="338"/>
      <c r="AK92" s="340" t="e">
        <f t="shared" si="128"/>
        <v>#DIV/0!</v>
      </c>
      <c r="AL92" s="320"/>
      <c r="AM92" s="313">
        <f t="shared" si="136"/>
        <v>0</v>
      </c>
      <c r="AN92" s="309">
        <v>0</v>
      </c>
      <c r="AO92" s="314">
        <f t="shared" si="137"/>
        <v>0</v>
      </c>
      <c r="AP92" s="320"/>
      <c r="AQ92" s="310"/>
      <c r="AR92" s="154"/>
      <c r="AS92" s="320"/>
    </row>
    <row r="93" spans="1:45" x14ac:dyDescent="0.2">
      <c r="A93" s="86">
        <f t="shared" si="116"/>
        <v>86</v>
      </c>
      <c r="B93" s="723"/>
      <c r="C93" s="742" t="s">
        <v>78</v>
      </c>
      <c r="D93" s="163"/>
      <c r="E93" s="123"/>
      <c r="F93" s="123"/>
      <c r="G93" s="163"/>
      <c r="H93" s="368"/>
      <c r="I93" s="773"/>
      <c r="J93" s="162"/>
      <c r="K93" s="155"/>
      <c r="L93" s="156"/>
      <c r="M93" s="122"/>
      <c r="N93" s="122"/>
      <c r="O93" s="122"/>
      <c r="P93" s="774"/>
      <c r="Q93" s="162"/>
      <c r="R93" s="298"/>
      <c r="S93" s="160"/>
      <c r="T93" s="157"/>
      <c r="U93" s="158"/>
      <c r="V93" s="162"/>
      <c r="W93" s="315">
        <f>SUM(W87:W92)</f>
        <v>799890.20797999995</v>
      </c>
      <c r="X93" s="316">
        <f>SUM(X87:X92)</f>
        <v>130200</v>
      </c>
      <c r="Y93" s="316">
        <f>SUM(Y87:Y92)</f>
        <v>0</v>
      </c>
      <c r="Z93" s="317">
        <f>'Rate Spread Proposal'!X$74-SUM(W93:Y93)</f>
        <v>5.8807455871719867</v>
      </c>
      <c r="AA93" s="320"/>
      <c r="AB93" s="315">
        <f>SUM(AB87:AB92)</f>
        <v>852583.53555000003</v>
      </c>
      <c r="AC93" s="316">
        <f>SUM(AC87:AC92)</f>
        <v>130200</v>
      </c>
      <c r="AD93" s="317">
        <f>SUM(AD87:AD92)</f>
        <v>0</v>
      </c>
      <c r="AE93" s="320"/>
      <c r="AF93" s="315">
        <f>SUM(AF87:AF92)</f>
        <v>52693.327570000052</v>
      </c>
      <c r="AG93" s="316">
        <f>SUM(AG87:AG92)</f>
        <v>0</v>
      </c>
      <c r="AH93" s="317">
        <f>SUM(AH87:AH92)</f>
        <v>0</v>
      </c>
      <c r="AI93" s="320"/>
      <c r="AJ93" s="338">
        <f>SUM(AF93:AH93)/SUM(W93:Y93)</f>
        <v>5.6653996696128139E-2</v>
      </c>
      <c r="AK93" s="339">
        <f t="shared" si="128"/>
        <v>6.5875700245248622E-2</v>
      </c>
      <c r="AL93" s="320"/>
      <c r="AM93" s="315">
        <f>SUM(AM87:AM92)</f>
        <v>0</v>
      </c>
      <c r="AN93" s="316">
        <f>SUM(AN87:AN92)</f>
        <v>0</v>
      </c>
      <c r="AO93" s="317">
        <f>SUM(AO87:AO92)</f>
        <v>0</v>
      </c>
      <c r="AP93" s="320"/>
      <c r="AQ93" s="310"/>
      <c r="AR93" s="154"/>
      <c r="AS93" s="320"/>
    </row>
    <row r="94" spans="1:45" x14ac:dyDescent="0.2">
      <c r="A94" s="86">
        <f t="shared" si="116"/>
        <v>87</v>
      </c>
      <c r="B94" s="723" t="str">
        <f>'WA Volumes &amp; Revenues'!B81</f>
        <v>43 Firm Transpt</v>
      </c>
      <c r="C94" s="723" t="s">
        <v>283</v>
      </c>
      <c r="D94" s="162"/>
      <c r="E94" s="392">
        <f>ROUND('Rates in Detail'!Y79,5)</f>
        <v>0</v>
      </c>
      <c r="F94" s="392"/>
      <c r="G94" s="162"/>
      <c r="H94" s="393">
        <f>ROUND('Rates in Detail'!R79,5)</f>
        <v>4.9100000000000003E-3</v>
      </c>
      <c r="I94" s="775">
        <f t="shared" si="118"/>
        <v>4.9100000000000003E-3</v>
      </c>
      <c r="J94" s="162"/>
      <c r="K94" s="155">
        <f>'WA Volumes &amp; Revenues'!O81</f>
        <v>38000</v>
      </c>
      <c r="L94" s="156">
        <f>'WA Volumes &amp; Revenues'!N81</f>
        <v>38000</v>
      </c>
      <c r="M94" s="122">
        <f>'Rates in Detail'!AF79</f>
        <v>0.15748000000000001</v>
      </c>
      <c r="N94" s="122">
        <f>'Rates in Detail'!AG79</f>
        <v>0</v>
      </c>
      <c r="O94" s="122">
        <f>'Rates in Detail'!AH79</f>
        <v>0</v>
      </c>
      <c r="P94" s="774">
        <f>'Rates in Detail'!AI79</f>
        <v>0</v>
      </c>
      <c r="Q94" s="162"/>
      <c r="R94" s="298">
        <f>'WA Volumes &amp; Revenues'!E81</f>
        <v>0</v>
      </c>
      <c r="S94" s="311"/>
      <c r="T94" s="300">
        <f>'WA Volumes &amp; Revenues'!H81</f>
        <v>0</v>
      </c>
      <c r="U94" s="301">
        <f>'WA Volumes &amp; Revenues'!I81</f>
        <v>0</v>
      </c>
      <c r="V94" s="162"/>
      <c r="W94" s="306">
        <f t="shared" ref="W94:W96" si="138">(H94*R94)</f>
        <v>0</v>
      </c>
      <c r="X94" s="307">
        <f t="shared" ref="X94:X96" si="139">(K94*T94*12)</f>
        <v>0</v>
      </c>
      <c r="Y94" s="307">
        <f>(S94*(M94+O94))*12</f>
        <v>0</v>
      </c>
      <c r="Z94" s="308"/>
      <c r="AA94" s="321"/>
      <c r="AB94" s="306">
        <f>(I94*R94)</f>
        <v>0</v>
      </c>
      <c r="AC94" s="307">
        <f>(L94*T94*12)</f>
        <v>0</v>
      </c>
      <c r="AD94" s="308">
        <f>(S94*(N94+P94))*12</f>
        <v>0</v>
      </c>
      <c r="AE94" s="321"/>
      <c r="AF94" s="306">
        <f t="shared" ref="AF94:AH96" si="140">AB94-W94</f>
        <v>0</v>
      </c>
      <c r="AG94" s="307">
        <f t="shared" si="140"/>
        <v>0</v>
      </c>
      <c r="AH94" s="308">
        <f t="shared" si="140"/>
        <v>0</v>
      </c>
      <c r="AI94" s="320"/>
      <c r="AJ94" s="338"/>
      <c r="AK94" s="339"/>
      <c r="AL94" s="320"/>
      <c r="AM94" s="306">
        <f>(F94*R94)</f>
        <v>0</v>
      </c>
      <c r="AN94" s="307">
        <v>0</v>
      </c>
      <c r="AO94" s="308">
        <f t="shared" ref="AO94:AO96" si="141">(AE94*(Y94+AB94))*12</f>
        <v>0</v>
      </c>
      <c r="AP94" s="320"/>
      <c r="AQ94" s="154"/>
      <c r="AR94" s="154"/>
      <c r="AS94" s="320"/>
    </row>
    <row r="95" spans="1:45" x14ac:dyDescent="0.2">
      <c r="A95" s="86">
        <f t="shared" si="116"/>
        <v>88</v>
      </c>
      <c r="B95" s="723" t="str">
        <f>'WA Volumes &amp; Revenues'!B82</f>
        <v>43 Interr Transpt</v>
      </c>
      <c r="C95" s="724" t="s">
        <v>283</v>
      </c>
      <c r="D95" s="162"/>
      <c r="E95" s="392">
        <f>ROUND('Rates in Detail'!Y80,5)</f>
        <v>0</v>
      </c>
      <c r="F95" s="392"/>
      <c r="G95" s="162"/>
      <c r="H95" s="396">
        <f>ROUND('Rates in Detail'!R80,5)</f>
        <v>4.9100000000000003E-3</v>
      </c>
      <c r="I95" s="776">
        <f t="shared" si="118"/>
        <v>4.9100000000000003E-3</v>
      </c>
      <c r="J95" s="162"/>
      <c r="K95" s="155">
        <f>'WA Volumes &amp; Revenues'!O82</f>
        <v>38000</v>
      </c>
      <c r="L95" s="156">
        <f>'WA Volumes &amp; Revenues'!N82</f>
        <v>38000</v>
      </c>
      <c r="M95" s="122">
        <f>'Rates in Detail'!AF80</f>
        <v>0</v>
      </c>
      <c r="N95" s="122">
        <f>'Rates in Detail'!AG80</f>
        <v>0</v>
      </c>
      <c r="O95" s="122">
        <f>'Rates in Detail'!AH80</f>
        <v>0</v>
      </c>
      <c r="P95" s="774">
        <f>'Rates in Detail'!AI80</f>
        <v>0</v>
      </c>
      <c r="Q95" s="162"/>
      <c r="R95" s="298">
        <f>'WA Volumes &amp; Revenues'!E82</f>
        <v>0</v>
      </c>
      <c r="S95" s="160"/>
      <c r="T95" s="300">
        <f>'WA Volumes &amp; Revenues'!H82</f>
        <v>0</v>
      </c>
      <c r="U95" s="301">
        <f>'WA Volumes &amp; Revenues'!I82</f>
        <v>0</v>
      </c>
      <c r="V95" s="162"/>
      <c r="W95" s="322">
        <f t="shared" si="138"/>
        <v>0</v>
      </c>
      <c r="X95" s="321">
        <f t="shared" si="139"/>
        <v>0</v>
      </c>
      <c r="Y95" s="321">
        <f>(S95*(M95+O95))*12</f>
        <v>0</v>
      </c>
      <c r="Z95" s="323"/>
      <c r="AA95" s="320"/>
      <c r="AB95" s="322">
        <f>(I95*R95)</f>
        <v>0</v>
      </c>
      <c r="AC95" s="321">
        <f>(L95*T95*12)</f>
        <v>0</v>
      </c>
      <c r="AD95" s="323">
        <f>(S95*(N95+P95))*12</f>
        <v>0</v>
      </c>
      <c r="AE95" s="320"/>
      <c r="AF95" s="322">
        <f t="shared" si="140"/>
        <v>0</v>
      </c>
      <c r="AG95" s="321">
        <f t="shared" si="140"/>
        <v>0</v>
      </c>
      <c r="AH95" s="323">
        <f t="shared" si="140"/>
        <v>0</v>
      </c>
      <c r="AI95" s="320"/>
      <c r="AJ95" s="320"/>
      <c r="AK95" s="320"/>
      <c r="AL95" s="320"/>
      <c r="AM95" s="322">
        <f>(F95*R95)</f>
        <v>0</v>
      </c>
      <c r="AN95" s="321">
        <v>0</v>
      </c>
      <c r="AO95" s="323">
        <f t="shared" si="141"/>
        <v>0</v>
      </c>
      <c r="AP95" s="320"/>
      <c r="AQ95" s="154"/>
      <c r="AR95" s="154"/>
      <c r="AS95" s="320"/>
    </row>
    <row r="96" spans="1:45" ht="13.5" thickBot="1" x14ac:dyDescent="0.25">
      <c r="A96" s="86">
        <f t="shared" si="116"/>
        <v>89</v>
      </c>
      <c r="B96" s="779" t="str">
        <f>'WA Volumes &amp; Revenues'!B83</f>
        <v>Special Contract</v>
      </c>
      <c r="C96" s="780" t="s">
        <v>283</v>
      </c>
      <c r="D96" s="166"/>
      <c r="E96" s="781">
        <f>ROUND('Rates in Detail'!Y81,5)</f>
        <v>0</v>
      </c>
      <c r="F96" s="836"/>
      <c r="G96" s="782"/>
      <c r="H96" s="777">
        <f>ROUND('Rates in Detail'!R81,5)</f>
        <v>0</v>
      </c>
      <c r="I96" s="778">
        <f t="shared" si="118"/>
        <v>0</v>
      </c>
      <c r="J96" s="162"/>
      <c r="K96" s="785">
        <f>'WA Volumes &amp; Revenues'!O83</f>
        <v>0</v>
      </c>
      <c r="L96" s="786">
        <f>'WA Volumes &amp; Revenues'!N83</f>
        <v>0</v>
      </c>
      <c r="M96" s="795">
        <f>'Rates in Detail'!AF81</f>
        <v>0</v>
      </c>
      <c r="N96" s="795">
        <f>'Rates in Detail'!AG81</f>
        <v>0</v>
      </c>
      <c r="O96" s="795">
        <f>'Rates in Detail'!AH81</f>
        <v>0</v>
      </c>
      <c r="P96" s="778">
        <f>'Rates in Detail'!AI81</f>
        <v>0</v>
      </c>
      <c r="Q96" s="162"/>
      <c r="R96" s="796">
        <f>'WA Volumes &amp; Revenues'!E83</f>
        <v>2895114</v>
      </c>
      <c r="S96" s="167"/>
      <c r="T96" s="801">
        <f>'WA Volumes &amp; Revenues'!H83</f>
        <v>1</v>
      </c>
      <c r="U96" s="802">
        <f>'WA Volumes &amp; Revenues'!I83</f>
        <v>241259.5</v>
      </c>
      <c r="V96" s="162"/>
      <c r="W96" s="597">
        <f t="shared" si="138"/>
        <v>0</v>
      </c>
      <c r="X96" s="598">
        <f t="shared" si="139"/>
        <v>0</v>
      </c>
      <c r="Y96" s="598">
        <f>(S96*(M96+O96))*12</f>
        <v>0</v>
      </c>
      <c r="Z96" s="599"/>
      <c r="AA96" s="320"/>
      <c r="AB96" s="324">
        <f>(I96*R96)</f>
        <v>0</v>
      </c>
      <c r="AC96" s="325">
        <f>(L96*T96*12)</f>
        <v>0</v>
      </c>
      <c r="AD96" s="326">
        <f>(S96*(N96+P96))*12</f>
        <v>0</v>
      </c>
      <c r="AE96" s="320"/>
      <c r="AF96" s="324">
        <f t="shared" si="140"/>
        <v>0</v>
      </c>
      <c r="AG96" s="325">
        <f t="shared" si="140"/>
        <v>0</v>
      </c>
      <c r="AH96" s="326">
        <f t="shared" si="140"/>
        <v>0</v>
      </c>
      <c r="AI96" s="320"/>
      <c r="AJ96" s="320"/>
      <c r="AK96" s="320"/>
      <c r="AL96" s="320"/>
      <c r="AM96" s="597">
        <f>(F96*R96)</f>
        <v>0</v>
      </c>
      <c r="AN96" s="598">
        <v>0</v>
      </c>
      <c r="AO96" s="599">
        <f t="shared" si="141"/>
        <v>0</v>
      </c>
      <c r="AP96" s="320"/>
      <c r="AQ96" s="162"/>
      <c r="AR96" s="162"/>
      <c r="AS96" s="320"/>
    </row>
    <row r="97" spans="1:45" x14ac:dyDescent="0.2">
      <c r="A97" s="86">
        <f t="shared" si="116"/>
        <v>90</v>
      </c>
      <c r="F97" s="1137"/>
    </row>
    <row r="98" spans="1:45" x14ac:dyDescent="0.2">
      <c r="A98" s="86">
        <f t="shared" si="116"/>
        <v>91</v>
      </c>
      <c r="B98" s="168" t="s">
        <v>58</v>
      </c>
    </row>
    <row r="99" spans="1:45" x14ac:dyDescent="0.2">
      <c r="A99" s="86">
        <f t="shared" si="116"/>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65"/>
      <c r="AJ99" s="765"/>
      <c r="AK99" s="765"/>
      <c r="AL99" s="765"/>
      <c r="AM99" s="798"/>
      <c r="AN99" s="798"/>
      <c r="AO99" s="798"/>
      <c r="AP99" s="799"/>
      <c r="AS99" s="55"/>
    </row>
    <row r="100" spans="1:45" x14ac:dyDescent="0.2">
      <c r="A100" s="86">
        <f t="shared" si="116"/>
        <v>93</v>
      </c>
      <c r="B100" s="169"/>
      <c r="R100" s="327"/>
      <c r="S100" s="327"/>
      <c r="T100" s="327"/>
    </row>
    <row r="101" spans="1:45" x14ac:dyDescent="0.2">
      <c r="A101" s="86">
        <f t="shared" si="116"/>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765"/>
      <c r="AJ101" s="765"/>
      <c r="AK101" s="765"/>
      <c r="AL101" s="765"/>
      <c r="AM101" s="765"/>
      <c r="AN101" s="765"/>
      <c r="AO101" s="765"/>
      <c r="AP101" s="800"/>
      <c r="AS101" s="55"/>
    </row>
    <row r="102" spans="1:45" x14ac:dyDescent="0.2">
      <c r="A102" s="86">
        <f t="shared" si="116"/>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765"/>
      <c r="AJ102" s="765"/>
      <c r="AK102" s="765"/>
      <c r="AL102" s="765"/>
      <c r="AM102" s="765"/>
      <c r="AN102" s="765"/>
      <c r="AO102" s="765"/>
      <c r="AP102" s="800"/>
      <c r="AS102" s="55"/>
    </row>
    <row r="103" spans="1:45" x14ac:dyDescent="0.2">
      <c r="A103" s="86"/>
      <c r="B103" s="169"/>
      <c r="F103" s="1137"/>
    </row>
  </sheetData>
  <mergeCells count="10">
    <mergeCell ref="AQ14:AS14"/>
    <mergeCell ref="AQ2:AR2"/>
    <mergeCell ref="H7:I7"/>
    <mergeCell ref="K7:P7"/>
    <mergeCell ref="R7:U7"/>
    <mergeCell ref="W8:Z8"/>
    <mergeCell ref="W10:Z10"/>
    <mergeCell ref="AB10:AD10"/>
    <mergeCell ref="AF10:AH10"/>
    <mergeCell ref="AM10:AO10"/>
  </mergeCells>
  <printOptions horizontalCentered="1"/>
  <pageMargins left="0.5" right="0.5" top="0.5" bottom="0.5" header="0.25" footer="0.25"/>
  <pageSetup scale="51" orientation="landscape" r:id="rId1"/>
  <headerFooter alignWithMargins="0">
    <oddHeader>&amp;RExh. RJW-3 Wyman WP1</oddHeader>
    <oddFooter xml:space="preserve">&amp;C&amp;F &amp;D &amp;T
&amp;A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B7586-E187-4668-9D89-88A0FD280F31}">
  <sheetPr>
    <tabColor theme="8" tint="0.79998168889431442"/>
  </sheetPr>
  <dimension ref="A1:AP105"/>
  <sheetViews>
    <sheetView workbookViewId="0">
      <pane xSplit="4" ySplit="13" topLeftCell="Y14" activePane="bottomRight" state="frozen"/>
      <selection pane="topRight" activeCell="E1" sqref="E1"/>
      <selection pane="bottomLeft" activeCell="A14" sqref="A14"/>
      <selection pane="bottomRight" activeCell="G2" sqref="G2"/>
    </sheetView>
  </sheetViews>
  <sheetFormatPr defaultColWidth="9.33203125" defaultRowHeight="12.75" outlineLevelCol="1" x14ac:dyDescent="0.2"/>
  <cols>
    <col min="1" max="1" width="6.83203125" style="55" customWidth="1"/>
    <col min="2" max="2" width="19" style="56" customWidth="1"/>
    <col min="3" max="3" width="10.33203125" style="56" customWidth="1"/>
    <col min="4" max="4" width="2.83203125" style="56" customWidth="1"/>
    <col min="5" max="5" width="17.1640625" style="56" hidden="1" customWidth="1"/>
    <col min="6" max="8" width="14.83203125" style="56" customWidth="1"/>
    <col min="9" max="9" width="2.83203125" style="56" customWidth="1"/>
    <col min="10" max="10" width="19.33203125" style="56" customWidth="1"/>
    <col min="11" max="11" width="17.1640625" style="56" customWidth="1"/>
    <col min="12" max="14" width="15.83203125" style="56" customWidth="1"/>
    <col min="15" max="15" width="2.83203125" style="56" customWidth="1"/>
    <col min="16" max="18" width="15.83203125" style="56" hidden="1" customWidth="1" outlineLevel="1"/>
    <col min="19" max="19" width="2.83203125" style="56" hidden="1" customWidth="1" outlineLevel="1"/>
    <col min="20" max="20" width="15.83203125" style="56" customWidth="1" collapsed="1"/>
    <col min="21" max="22" width="15.83203125" style="56" customWidth="1"/>
    <col min="23" max="23" width="2.83203125" style="56" customWidth="1"/>
    <col min="24" max="26" width="15.83203125" style="56" customWidth="1"/>
    <col min="27" max="27" width="2.83203125" style="56" customWidth="1"/>
    <col min="28" max="30" width="15.83203125" style="56" customWidth="1"/>
    <col min="31" max="31" width="2.83203125" style="56" customWidth="1"/>
    <col min="32" max="34" width="15.83203125" style="56" customWidth="1"/>
    <col min="35" max="35" width="2.83203125" style="56" customWidth="1"/>
    <col min="36" max="36" width="23.83203125" style="56" customWidth="1"/>
    <col min="37" max="37" width="22.1640625" style="56" customWidth="1"/>
    <col min="38" max="38" width="2.83203125" style="56" customWidth="1"/>
    <col min="39" max="39" width="9.33203125" style="55"/>
    <col min="40" max="40" width="15.6640625" style="55" bestFit="1" customWidth="1"/>
    <col min="41" max="16384" width="9.33203125" style="55"/>
  </cols>
  <sheetData>
    <row r="1" spans="1:42" ht="15.75" thickBot="1" x14ac:dyDescent="0.3">
      <c r="A1" s="173" t="str">
        <f>+'WA Volumes &amp; Revenues'!A1</f>
        <v>NW Natural</v>
      </c>
    </row>
    <row r="2" spans="1:42" ht="15.75" thickBot="1" x14ac:dyDescent="0.3">
      <c r="A2" s="173" t="str">
        <f>+'WA Volumes &amp; Revenues'!A2</f>
        <v>Rates &amp; Regulatory Affairs</v>
      </c>
      <c r="E2" s="140"/>
      <c r="F2" s="140"/>
      <c r="K2" s="264"/>
      <c r="M2" s="265"/>
      <c r="P2" s="266" t="s">
        <v>114</v>
      </c>
      <c r="Q2" s="267" t="s">
        <v>115</v>
      </c>
      <c r="R2" s="268" t="s">
        <v>99</v>
      </c>
      <c r="T2" s="266" t="s">
        <v>114</v>
      </c>
      <c r="U2" s="267" t="s">
        <v>115</v>
      </c>
      <c r="V2" s="268" t="s">
        <v>99</v>
      </c>
      <c r="X2" s="266" t="s">
        <v>114</v>
      </c>
      <c r="Y2" s="267" t="s">
        <v>115</v>
      </c>
      <c r="Z2" s="268" t="s">
        <v>99</v>
      </c>
      <c r="AA2" s="145"/>
      <c r="AB2" s="266" t="s">
        <v>114</v>
      </c>
      <c r="AC2" s="267" t="s">
        <v>115</v>
      </c>
      <c r="AD2" s="268" t="s">
        <v>99</v>
      </c>
      <c r="AF2" s="266" t="s">
        <v>114</v>
      </c>
      <c r="AG2" s="267" t="s">
        <v>115</v>
      </c>
      <c r="AH2" s="268" t="s">
        <v>99</v>
      </c>
      <c r="AJ2" s="1583" t="s">
        <v>279</v>
      </c>
      <c r="AK2" s="1584"/>
    </row>
    <row r="3" spans="1:42" ht="15" x14ac:dyDescent="0.25">
      <c r="A3" s="173" t="str">
        <f>+'WA Volumes &amp; Revenues'!A3</f>
        <v>Test Year Ending September 30, 2020</v>
      </c>
      <c r="E3" s="140"/>
      <c r="F3" s="140"/>
      <c r="K3" s="264"/>
      <c r="P3" s="269">
        <f>SUM(P14:P19)+P22+P28+P31+P37+P44+P51+P58+P65+P72+P79+P93+P94+P25+P34+P86+P95+P96</f>
        <v>0</v>
      </c>
      <c r="Q3" s="270">
        <f t="shared" ref="Q3:R3" si="0">SUM(Q14:Q19)+Q22+Q28+Q31+Q37+Q44+Q51+Q58+Q65+Q72+Q79+Q93+Q94+Q25+Q34+Q86+Q95+Q96</f>
        <v>0</v>
      </c>
      <c r="R3" s="271">
        <f t="shared" si="0"/>
        <v>0</v>
      </c>
      <c r="T3" s="269">
        <f t="shared" ref="T3:V3" si="1">SUM(T14:T19)+T22+T28+T31+T37+T44+T51+T58+T65+T72+T79+T93+T94+T25+T34+T86+T95+T96</f>
        <v>-1477662.7677191028</v>
      </c>
      <c r="U3" s="270">
        <f t="shared" si="1"/>
        <v>0</v>
      </c>
      <c r="V3" s="271">
        <f t="shared" si="1"/>
        <v>0</v>
      </c>
      <c r="X3" s="269">
        <f>SUM(X14:X19)+X22+X28+X31+X37+X44+X51+X58+X65+X72+X79+X93+X94+X25+X34+X86+X95+X96</f>
        <v>-875717.69437402359</v>
      </c>
      <c r="Y3" s="270">
        <f t="shared" ref="Y3:Z3" si="2">SUM(Y14:Y19)+Y22+Y28+Y31+Y37+Y44+Y51+Y58+Y65+Y72+Y79+Y93+Y94+Y25+Y34+Y86+Y95+Y96</f>
        <v>0</v>
      </c>
      <c r="Z3" s="271">
        <f t="shared" si="2"/>
        <v>0</v>
      </c>
      <c r="AA3" s="270"/>
      <c r="AB3" s="269">
        <f t="shared" ref="AB3:AD3" si="3">SUM(AB14:AB19)+AB22+AB28+AB31+AB37+AB44+AB51+AB58+AB65+AB72+AB79+AB93+AB94+AB25+AB34+AB86+AB95+AB96</f>
        <v>-44306.090475598678</v>
      </c>
      <c r="AC3" s="270">
        <f t="shared" si="3"/>
        <v>0</v>
      </c>
      <c r="AD3" s="271">
        <f t="shared" si="3"/>
        <v>0</v>
      </c>
      <c r="AF3" s="269">
        <f t="shared" ref="AF3:AH3" si="4">SUM(AF14:AF19)+AF22+AF28+AF31+AF37+AF44+AF51+AF58+AF65+AF72+AF79+AF93+AF94+AF25+AF34+AF86+AF95+AF96</f>
        <v>-2397686.5525687248</v>
      </c>
      <c r="AG3" s="270">
        <f t="shared" si="4"/>
        <v>0</v>
      </c>
      <c r="AH3" s="271">
        <f t="shared" si="4"/>
        <v>0</v>
      </c>
      <c r="AJ3" s="168" t="s">
        <v>422</v>
      </c>
      <c r="AK3" s="272"/>
    </row>
    <row r="4" spans="1:42" ht="15" x14ac:dyDescent="0.25">
      <c r="A4" s="173" t="s">
        <v>642</v>
      </c>
      <c r="D4" s="140"/>
      <c r="E4" s="140"/>
      <c r="F4" s="140"/>
      <c r="I4" s="140"/>
      <c r="J4" s="140"/>
      <c r="K4" s="264"/>
      <c r="O4" s="140"/>
      <c r="P4" s="273"/>
      <c r="Q4" s="55"/>
      <c r="R4" s="274" t="s">
        <v>78</v>
      </c>
      <c r="S4" s="140"/>
      <c r="T4" s="273"/>
      <c r="U4" s="55"/>
      <c r="V4" s="274" t="s">
        <v>78</v>
      </c>
      <c r="W4" s="140"/>
      <c r="X4" s="273"/>
      <c r="Y4" s="55"/>
      <c r="Z4" s="274" t="s">
        <v>78</v>
      </c>
      <c r="AA4" s="145"/>
      <c r="AB4" s="273"/>
      <c r="AC4" s="55"/>
      <c r="AD4" s="274" t="s">
        <v>78</v>
      </c>
      <c r="AE4" s="140"/>
      <c r="AF4" s="273"/>
      <c r="AG4" s="55"/>
      <c r="AH4" s="274" t="s">
        <v>78</v>
      </c>
      <c r="AI4" s="140"/>
      <c r="AJ4" s="56" t="s">
        <v>484</v>
      </c>
      <c r="AK4" s="272">
        <f>V5</f>
        <v>-1477662.7677191028</v>
      </c>
    </row>
    <row r="5" spans="1:42" ht="15.75" thickBot="1" x14ac:dyDescent="0.3">
      <c r="A5" s="804"/>
      <c r="E5" s="140"/>
      <c r="F5" s="140"/>
      <c r="P5" s="275"/>
      <c r="Q5" s="276"/>
      <c r="R5" s="277">
        <f>SUM(P3:R3)</f>
        <v>0</v>
      </c>
      <c r="T5" s="275"/>
      <c r="U5" s="276"/>
      <c r="V5" s="277">
        <f>SUM(T3:V3)</f>
        <v>-1477662.7677191028</v>
      </c>
      <c r="X5" s="275"/>
      <c r="Y5" s="276"/>
      <c r="Z5" s="277">
        <f>SUM(X3:Z3)</f>
        <v>-875717.69437402359</v>
      </c>
      <c r="AA5" s="270"/>
      <c r="AB5" s="275"/>
      <c r="AC5" s="276"/>
      <c r="AD5" s="277">
        <f>SUM(AB3:AD3)</f>
        <v>-44306.090475598678</v>
      </c>
      <c r="AF5" s="275"/>
      <c r="AG5" s="276"/>
      <c r="AH5" s="277">
        <f>SUM(AF3:AH3)</f>
        <v>-2397686.5525687248</v>
      </c>
      <c r="AJ5" s="56" t="s">
        <v>407</v>
      </c>
      <c r="AK5" s="272">
        <f>Z5</f>
        <v>-875717.69437402359</v>
      </c>
    </row>
    <row r="6" spans="1:42" ht="15.75" thickBot="1" x14ac:dyDescent="0.3">
      <c r="A6" s="132"/>
      <c r="E6" s="140"/>
      <c r="F6" s="140"/>
      <c r="P6" s="55"/>
      <c r="Q6" s="278" t="s">
        <v>187</v>
      </c>
      <c r="R6" s="270"/>
      <c r="T6" s="55"/>
      <c r="U6" s="278" t="s">
        <v>187</v>
      </c>
      <c r="V6" s="270"/>
      <c r="X6" s="55"/>
      <c r="Y6" s="278" t="s">
        <v>187</v>
      </c>
      <c r="Z6" s="270"/>
      <c r="AA6" s="270"/>
      <c r="AB6" s="55"/>
      <c r="AC6" s="278" t="s">
        <v>187</v>
      </c>
      <c r="AD6" s="270"/>
      <c r="AF6" s="55"/>
      <c r="AG6" s="278" t="s">
        <v>196</v>
      </c>
      <c r="AH6" s="270"/>
      <c r="AJ6" s="56" t="s">
        <v>485</v>
      </c>
      <c r="AK6" s="281">
        <f>SUM(AK4:AK5)</f>
        <v>-2353380.4620931265</v>
      </c>
    </row>
    <row r="7" spans="1:42" ht="13.5" thickBot="1" x14ac:dyDescent="0.25">
      <c r="E7" s="140"/>
      <c r="F7" s="1151" t="s">
        <v>422</v>
      </c>
      <c r="G7" s="442" t="s">
        <v>422</v>
      </c>
      <c r="H7" s="442" t="s">
        <v>417</v>
      </c>
      <c r="J7" s="559"/>
      <c r="K7" s="1585" t="s">
        <v>124</v>
      </c>
      <c r="L7" s="1587"/>
      <c r="M7" s="1587"/>
      <c r="N7" s="1586"/>
      <c r="Q7" s="279"/>
      <c r="R7" s="280"/>
      <c r="U7" s="1152" t="s">
        <v>422</v>
      </c>
      <c r="V7" s="280"/>
      <c r="Y7" s="1152" t="s">
        <v>422</v>
      </c>
      <c r="Z7" s="280"/>
      <c r="AA7" s="280"/>
      <c r="AC7" s="1152" t="s">
        <v>417</v>
      </c>
      <c r="AD7" s="280"/>
      <c r="AG7" s="279"/>
      <c r="AH7" s="280"/>
      <c r="AJ7" s="168" t="s">
        <v>417</v>
      </c>
    </row>
    <row r="8" spans="1:42" x14ac:dyDescent="0.2">
      <c r="A8" s="86">
        <v>1</v>
      </c>
      <c r="D8" s="142"/>
      <c r="E8" s="518" t="str">
        <f>'Allocation = ¢ per Therm'!D11</f>
        <v>UG XXXXXX</v>
      </c>
      <c r="F8" s="518" t="s">
        <v>557</v>
      </c>
      <c r="G8" s="518" t="str">
        <f>F8</f>
        <v>UG-20XXXX</v>
      </c>
      <c r="H8" s="518" t="str">
        <f>F8</f>
        <v>UG-20XXXX</v>
      </c>
      <c r="I8" s="142"/>
      <c r="J8" s="560" t="s">
        <v>243</v>
      </c>
      <c r="K8" s="141"/>
      <c r="L8" s="282"/>
      <c r="M8" s="282"/>
      <c r="N8" s="283"/>
      <c r="O8" s="142"/>
      <c r="P8" s="278"/>
      <c r="Q8" s="1096" t="s">
        <v>375</v>
      </c>
      <c r="R8" s="278"/>
      <c r="S8" s="142"/>
      <c r="T8" s="278"/>
      <c r="U8" s="279" t="s">
        <v>401</v>
      </c>
      <c r="V8" s="278"/>
      <c r="W8" s="142"/>
      <c r="X8" s="278"/>
      <c r="Y8" s="279" t="s">
        <v>407</v>
      </c>
      <c r="Z8" s="278"/>
      <c r="AA8" s="278"/>
      <c r="AB8" s="278"/>
      <c r="AC8" s="1181" t="s">
        <v>482</v>
      </c>
      <c r="AD8" s="278"/>
      <c r="AE8" s="142"/>
      <c r="AF8" s="278"/>
      <c r="AG8" s="807" t="s">
        <v>78</v>
      </c>
      <c r="AH8" s="278"/>
      <c r="AI8" s="142"/>
      <c r="AJ8" s="1153" t="s">
        <v>482</v>
      </c>
      <c r="AK8" s="467">
        <f>AD5</f>
        <v>-44306.090475598678</v>
      </c>
    </row>
    <row r="9" spans="1:42" ht="13.5" thickBot="1" x14ac:dyDescent="0.25">
      <c r="A9" s="86">
        <f>+A8+1</f>
        <v>2</v>
      </c>
      <c r="D9" s="143"/>
      <c r="E9" s="1095" t="s">
        <v>380</v>
      </c>
      <c r="F9" s="263" t="s">
        <v>401</v>
      </c>
      <c r="G9" s="263" t="s">
        <v>412</v>
      </c>
      <c r="H9" s="1182" t="s">
        <v>483</v>
      </c>
      <c r="I9" s="143"/>
      <c r="J9" s="561" t="s">
        <v>236</v>
      </c>
      <c r="K9" s="1016" t="str">
        <f>F8</f>
        <v>UG-20XXXX</v>
      </c>
      <c r="L9" s="1017" t="str">
        <f>K9</f>
        <v>UG-20XXXX</v>
      </c>
      <c r="M9" s="1017" t="str">
        <f>L9</f>
        <v>UG-20XXXX</v>
      </c>
      <c r="N9" s="1018" t="str">
        <f>M9</f>
        <v>UG-20XXXX</v>
      </c>
      <c r="O9" s="143"/>
      <c r="P9" s="278"/>
      <c r="Q9" s="279"/>
      <c r="R9" s="278"/>
      <c r="S9" s="143"/>
      <c r="T9" s="278"/>
      <c r="U9" s="279" t="s">
        <v>247</v>
      </c>
      <c r="V9" s="278"/>
      <c r="W9" s="143"/>
      <c r="X9" s="278"/>
      <c r="Y9" s="279"/>
      <c r="Z9" s="278"/>
      <c r="AA9" s="278"/>
      <c r="AB9" s="278"/>
      <c r="AC9" s="279"/>
      <c r="AD9" s="278"/>
      <c r="AE9" s="143"/>
      <c r="AF9" s="278"/>
      <c r="AG9" s="279"/>
      <c r="AH9" s="278"/>
      <c r="AI9" s="143"/>
      <c r="AJ9" s="1154" t="s">
        <v>486</v>
      </c>
      <c r="AK9" s="1155">
        <f>AK8</f>
        <v>-44306.090475598678</v>
      </c>
      <c r="AN9" s="272">
        <f>'Allocation = % of Margin'!M10</f>
        <v>-1477729</v>
      </c>
      <c r="AO9" s="299" t="str">
        <f>U8</f>
        <v>Historical EE</v>
      </c>
    </row>
    <row r="10" spans="1:42" ht="14.25" thickTop="1" thickBot="1" x14ac:dyDescent="0.25">
      <c r="A10" s="86">
        <f t="shared" ref="A10:A73" si="5">+A9+1</f>
        <v>3</v>
      </c>
      <c r="D10" s="145"/>
      <c r="E10" s="1019" t="s">
        <v>377</v>
      </c>
      <c r="F10" s="59" t="s">
        <v>378</v>
      </c>
      <c r="G10" s="59" t="s">
        <v>378</v>
      </c>
      <c r="H10" s="58" t="s">
        <v>379</v>
      </c>
      <c r="I10" s="145"/>
      <c r="J10" s="561" t="s">
        <v>110</v>
      </c>
      <c r="K10" s="284" t="s">
        <v>110</v>
      </c>
      <c r="L10" s="278" t="s">
        <v>110</v>
      </c>
      <c r="M10" s="278" t="s">
        <v>120</v>
      </c>
      <c r="N10" s="285" t="s">
        <v>70</v>
      </c>
      <c r="O10" s="145"/>
      <c r="P10" s="1580" t="s">
        <v>117</v>
      </c>
      <c r="Q10" s="1581"/>
      <c r="R10" s="1582"/>
      <c r="S10" s="145"/>
      <c r="T10" s="1580" t="s">
        <v>117</v>
      </c>
      <c r="U10" s="1581"/>
      <c r="V10" s="1582"/>
      <c r="W10" s="145"/>
      <c r="X10" s="1580" t="s">
        <v>117</v>
      </c>
      <c r="Y10" s="1581"/>
      <c r="Z10" s="1582"/>
      <c r="AA10" s="58"/>
      <c r="AB10" s="1580" t="s">
        <v>117</v>
      </c>
      <c r="AC10" s="1581"/>
      <c r="AD10" s="1582"/>
      <c r="AE10" s="145"/>
      <c r="AF10" s="1580" t="s">
        <v>117</v>
      </c>
      <c r="AG10" s="1581"/>
      <c r="AH10" s="1582"/>
      <c r="AI10" s="145"/>
      <c r="AJ10" s="60" t="s">
        <v>91</v>
      </c>
      <c r="AK10" s="474">
        <f>AK6+AK9</f>
        <v>-2397686.5525687253</v>
      </c>
      <c r="AN10" s="272">
        <f>'Allocation = % of Margin'!P10</f>
        <v>-875740</v>
      </c>
      <c r="AO10" s="55" t="str">
        <f>Y8</f>
        <v>Block 24 (Truck Lot) Sale</v>
      </c>
    </row>
    <row r="11" spans="1:42" s="57" customFormat="1" ht="13.5" thickBot="1" x14ac:dyDescent="0.25">
      <c r="A11" s="86">
        <f t="shared" si="5"/>
        <v>4</v>
      </c>
      <c r="B11" s="147"/>
      <c r="C11" s="147"/>
      <c r="D11" s="145"/>
      <c r="E11" s="172" t="s">
        <v>185</v>
      </c>
      <c r="F11" s="172" t="s">
        <v>185</v>
      </c>
      <c r="G11" s="172" t="s">
        <v>185</v>
      </c>
      <c r="H11" s="172" t="s">
        <v>185</v>
      </c>
      <c r="I11" s="145"/>
      <c r="J11" s="562" t="s">
        <v>111</v>
      </c>
      <c r="K11" s="286" t="s">
        <v>111</v>
      </c>
      <c r="L11" s="287" t="s">
        <v>113</v>
      </c>
      <c r="M11" s="287" t="s">
        <v>75</v>
      </c>
      <c r="N11" s="288" t="s">
        <v>112</v>
      </c>
      <c r="O11" s="145"/>
      <c r="P11" s="289" t="s">
        <v>114</v>
      </c>
      <c r="Q11" s="145" t="s">
        <v>115</v>
      </c>
      <c r="R11" s="274" t="s">
        <v>99</v>
      </c>
      <c r="S11" s="145"/>
      <c r="T11" s="289" t="s">
        <v>114</v>
      </c>
      <c r="U11" s="145" t="s">
        <v>115</v>
      </c>
      <c r="V11" s="274" t="s">
        <v>99</v>
      </c>
      <c r="W11" s="145"/>
      <c r="X11" s="289" t="s">
        <v>114</v>
      </c>
      <c r="Y11" s="145" t="s">
        <v>115</v>
      </c>
      <c r="Z11" s="274" t="s">
        <v>99</v>
      </c>
      <c r="AA11" s="145"/>
      <c r="AB11" s="289" t="s">
        <v>114</v>
      </c>
      <c r="AC11" s="145" t="s">
        <v>115</v>
      </c>
      <c r="AD11" s="274" t="s">
        <v>99</v>
      </c>
      <c r="AE11" s="145"/>
      <c r="AF11" s="289" t="s">
        <v>114</v>
      </c>
      <c r="AG11" s="145" t="s">
        <v>115</v>
      </c>
      <c r="AH11" s="274" t="s">
        <v>99</v>
      </c>
      <c r="AI11" s="145"/>
      <c r="AJ11" s="278"/>
      <c r="AK11" s="278"/>
      <c r="AL11" s="145"/>
      <c r="AN11" s="1156">
        <f>'Allocation = % of Margin'!V10</f>
        <v>-44544</v>
      </c>
      <c r="AO11" s="1157" t="s">
        <v>482</v>
      </c>
      <c r="AP11" s="1158"/>
    </row>
    <row r="12" spans="1:42" s="57" customFormat="1" x14ac:dyDescent="0.2">
      <c r="A12" s="86">
        <f t="shared" si="5"/>
        <v>5</v>
      </c>
      <c r="B12" s="56"/>
      <c r="C12" s="56"/>
      <c r="D12" s="58"/>
      <c r="E12" s="150"/>
      <c r="F12" s="150"/>
      <c r="H12" s="150"/>
      <c r="I12" s="58"/>
      <c r="J12" s="547"/>
      <c r="K12" s="290"/>
      <c r="L12" s="146"/>
      <c r="M12" s="146"/>
      <c r="N12" s="291"/>
      <c r="O12" s="58"/>
      <c r="P12" s="151"/>
      <c r="R12" s="149"/>
      <c r="S12" s="58"/>
      <c r="T12" s="151"/>
      <c r="V12" s="149"/>
      <c r="W12" s="58"/>
      <c r="X12" s="151"/>
      <c r="Z12" s="149"/>
      <c r="AB12" s="151"/>
      <c r="AD12" s="149"/>
      <c r="AE12" s="58"/>
      <c r="AF12" s="151"/>
      <c r="AH12" s="149"/>
      <c r="AI12" s="58"/>
      <c r="AJ12" s="145"/>
      <c r="AK12" s="292">
        <f>AN12</f>
        <v>-2398013</v>
      </c>
      <c r="AL12" s="293" t="s">
        <v>157</v>
      </c>
      <c r="AN12" s="611">
        <f>SUM(AN9:AN11)</f>
        <v>-2398013</v>
      </c>
      <c r="AO12" s="139" t="s">
        <v>32</v>
      </c>
    </row>
    <row r="13" spans="1:42" s="57" customFormat="1" ht="13.5" thickBot="1" x14ac:dyDescent="0.25">
      <c r="A13" s="86">
        <f t="shared" si="5"/>
        <v>6</v>
      </c>
      <c r="B13" s="771" t="s">
        <v>2</v>
      </c>
      <c r="C13" s="771" t="s">
        <v>3</v>
      </c>
      <c r="D13" s="294"/>
      <c r="E13" s="294" t="s">
        <v>35</v>
      </c>
      <c r="F13" s="294" t="s">
        <v>36</v>
      </c>
      <c r="G13" s="294" t="s">
        <v>13</v>
      </c>
      <c r="H13" s="294" t="s">
        <v>37</v>
      </c>
      <c r="I13" s="294"/>
      <c r="J13" s="549" t="s">
        <v>38</v>
      </c>
      <c r="K13" s="295" t="s">
        <v>37</v>
      </c>
      <c r="L13" s="294" t="s">
        <v>38</v>
      </c>
      <c r="M13" s="294" t="s">
        <v>39</v>
      </c>
      <c r="N13" s="296" t="s">
        <v>40</v>
      </c>
      <c r="O13" s="58"/>
      <c r="P13" s="148" t="s">
        <v>41</v>
      </c>
      <c r="Q13" s="58" t="s">
        <v>42</v>
      </c>
      <c r="R13" s="297" t="s">
        <v>129</v>
      </c>
      <c r="S13" s="58"/>
      <c r="T13" s="148" t="s">
        <v>130</v>
      </c>
      <c r="U13" s="58" t="s">
        <v>43</v>
      </c>
      <c r="V13" s="297" t="s">
        <v>131</v>
      </c>
      <c r="W13" s="58"/>
      <c r="X13" s="148" t="s">
        <v>132</v>
      </c>
      <c r="Y13" s="58" t="s">
        <v>133</v>
      </c>
      <c r="Z13" s="297" t="s">
        <v>134</v>
      </c>
      <c r="AA13" s="58"/>
      <c r="AB13" s="148" t="s">
        <v>132</v>
      </c>
      <c r="AC13" s="58" t="s">
        <v>133</v>
      </c>
      <c r="AD13" s="297" t="s">
        <v>134</v>
      </c>
      <c r="AE13" s="58"/>
      <c r="AF13" s="148" t="s">
        <v>135</v>
      </c>
      <c r="AG13" s="58" t="s">
        <v>89</v>
      </c>
      <c r="AH13" s="297" t="s">
        <v>92</v>
      </c>
      <c r="AI13" s="58"/>
      <c r="AK13" s="1180">
        <f>AK12-AK10</f>
        <v>-326.44743127468973</v>
      </c>
      <c r="AL13" s="293" t="s">
        <v>168</v>
      </c>
    </row>
    <row r="14" spans="1:42" ht="12.95" customHeight="1" x14ac:dyDescent="0.2">
      <c r="A14" s="86">
        <f t="shared" si="5"/>
        <v>7</v>
      </c>
      <c r="B14" s="723" t="str">
        <f>'Rev Req Proof Yr1'!B14</f>
        <v>1R</v>
      </c>
      <c r="C14" s="723" t="str">
        <f>'Rev Req Proof Yr1'!C14</f>
        <v>n/a</v>
      </c>
      <c r="D14" s="154"/>
      <c r="E14" s="159">
        <f>ROUND('Allocation = ¢ per Therm'!K17,5)</f>
        <v>0</v>
      </c>
      <c r="F14" s="153">
        <f>ROUND('Allocation = % of Margin'!O14,5)</f>
        <v>-3.1189999999999999E-2</v>
      </c>
      <c r="G14" s="159">
        <f>ROUND('Allocation = % of Margin'!R14,5)</f>
        <v>-1.7239999999999998E-2</v>
      </c>
      <c r="H14" s="159">
        <f>ROUND('Allocation = % of Margin'!X14,5)</f>
        <v>-8.8000000000000003E-4</v>
      </c>
      <c r="I14" s="154"/>
      <c r="J14" s="808">
        <f>'WA Volumes &amp; Revenues'!F15</f>
        <v>218577.4</v>
      </c>
      <c r="K14" s="298">
        <f>'Rev Req Proof Yr1'!R14</f>
        <v>214704.20066131229</v>
      </c>
      <c r="L14" s="299">
        <f>'Rev Req Proof Yr1'!S14</f>
        <v>0</v>
      </c>
      <c r="M14" s="300">
        <f>'Rev Req Proof Yr1'!T14</f>
        <v>911</v>
      </c>
      <c r="N14" s="301">
        <f>'Rev Req Proof Yr1'!U14</f>
        <v>19.639970000000002</v>
      </c>
      <c r="O14" s="154"/>
      <c r="P14" s="302">
        <f t="shared" ref="P14:P15" si="6">((E14)*K14)</f>
        <v>0</v>
      </c>
      <c r="Q14" s="303">
        <v>0</v>
      </c>
      <c r="R14" s="304">
        <v>0</v>
      </c>
      <c r="S14" s="154"/>
      <c r="T14" s="302">
        <f>((F14)*K14)</f>
        <v>-6696.6240186263303</v>
      </c>
      <c r="U14" s="303">
        <v>0</v>
      </c>
      <c r="V14" s="304">
        <v>0</v>
      </c>
      <c r="W14" s="154"/>
      <c r="X14" s="302">
        <f>((G14)*K14)</f>
        <v>-3701.5004194010235</v>
      </c>
      <c r="Y14" s="303">
        <v>0</v>
      </c>
      <c r="Z14" s="304">
        <v>0</v>
      </c>
      <c r="AA14" s="309"/>
      <c r="AB14" s="302">
        <f>((H14)*K14)</f>
        <v>-188.93969658195482</v>
      </c>
      <c r="AC14" s="303">
        <v>0</v>
      </c>
      <c r="AD14" s="304">
        <v>0</v>
      </c>
      <c r="AE14" s="154"/>
      <c r="AF14" s="302">
        <f>((E14+F14+G14+H14)*K14)</f>
        <v>-10587.064134609309</v>
      </c>
      <c r="AG14" s="303">
        <v>0</v>
      </c>
      <c r="AH14" s="304">
        <v>0</v>
      </c>
      <c r="AI14" s="305"/>
      <c r="AJ14" s="1589" t="s">
        <v>169</v>
      </c>
      <c r="AK14" s="1589"/>
      <c r="AL14" s="1589"/>
    </row>
    <row r="15" spans="1:42" x14ac:dyDescent="0.2">
      <c r="A15" s="86">
        <f t="shared" si="5"/>
        <v>8</v>
      </c>
      <c r="B15" s="723" t="str">
        <f>'Rev Req Proof Yr1'!B15</f>
        <v>1C</v>
      </c>
      <c r="C15" s="723" t="str">
        <f>'Rev Req Proof Yr1'!C15</f>
        <v>n/a</v>
      </c>
      <c r="D15" s="157"/>
      <c r="E15" s="159">
        <f>ROUND('Allocation = ¢ per Therm'!K18,5)</f>
        <v>0</v>
      </c>
      <c r="F15" s="153">
        <f>ROUND('Allocation = % of Margin'!O15,5)</f>
        <v>-2.5940000000000001E-2</v>
      </c>
      <c r="G15" s="159">
        <f>ROUND('Allocation = % of Margin'!R15,5)</f>
        <v>-1.4330000000000001E-2</v>
      </c>
      <c r="H15" s="159">
        <f>ROUND('Allocation = % of Margin'!X15,5)</f>
        <v>-7.2999999999999996E-4</v>
      </c>
      <c r="I15" s="157"/>
      <c r="J15" s="808">
        <f>'WA Volumes &amp; Revenues'!F16</f>
        <v>38726</v>
      </c>
      <c r="K15" s="298">
        <f>'Rev Req Proof Yr1'!R15</f>
        <v>46539.057144390383</v>
      </c>
      <c r="L15" s="299">
        <f>'Rev Req Proof Yr1'!S15</f>
        <v>0</v>
      </c>
      <c r="M15" s="300">
        <f>'Rev Req Proof Yr1'!T15</f>
        <v>34</v>
      </c>
      <c r="N15" s="301">
        <f>'Rev Req Proof Yr1'!U15</f>
        <v>114.06632</v>
      </c>
      <c r="O15" s="157"/>
      <c r="P15" s="306">
        <f t="shared" si="6"/>
        <v>0</v>
      </c>
      <c r="Q15" s="307">
        <v>0</v>
      </c>
      <c r="R15" s="308">
        <v>0</v>
      </c>
      <c r="S15" s="157"/>
      <c r="T15" s="306">
        <f t="shared" ref="T15:T36" si="7">((F15)*K15)</f>
        <v>-1207.2231423254866</v>
      </c>
      <c r="U15" s="307">
        <v>0</v>
      </c>
      <c r="V15" s="308">
        <v>0</v>
      </c>
      <c r="W15" s="157"/>
      <c r="X15" s="306">
        <f t="shared" ref="X15" si="8">((G15)*K15)</f>
        <v>-666.90468887911425</v>
      </c>
      <c r="Y15" s="307">
        <v>0</v>
      </c>
      <c r="Z15" s="308">
        <v>0</v>
      </c>
      <c r="AA15" s="309"/>
      <c r="AB15" s="306">
        <f t="shared" ref="AB15:AB80" si="9">((H15)*K15)</f>
        <v>-33.973511715404975</v>
      </c>
      <c r="AC15" s="307">
        <v>0</v>
      </c>
      <c r="AD15" s="308">
        <v>0</v>
      </c>
      <c r="AE15" s="157"/>
      <c r="AF15" s="306">
        <f t="shared" ref="AF15:AF21" si="10">((E15+F15+G15+H15)*K15)</f>
        <v>-1908.1013429200057</v>
      </c>
      <c r="AG15" s="307">
        <v>0</v>
      </c>
      <c r="AH15" s="308">
        <v>0</v>
      </c>
      <c r="AI15" s="309"/>
      <c r="AJ15" s="310"/>
      <c r="AK15" s="310"/>
      <c r="AL15" s="309"/>
    </row>
    <row r="16" spans="1:42" x14ac:dyDescent="0.2">
      <c r="A16" s="86">
        <f t="shared" si="5"/>
        <v>9</v>
      </c>
      <c r="B16" s="723" t="str">
        <f>'Rev Req Proof Yr1'!B16</f>
        <v>2R</v>
      </c>
      <c r="C16" s="723" t="str">
        <f>'Rev Req Proof Yr1'!C16</f>
        <v>n/a</v>
      </c>
      <c r="D16" s="157"/>
      <c r="E16" s="159">
        <f>ROUND('Allocation = ¢ per Therm'!K19,5)</f>
        <v>0</v>
      </c>
      <c r="F16" s="159">
        <f>ROUND('Allocation = % of Margin'!O16,5)</f>
        <v>-1.9740000000000001E-2</v>
      </c>
      <c r="G16" s="159">
        <f>ROUND('Allocation = % of Margin'!R16,5)</f>
        <v>-1.091E-2</v>
      </c>
      <c r="H16" s="159">
        <f>ROUND('Allocation = % of Margin'!X16,5)</f>
        <v>-5.5000000000000003E-4</v>
      </c>
      <c r="I16" s="157"/>
      <c r="J16" s="564">
        <f>'WA Volumes &amp; Revenues'!F17</f>
        <v>55009539.100000001</v>
      </c>
      <c r="K16" s="298">
        <f>'Rev Req Proof Yr1'!R16</f>
        <v>54953515.785084128</v>
      </c>
      <c r="L16" s="299">
        <f>'Rev Req Proof Yr1'!S16</f>
        <v>0</v>
      </c>
      <c r="M16" s="300">
        <f>'Rev Req Proof Yr1'!T16</f>
        <v>81119</v>
      </c>
      <c r="N16" s="301">
        <f>'Rev Req Proof Yr1'!U16</f>
        <v>56.453600000000002</v>
      </c>
      <c r="O16" s="157"/>
      <c r="P16" s="306">
        <f>((E16)*K16)</f>
        <v>0</v>
      </c>
      <c r="Q16" s="307">
        <v>0</v>
      </c>
      <c r="R16" s="308">
        <v>0</v>
      </c>
      <c r="S16" s="157"/>
      <c r="T16" s="306">
        <f t="shared" si="7"/>
        <v>-1084782.4015975606</v>
      </c>
      <c r="U16" s="307">
        <v>0</v>
      </c>
      <c r="V16" s="308">
        <v>0</v>
      </c>
      <c r="W16" s="157"/>
      <c r="X16" s="306">
        <f t="shared" ref="X16:X21" si="11">((G16)*K16)</f>
        <v>-599542.85721526784</v>
      </c>
      <c r="Y16" s="307">
        <v>0</v>
      </c>
      <c r="Z16" s="308">
        <v>0</v>
      </c>
      <c r="AA16" s="309"/>
      <c r="AB16" s="306">
        <f t="shared" si="9"/>
        <v>-30224.433681796272</v>
      </c>
      <c r="AC16" s="307">
        <v>0</v>
      </c>
      <c r="AD16" s="308">
        <v>0</v>
      </c>
      <c r="AE16" s="157"/>
      <c r="AF16" s="306">
        <f t="shared" si="10"/>
        <v>-1714549.6924946248</v>
      </c>
      <c r="AG16" s="307">
        <v>0</v>
      </c>
      <c r="AH16" s="308">
        <v>0</v>
      </c>
      <c r="AI16" s="309"/>
      <c r="AJ16" s="310"/>
      <c r="AK16" s="310"/>
      <c r="AL16" s="309"/>
    </row>
    <row r="17" spans="1:38" x14ac:dyDescent="0.2">
      <c r="A17" s="86">
        <f t="shared" si="5"/>
        <v>10</v>
      </c>
      <c r="B17" s="723" t="str">
        <f>'Rev Req Proof Yr1'!B17</f>
        <v>3 CFS</v>
      </c>
      <c r="C17" s="723" t="str">
        <f>'Rev Req Proof Yr1'!C17</f>
        <v>n/a</v>
      </c>
      <c r="D17" s="157"/>
      <c r="E17" s="159">
        <f>ROUND('Allocation = ¢ per Therm'!K20,5)</f>
        <v>0</v>
      </c>
      <c r="F17" s="153">
        <f>ROUND('Allocation = % of Margin'!O17,5)</f>
        <v>-1.7729999999999999E-2</v>
      </c>
      <c r="G17" s="159">
        <f>ROUND('Allocation = % of Margin'!R17,5)</f>
        <v>-9.7999999999999997E-3</v>
      </c>
      <c r="H17" s="159">
        <f>ROUND('Allocation = % of Margin'!X17,5)</f>
        <v>-5.0000000000000001E-4</v>
      </c>
      <c r="I17" s="157"/>
      <c r="J17" s="564">
        <f>'WA Volumes &amp; Revenues'!F18</f>
        <v>18385904.899999999</v>
      </c>
      <c r="K17" s="298">
        <f>'Rev Req Proof Yr1'!R17</f>
        <v>17867210.60654201</v>
      </c>
      <c r="L17" s="299">
        <f>'Rev Req Proof Yr1'!S17</f>
        <v>0</v>
      </c>
      <c r="M17" s="300">
        <f>'Rev Req Proof Yr1'!T17</f>
        <v>6318</v>
      </c>
      <c r="N17" s="301">
        <f>'Rev Req Proof Yr1'!U17</f>
        <v>235.66542999999999</v>
      </c>
      <c r="O17" s="157"/>
      <c r="P17" s="306">
        <f t="shared" ref="P17:P21" si="12">((E17)*K17)</f>
        <v>0</v>
      </c>
      <c r="Q17" s="307">
        <v>0</v>
      </c>
      <c r="R17" s="308">
        <v>0</v>
      </c>
      <c r="S17" s="157"/>
      <c r="T17" s="306">
        <f t="shared" si="7"/>
        <v>-316785.64405398985</v>
      </c>
      <c r="U17" s="307">
        <v>0</v>
      </c>
      <c r="V17" s="308">
        <v>0</v>
      </c>
      <c r="W17" s="157"/>
      <c r="X17" s="306">
        <f t="shared" si="11"/>
        <v>-175098.6639441117</v>
      </c>
      <c r="Y17" s="307">
        <v>0</v>
      </c>
      <c r="Z17" s="308">
        <v>0</v>
      </c>
      <c r="AA17" s="309"/>
      <c r="AB17" s="306">
        <f t="shared" si="9"/>
        <v>-8933.6053032710042</v>
      </c>
      <c r="AC17" s="307">
        <v>0</v>
      </c>
      <c r="AD17" s="308">
        <v>0</v>
      </c>
      <c r="AE17" s="157"/>
      <c r="AF17" s="306">
        <f t="shared" si="10"/>
        <v>-500817.91330137255</v>
      </c>
      <c r="AG17" s="307">
        <v>0</v>
      </c>
      <c r="AH17" s="308">
        <v>0</v>
      </c>
      <c r="AI17" s="309"/>
      <c r="AJ17" s="310"/>
      <c r="AK17" s="310"/>
      <c r="AL17" s="309"/>
    </row>
    <row r="18" spans="1:38" x14ac:dyDescent="0.2">
      <c r="A18" s="86">
        <f t="shared" si="5"/>
        <v>11</v>
      </c>
      <c r="B18" s="723" t="str">
        <f>'Rev Req Proof Yr1'!B18</f>
        <v>3 IFS</v>
      </c>
      <c r="C18" s="723" t="str">
        <f>'Rev Req Proof Yr1'!C18</f>
        <v>n/a</v>
      </c>
      <c r="D18" s="157"/>
      <c r="E18" s="159">
        <f>ROUND('Allocation = ¢ per Therm'!K21,5)</f>
        <v>0</v>
      </c>
      <c r="F18" s="153">
        <f>ROUND('Allocation = % of Margin'!O18,5)</f>
        <v>0</v>
      </c>
      <c r="G18" s="159">
        <f>ROUND('Allocation = % of Margin'!R18,5)</f>
        <v>-8.8699999999999994E-3</v>
      </c>
      <c r="H18" s="159">
        <f>ROUND('Allocation = % of Margin'!X18,5)</f>
        <v>-4.4999999999999999E-4</v>
      </c>
      <c r="I18" s="157"/>
      <c r="J18" s="564">
        <f>'WA Volumes &amp; Revenues'!F19</f>
        <v>263842</v>
      </c>
      <c r="K18" s="298">
        <f>'Rev Req Proof Yr1'!R18</f>
        <v>283651.99999999994</v>
      </c>
      <c r="L18" s="299">
        <f>'Rev Req Proof Yr1'!S18</f>
        <v>0</v>
      </c>
      <c r="M18" s="300">
        <f>'Rev Req Proof Yr1'!T18</f>
        <v>24.25</v>
      </c>
      <c r="N18" s="301">
        <f>'Rev Req Proof Yr1'!U18</f>
        <v>974.74914000000001</v>
      </c>
      <c r="O18" s="157"/>
      <c r="P18" s="306">
        <f t="shared" si="12"/>
        <v>0</v>
      </c>
      <c r="Q18" s="307">
        <v>0</v>
      </c>
      <c r="R18" s="308">
        <v>0</v>
      </c>
      <c r="S18" s="157"/>
      <c r="T18" s="306">
        <f t="shared" si="7"/>
        <v>0</v>
      </c>
      <c r="U18" s="307">
        <v>0</v>
      </c>
      <c r="V18" s="308">
        <v>0</v>
      </c>
      <c r="W18" s="157"/>
      <c r="X18" s="306">
        <f t="shared" si="11"/>
        <v>-2515.9932399999993</v>
      </c>
      <c r="Y18" s="307">
        <v>0</v>
      </c>
      <c r="Z18" s="308">
        <v>0</v>
      </c>
      <c r="AA18" s="309"/>
      <c r="AB18" s="306">
        <f t="shared" si="9"/>
        <v>-127.64339999999997</v>
      </c>
      <c r="AC18" s="307">
        <v>0</v>
      </c>
      <c r="AD18" s="308">
        <v>0</v>
      </c>
      <c r="AE18" s="157"/>
      <c r="AF18" s="306">
        <f t="shared" si="10"/>
        <v>-2643.6366399999997</v>
      </c>
      <c r="AG18" s="307">
        <v>0</v>
      </c>
      <c r="AH18" s="308">
        <v>0</v>
      </c>
      <c r="AI18" s="309"/>
      <c r="AJ18" s="310"/>
      <c r="AK18" s="310"/>
      <c r="AL18" s="309"/>
    </row>
    <row r="19" spans="1:38" x14ac:dyDescent="0.2">
      <c r="A19" s="86">
        <f t="shared" si="5"/>
        <v>12</v>
      </c>
      <c r="B19" s="723" t="str">
        <f>'Rev Req Proof Yr1'!B19</f>
        <v>27R</v>
      </c>
      <c r="C19" s="723" t="str">
        <f>'Rev Req Proof Yr1'!C19</f>
        <v>n/a</v>
      </c>
      <c r="D19" s="157"/>
      <c r="E19" s="159">
        <f>ROUND('Allocation = ¢ per Therm'!K22,5)</f>
        <v>0</v>
      </c>
      <c r="F19" s="153">
        <f>ROUND('Allocation = % of Margin'!O19,5)</f>
        <v>-1.405E-2</v>
      </c>
      <c r="G19" s="159">
        <f>ROUND('Allocation = % of Margin'!R19,5)</f>
        <v>-7.77E-3</v>
      </c>
      <c r="H19" s="159">
        <f>ROUND('Allocation = % of Margin'!X19,5)</f>
        <v>-3.8999999999999999E-4</v>
      </c>
      <c r="I19" s="157"/>
      <c r="J19" s="564">
        <f>'WA Volumes &amp; Revenues'!F20</f>
        <v>591910</v>
      </c>
      <c r="K19" s="298">
        <f>'Rev Req Proof Yr1'!R19</f>
        <v>461371.76933137607</v>
      </c>
      <c r="L19" s="299">
        <f>'Rev Req Proof Yr1'!S19</f>
        <v>0</v>
      </c>
      <c r="M19" s="300">
        <f>'Rev Req Proof Yr1'!T19</f>
        <v>776</v>
      </c>
      <c r="N19" s="301">
        <f>'Rev Req Proof Yr1'!U19</f>
        <v>49.545940000000002</v>
      </c>
      <c r="O19" s="157"/>
      <c r="P19" s="306">
        <f t="shared" si="12"/>
        <v>0</v>
      </c>
      <c r="Q19" s="307">
        <v>0</v>
      </c>
      <c r="R19" s="308">
        <v>0</v>
      </c>
      <c r="S19" s="157"/>
      <c r="T19" s="306">
        <f t="shared" si="7"/>
        <v>-6482.2733591058341</v>
      </c>
      <c r="U19" s="307">
        <v>0</v>
      </c>
      <c r="V19" s="308">
        <v>0</v>
      </c>
      <c r="W19" s="157"/>
      <c r="X19" s="306">
        <f t="shared" si="11"/>
        <v>-3584.858647704792</v>
      </c>
      <c r="Y19" s="307">
        <v>0</v>
      </c>
      <c r="Z19" s="308">
        <v>0</v>
      </c>
      <c r="AA19" s="309"/>
      <c r="AB19" s="306">
        <f t="shared" si="9"/>
        <v>-179.93499003923665</v>
      </c>
      <c r="AC19" s="307">
        <v>0</v>
      </c>
      <c r="AD19" s="308">
        <v>0</v>
      </c>
      <c r="AE19" s="157"/>
      <c r="AF19" s="306">
        <f t="shared" si="10"/>
        <v>-10247.066996849862</v>
      </c>
      <c r="AG19" s="307">
        <v>0</v>
      </c>
      <c r="AH19" s="308">
        <v>0</v>
      </c>
      <c r="AI19" s="309"/>
      <c r="AJ19" s="310"/>
      <c r="AK19" s="310"/>
      <c r="AL19" s="309"/>
    </row>
    <row r="20" spans="1:38" x14ac:dyDescent="0.2">
      <c r="A20" s="86">
        <f t="shared" si="5"/>
        <v>13</v>
      </c>
      <c r="B20" s="733" t="str">
        <f>'Rev Req Proof Yr1'!B20</f>
        <v>41C Firm Sales</v>
      </c>
      <c r="C20" s="726" t="s">
        <v>4</v>
      </c>
      <c r="D20" s="157"/>
      <c r="E20" s="157">
        <f>ROUND('Allocation = ¢ per Therm'!K23,5)</f>
        <v>0</v>
      </c>
      <c r="F20" s="157">
        <f>ROUND('Allocation = % of Margin'!O20,5)</f>
        <v>-1.4080000000000001E-2</v>
      </c>
      <c r="G20" s="312">
        <f>ROUND('Allocation = % of Margin'!R20,5)</f>
        <v>-7.7799999999999996E-3</v>
      </c>
      <c r="H20" s="312">
        <f>ROUND('Allocation = % of Margin'!X20,5)</f>
        <v>-4.0000000000000002E-4</v>
      </c>
      <c r="I20" s="157"/>
      <c r="J20" s="564">
        <f>'WA Volumes &amp; Revenues'!F21</f>
        <v>1992236.2</v>
      </c>
      <c r="K20" s="298">
        <f>'Rev Req Proof Yr1'!R20</f>
        <v>1777065.1510316674</v>
      </c>
      <c r="L20" s="299">
        <f>'Rev Req Proof Yr1'!S20</f>
        <v>0</v>
      </c>
      <c r="M20" s="300">
        <f>'Rev Req Proof Yr1'!T20</f>
        <v>91</v>
      </c>
      <c r="N20" s="301">
        <f>'Rev Req Proof Yr1'!U20</f>
        <v>3436</v>
      </c>
      <c r="O20" s="157"/>
      <c r="P20" s="313">
        <f t="shared" si="12"/>
        <v>0</v>
      </c>
      <c r="Q20" s="309">
        <v>0</v>
      </c>
      <c r="R20" s="314">
        <v>0</v>
      </c>
      <c r="S20" s="157"/>
      <c r="T20" s="313">
        <f t="shared" si="7"/>
        <v>-25021.077326525876</v>
      </c>
      <c r="U20" s="309">
        <v>0</v>
      </c>
      <c r="V20" s="314">
        <v>0</v>
      </c>
      <c r="W20" s="157"/>
      <c r="X20" s="313">
        <f t="shared" si="11"/>
        <v>-13825.566875026372</v>
      </c>
      <c r="Y20" s="309">
        <v>0</v>
      </c>
      <c r="Z20" s="314">
        <v>0</v>
      </c>
      <c r="AA20" s="309"/>
      <c r="AB20" s="313">
        <f t="shared" si="9"/>
        <v>-710.82606041266695</v>
      </c>
      <c r="AC20" s="309">
        <v>0</v>
      </c>
      <c r="AD20" s="314">
        <v>0</v>
      </c>
      <c r="AE20" s="157"/>
      <c r="AF20" s="313">
        <f t="shared" si="10"/>
        <v>-39557.470261964918</v>
      </c>
      <c r="AG20" s="309">
        <v>0</v>
      </c>
      <c r="AH20" s="314">
        <v>0</v>
      </c>
      <c r="AI20" s="309"/>
      <c r="AJ20" s="310"/>
      <c r="AK20" s="310"/>
      <c r="AL20" s="309"/>
    </row>
    <row r="21" spans="1:38" x14ac:dyDescent="0.2">
      <c r="A21" s="86">
        <f t="shared" si="5"/>
        <v>14</v>
      </c>
      <c r="B21" s="725"/>
      <c r="C21" s="726" t="s">
        <v>5</v>
      </c>
      <c r="D21" s="157"/>
      <c r="E21" s="157">
        <f>ROUND('Allocation = ¢ per Therm'!K24,5)</f>
        <v>0</v>
      </c>
      <c r="F21" s="157">
        <f>ROUND('Allocation = % of Margin'!O21,5)</f>
        <v>-1.24E-2</v>
      </c>
      <c r="G21" s="157">
        <f>ROUND('Allocation = % of Margin'!R21,5)</f>
        <v>-6.8599999999999998E-3</v>
      </c>
      <c r="H21" s="157">
        <f>ROUND('Allocation = % of Margin'!X21,5)</f>
        <v>-3.5E-4</v>
      </c>
      <c r="I21" s="157"/>
      <c r="J21" s="564">
        <f>'WA Volumes &amp; Revenues'!F22</f>
        <v>2142067.7000000002</v>
      </c>
      <c r="K21" s="298">
        <f>'Rev Req Proof Yr1'!R21</f>
        <v>1974656.4658023661</v>
      </c>
      <c r="L21" s="299">
        <f>'Rev Req Proof Yr1'!S21</f>
        <v>0</v>
      </c>
      <c r="M21" s="300">
        <f>'Rev Req Proof Yr1'!T21</f>
        <v>0</v>
      </c>
      <c r="N21" s="301">
        <f>'Rev Req Proof Yr1'!U21</f>
        <v>0</v>
      </c>
      <c r="O21" s="157"/>
      <c r="P21" s="313">
        <f t="shared" si="12"/>
        <v>0</v>
      </c>
      <c r="Q21" s="309">
        <v>0</v>
      </c>
      <c r="R21" s="314">
        <v>0</v>
      </c>
      <c r="S21" s="157"/>
      <c r="T21" s="313">
        <f t="shared" si="7"/>
        <v>-24485.74017594934</v>
      </c>
      <c r="U21" s="309">
        <v>0</v>
      </c>
      <c r="V21" s="314">
        <v>0</v>
      </c>
      <c r="W21" s="157"/>
      <c r="X21" s="313">
        <f t="shared" si="11"/>
        <v>-13546.143355404231</v>
      </c>
      <c r="Y21" s="309">
        <v>0</v>
      </c>
      <c r="Z21" s="314">
        <v>0</v>
      </c>
      <c r="AA21" s="309"/>
      <c r="AB21" s="313">
        <f t="shared" si="9"/>
        <v>-691.12976303082814</v>
      </c>
      <c r="AC21" s="309">
        <v>0</v>
      </c>
      <c r="AD21" s="314">
        <v>0</v>
      </c>
      <c r="AE21" s="157"/>
      <c r="AF21" s="313">
        <f t="shared" si="10"/>
        <v>-38723.0132943844</v>
      </c>
      <c r="AG21" s="309">
        <v>0</v>
      </c>
      <c r="AH21" s="314">
        <v>0</v>
      </c>
      <c r="AI21" s="309"/>
      <c r="AJ21" s="310"/>
      <c r="AK21" s="310"/>
      <c r="AL21" s="309"/>
    </row>
    <row r="22" spans="1:38" x14ac:dyDescent="0.2">
      <c r="A22" s="86">
        <f t="shared" si="5"/>
        <v>15</v>
      </c>
      <c r="B22" s="723"/>
      <c r="C22" s="742" t="s">
        <v>78</v>
      </c>
      <c r="D22" s="153"/>
      <c r="E22" s="153"/>
      <c r="F22" s="153"/>
      <c r="G22" s="810"/>
      <c r="H22" s="810"/>
      <c r="I22" s="153"/>
      <c r="J22" s="564"/>
      <c r="K22" s="298"/>
      <c r="L22" s="299"/>
      <c r="M22" s="300"/>
      <c r="N22" s="301"/>
      <c r="O22" s="157"/>
      <c r="P22" s="315">
        <f>SUM(P20:P21)</f>
        <v>0</v>
      </c>
      <c r="Q22" s="316">
        <f t="shared" ref="Q22:R22" si="13">SUM(Q20:Q21)</f>
        <v>0</v>
      </c>
      <c r="R22" s="317">
        <f t="shared" si="13"/>
        <v>0</v>
      </c>
      <c r="S22" s="157"/>
      <c r="T22" s="315">
        <f>SUM(T20:T21)</f>
        <v>-49506.817502475213</v>
      </c>
      <c r="U22" s="316">
        <f t="shared" ref="U22:V22" si="14">SUM(U20:U21)</f>
        <v>0</v>
      </c>
      <c r="V22" s="317">
        <f t="shared" si="14"/>
        <v>0</v>
      </c>
      <c r="W22" s="157"/>
      <c r="X22" s="315">
        <f>SUM(X20:X21)</f>
        <v>-27371.710230430603</v>
      </c>
      <c r="Y22" s="316">
        <f t="shared" ref="Y22:Z22" si="15">SUM(Y20:Y21)</f>
        <v>0</v>
      </c>
      <c r="Z22" s="317">
        <f t="shared" si="15"/>
        <v>0</v>
      </c>
      <c r="AA22" s="328"/>
      <c r="AB22" s="315">
        <f>SUM(AB20:AB21)</f>
        <v>-1401.9558234434951</v>
      </c>
      <c r="AC22" s="316">
        <f t="shared" ref="AC22:AD22" si="16">SUM(AC20:AC21)</f>
        <v>0</v>
      </c>
      <c r="AD22" s="317">
        <f t="shared" si="16"/>
        <v>0</v>
      </c>
      <c r="AE22" s="157"/>
      <c r="AF22" s="315">
        <f>SUM(AF20:AF21)</f>
        <v>-78280.483556349325</v>
      </c>
      <c r="AG22" s="316">
        <f t="shared" ref="AG22" si="17">SUM(AG20:AG21)</f>
        <v>0</v>
      </c>
      <c r="AH22" s="317">
        <f t="shared" ref="AH22" si="18">SUM(AH20:AH21)</f>
        <v>0</v>
      </c>
      <c r="AI22" s="309"/>
      <c r="AJ22" s="310"/>
      <c r="AK22" s="310"/>
      <c r="AL22" s="309"/>
    </row>
    <row r="23" spans="1:38" x14ac:dyDescent="0.2">
      <c r="A23" s="86">
        <f t="shared" si="5"/>
        <v>16</v>
      </c>
      <c r="B23" s="733" t="str">
        <f>'Rev Req Proof Yr1'!B23</f>
        <v>41I Firm Sales</v>
      </c>
      <c r="C23" s="726" t="s">
        <v>4</v>
      </c>
      <c r="D23" s="157"/>
      <c r="E23" s="157">
        <f>ROUND('Allocation = ¢ per Therm'!K25,5)</f>
        <v>0</v>
      </c>
      <c r="F23" s="157">
        <f>ROUND('Allocation = % of Margin'!O22,5)</f>
        <v>0</v>
      </c>
      <c r="G23" s="312">
        <f>ROUND('Allocation = % of Margin'!R22,5)</f>
        <v>-7.4000000000000003E-3</v>
      </c>
      <c r="H23" s="312">
        <f>ROUND('Allocation = % of Margin'!X22,5)</f>
        <v>-3.8000000000000002E-4</v>
      </c>
      <c r="I23" s="157"/>
      <c r="J23" s="564">
        <f>'WA Volumes &amp; Revenues'!F23</f>
        <v>399967</v>
      </c>
      <c r="K23" s="298">
        <f>'Rev Req Proof Yr1'!R23</f>
        <v>392890.20000000007</v>
      </c>
      <c r="L23" s="299">
        <f>'Rev Req Proof Yr1'!S23</f>
        <v>0</v>
      </c>
      <c r="M23" s="300">
        <f>'Rev Req Proof Yr1'!T23</f>
        <v>17.833333333333332</v>
      </c>
      <c r="N23" s="301">
        <f>'Rev Req Proof Yr1'!U23</f>
        <v>4741</v>
      </c>
      <c r="O23" s="157"/>
      <c r="P23" s="313">
        <f t="shared" ref="P23:P24" si="19">((E23)*K23)</f>
        <v>0</v>
      </c>
      <c r="Q23" s="309">
        <v>0</v>
      </c>
      <c r="R23" s="314">
        <v>0</v>
      </c>
      <c r="S23" s="157"/>
      <c r="T23" s="313">
        <f t="shared" si="7"/>
        <v>0</v>
      </c>
      <c r="U23" s="309">
        <v>0</v>
      </c>
      <c r="V23" s="314">
        <v>0</v>
      </c>
      <c r="W23" s="157"/>
      <c r="X23" s="313">
        <f t="shared" ref="X23:X24" si="20">((G23)*K23)</f>
        <v>-2907.3874800000008</v>
      </c>
      <c r="Y23" s="309">
        <v>0</v>
      </c>
      <c r="Z23" s="314">
        <v>0</v>
      </c>
      <c r="AA23" s="309"/>
      <c r="AB23" s="313">
        <f t="shared" si="9"/>
        <v>-149.29827600000004</v>
      </c>
      <c r="AC23" s="309">
        <v>0</v>
      </c>
      <c r="AD23" s="314">
        <v>0</v>
      </c>
      <c r="AE23" s="157"/>
      <c r="AF23" s="313">
        <f t="shared" ref="AF23:AF24" si="21">((E23+F23+G23+H23)*K23)</f>
        <v>-3056.6857560000008</v>
      </c>
      <c r="AG23" s="309">
        <v>0</v>
      </c>
      <c r="AH23" s="314">
        <v>0</v>
      </c>
      <c r="AI23" s="309"/>
      <c r="AJ23" s="310"/>
      <c r="AK23" s="310"/>
      <c r="AL23" s="309"/>
    </row>
    <row r="24" spans="1:38" x14ac:dyDescent="0.2">
      <c r="A24" s="86">
        <f t="shared" si="5"/>
        <v>17</v>
      </c>
      <c r="B24" s="725"/>
      <c r="C24" s="726" t="s">
        <v>5</v>
      </c>
      <c r="D24" s="157"/>
      <c r="E24" s="157">
        <f>ROUND('Allocation = ¢ per Therm'!K26,5)</f>
        <v>0</v>
      </c>
      <c r="F24" s="157">
        <f>ROUND('Allocation = % of Margin'!O23,5)</f>
        <v>0</v>
      </c>
      <c r="G24" s="157">
        <f>ROUND('Allocation = % of Margin'!R23,5)</f>
        <v>-6.5199999999999998E-3</v>
      </c>
      <c r="H24" s="157">
        <f>ROUND('Allocation = % of Margin'!X23,5)</f>
        <v>-3.3E-4</v>
      </c>
      <c r="I24" s="157"/>
      <c r="J24" s="564">
        <f>'WA Volumes &amp; Revenues'!F24</f>
        <v>630361</v>
      </c>
      <c r="K24" s="298">
        <f>'Rev Req Proof Yr1'!R24</f>
        <v>621650.00000000012</v>
      </c>
      <c r="L24" s="299">
        <f>'Rev Req Proof Yr1'!S24</f>
        <v>0</v>
      </c>
      <c r="M24" s="300">
        <f>'Rev Req Proof Yr1'!T24</f>
        <v>0</v>
      </c>
      <c r="N24" s="301">
        <f>'Rev Req Proof Yr1'!U24</f>
        <v>0</v>
      </c>
      <c r="O24" s="157"/>
      <c r="P24" s="313">
        <f t="shared" si="19"/>
        <v>0</v>
      </c>
      <c r="Q24" s="309">
        <v>0</v>
      </c>
      <c r="R24" s="314">
        <v>0</v>
      </c>
      <c r="S24" s="157"/>
      <c r="T24" s="313">
        <f t="shared" si="7"/>
        <v>0</v>
      </c>
      <c r="U24" s="309">
        <v>0</v>
      </c>
      <c r="V24" s="314">
        <v>0</v>
      </c>
      <c r="W24" s="157"/>
      <c r="X24" s="313">
        <f t="shared" si="20"/>
        <v>-4053.1580000000008</v>
      </c>
      <c r="Y24" s="309">
        <v>0</v>
      </c>
      <c r="Z24" s="314">
        <v>0</v>
      </c>
      <c r="AA24" s="309"/>
      <c r="AB24" s="313">
        <f t="shared" si="9"/>
        <v>-205.14450000000005</v>
      </c>
      <c r="AC24" s="309">
        <v>0</v>
      </c>
      <c r="AD24" s="314">
        <v>0</v>
      </c>
      <c r="AE24" s="157"/>
      <c r="AF24" s="313">
        <f t="shared" si="21"/>
        <v>-4258.3025000000007</v>
      </c>
      <c r="AG24" s="309">
        <v>0</v>
      </c>
      <c r="AH24" s="314">
        <v>0</v>
      </c>
      <c r="AI24" s="309"/>
      <c r="AJ24" s="310"/>
      <c r="AK24" s="310"/>
      <c r="AL24" s="309"/>
    </row>
    <row r="25" spans="1:38" x14ac:dyDescent="0.2">
      <c r="A25" s="86">
        <f t="shared" si="5"/>
        <v>18</v>
      </c>
      <c r="B25" s="723"/>
      <c r="C25" s="742" t="s">
        <v>78</v>
      </c>
      <c r="D25" s="153"/>
      <c r="E25" s="153"/>
      <c r="F25" s="153"/>
      <c r="G25" s="810"/>
      <c r="H25" s="810"/>
      <c r="I25" s="153"/>
      <c r="J25" s="564"/>
      <c r="K25" s="298"/>
      <c r="L25" s="299"/>
      <c r="M25" s="300"/>
      <c r="N25" s="301"/>
      <c r="O25" s="157"/>
      <c r="P25" s="315">
        <f>SUM(P23:P24)</f>
        <v>0</v>
      </c>
      <c r="Q25" s="316">
        <f t="shared" ref="Q25:R25" si="22">SUM(Q23:Q24)</f>
        <v>0</v>
      </c>
      <c r="R25" s="317">
        <f t="shared" si="22"/>
        <v>0</v>
      </c>
      <c r="S25" s="157"/>
      <c r="T25" s="315">
        <f>SUM(T23:T24)</f>
        <v>0</v>
      </c>
      <c r="U25" s="316">
        <f t="shared" ref="U25:V25" si="23">SUM(U23:U24)</f>
        <v>0</v>
      </c>
      <c r="V25" s="317">
        <f t="shared" si="23"/>
        <v>0</v>
      </c>
      <c r="W25" s="157"/>
      <c r="X25" s="315">
        <f>SUM(X23:X24)</f>
        <v>-6960.5454800000016</v>
      </c>
      <c r="Y25" s="316">
        <f t="shared" ref="Y25:Z25" si="24">SUM(Y23:Y24)</f>
        <v>0</v>
      </c>
      <c r="Z25" s="317">
        <f t="shared" si="24"/>
        <v>0</v>
      </c>
      <c r="AA25" s="328"/>
      <c r="AB25" s="315">
        <f>SUM(AB23:AB24)</f>
        <v>-354.44277600000009</v>
      </c>
      <c r="AC25" s="316">
        <f t="shared" ref="AC25:AD25" si="25">SUM(AC23:AC24)</f>
        <v>0</v>
      </c>
      <c r="AD25" s="317">
        <f t="shared" si="25"/>
        <v>0</v>
      </c>
      <c r="AE25" s="157"/>
      <c r="AF25" s="315">
        <f>SUM(AF23:AF24)</f>
        <v>-7314.9882560000015</v>
      </c>
      <c r="AG25" s="316">
        <f t="shared" ref="AG25:AH25" si="26">SUM(AG23:AG24)</f>
        <v>0</v>
      </c>
      <c r="AH25" s="317">
        <f t="shared" si="26"/>
        <v>0</v>
      </c>
      <c r="AI25" s="309"/>
      <c r="AJ25" s="310"/>
      <c r="AK25" s="310"/>
      <c r="AL25" s="309"/>
    </row>
    <row r="26" spans="1:38" x14ac:dyDescent="0.2">
      <c r="A26" s="86">
        <f t="shared" si="5"/>
        <v>19</v>
      </c>
      <c r="B26" s="725" t="str">
        <f>'Rev Req Proof Yr1'!B26</f>
        <v>41C Interr Sales</v>
      </c>
      <c r="C26" s="726" t="s">
        <v>4</v>
      </c>
      <c r="D26" s="157"/>
      <c r="E26" s="157">
        <f>ROUND('Allocation = ¢ per Therm'!K27,5)</f>
        <v>0</v>
      </c>
      <c r="F26" s="157">
        <f>ROUND('Allocation = % of Margin'!O24,5)</f>
        <v>-1.404E-2</v>
      </c>
      <c r="G26" s="312">
        <f>ROUND('Allocation = % of Margin'!R24,5)</f>
        <v>-6.1000000000000004E-3</v>
      </c>
      <c r="H26" s="312">
        <f>ROUND('Allocation = % of Margin'!X24,5)</f>
        <v>-3.1E-4</v>
      </c>
      <c r="I26" s="157"/>
      <c r="J26" s="564">
        <f>'WA Volumes &amp; Revenues'!F25</f>
        <v>0</v>
      </c>
      <c r="K26" s="298">
        <f>'Rev Req Proof Yr1'!R26</f>
        <v>0</v>
      </c>
      <c r="L26" s="299">
        <f>'Rev Req Proof Yr1'!S26</f>
        <v>0</v>
      </c>
      <c r="M26" s="300">
        <f>'Rev Req Proof Yr1'!T26</f>
        <v>0</v>
      </c>
      <c r="N26" s="301">
        <f>'Rev Req Proof Yr1'!U26</f>
        <v>0</v>
      </c>
      <c r="O26" s="157"/>
      <c r="P26" s="313">
        <f>((E26)*K26)</f>
        <v>0</v>
      </c>
      <c r="Q26" s="309">
        <v>0</v>
      </c>
      <c r="R26" s="314">
        <v>0</v>
      </c>
      <c r="S26" s="157"/>
      <c r="T26" s="313">
        <f t="shared" si="7"/>
        <v>0</v>
      </c>
      <c r="U26" s="309">
        <v>0</v>
      </c>
      <c r="V26" s="314">
        <v>0</v>
      </c>
      <c r="W26" s="157"/>
      <c r="X26" s="313">
        <f>((G26)*K26)</f>
        <v>0</v>
      </c>
      <c r="Y26" s="309">
        <v>0</v>
      </c>
      <c r="Z26" s="314">
        <v>0</v>
      </c>
      <c r="AA26" s="309"/>
      <c r="AB26" s="313">
        <f t="shared" si="9"/>
        <v>0</v>
      </c>
      <c r="AC26" s="309">
        <v>0</v>
      </c>
      <c r="AD26" s="314">
        <v>0</v>
      </c>
      <c r="AE26" s="157"/>
      <c r="AF26" s="313">
        <f t="shared" ref="AF26:AF27" si="27">((E26+F26+G26+H26)*K26)</f>
        <v>0</v>
      </c>
      <c r="AG26" s="309">
        <v>0</v>
      </c>
      <c r="AH26" s="314">
        <v>0</v>
      </c>
      <c r="AI26" s="309"/>
      <c r="AJ26" s="310"/>
      <c r="AK26" s="310"/>
      <c r="AL26" s="309"/>
    </row>
    <row r="27" spans="1:38" x14ac:dyDescent="0.2">
      <c r="A27" s="86">
        <f t="shared" si="5"/>
        <v>20</v>
      </c>
      <c r="B27" s="725"/>
      <c r="C27" s="726" t="s">
        <v>5</v>
      </c>
      <c r="D27" s="157"/>
      <c r="E27" s="157">
        <f>ROUND('Allocation = ¢ per Therm'!K28,5)</f>
        <v>0</v>
      </c>
      <c r="F27" s="157">
        <f>ROUND('Allocation = % of Margin'!O25,5)</f>
        <v>-1.2370000000000001E-2</v>
      </c>
      <c r="G27" s="157">
        <f>ROUND('Allocation = % of Margin'!R25,5)</f>
        <v>-5.3699999999999998E-3</v>
      </c>
      <c r="H27" s="157">
        <f>ROUND('Allocation = % of Margin'!X25,5)</f>
        <v>-2.7E-4</v>
      </c>
      <c r="I27" s="157"/>
      <c r="J27" s="564">
        <f>'WA Volumes &amp; Revenues'!F26</f>
        <v>0</v>
      </c>
      <c r="K27" s="298">
        <f>'Rev Req Proof Yr1'!R27</f>
        <v>0</v>
      </c>
      <c r="L27" s="299">
        <f>'Rev Req Proof Yr1'!S27</f>
        <v>0</v>
      </c>
      <c r="M27" s="300">
        <f>'Rev Req Proof Yr1'!T27</f>
        <v>0</v>
      </c>
      <c r="N27" s="301">
        <f>'Rev Req Proof Yr1'!U27</f>
        <v>0</v>
      </c>
      <c r="O27" s="157"/>
      <c r="P27" s="313">
        <f>((E27)*K27)</f>
        <v>0</v>
      </c>
      <c r="Q27" s="309">
        <v>0</v>
      </c>
      <c r="R27" s="314">
        <v>0</v>
      </c>
      <c r="S27" s="157"/>
      <c r="T27" s="313">
        <f t="shared" si="7"/>
        <v>0</v>
      </c>
      <c r="U27" s="309">
        <v>0</v>
      </c>
      <c r="V27" s="314">
        <v>0</v>
      </c>
      <c r="W27" s="157"/>
      <c r="X27" s="313">
        <f>((G27)*K27)</f>
        <v>0</v>
      </c>
      <c r="Y27" s="309">
        <v>0</v>
      </c>
      <c r="Z27" s="314">
        <v>0</v>
      </c>
      <c r="AA27" s="309"/>
      <c r="AB27" s="313">
        <f t="shared" si="9"/>
        <v>0</v>
      </c>
      <c r="AC27" s="309">
        <v>0</v>
      </c>
      <c r="AD27" s="314">
        <v>0</v>
      </c>
      <c r="AE27" s="157"/>
      <c r="AF27" s="313">
        <f t="shared" si="27"/>
        <v>0</v>
      </c>
      <c r="AG27" s="309">
        <v>0</v>
      </c>
      <c r="AH27" s="314">
        <v>0</v>
      </c>
      <c r="AI27" s="309"/>
      <c r="AJ27" s="310"/>
      <c r="AK27" s="310"/>
      <c r="AL27" s="309"/>
    </row>
    <row r="28" spans="1:38" x14ac:dyDescent="0.2">
      <c r="A28" s="86">
        <f t="shared" si="5"/>
        <v>21</v>
      </c>
      <c r="B28" s="723"/>
      <c r="C28" s="742" t="s">
        <v>78</v>
      </c>
      <c r="D28" s="153"/>
      <c r="E28" s="153"/>
      <c r="F28" s="153"/>
      <c r="G28" s="810"/>
      <c r="H28" s="810"/>
      <c r="I28" s="153"/>
      <c r="J28" s="564"/>
      <c r="K28" s="298"/>
      <c r="L28" s="299"/>
      <c r="M28" s="300"/>
      <c r="N28" s="301"/>
      <c r="O28" s="157"/>
      <c r="P28" s="315">
        <f>SUM(P26:P27)</f>
        <v>0</v>
      </c>
      <c r="Q28" s="316">
        <f t="shared" ref="Q28:R28" si="28">SUM(Q26:Q27)</f>
        <v>0</v>
      </c>
      <c r="R28" s="317">
        <f t="shared" si="28"/>
        <v>0</v>
      </c>
      <c r="S28" s="157"/>
      <c r="T28" s="315">
        <f>SUM(T26:T27)</f>
        <v>0</v>
      </c>
      <c r="U28" s="316">
        <f t="shared" ref="U28:V28" si="29">SUM(U26:U27)</f>
        <v>0</v>
      </c>
      <c r="V28" s="317">
        <f t="shared" si="29"/>
        <v>0</v>
      </c>
      <c r="W28" s="157"/>
      <c r="X28" s="315">
        <f>SUM(X26:X27)</f>
        <v>0</v>
      </c>
      <c r="Y28" s="316">
        <f t="shared" ref="Y28:Z28" si="30">SUM(Y26:Y27)</f>
        <v>0</v>
      </c>
      <c r="Z28" s="317">
        <f t="shared" si="30"/>
        <v>0</v>
      </c>
      <c r="AA28" s="328"/>
      <c r="AB28" s="315">
        <f>SUM(AB26:AB27)</f>
        <v>0</v>
      </c>
      <c r="AC28" s="316">
        <f t="shared" ref="AC28:AD28" si="31">SUM(AC26:AC27)</f>
        <v>0</v>
      </c>
      <c r="AD28" s="317">
        <f t="shared" si="31"/>
        <v>0</v>
      </c>
      <c r="AE28" s="157"/>
      <c r="AF28" s="315">
        <f>SUM(AF26:AF27)</f>
        <v>0</v>
      </c>
      <c r="AG28" s="316">
        <f t="shared" ref="AG28" si="32">SUM(AG26:AG27)</f>
        <v>0</v>
      </c>
      <c r="AH28" s="317">
        <f t="shared" ref="AH28" si="33">SUM(AH26:AH27)</f>
        <v>0</v>
      </c>
      <c r="AI28" s="309"/>
      <c r="AJ28" s="310"/>
      <c r="AK28" s="310"/>
      <c r="AL28" s="309"/>
    </row>
    <row r="29" spans="1:38" x14ac:dyDescent="0.2">
      <c r="A29" s="86">
        <f t="shared" si="5"/>
        <v>22</v>
      </c>
      <c r="B29" s="725" t="str">
        <f>'Rev Req Proof Yr1'!B29</f>
        <v>41I Interr Sales</v>
      </c>
      <c r="C29" s="726" t="s">
        <v>4</v>
      </c>
      <c r="D29" s="157"/>
      <c r="E29" s="157">
        <f>ROUND('Allocation = ¢ per Therm'!K29,5)</f>
        <v>0</v>
      </c>
      <c r="F29" s="157">
        <f>ROUND('Allocation = % of Margin'!O26,5)</f>
        <v>0</v>
      </c>
      <c r="G29" s="312">
        <f>ROUND('Allocation = % of Margin'!R26,5)</f>
        <v>-6.1000000000000004E-3</v>
      </c>
      <c r="H29" s="312">
        <f>ROUND('Allocation = % of Margin'!X26,5)</f>
        <v>-3.1E-4</v>
      </c>
      <c r="I29" s="157"/>
      <c r="J29" s="564">
        <f>'WA Volumes &amp; Revenues'!F27</f>
        <v>0</v>
      </c>
      <c r="K29" s="298">
        <f>'Rev Req Proof Yr1'!R29</f>
        <v>0</v>
      </c>
      <c r="L29" s="299">
        <f>'Rev Req Proof Yr1'!S29</f>
        <v>0</v>
      </c>
      <c r="M29" s="300">
        <f>'Rev Req Proof Yr1'!T29</f>
        <v>0</v>
      </c>
      <c r="N29" s="301">
        <f>'Rev Req Proof Yr1'!U29</f>
        <v>0</v>
      </c>
      <c r="O29" s="157"/>
      <c r="P29" s="313">
        <f>((E29)*K29)</f>
        <v>0</v>
      </c>
      <c r="Q29" s="309">
        <v>0</v>
      </c>
      <c r="R29" s="314">
        <v>0</v>
      </c>
      <c r="S29" s="157"/>
      <c r="T29" s="313">
        <f t="shared" si="7"/>
        <v>0</v>
      </c>
      <c r="U29" s="309">
        <v>0</v>
      </c>
      <c r="V29" s="314">
        <v>0</v>
      </c>
      <c r="W29" s="157"/>
      <c r="X29" s="313">
        <f>((G29)*K29)</f>
        <v>0</v>
      </c>
      <c r="Y29" s="309">
        <v>0</v>
      </c>
      <c r="Z29" s="314">
        <v>0</v>
      </c>
      <c r="AA29" s="309"/>
      <c r="AB29" s="313">
        <f t="shared" si="9"/>
        <v>0</v>
      </c>
      <c r="AC29" s="309">
        <v>0</v>
      </c>
      <c r="AD29" s="314">
        <v>0</v>
      </c>
      <c r="AE29" s="157"/>
      <c r="AF29" s="313">
        <f t="shared" ref="AF29:AF30" si="34">((E29+F29+G29+H29)*K29)</f>
        <v>0</v>
      </c>
      <c r="AG29" s="309">
        <v>0</v>
      </c>
      <c r="AH29" s="314">
        <v>0</v>
      </c>
      <c r="AI29" s="309"/>
      <c r="AJ29" s="310"/>
      <c r="AK29" s="310"/>
      <c r="AL29" s="309"/>
    </row>
    <row r="30" spans="1:38" x14ac:dyDescent="0.2">
      <c r="A30" s="86">
        <f t="shared" si="5"/>
        <v>23</v>
      </c>
      <c r="B30" s="725"/>
      <c r="C30" s="726" t="s">
        <v>5</v>
      </c>
      <c r="D30" s="157"/>
      <c r="E30" s="157">
        <f>ROUND('Allocation = ¢ per Therm'!K30,5)</f>
        <v>0</v>
      </c>
      <c r="F30" s="157">
        <f>ROUND('Allocation = % of Margin'!O27,5)</f>
        <v>0</v>
      </c>
      <c r="G30" s="157">
        <f>ROUND('Allocation = % of Margin'!R27,5)</f>
        <v>-5.3699999999999998E-3</v>
      </c>
      <c r="H30" s="157">
        <f>ROUND('Allocation = % of Margin'!X27,5)</f>
        <v>-2.7E-4</v>
      </c>
      <c r="I30" s="157"/>
      <c r="J30" s="564">
        <f>'WA Volumes &amp; Revenues'!F28</f>
        <v>0</v>
      </c>
      <c r="K30" s="298">
        <f>'Rev Req Proof Yr1'!R30</f>
        <v>0</v>
      </c>
      <c r="L30" s="299">
        <f>'Rev Req Proof Yr1'!S30</f>
        <v>0</v>
      </c>
      <c r="M30" s="300">
        <f>'Rev Req Proof Yr1'!T30</f>
        <v>0</v>
      </c>
      <c r="N30" s="301">
        <f>'Rev Req Proof Yr1'!U30</f>
        <v>0</v>
      </c>
      <c r="O30" s="157"/>
      <c r="P30" s="313">
        <f>((E30)*K30)</f>
        <v>0</v>
      </c>
      <c r="Q30" s="309">
        <v>0</v>
      </c>
      <c r="R30" s="314">
        <v>0</v>
      </c>
      <c r="S30" s="157"/>
      <c r="T30" s="313">
        <f t="shared" si="7"/>
        <v>0</v>
      </c>
      <c r="U30" s="309">
        <v>0</v>
      </c>
      <c r="V30" s="314">
        <v>0</v>
      </c>
      <c r="W30" s="157"/>
      <c r="X30" s="313">
        <f>((G30)*K30)</f>
        <v>0</v>
      </c>
      <c r="Y30" s="309">
        <v>0</v>
      </c>
      <c r="Z30" s="314">
        <v>0</v>
      </c>
      <c r="AA30" s="309"/>
      <c r="AB30" s="313">
        <f t="shared" si="9"/>
        <v>0</v>
      </c>
      <c r="AC30" s="309">
        <v>0</v>
      </c>
      <c r="AD30" s="314">
        <v>0</v>
      </c>
      <c r="AE30" s="157"/>
      <c r="AF30" s="313">
        <f t="shared" si="34"/>
        <v>0</v>
      </c>
      <c r="AG30" s="309">
        <v>0</v>
      </c>
      <c r="AH30" s="314">
        <v>0</v>
      </c>
      <c r="AI30" s="309"/>
      <c r="AJ30" s="310"/>
      <c r="AK30" s="310"/>
      <c r="AL30" s="309"/>
    </row>
    <row r="31" spans="1:38" x14ac:dyDescent="0.2">
      <c r="A31" s="86">
        <f t="shared" si="5"/>
        <v>24</v>
      </c>
      <c r="B31" s="723"/>
      <c r="C31" s="742" t="s">
        <v>78</v>
      </c>
      <c r="D31" s="153"/>
      <c r="E31" s="153"/>
      <c r="F31" s="153"/>
      <c r="G31" s="810"/>
      <c r="H31" s="810"/>
      <c r="I31" s="153"/>
      <c r="J31" s="564"/>
      <c r="K31" s="298"/>
      <c r="L31" s="299"/>
      <c r="M31" s="300"/>
      <c r="N31" s="301"/>
      <c r="O31" s="157"/>
      <c r="P31" s="315">
        <f>SUM(P29:P30)</f>
        <v>0</v>
      </c>
      <c r="Q31" s="316">
        <f t="shared" ref="Q31:R31" si="35">SUM(Q29:Q30)</f>
        <v>0</v>
      </c>
      <c r="R31" s="317">
        <f t="shared" si="35"/>
        <v>0</v>
      </c>
      <c r="S31" s="157"/>
      <c r="T31" s="315">
        <f>SUM(T29:T30)</f>
        <v>0</v>
      </c>
      <c r="U31" s="316">
        <f t="shared" ref="U31:V31" si="36">SUM(U29:U30)</f>
        <v>0</v>
      </c>
      <c r="V31" s="317">
        <f t="shared" si="36"/>
        <v>0</v>
      </c>
      <c r="W31" s="157"/>
      <c r="X31" s="315">
        <f>SUM(X29:X30)</f>
        <v>0</v>
      </c>
      <c r="Y31" s="316">
        <f t="shared" ref="Y31:Z31" si="37">SUM(Y29:Y30)</f>
        <v>0</v>
      </c>
      <c r="Z31" s="317">
        <f t="shared" si="37"/>
        <v>0</v>
      </c>
      <c r="AA31" s="328"/>
      <c r="AB31" s="315">
        <f>SUM(AB29:AB30)</f>
        <v>0</v>
      </c>
      <c r="AC31" s="316">
        <f t="shared" ref="AC31:AD31" si="38">SUM(AC29:AC30)</f>
        <v>0</v>
      </c>
      <c r="AD31" s="317">
        <f t="shared" si="38"/>
        <v>0</v>
      </c>
      <c r="AE31" s="157"/>
      <c r="AF31" s="315">
        <f>SUM(AF29:AF30)</f>
        <v>0</v>
      </c>
      <c r="AG31" s="316">
        <f t="shared" ref="AG31" si="39">SUM(AG29:AG30)</f>
        <v>0</v>
      </c>
      <c r="AH31" s="317">
        <f t="shared" ref="AH31" si="40">SUM(AH29:AH30)</f>
        <v>0</v>
      </c>
      <c r="AI31" s="309"/>
      <c r="AJ31" s="310"/>
      <c r="AK31" s="310"/>
      <c r="AL31" s="309"/>
    </row>
    <row r="32" spans="1:38" x14ac:dyDescent="0.2">
      <c r="A32" s="86">
        <f t="shared" si="5"/>
        <v>25</v>
      </c>
      <c r="B32" s="725" t="str">
        <f>'Rev Req Proof Yr1'!B32</f>
        <v>41C Firm Transpt</v>
      </c>
      <c r="C32" s="726" t="s">
        <v>4</v>
      </c>
      <c r="D32" s="157"/>
      <c r="E32" s="157">
        <f>ROUND('Allocation = ¢ per Therm'!K31,5)</f>
        <v>0</v>
      </c>
      <c r="F32" s="157">
        <f>ROUND('Allocation = % of Margin'!O28,5)</f>
        <v>0</v>
      </c>
      <c r="G32" s="312">
        <f>ROUND('Allocation = % of Margin'!R28,5)</f>
        <v>-8.2299999999999995E-3</v>
      </c>
      <c r="H32" s="312">
        <f>ROUND('Allocation = % of Margin'!X28,5)</f>
        <v>-4.2000000000000002E-4</v>
      </c>
      <c r="I32" s="157"/>
      <c r="J32" s="564">
        <f>'WA Volumes &amp; Revenues'!F29</f>
        <v>169264</v>
      </c>
      <c r="K32" s="298">
        <f>'Rev Req Proof Yr1'!R32</f>
        <v>168721</v>
      </c>
      <c r="L32" s="299">
        <f>'Rev Req Proof Yr1'!S32</f>
        <v>0</v>
      </c>
      <c r="M32" s="300">
        <f>'Rev Req Proof Yr1'!T32</f>
        <v>7.916666666666667</v>
      </c>
      <c r="N32" s="301">
        <f>'Rev Req Proof Yr1'!U32</f>
        <v>4648</v>
      </c>
      <c r="O32" s="157"/>
      <c r="P32" s="313">
        <f>((E32)*K32)</f>
        <v>0</v>
      </c>
      <c r="Q32" s="309">
        <v>0</v>
      </c>
      <c r="R32" s="314">
        <v>0</v>
      </c>
      <c r="S32" s="157"/>
      <c r="T32" s="313">
        <f t="shared" si="7"/>
        <v>0</v>
      </c>
      <c r="U32" s="309">
        <v>0</v>
      </c>
      <c r="V32" s="314">
        <v>0</v>
      </c>
      <c r="W32" s="157"/>
      <c r="X32" s="313">
        <f>((G32)*K32)</f>
        <v>-1388.5738299999998</v>
      </c>
      <c r="Y32" s="309">
        <v>0</v>
      </c>
      <c r="Z32" s="314">
        <v>0</v>
      </c>
      <c r="AA32" s="309"/>
      <c r="AB32" s="313">
        <f t="shared" si="9"/>
        <v>-70.862819999999999</v>
      </c>
      <c r="AC32" s="309">
        <v>0</v>
      </c>
      <c r="AD32" s="314">
        <v>0</v>
      </c>
      <c r="AE32" s="157"/>
      <c r="AF32" s="313">
        <f t="shared" ref="AF32:AF33" si="41">((E32+F32+G32+H32)*K32)</f>
        <v>-1459.4366499999999</v>
      </c>
      <c r="AG32" s="309">
        <v>0</v>
      </c>
      <c r="AH32" s="314">
        <v>0</v>
      </c>
      <c r="AI32" s="309"/>
      <c r="AJ32" s="310"/>
      <c r="AK32" s="310"/>
      <c r="AL32" s="309"/>
    </row>
    <row r="33" spans="1:38" x14ac:dyDescent="0.2">
      <c r="A33" s="86">
        <f t="shared" si="5"/>
        <v>26</v>
      </c>
      <c r="B33" s="725"/>
      <c r="C33" s="726" t="s">
        <v>5</v>
      </c>
      <c r="D33" s="157"/>
      <c r="E33" s="157">
        <f>ROUND('Allocation = ¢ per Therm'!K32,5)</f>
        <v>0</v>
      </c>
      <c r="F33" s="157">
        <f>ROUND('Allocation = % of Margin'!O29,5)</f>
        <v>0</v>
      </c>
      <c r="G33" s="157">
        <f>ROUND('Allocation = % of Margin'!R29,5)</f>
        <v>-7.2500000000000004E-3</v>
      </c>
      <c r="H33" s="157">
        <f>ROUND('Allocation = % of Margin'!X29,5)</f>
        <v>-3.6999999999999999E-4</v>
      </c>
      <c r="I33" s="157"/>
      <c r="J33" s="564">
        <f>'WA Volumes &amp; Revenues'!F30</f>
        <v>260994</v>
      </c>
      <c r="K33" s="298">
        <f>'Rev Req Proof Yr1'!R33</f>
        <v>272866</v>
      </c>
      <c r="L33" s="299">
        <f>'Rev Req Proof Yr1'!S33</f>
        <v>0</v>
      </c>
      <c r="M33" s="300">
        <f>'Rev Req Proof Yr1'!T33</f>
        <v>0</v>
      </c>
      <c r="N33" s="301">
        <f>'Rev Req Proof Yr1'!U33</f>
        <v>0</v>
      </c>
      <c r="O33" s="157"/>
      <c r="P33" s="313">
        <f>((E33)*K33)</f>
        <v>0</v>
      </c>
      <c r="Q33" s="309">
        <v>0</v>
      </c>
      <c r="R33" s="314">
        <v>0</v>
      </c>
      <c r="S33" s="157"/>
      <c r="T33" s="313">
        <f t="shared" si="7"/>
        <v>0</v>
      </c>
      <c r="U33" s="309">
        <v>0</v>
      </c>
      <c r="V33" s="314">
        <v>0</v>
      </c>
      <c r="W33" s="157"/>
      <c r="X33" s="313">
        <f>((G33)*K33)</f>
        <v>-1978.2785000000001</v>
      </c>
      <c r="Y33" s="309">
        <v>0</v>
      </c>
      <c r="Z33" s="314">
        <v>0</v>
      </c>
      <c r="AA33" s="309"/>
      <c r="AB33" s="313">
        <f t="shared" si="9"/>
        <v>-100.96042</v>
      </c>
      <c r="AC33" s="309">
        <v>0</v>
      </c>
      <c r="AD33" s="314">
        <v>0</v>
      </c>
      <c r="AE33" s="157"/>
      <c r="AF33" s="313">
        <f t="shared" si="41"/>
        <v>-2079.2389200000002</v>
      </c>
      <c r="AG33" s="309">
        <v>0</v>
      </c>
      <c r="AH33" s="314">
        <v>0</v>
      </c>
      <c r="AI33" s="309"/>
      <c r="AJ33" s="310"/>
      <c r="AK33" s="310"/>
      <c r="AL33" s="309"/>
    </row>
    <row r="34" spans="1:38" x14ac:dyDescent="0.2">
      <c r="A34" s="86">
        <f t="shared" si="5"/>
        <v>27</v>
      </c>
      <c r="B34" s="723"/>
      <c r="C34" s="742" t="s">
        <v>78</v>
      </c>
      <c r="D34" s="153"/>
      <c r="E34" s="153"/>
      <c r="F34" s="153"/>
      <c r="G34" s="810"/>
      <c r="H34" s="810"/>
      <c r="I34" s="153"/>
      <c r="J34" s="564"/>
      <c r="K34" s="298"/>
      <c r="L34" s="299"/>
      <c r="M34" s="300"/>
      <c r="N34" s="301"/>
      <c r="O34" s="157"/>
      <c r="P34" s="315">
        <f>SUM(P32:P33)</f>
        <v>0</v>
      </c>
      <c r="Q34" s="316">
        <f t="shared" ref="Q34:R34" si="42">SUM(Q32:Q33)</f>
        <v>0</v>
      </c>
      <c r="R34" s="317">
        <f t="shared" si="42"/>
        <v>0</v>
      </c>
      <c r="S34" s="157"/>
      <c r="T34" s="315">
        <f>SUM(T32:T33)</f>
        <v>0</v>
      </c>
      <c r="U34" s="316">
        <f t="shared" ref="U34:V34" si="43">SUM(U32:U33)</f>
        <v>0</v>
      </c>
      <c r="V34" s="317">
        <f t="shared" si="43"/>
        <v>0</v>
      </c>
      <c r="W34" s="157"/>
      <c r="X34" s="315">
        <f>SUM(X32:X33)</f>
        <v>-3366.8523299999997</v>
      </c>
      <c r="Y34" s="316">
        <f t="shared" ref="Y34:Z34" si="44">SUM(Y32:Y33)</f>
        <v>0</v>
      </c>
      <c r="Z34" s="317">
        <f t="shared" si="44"/>
        <v>0</v>
      </c>
      <c r="AA34" s="328"/>
      <c r="AB34" s="315">
        <f>SUM(AB32:AB33)</f>
        <v>-171.82324</v>
      </c>
      <c r="AC34" s="316">
        <f t="shared" ref="AC34:AD34" si="45">SUM(AC32:AC33)</f>
        <v>0</v>
      </c>
      <c r="AD34" s="317">
        <f t="shared" si="45"/>
        <v>0</v>
      </c>
      <c r="AE34" s="157"/>
      <c r="AF34" s="315">
        <f>SUM(AF32:AF33)</f>
        <v>-3538.6755700000003</v>
      </c>
      <c r="AG34" s="316">
        <f t="shared" ref="AG34:AH34" si="46">SUM(AG32:AG33)</f>
        <v>0</v>
      </c>
      <c r="AH34" s="317">
        <f t="shared" si="46"/>
        <v>0</v>
      </c>
      <c r="AI34" s="309"/>
      <c r="AJ34" s="310"/>
      <c r="AK34" s="310"/>
      <c r="AL34" s="309"/>
    </row>
    <row r="35" spans="1:38" x14ac:dyDescent="0.2">
      <c r="A35" s="86">
        <f t="shared" si="5"/>
        <v>28</v>
      </c>
      <c r="B35" s="725" t="str">
        <f>'Rev Req Proof Yr1'!B35</f>
        <v>41I Firm Transpt</v>
      </c>
      <c r="C35" s="726" t="s">
        <v>4</v>
      </c>
      <c r="D35" s="157"/>
      <c r="E35" s="157">
        <f>ROUND('Allocation = ¢ per Therm'!K33,5)</f>
        <v>0</v>
      </c>
      <c r="F35" s="157">
        <f>ROUND('Allocation = % of Margin'!O30,5)</f>
        <v>0</v>
      </c>
      <c r="G35" s="157">
        <f>ROUND('Allocation = % of Margin'!R30,5)</f>
        <v>-6.1700000000000001E-3</v>
      </c>
      <c r="H35" s="157">
        <f>ROUND('Allocation = % of Margin'!X30,5)</f>
        <v>-3.1E-4</v>
      </c>
      <c r="I35" s="157"/>
      <c r="J35" s="564">
        <f>'WA Volumes &amp; Revenues'!F31</f>
        <v>0</v>
      </c>
      <c r="K35" s="298">
        <f>'Rev Req Proof Yr1'!R35</f>
        <v>0</v>
      </c>
      <c r="L35" s="299">
        <f>'Rev Req Proof Yr1'!S35</f>
        <v>0</v>
      </c>
      <c r="M35" s="300">
        <f>'Rev Req Proof Yr1'!T35</f>
        <v>0</v>
      </c>
      <c r="N35" s="301">
        <f>'Rev Req Proof Yr1'!U35</f>
        <v>0</v>
      </c>
      <c r="O35" s="157"/>
      <c r="P35" s="313">
        <f>((E35)*K35)</f>
        <v>0</v>
      </c>
      <c r="Q35" s="309">
        <v>0</v>
      </c>
      <c r="R35" s="314">
        <v>0</v>
      </c>
      <c r="S35" s="157"/>
      <c r="T35" s="313">
        <f t="shared" si="7"/>
        <v>0</v>
      </c>
      <c r="U35" s="309">
        <v>0</v>
      </c>
      <c r="V35" s="314">
        <v>0</v>
      </c>
      <c r="W35" s="157"/>
      <c r="X35" s="313">
        <f>((G35)*K35)</f>
        <v>0</v>
      </c>
      <c r="Y35" s="309">
        <v>0</v>
      </c>
      <c r="Z35" s="314">
        <v>0</v>
      </c>
      <c r="AA35" s="309"/>
      <c r="AB35" s="313">
        <f t="shared" si="9"/>
        <v>0</v>
      </c>
      <c r="AC35" s="309">
        <v>0</v>
      </c>
      <c r="AD35" s="314">
        <v>0</v>
      </c>
      <c r="AE35" s="157"/>
      <c r="AF35" s="313">
        <f t="shared" ref="AF35:AF36" si="47">((E35+F35+G35+H35)*K35)</f>
        <v>0</v>
      </c>
      <c r="AG35" s="309">
        <v>0</v>
      </c>
      <c r="AH35" s="314">
        <v>0</v>
      </c>
      <c r="AI35" s="309"/>
      <c r="AJ35" s="310"/>
      <c r="AK35" s="310"/>
      <c r="AL35" s="309"/>
    </row>
    <row r="36" spans="1:38" x14ac:dyDescent="0.2">
      <c r="A36" s="86">
        <f t="shared" si="5"/>
        <v>29</v>
      </c>
      <c r="B36" s="725"/>
      <c r="C36" s="726" t="s">
        <v>5</v>
      </c>
      <c r="D36" s="157"/>
      <c r="E36" s="157">
        <f>ROUND('Allocation = ¢ per Therm'!K34,5)</f>
        <v>0</v>
      </c>
      <c r="F36" s="157">
        <f>ROUND('Allocation = % of Margin'!O31,5)</f>
        <v>0</v>
      </c>
      <c r="G36" s="157">
        <f>ROUND('Allocation = % of Margin'!R31,5)</f>
        <v>-5.4400000000000004E-3</v>
      </c>
      <c r="H36" s="157">
        <f>ROUND('Allocation = % of Margin'!X31,5)</f>
        <v>-2.7999999999999998E-4</v>
      </c>
      <c r="I36" s="157"/>
      <c r="J36" s="564">
        <f>'WA Volumes &amp; Revenues'!F32</f>
        <v>0</v>
      </c>
      <c r="K36" s="298">
        <f>'Rev Req Proof Yr1'!R36</f>
        <v>0</v>
      </c>
      <c r="L36" s="299">
        <f>'Rev Req Proof Yr1'!S36</f>
        <v>0</v>
      </c>
      <c r="M36" s="300">
        <f>'Rev Req Proof Yr1'!T36</f>
        <v>0</v>
      </c>
      <c r="N36" s="301">
        <f>'Rev Req Proof Yr1'!U36</f>
        <v>0</v>
      </c>
      <c r="O36" s="157"/>
      <c r="P36" s="313">
        <f>((E36)*K36)</f>
        <v>0</v>
      </c>
      <c r="Q36" s="309">
        <v>0</v>
      </c>
      <c r="R36" s="314">
        <v>0</v>
      </c>
      <c r="S36" s="157"/>
      <c r="T36" s="313">
        <f t="shared" si="7"/>
        <v>0</v>
      </c>
      <c r="U36" s="309">
        <v>0</v>
      </c>
      <c r="V36" s="314">
        <v>0</v>
      </c>
      <c r="W36" s="157"/>
      <c r="X36" s="313">
        <f>((G36)*K36)</f>
        <v>0</v>
      </c>
      <c r="Y36" s="309">
        <v>0</v>
      </c>
      <c r="Z36" s="314">
        <v>0</v>
      </c>
      <c r="AA36" s="309"/>
      <c r="AB36" s="313">
        <f t="shared" si="9"/>
        <v>0</v>
      </c>
      <c r="AC36" s="309">
        <v>0</v>
      </c>
      <c r="AD36" s="314">
        <v>0</v>
      </c>
      <c r="AE36" s="157"/>
      <c r="AF36" s="313">
        <f t="shared" si="47"/>
        <v>0</v>
      </c>
      <c r="AG36" s="309">
        <v>0</v>
      </c>
      <c r="AH36" s="314">
        <v>0</v>
      </c>
      <c r="AI36" s="309"/>
      <c r="AJ36" s="310"/>
      <c r="AK36" s="310"/>
      <c r="AL36" s="309"/>
    </row>
    <row r="37" spans="1:38" x14ac:dyDescent="0.2">
      <c r="A37" s="86">
        <f t="shared" si="5"/>
        <v>30</v>
      </c>
      <c r="B37" s="723"/>
      <c r="C37" s="742" t="s">
        <v>78</v>
      </c>
      <c r="D37" s="153"/>
      <c r="E37" s="153"/>
      <c r="F37" s="153"/>
      <c r="G37" s="810"/>
      <c r="H37" s="810"/>
      <c r="I37" s="153"/>
      <c r="J37" s="564"/>
      <c r="K37" s="298"/>
      <c r="L37" s="299"/>
      <c r="M37" s="300"/>
      <c r="N37" s="301"/>
      <c r="O37" s="157"/>
      <c r="P37" s="315">
        <f>SUM(P35:P36)</f>
        <v>0</v>
      </c>
      <c r="Q37" s="316">
        <f t="shared" ref="Q37:R37" si="48">SUM(Q35:Q36)</f>
        <v>0</v>
      </c>
      <c r="R37" s="317">
        <f t="shared" si="48"/>
        <v>0</v>
      </c>
      <c r="S37" s="157"/>
      <c r="T37" s="315">
        <f>SUM(T35:T36)</f>
        <v>0</v>
      </c>
      <c r="U37" s="316">
        <f t="shared" ref="U37:V37" si="49">SUM(U35:U36)</f>
        <v>0</v>
      </c>
      <c r="V37" s="317">
        <f t="shared" si="49"/>
        <v>0</v>
      </c>
      <c r="W37" s="157"/>
      <c r="X37" s="315">
        <f>SUM(X35:X36)</f>
        <v>0</v>
      </c>
      <c r="Y37" s="316">
        <f t="shared" ref="Y37:Z37" si="50">SUM(Y35:Y36)</f>
        <v>0</v>
      </c>
      <c r="Z37" s="317">
        <f t="shared" si="50"/>
        <v>0</v>
      </c>
      <c r="AA37" s="328"/>
      <c r="AB37" s="315">
        <f>SUM(AB35:AB36)</f>
        <v>0</v>
      </c>
      <c r="AC37" s="316">
        <f t="shared" ref="AC37:AD37" si="51">SUM(AC35:AC36)</f>
        <v>0</v>
      </c>
      <c r="AD37" s="317">
        <f t="shared" si="51"/>
        <v>0</v>
      </c>
      <c r="AE37" s="157"/>
      <c r="AF37" s="315">
        <f>SUM(AF35:AF36)</f>
        <v>0</v>
      </c>
      <c r="AG37" s="316">
        <f t="shared" ref="AG37" si="52">SUM(AG35:AG36)</f>
        <v>0</v>
      </c>
      <c r="AH37" s="317">
        <f t="shared" ref="AH37" si="53">SUM(AH35:AH36)</f>
        <v>0</v>
      </c>
      <c r="AI37" s="309"/>
      <c r="AJ37" s="310"/>
      <c r="AK37" s="310"/>
      <c r="AL37" s="309"/>
    </row>
    <row r="38" spans="1:38" x14ac:dyDescent="0.2">
      <c r="A38" s="86">
        <f t="shared" si="5"/>
        <v>31</v>
      </c>
      <c r="B38" s="725" t="str">
        <f>'Rev Req Proof Yr1'!B38</f>
        <v>42C Firm Sales</v>
      </c>
      <c r="C38" s="726" t="s">
        <v>4</v>
      </c>
      <c r="D38" s="157"/>
      <c r="E38" s="157">
        <f>ROUND('Allocation = ¢ per Therm'!K35,5)</f>
        <v>0</v>
      </c>
      <c r="F38" s="157">
        <f>ROUND('Allocation = % of Margin'!O32,5)</f>
        <v>-1.06E-2</v>
      </c>
      <c r="G38" s="157">
        <f>ROUND('Allocation = % of Margin'!R32,5)</f>
        <v>-5.8599999999999998E-3</v>
      </c>
      <c r="H38" s="157">
        <f>ROUND('Allocation = % of Margin'!X32,5)</f>
        <v>-2.9999999999999997E-4</v>
      </c>
      <c r="I38" s="157"/>
      <c r="J38" s="564">
        <f>'WA Volumes &amp; Revenues'!F33</f>
        <v>542975.5</v>
      </c>
      <c r="K38" s="298">
        <f>'Rev Req Proof Yr1'!R38</f>
        <v>350769.66174469434</v>
      </c>
      <c r="L38" s="299">
        <f>'Rev Req Proof Yr1'!S38</f>
        <v>6761</v>
      </c>
      <c r="M38" s="300">
        <f>'Rev Req Proof Yr1'!T38</f>
        <v>5</v>
      </c>
      <c r="N38" s="301">
        <f>'Rev Req Proof Yr1'!U38</f>
        <v>11949</v>
      </c>
      <c r="O38" s="157"/>
      <c r="P38" s="313">
        <f t="shared" ref="P38:P43" si="54">((E38)*K38)</f>
        <v>0</v>
      </c>
      <c r="Q38" s="309">
        <v>0</v>
      </c>
      <c r="R38" s="314">
        <v>0</v>
      </c>
      <c r="S38" s="157"/>
      <c r="T38" s="313">
        <f>((F38)*K38)</f>
        <v>-3718.1584144937601</v>
      </c>
      <c r="U38" s="309">
        <v>0</v>
      </c>
      <c r="V38" s="314">
        <v>0</v>
      </c>
      <c r="W38" s="157"/>
      <c r="X38" s="313">
        <f t="shared" ref="X38:X43" si="55">((G38)*K38)</f>
        <v>-2055.5102178239085</v>
      </c>
      <c r="Y38" s="309">
        <v>0</v>
      </c>
      <c r="Z38" s="314">
        <v>0</v>
      </c>
      <c r="AA38" s="309"/>
      <c r="AB38" s="313">
        <f t="shared" si="9"/>
        <v>-105.2308985234083</v>
      </c>
      <c r="AC38" s="309">
        <v>0</v>
      </c>
      <c r="AD38" s="314">
        <v>0</v>
      </c>
      <c r="AE38" s="157"/>
      <c r="AF38" s="313">
        <f t="shared" ref="AF38:AF43" si="56">((E38+F38+G38+H38)*K38)</f>
        <v>-5878.8995308410776</v>
      </c>
      <c r="AG38" s="309">
        <v>0</v>
      </c>
      <c r="AH38" s="314">
        <v>0</v>
      </c>
      <c r="AI38" s="309"/>
      <c r="AJ38" s="310"/>
      <c r="AK38" s="310"/>
      <c r="AL38" s="309"/>
    </row>
    <row r="39" spans="1:38" x14ac:dyDescent="0.2">
      <c r="A39" s="86">
        <f t="shared" si="5"/>
        <v>32</v>
      </c>
      <c r="B39" s="725"/>
      <c r="C39" s="726" t="s">
        <v>5</v>
      </c>
      <c r="D39" s="157"/>
      <c r="E39" s="157">
        <f>ROUND('Allocation = ¢ per Therm'!K36,5)</f>
        <v>0</v>
      </c>
      <c r="F39" s="157">
        <f>ROUND('Allocation = % of Margin'!O33,5)</f>
        <v>-9.4900000000000002E-3</v>
      </c>
      <c r="G39" s="157">
        <f>ROUND('Allocation = % of Margin'!R33,5)</f>
        <v>-5.2500000000000003E-3</v>
      </c>
      <c r="H39" s="157">
        <f>ROUND('Allocation = % of Margin'!X33,5)</f>
        <v>-2.7E-4</v>
      </c>
      <c r="I39" s="157"/>
      <c r="J39" s="564">
        <f>'WA Volumes &amp; Revenues'!F34</f>
        <v>474167</v>
      </c>
      <c r="K39" s="298">
        <f>'Rev Req Proof Yr1'!R39</f>
        <v>303088.75426472601</v>
      </c>
      <c r="L39" s="299">
        <f>'Rev Req Proof Yr1'!S39</f>
        <v>0</v>
      </c>
      <c r="M39" s="300">
        <f>'Rev Req Proof Yr1'!T39</f>
        <v>0</v>
      </c>
      <c r="N39" s="301">
        <f>'Rev Req Proof Yr1'!U39</f>
        <v>0</v>
      </c>
      <c r="O39" s="157"/>
      <c r="P39" s="313">
        <f t="shared" si="54"/>
        <v>0</v>
      </c>
      <c r="Q39" s="309">
        <v>0</v>
      </c>
      <c r="R39" s="314">
        <v>0</v>
      </c>
      <c r="S39" s="157"/>
      <c r="T39" s="313">
        <f t="shared" ref="T39:T43" si="57">((F39)*K39)</f>
        <v>-2876.3122779722498</v>
      </c>
      <c r="U39" s="309">
        <v>0</v>
      </c>
      <c r="V39" s="314">
        <v>0</v>
      </c>
      <c r="W39" s="157"/>
      <c r="X39" s="313">
        <f t="shared" si="55"/>
        <v>-1591.2159598898118</v>
      </c>
      <c r="Y39" s="309">
        <v>0</v>
      </c>
      <c r="Z39" s="314">
        <v>0</v>
      </c>
      <c r="AA39" s="309"/>
      <c r="AB39" s="313">
        <f t="shared" si="9"/>
        <v>-81.833963651476026</v>
      </c>
      <c r="AC39" s="309">
        <v>0</v>
      </c>
      <c r="AD39" s="314">
        <v>0</v>
      </c>
      <c r="AE39" s="157"/>
      <c r="AF39" s="313">
        <f t="shared" si="56"/>
        <v>-4549.362201513537</v>
      </c>
      <c r="AG39" s="309">
        <v>0</v>
      </c>
      <c r="AH39" s="314">
        <v>0</v>
      </c>
      <c r="AI39" s="309"/>
      <c r="AJ39" s="310"/>
      <c r="AK39" s="310"/>
      <c r="AL39" s="309"/>
    </row>
    <row r="40" spans="1:38" x14ac:dyDescent="0.2">
      <c r="A40" s="86">
        <f t="shared" si="5"/>
        <v>33</v>
      </c>
      <c r="B40" s="725"/>
      <c r="C40" s="726" t="s">
        <v>6</v>
      </c>
      <c r="D40" s="157"/>
      <c r="E40" s="157">
        <f>ROUND('Allocation = ¢ per Therm'!K37,5)</f>
        <v>0</v>
      </c>
      <c r="F40" s="157">
        <f>ROUND('Allocation = % of Margin'!O34,5)</f>
        <v>-7.28E-3</v>
      </c>
      <c r="G40" s="157">
        <f>ROUND('Allocation = % of Margin'!R34,5)</f>
        <v>-4.0200000000000001E-3</v>
      </c>
      <c r="H40" s="157">
        <f>ROUND('Allocation = % of Margin'!X34,5)</f>
        <v>-2.0000000000000001E-4</v>
      </c>
      <c r="I40" s="157"/>
      <c r="J40" s="564">
        <f>'WA Volumes &amp; Revenues'!F35</f>
        <v>97890.5</v>
      </c>
      <c r="K40" s="298">
        <f>'Rev Req Proof Yr1'!R40</f>
        <v>59441.942130257296</v>
      </c>
      <c r="L40" s="299">
        <f>'Rev Req Proof Yr1'!S40</f>
        <v>0</v>
      </c>
      <c r="M40" s="300">
        <f>'Rev Req Proof Yr1'!T40</f>
        <v>0</v>
      </c>
      <c r="N40" s="301">
        <f>'Rev Req Proof Yr1'!U40</f>
        <v>0</v>
      </c>
      <c r="O40" s="157"/>
      <c r="P40" s="313">
        <f t="shared" si="54"/>
        <v>0</v>
      </c>
      <c r="Q40" s="309">
        <v>0</v>
      </c>
      <c r="R40" s="314">
        <v>0</v>
      </c>
      <c r="S40" s="157"/>
      <c r="T40" s="313">
        <f t="shared" si="57"/>
        <v>-432.73733870827311</v>
      </c>
      <c r="U40" s="309">
        <v>0</v>
      </c>
      <c r="V40" s="314">
        <v>0</v>
      </c>
      <c r="W40" s="157"/>
      <c r="X40" s="313">
        <f t="shared" si="55"/>
        <v>-238.95660736363433</v>
      </c>
      <c r="Y40" s="309">
        <v>0</v>
      </c>
      <c r="Z40" s="314">
        <v>0</v>
      </c>
      <c r="AA40" s="309"/>
      <c r="AB40" s="313">
        <f t="shared" si="9"/>
        <v>-11.88838842605146</v>
      </c>
      <c r="AC40" s="309">
        <v>0</v>
      </c>
      <c r="AD40" s="314">
        <v>0</v>
      </c>
      <c r="AE40" s="157"/>
      <c r="AF40" s="313">
        <f t="shared" si="56"/>
        <v>-683.58233449795898</v>
      </c>
      <c r="AG40" s="309">
        <v>0</v>
      </c>
      <c r="AH40" s="314">
        <v>0</v>
      </c>
      <c r="AI40" s="309"/>
      <c r="AJ40" s="310"/>
      <c r="AK40" s="310"/>
      <c r="AL40" s="309"/>
    </row>
    <row r="41" spans="1:38" x14ac:dyDescent="0.2">
      <c r="A41" s="86">
        <f t="shared" si="5"/>
        <v>34</v>
      </c>
      <c r="B41" s="725"/>
      <c r="C41" s="726" t="s">
        <v>7</v>
      </c>
      <c r="D41" s="157"/>
      <c r="E41" s="157">
        <f>ROUND('Allocation = ¢ per Therm'!K38,5)</f>
        <v>0</v>
      </c>
      <c r="F41" s="157">
        <f>ROUND('Allocation = % of Margin'!O35,5)</f>
        <v>-5.8199999999999997E-3</v>
      </c>
      <c r="G41" s="157">
        <f>ROUND('Allocation = % of Margin'!R35,5)</f>
        <v>-3.2200000000000002E-3</v>
      </c>
      <c r="H41" s="157">
        <f>ROUND('Allocation = % of Margin'!X35,5)</f>
        <v>-1.6000000000000001E-4</v>
      </c>
      <c r="I41" s="157"/>
      <c r="J41" s="564">
        <f>'WA Volumes &amp; Revenues'!F36</f>
        <v>6094</v>
      </c>
      <c r="K41" s="298">
        <f>'Rev Req Proof Yr1'!R41</f>
        <v>3614.6071898605187</v>
      </c>
      <c r="L41" s="299">
        <f>'Rev Req Proof Yr1'!S41</f>
        <v>0</v>
      </c>
      <c r="M41" s="300">
        <f>'Rev Req Proof Yr1'!T41</f>
        <v>0</v>
      </c>
      <c r="N41" s="301">
        <f>'Rev Req Proof Yr1'!U41</f>
        <v>0</v>
      </c>
      <c r="O41" s="157"/>
      <c r="P41" s="313">
        <f t="shared" si="54"/>
        <v>0</v>
      </c>
      <c r="Q41" s="309">
        <v>0</v>
      </c>
      <c r="R41" s="314">
        <v>0</v>
      </c>
      <c r="S41" s="157"/>
      <c r="T41" s="313">
        <f t="shared" si="57"/>
        <v>-21.037013844988216</v>
      </c>
      <c r="U41" s="309">
        <v>0</v>
      </c>
      <c r="V41" s="314">
        <v>0</v>
      </c>
      <c r="W41" s="157"/>
      <c r="X41" s="313">
        <f t="shared" si="55"/>
        <v>-11.639035151350871</v>
      </c>
      <c r="Y41" s="309">
        <v>0</v>
      </c>
      <c r="Z41" s="314">
        <v>0</v>
      </c>
      <c r="AA41" s="309"/>
      <c r="AB41" s="313">
        <f t="shared" si="9"/>
        <v>-0.57833715037768307</v>
      </c>
      <c r="AC41" s="309">
        <v>0</v>
      </c>
      <c r="AD41" s="314">
        <v>0</v>
      </c>
      <c r="AE41" s="157"/>
      <c r="AF41" s="313">
        <f t="shared" si="56"/>
        <v>-33.254386146716769</v>
      </c>
      <c r="AG41" s="309">
        <v>0</v>
      </c>
      <c r="AH41" s="314">
        <v>0</v>
      </c>
      <c r="AI41" s="309"/>
      <c r="AJ41" s="310"/>
      <c r="AK41" s="310"/>
      <c r="AL41" s="309"/>
    </row>
    <row r="42" spans="1:38" x14ac:dyDescent="0.2">
      <c r="A42" s="86">
        <f t="shared" si="5"/>
        <v>35</v>
      </c>
      <c r="B42" s="725"/>
      <c r="C42" s="726" t="s">
        <v>8</v>
      </c>
      <c r="D42" s="157"/>
      <c r="E42" s="157">
        <f>ROUND('Allocation = ¢ per Therm'!K39,5)</f>
        <v>0</v>
      </c>
      <c r="F42" s="157">
        <f>ROUND('Allocation = % of Margin'!O36,5)</f>
        <v>-3.8800000000000002E-3</v>
      </c>
      <c r="G42" s="157">
        <f>ROUND('Allocation = % of Margin'!R36,5)</f>
        <v>-2.15E-3</v>
      </c>
      <c r="H42" s="157">
        <f>ROUND('Allocation = % of Margin'!X36,5)</f>
        <v>-1.1E-4</v>
      </c>
      <c r="I42" s="157"/>
      <c r="J42" s="564">
        <f>'WA Volumes &amp; Revenues'!F37</f>
        <v>0</v>
      </c>
      <c r="K42" s="298">
        <f>'Rev Req Proof Yr1'!R42</f>
        <v>0</v>
      </c>
      <c r="L42" s="299">
        <f>'Rev Req Proof Yr1'!S42</f>
        <v>0</v>
      </c>
      <c r="M42" s="300">
        <f>'Rev Req Proof Yr1'!T42</f>
        <v>0</v>
      </c>
      <c r="N42" s="301">
        <f>'Rev Req Proof Yr1'!U42</f>
        <v>0</v>
      </c>
      <c r="O42" s="157"/>
      <c r="P42" s="313">
        <f t="shared" si="54"/>
        <v>0</v>
      </c>
      <c r="Q42" s="309">
        <v>0</v>
      </c>
      <c r="R42" s="314">
        <v>0</v>
      </c>
      <c r="S42" s="157"/>
      <c r="T42" s="313">
        <f t="shared" si="57"/>
        <v>0</v>
      </c>
      <c r="U42" s="309">
        <v>0</v>
      </c>
      <c r="V42" s="314">
        <v>0</v>
      </c>
      <c r="W42" s="157"/>
      <c r="X42" s="313">
        <f t="shared" si="55"/>
        <v>0</v>
      </c>
      <c r="Y42" s="309">
        <v>0</v>
      </c>
      <c r="Z42" s="314">
        <v>0</v>
      </c>
      <c r="AA42" s="309"/>
      <c r="AB42" s="313">
        <f t="shared" si="9"/>
        <v>0</v>
      </c>
      <c r="AC42" s="309">
        <v>0</v>
      </c>
      <c r="AD42" s="314">
        <v>0</v>
      </c>
      <c r="AE42" s="157"/>
      <c r="AF42" s="313">
        <f t="shared" si="56"/>
        <v>0</v>
      </c>
      <c r="AG42" s="309">
        <v>0</v>
      </c>
      <c r="AH42" s="314">
        <v>0</v>
      </c>
      <c r="AI42" s="309"/>
      <c r="AJ42" s="310"/>
      <c r="AK42" s="310"/>
      <c r="AL42" s="309"/>
    </row>
    <row r="43" spans="1:38" x14ac:dyDescent="0.2">
      <c r="A43" s="86">
        <f t="shared" si="5"/>
        <v>36</v>
      </c>
      <c r="B43" s="725"/>
      <c r="C43" s="726" t="s">
        <v>9</v>
      </c>
      <c r="D43" s="157"/>
      <c r="E43" s="157">
        <f>ROUND('Allocation = ¢ per Therm'!K40,5)</f>
        <v>0</v>
      </c>
      <c r="F43" s="157">
        <f>ROUND('Allocation = % of Margin'!O37,5)</f>
        <v>-1.4499999999999999E-3</v>
      </c>
      <c r="G43" s="157">
        <f>ROUND('Allocation = % of Margin'!R37,5)</f>
        <v>-8.0000000000000004E-4</v>
      </c>
      <c r="H43" s="157">
        <f>ROUND('Allocation = % of Margin'!X37,5)</f>
        <v>-4.0000000000000003E-5</v>
      </c>
      <c r="I43" s="157"/>
      <c r="J43" s="564">
        <f>'WA Volumes &amp; Revenues'!F38</f>
        <v>0</v>
      </c>
      <c r="K43" s="298">
        <f>'Rev Req Proof Yr1'!R43</f>
        <v>0</v>
      </c>
      <c r="L43" s="299">
        <f>'Rev Req Proof Yr1'!S43</f>
        <v>0</v>
      </c>
      <c r="M43" s="300">
        <f>'Rev Req Proof Yr1'!T43</f>
        <v>0</v>
      </c>
      <c r="N43" s="301">
        <f>'Rev Req Proof Yr1'!U43</f>
        <v>0</v>
      </c>
      <c r="O43" s="157"/>
      <c r="P43" s="313">
        <f t="shared" si="54"/>
        <v>0</v>
      </c>
      <c r="Q43" s="309">
        <v>0</v>
      </c>
      <c r="R43" s="314">
        <v>0</v>
      </c>
      <c r="S43" s="157"/>
      <c r="T43" s="313">
        <f t="shared" si="57"/>
        <v>0</v>
      </c>
      <c r="U43" s="309">
        <v>0</v>
      </c>
      <c r="V43" s="314">
        <v>0</v>
      </c>
      <c r="W43" s="157"/>
      <c r="X43" s="313">
        <f t="shared" si="55"/>
        <v>0</v>
      </c>
      <c r="Y43" s="309">
        <v>0</v>
      </c>
      <c r="Z43" s="314">
        <v>0</v>
      </c>
      <c r="AA43" s="309"/>
      <c r="AB43" s="313">
        <f t="shared" si="9"/>
        <v>0</v>
      </c>
      <c r="AC43" s="309">
        <v>0</v>
      </c>
      <c r="AD43" s="314">
        <v>0</v>
      </c>
      <c r="AE43" s="157"/>
      <c r="AF43" s="313">
        <f t="shared" si="56"/>
        <v>0</v>
      </c>
      <c r="AG43" s="309">
        <v>0</v>
      </c>
      <c r="AH43" s="314">
        <v>0</v>
      </c>
      <c r="AI43" s="309"/>
      <c r="AJ43" s="310"/>
      <c r="AK43" s="310"/>
      <c r="AL43" s="309"/>
    </row>
    <row r="44" spans="1:38" x14ac:dyDescent="0.2">
      <c r="A44" s="86">
        <f t="shared" si="5"/>
        <v>37</v>
      </c>
      <c r="B44" s="723"/>
      <c r="C44" s="742" t="s">
        <v>78</v>
      </c>
      <c r="D44" s="153"/>
      <c r="E44" s="153"/>
      <c r="F44" s="153"/>
      <c r="G44" s="810"/>
      <c r="H44" s="810"/>
      <c r="I44" s="153"/>
      <c r="J44" s="564"/>
      <c r="K44" s="298"/>
      <c r="L44" s="299"/>
      <c r="M44" s="300"/>
      <c r="N44" s="301"/>
      <c r="O44" s="157"/>
      <c r="P44" s="315">
        <f>SUM(P38:P43)</f>
        <v>0</v>
      </c>
      <c r="Q44" s="316">
        <f>SUM(Q38:Q43)</f>
        <v>0</v>
      </c>
      <c r="R44" s="317">
        <f>SUM(R38:R43)</f>
        <v>0</v>
      </c>
      <c r="S44" s="157"/>
      <c r="T44" s="315">
        <f>SUM(T38:T43)</f>
        <v>-7048.2450450192709</v>
      </c>
      <c r="U44" s="316">
        <f>SUM(U38:U43)</f>
        <v>0</v>
      </c>
      <c r="V44" s="317">
        <f>SUM(V38:V43)</f>
        <v>0</v>
      </c>
      <c r="W44" s="157"/>
      <c r="X44" s="315">
        <f>SUM(X38:X43)</f>
        <v>-3897.3218202287053</v>
      </c>
      <c r="Y44" s="316">
        <f>SUM(Y38:Y43)</f>
        <v>0</v>
      </c>
      <c r="Z44" s="317">
        <f>SUM(Z38:Z43)</f>
        <v>0</v>
      </c>
      <c r="AA44" s="328"/>
      <c r="AB44" s="315">
        <f>SUM(AB38:AB43)</f>
        <v>-199.53158775131345</v>
      </c>
      <c r="AC44" s="316">
        <f>SUM(AC38:AC43)</f>
        <v>0</v>
      </c>
      <c r="AD44" s="317">
        <f>SUM(AD38:AD43)</f>
        <v>0</v>
      </c>
      <c r="AE44" s="157"/>
      <c r="AF44" s="315">
        <f>SUM(AF38:AF43)</f>
        <v>-11145.098452999289</v>
      </c>
      <c r="AG44" s="316">
        <f>SUM(AG38:AG43)</f>
        <v>0</v>
      </c>
      <c r="AH44" s="317">
        <f>SUM(AH38:AH43)</f>
        <v>0</v>
      </c>
      <c r="AI44" s="309"/>
      <c r="AJ44" s="310"/>
      <c r="AK44" s="310"/>
      <c r="AL44" s="309"/>
    </row>
    <row r="45" spans="1:38" x14ac:dyDescent="0.2">
      <c r="A45" s="86">
        <f t="shared" si="5"/>
        <v>38</v>
      </c>
      <c r="B45" s="725" t="str">
        <f>'Rev Req Proof Yr1'!B45</f>
        <v>42I Firm Sales</v>
      </c>
      <c r="C45" s="726" t="s">
        <v>4</v>
      </c>
      <c r="D45" s="157"/>
      <c r="E45" s="157">
        <f>ROUND('Allocation = ¢ per Therm'!K41,5)</f>
        <v>0</v>
      </c>
      <c r="F45" s="157">
        <f>ROUND('Allocation = % of Margin'!O38,5)</f>
        <v>0</v>
      </c>
      <c r="G45" s="157">
        <f>ROUND('Allocation = % of Margin'!R38,5)</f>
        <v>-5.2100000000000002E-3</v>
      </c>
      <c r="H45" s="157">
        <f>ROUND('Allocation = % of Margin'!X38,5)</f>
        <v>-2.7E-4</v>
      </c>
      <c r="I45" s="157"/>
      <c r="J45" s="564">
        <f>'WA Volumes &amp; Revenues'!F39</f>
        <v>1086353</v>
      </c>
      <c r="K45" s="298">
        <f>'Rev Req Proof Yr1'!R45</f>
        <v>1093724.2000000002</v>
      </c>
      <c r="L45" s="299">
        <f>'Rev Req Proof Yr1'!S45</f>
        <v>9556</v>
      </c>
      <c r="M45" s="300">
        <f>'Rev Req Proof Yr1'!T45</f>
        <v>11.916666666666666</v>
      </c>
      <c r="N45" s="301">
        <f>'Rev Req Proof Yr1'!U45</f>
        <v>12869</v>
      </c>
      <c r="O45" s="157"/>
      <c r="P45" s="313">
        <f t="shared" ref="P45:P50" si="58">((E45)*K45)</f>
        <v>0</v>
      </c>
      <c r="Q45" s="309">
        <v>0</v>
      </c>
      <c r="R45" s="314">
        <v>0</v>
      </c>
      <c r="S45" s="157"/>
      <c r="T45" s="313">
        <f>((F45)*K45)</f>
        <v>0</v>
      </c>
      <c r="U45" s="309">
        <v>0</v>
      </c>
      <c r="V45" s="314">
        <v>0</v>
      </c>
      <c r="W45" s="157"/>
      <c r="X45" s="313">
        <f t="shared" ref="X45:X50" si="59">((G45)*K45)</f>
        <v>-5698.3030820000013</v>
      </c>
      <c r="Y45" s="309">
        <v>0</v>
      </c>
      <c r="Z45" s="314">
        <v>0</v>
      </c>
      <c r="AA45" s="309"/>
      <c r="AB45" s="313">
        <f t="shared" si="9"/>
        <v>-295.30553400000008</v>
      </c>
      <c r="AC45" s="309">
        <v>0</v>
      </c>
      <c r="AD45" s="314">
        <v>0</v>
      </c>
      <c r="AE45" s="157"/>
      <c r="AF45" s="313">
        <f t="shared" ref="AF45:AF50" si="60">((E45+F45+G45+H45)*K45)</f>
        <v>-5993.6086160000013</v>
      </c>
      <c r="AG45" s="309">
        <v>0</v>
      </c>
      <c r="AH45" s="314">
        <v>0</v>
      </c>
      <c r="AI45" s="309"/>
      <c r="AJ45" s="310"/>
      <c r="AK45" s="310"/>
      <c r="AL45" s="309"/>
    </row>
    <row r="46" spans="1:38" x14ac:dyDescent="0.2">
      <c r="A46" s="86">
        <f t="shared" si="5"/>
        <v>39</v>
      </c>
      <c r="B46" s="725"/>
      <c r="C46" s="726" t="s">
        <v>5</v>
      </c>
      <c r="D46" s="157"/>
      <c r="E46" s="157">
        <f>ROUND('Allocation = ¢ per Therm'!K42,5)</f>
        <v>0</v>
      </c>
      <c r="F46" s="157">
        <f>ROUND('Allocation = % of Margin'!O39,5)</f>
        <v>0</v>
      </c>
      <c r="G46" s="157">
        <f>ROUND('Allocation = % of Margin'!R39,5)</f>
        <v>-4.6699999999999997E-3</v>
      </c>
      <c r="H46" s="157">
        <f>ROUND('Allocation = % of Margin'!X39,5)</f>
        <v>-2.4000000000000001E-4</v>
      </c>
      <c r="I46" s="157"/>
      <c r="J46" s="564">
        <f>'WA Volumes &amp; Revenues'!F40</f>
        <v>638955</v>
      </c>
      <c r="K46" s="298">
        <f>'Rev Req Proof Yr1'!R46</f>
        <v>655939.80000000005</v>
      </c>
      <c r="L46" s="299">
        <f>'Rev Req Proof Yr1'!S46</f>
        <v>0</v>
      </c>
      <c r="M46" s="300">
        <f>'Rev Req Proof Yr1'!T46</f>
        <v>0</v>
      </c>
      <c r="N46" s="301">
        <f>'Rev Req Proof Yr1'!U46</f>
        <v>0</v>
      </c>
      <c r="O46" s="157"/>
      <c r="P46" s="313">
        <f t="shared" si="58"/>
        <v>0</v>
      </c>
      <c r="Q46" s="309">
        <v>0</v>
      </c>
      <c r="R46" s="314">
        <v>0</v>
      </c>
      <c r="S46" s="157"/>
      <c r="T46" s="313">
        <f t="shared" ref="T46:T50" si="61">((F46)*K46)</f>
        <v>0</v>
      </c>
      <c r="U46" s="309">
        <v>0</v>
      </c>
      <c r="V46" s="314">
        <v>0</v>
      </c>
      <c r="W46" s="157"/>
      <c r="X46" s="313">
        <f t="shared" si="59"/>
        <v>-3063.2388660000001</v>
      </c>
      <c r="Y46" s="309">
        <v>0</v>
      </c>
      <c r="Z46" s="314">
        <v>0</v>
      </c>
      <c r="AA46" s="309"/>
      <c r="AB46" s="313">
        <f t="shared" si="9"/>
        <v>-157.42555200000001</v>
      </c>
      <c r="AC46" s="309">
        <v>0</v>
      </c>
      <c r="AD46" s="314">
        <v>0</v>
      </c>
      <c r="AE46" s="157"/>
      <c r="AF46" s="313">
        <f t="shared" si="60"/>
        <v>-3220.6644179999998</v>
      </c>
      <c r="AG46" s="309">
        <v>0</v>
      </c>
      <c r="AH46" s="314">
        <v>0</v>
      </c>
      <c r="AI46" s="309"/>
      <c r="AJ46" s="310"/>
      <c r="AK46" s="310"/>
      <c r="AL46" s="309"/>
    </row>
    <row r="47" spans="1:38" x14ac:dyDescent="0.2">
      <c r="A47" s="86">
        <f t="shared" si="5"/>
        <v>40</v>
      </c>
      <c r="B47" s="725"/>
      <c r="C47" s="726" t="s">
        <v>6</v>
      </c>
      <c r="D47" s="157"/>
      <c r="E47" s="157">
        <f>ROUND('Allocation = ¢ per Therm'!K43,5)</f>
        <v>0</v>
      </c>
      <c r="F47" s="157">
        <f>ROUND('Allocation = % of Margin'!O40,5)</f>
        <v>0</v>
      </c>
      <c r="G47" s="157">
        <f>ROUND('Allocation = % of Margin'!R40,5)</f>
        <v>-3.5799999999999998E-3</v>
      </c>
      <c r="H47" s="157">
        <f>ROUND('Allocation = % of Margin'!X40,5)</f>
        <v>-1.8000000000000001E-4</v>
      </c>
      <c r="I47" s="157"/>
      <c r="J47" s="564">
        <f>'WA Volumes &amp; Revenues'!F41</f>
        <v>68923</v>
      </c>
      <c r="K47" s="298">
        <f>'Rev Req Proof Yr1'!R47</f>
        <v>81241.3</v>
      </c>
      <c r="L47" s="299">
        <f>'Rev Req Proof Yr1'!S47</f>
        <v>0</v>
      </c>
      <c r="M47" s="300">
        <f>'Rev Req Proof Yr1'!T47</f>
        <v>0</v>
      </c>
      <c r="N47" s="301">
        <f>'Rev Req Proof Yr1'!U47</f>
        <v>0</v>
      </c>
      <c r="O47" s="157"/>
      <c r="P47" s="313">
        <f t="shared" si="58"/>
        <v>0</v>
      </c>
      <c r="Q47" s="309">
        <v>0</v>
      </c>
      <c r="R47" s="314">
        <v>0</v>
      </c>
      <c r="S47" s="157"/>
      <c r="T47" s="313">
        <f t="shared" si="61"/>
        <v>0</v>
      </c>
      <c r="U47" s="309">
        <v>0</v>
      </c>
      <c r="V47" s="314">
        <v>0</v>
      </c>
      <c r="W47" s="157"/>
      <c r="X47" s="313">
        <f t="shared" si="59"/>
        <v>-290.84385400000002</v>
      </c>
      <c r="Y47" s="309">
        <v>0</v>
      </c>
      <c r="Z47" s="314">
        <v>0</v>
      </c>
      <c r="AA47" s="309"/>
      <c r="AB47" s="313">
        <f t="shared" si="9"/>
        <v>-14.623434000000001</v>
      </c>
      <c r="AC47" s="309">
        <v>0</v>
      </c>
      <c r="AD47" s="314">
        <v>0</v>
      </c>
      <c r="AE47" s="157"/>
      <c r="AF47" s="313">
        <f t="shared" si="60"/>
        <v>-305.467288</v>
      </c>
      <c r="AG47" s="309">
        <v>0</v>
      </c>
      <c r="AH47" s="314">
        <v>0</v>
      </c>
      <c r="AI47" s="309"/>
      <c r="AJ47" s="310"/>
      <c r="AK47" s="310"/>
      <c r="AL47" s="309"/>
    </row>
    <row r="48" spans="1:38" x14ac:dyDescent="0.2">
      <c r="A48" s="86">
        <f t="shared" si="5"/>
        <v>41</v>
      </c>
      <c r="B48" s="725"/>
      <c r="C48" s="726" t="s">
        <v>7</v>
      </c>
      <c r="D48" s="157"/>
      <c r="E48" s="157">
        <f>ROUND('Allocation = ¢ per Therm'!K44,5)</f>
        <v>0</v>
      </c>
      <c r="F48" s="157">
        <f>ROUND('Allocation = % of Margin'!O41,5)</f>
        <v>0</v>
      </c>
      <c r="G48" s="157">
        <f>ROUND('Allocation = % of Margin'!R41,5)</f>
        <v>-2.8600000000000001E-3</v>
      </c>
      <c r="H48" s="157">
        <f>ROUND('Allocation = % of Margin'!X41,5)</f>
        <v>-1.4999999999999999E-4</v>
      </c>
      <c r="I48" s="157"/>
      <c r="J48" s="564">
        <f>'WA Volumes &amp; Revenues'!F42</f>
        <v>0</v>
      </c>
      <c r="K48" s="298">
        <f>'Rev Req Proof Yr1'!R48</f>
        <v>9320.1</v>
      </c>
      <c r="L48" s="299">
        <f>'Rev Req Proof Yr1'!S48</f>
        <v>0</v>
      </c>
      <c r="M48" s="300">
        <f>'Rev Req Proof Yr1'!T48</f>
        <v>0</v>
      </c>
      <c r="N48" s="301">
        <f>'Rev Req Proof Yr1'!U48</f>
        <v>0</v>
      </c>
      <c r="O48" s="157"/>
      <c r="P48" s="313">
        <f t="shared" si="58"/>
        <v>0</v>
      </c>
      <c r="Q48" s="309">
        <v>0</v>
      </c>
      <c r="R48" s="314">
        <v>0</v>
      </c>
      <c r="S48" s="157"/>
      <c r="T48" s="313">
        <f t="shared" si="61"/>
        <v>0</v>
      </c>
      <c r="U48" s="309">
        <v>0</v>
      </c>
      <c r="V48" s="314">
        <v>0</v>
      </c>
      <c r="W48" s="157"/>
      <c r="X48" s="313">
        <f t="shared" si="59"/>
        <v>-26.655486000000003</v>
      </c>
      <c r="Y48" s="309">
        <v>0</v>
      </c>
      <c r="Z48" s="314">
        <v>0</v>
      </c>
      <c r="AA48" s="309"/>
      <c r="AB48" s="313">
        <f t="shared" si="9"/>
        <v>-1.398015</v>
      </c>
      <c r="AC48" s="309">
        <v>0</v>
      </c>
      <c r="AD48" s="314">
        <v>0</v>
      </c>
      <c r="AE48" s="157"/>
      <c r="AF48" s="313">
        <f t="shared" si="60"/>
        <v>-28.053501000000001</v>
      </c>
      <c r="AG48" s="309">
        <v>0</v>
      </c>
      <c r="AH48" s="314">
        <v>0</v>
      </c>
      <c r="AI48" s="309"/>
      <c r="AJ48" s="310"/>
      <c r="AK48" s="310"/>
      <c r="AL48" s="309"/>
    </row>
    <row r="49" spans="1:38" x14ac:dyDescent="0.2">
      <c r="A49" s="86">
        <f t="shared" si="5"/>
        <v>42</v>
      </c>
      <c r="B49" s="725"/>
      <c r="C49" s="726" t="s">
        <v>8</v>
      </c>
      <c r="D49" s="157"/>
      <c r="E49" s="157">
        <f>ROUND('Allocation = ¢ per Therm'!K45,5)</f>
        <v>0</v>
      </c>
      <c r="F49" s="157">
        <f>ROUND('Allocation = % of Margin'!O42,5)</f>
        <v>0</v>
      </c>
      <c r="G49" s="157">
        <f>ROUND('Allocation = % of Margin'!R42,5)</f>
        <v>-1.91E-3</v>
      </c>
      <c r="H49" s="157">
        <f>ROUND('Allocation = % of Margin'!X42,5)</f>
        <v>-1E-4</v>
      </c>
      <c r="I49" s="157"/>
      <c r="J49" s="564">
        <f>'WA Volumes &amp; Revenues'!F43</f>
        <v>0</v>
      </c>
      <c r="K49" s="298">
        <f>'Rev Req Proof Yr1'!R49</f>
        <v>0</v>
      </c>
      <c r="L49" s="299">
        <f>'Rev Req Proof Yr1'!S49</f>
        <v>0</v>
      </c>
      <c r="M49" s="300">
        <f>'Rev Req Proof Yr1'!T49</f>
        <v>0</v>
      </c>
      <c r="N49" s="301">
        <f>'Rev Req Proof Yr1'!U49</f>
        <v>0</v>
      </c>
      <c r="O49" s="157"/>
      <c r="P49" s="313">
        <f t="shared" si="58"/>
        <v>0</v>
      </c>
      <c r="Q49" s="309">
        <v>0</v>
      </c>
      <c r="R49" s="314">
        <v>0</v>
      </c>
      <c r="S49" s="157"/>
      <c r="T49" s="313">
        <f t="shared" si="61"/>
        <v>0</v>
      </c>
      <c r="U49" s="309">
        <v>0</v>
      </c>
      <c r="V49" s="314">
        <v>0</v>
      </c>
      <c r="W49" s="157"/>
      <c r="X49" s="313">
        <f t="shared" si="59"/>
        <v>0</v>
      </c>
      <c r="Y49" s="309">
        <v>0</v>
      </c>
      <c r="Z49" s="314">
        <v>0</v>
      </c>
      <c r="AA49" s="309"/>
      <c r="AB49" s="313">
        <f t="shared" si="9"/>
        <v>0</v>
      </c>
      <c r="AC49" s="309">
        <v>0</v>
      </c>
      <c r="AD49" s="314">
        <v>0</v>
      </c>
      <c r="AE49" s="157"/>
      <c r="AF49" s="313">
        <f t="shared" si="60"/>
        <v>0</v>
      </c>
      <c r="AG49" s="309">
        <v>0</v>
      </c>
      <c r="AH49" s="314">
        <v>0</v>
      </c>
      <c r="AI49" s="309"/>
      <c r="AJ49" s="310"/>
      <c r="AK49" s="310"/>
      <c r="AL49" s="309"/>
    </row>
    <row r="50" spans="1:38" x14ac:dyDescent="0.2">
      <c r="A50" s="86">
        <f t="shared" si="5"/>
        <v>43</v>
      </c>
      <c r="B50" s="725"/>
      <c r="C50" s="726" t="s">
        <v>9</v>
      </c>
      <c r="D50" s="157"/>
      <c r="E50" s="157">
        <f>ROUND('Allocation = ¢ per Therm'!K46,5)</f>
        <v>0</v>
      </c>
      <c r="F50" s="157">
        <f>ROUND('Allocation = % of Margin'!O43,5)</f>
        <v>0</v>
      </c>
      <c r="G50" s="157">
        <f>ROUND('Allocation = % of Margin'!R43,5)</f>
        <v>-7.2000000000000005E-4</v>
      </c>
      <c r="H50" s="157">
        <f>ROUND('Allocation = % of Margin'!X43,5)</f>
        <v>-4.0000000000000003E-5</v>
      </c>
      <c r="I50" s="157"/>
      <c r="J50" s="564">
        <f>'WA Volumes &amp; Revenues'!F44</f>
        <v>0</v>
      </c>
      <c r="K50" s="298">
        <f>'Rev Req Proof Yr1'!R50</f>
        <v>0</v>
      </c>
      <c r="L50" s="299">
        <f>'Rev Req Proof Yr1'!S50</f>
        <v>0</v>
      </c>
      <c r="M50" s="300">
        <f>'Rev Req Proof Yr1'!T50</f>
        <v>0</v>
      </c>
      <c r="N50" s="301">
        <f>'Rev Req Proof Yr1'!U50</f>
        <v>0</v>
      </c>
      <c r="O50" s="157"/>
      <c r="P50" s="313">
        <f t="shared" si="58"/>
        <v>0</v>
      </c>
      <c r="Q50" s="309">
        <v>0</v>
      </c>
      <c r="R50" s="314">
        <v>0</v>
      </c>
      <c r="S50" s="157"/>
      <c r="T50" s="313">
        <f t="shared" si="61"/>
        <v>0</v>
      </c>
      <c r="U50" s="309">
        <v>0</v>
      </c>
      <c r="V50" s="314">
        <v>0</v>
      </c>
      <c r="W50" s="157"/>
      <c r="X50" s="313">
        <f t="shared" si="59"/>
        <v>0</v>
      </c>
      <c r="Y50" s="309">
        <v>0</v>
      </c>
      <c r="Z50" s="314">
        <v>0</v>
      </c>
      <c r="AA50" s="309"/>
      <c r="AB50" s="313">
        <f t="shared" si="9"/>
        <v>0</v>
      </c>
      <c r="AC50" s="309">
        <v>0</v>
      </c>
      <c r="AD50" s="314">
        <v>0</v>
      </c>
      <c r="AE50" s="157"/>
      <c r="AF50" s="313">
        <f t="shared" si="60"/>
        <v>0</v>
      </c>
      <c r="AG50" s="309">
        <v>0</v>
      </c>
      <c r="AH50" s="314">
        <v>0</v>
      </c>
      <c r="AI50" s="309"/>
      <c r="AJ50" s="310"/>
      <c r="AK50" s="310"/>
      <c r="AL50" s="309"/>
    </row>
    <row r="51" spans="1:38" x14ac:dyDescent="0.2">
      <c r="A51" s="86">
        <f t="shared" si="5"/>
        <v>44</v>
      </c>
      <c r="B51" s="723"/>
      <c r="C51" s="742" t="s">
        <v>78</v>
      </c>
      <c r="D51" s="153"/>
      <c r="E51" s="153"/>
      <c r="F51" s="153"/>
      <c r="G51" s="810"/>
      <c r="H51" s="810"/>
      <c r="I51" s="153"/>
      <c r="J51" s="564"/>
      <c r="K51" s="298"/>
      <c r="L51" s="299"/>
      <c r="M51" s="300"/>
      <c r="N51" s="301"/>
      <c r="O51" s="157"/>
      <c r="P51" s="315">
        <f>SUM(P45:P50)</f>
        <v>0</v>
      </c>
      <c r="Q51" s="316">
        <f>SUM(Q45:Q50)</f>
        <v>0</v>
      </c>
      <c r="R51" s="317">
        <f>SUM(R45:R50)</f>
        <v>0</v>
      </c>
      <c r="S51" s="157"/>
      <c r="T51" s="315">
        <f>SUM(T45:T50)</f>
        <v>0</v>
      </c>
      <c r="U51" s="316">
        <f>SUM(U45:U50)</f>
        <v>0</v>
      </c>
      <c r="V51" s="317">
        <f>SUM(V45:V50)</f>
        <v>0</v>
      </c>
      <c r="W51" s="157"/>
      <c r="X51" s="315">
        <f>SUM(X45:X50)</f>
        <v>-9079.0412880000022</v>
      </c>
      <c r="Y51" s="316">
        <f>SUM(Y45:Y50)</f>
        <v>0</v>
      </c>
      <c r="Z51" s="317">
        <f>SUM(Z45:Z50)</f>
        <v>0</v>
      </c>
      <c r="AA51" s="328"/>
      <c r="AB51" s="315">
        <f>SUM(AB45:AB50)</f>
        <v>-468.75253500000008</v>
      </c>
      <c r="AC51" s="316">
        <f>SUM(AC45:AC50)</f>
        <v>0</v>
      </c>
      <c r="AD51" s="317">
        <f>SUM(AD45:AD50)</f>
        <v>0</v>
      </c>
      <c r="AE51" s="157"/>
      <c r="AF51" s="315">
        <f>SUM(AF45:AF50)</f>
        <v>-9547.7938230000018</v>
      </c>
      <c r="AG51" s="316">
        <f>SUM(AG45:AG50)</f>
        <v>0</v>
      </c>
      <c r="AH51" s="317">
        <f>SUM(AH45:AH50)</f>
        <v>0</v>
      </c>
      <c r="AI51" s="309"/>
      <c r="AJ51" s="310"/>
      <c r="AK51" s="310"/>
      <c r="AL51" s="309"/>
    </row>
    <row r="52" spans="1:38" x14ac:dyDescent="0.2">
      <c r="A52" s="86">
        <f t="shared" si="5"/>
        <v>45</v>
      </c>
      <c r="B52" s="725" t="str">
        <f>'Rev Req Proof Yr1'!B52</f>
        <v>42C Firm Transpt</v>
      </c>
      <c r="C52" s="726" t="s">
        <v>4</v>
      </c>
      <c r="D52" s="157"/>
      <c r="E52" s="157">
        <f>ROUND('Allocation = ¢ per Therm'!K47,5)</f>
        <v>0</v>
      </c>
      <c r="F52" s="157">
        <f>ROUND('Allocation = % of Margin'!O44,5)</f>
        <v>0</v>
      </c>
      <c r="G52" s="157">
        <f>ROUND('Allocation = % of Margin'!R44,5)</f>
        <v>-3.31E-3</v>
      </c>
      <c r="H52" s="157">
        <f>ROUND('Allocation = % of Margin'!X44,5)</f>
        <v>-1.7000000000000001E-4</v>
      </c>
      <c r="I52" s="157"/>
      <c r="J52" s="564">
        <f>'WA Volumes &amp; Revenues'!F45</f>
        <v>479847</v>
      </c>
      <c r="K52" s="298">
        <f>'Rev Req Proof Yr1'!R52</f>
        <v>480000</v>
      </c>
      <c r="L52" s="299">
        <f>'Rev Req Proof Yr1'!S52</f>
        <v>10479</v>
      </c>
      <c r="M52" s="300">
        <f>'Rev Req Proof Yr1'!T52</f>
        <v>4</v>
      </c>
      <c r="N52" s="301">
        <f>'Rev Req Proof Yr1'!U52</f>
        <v>51470</v>
      </c>
      <c r="O52" s="157"/>
      <c r="P52" s="313">
        <f t="shared" ref="P52:P57" si="62">((E52)*K52)</f>
        <v>0</v>
      </c>
      <c r="Q52" s="309">
        <v>0</v>
      </c>
      <c r="R52" s="314">
        <v>0</v>
      </c>
      <c r="S52" s="157"/>
      <c r="T52" s="313">
        <f>((F52)*K52)</f>
        <v>0</v>
      </c>
      <c r="U52" s="309">
        <v>0</v>
      </c>
      <c r="V52" s="314">
        <v>0</v>
      </c>
      <c r="W52" s="157"/>
      <c r="X52" s="313">
        <f t="shared" ref="X52:X57" si="63">((G52)*K52)</f>
        <v>-1588.8</v>
      </c>
      <c r="Y52" s="309">
        <v>0</v>
      </c>
      <c r="Z52" s="314">
        <v>0</v>
      </c>
      <c r="AA52" s="309"/>
      <c r="AB52" s="313">
        <f t="shared" si="9"/>
        <v>-81.600000000000009</v>
      </c>
      <c r="AC52" s="309">
        <v>0</v>
      </c>
      <c r="AD52" s="314">
        <v>0</v>
      </c>
      <c r="AE52" s="157"/>
      <c r="AF52" s="313">
        <f t="shared" ref="AF52:AF57" si="64">((E52+F52+G52+H52)*K52)</f>
        <v>-1670.4</v>
      </c>
      <c r="AG52" s="309">
        <v>0</v>
      </c>
      <c r="AH52" s="314">
        <v>0</v>
      </c>
      <c r="AI52" s="309"/>
      <c r="AJ52" s="310"/>
      <c r="AK52" s="310"/>
      <c r="AL52" s="309"/>
    </row>
    <row r="53" spans="1:38" x14ac:dyDescent="0.2">
      <c r="A53" s="86">
        <f t="shared" si="5"/>
        <v>46</v>
      </c>
      <c r="B53" s="725"/>
      <c r="C53" s="726" t="s">
        <v>5</v>
      </c>
      <c r="D53" s="157"/>
      <c r="E53" s="157">
        <f>ROUND('Allocation = ¢ per Therm'!K48,5)</f>
        <v>0</v>
      </c>
      <c r="F53" s="157">
        <f>ROUND('Allocation = % of Margin'!O45,5)</f>
        <v>0</v>
      </c>
      <c r="G53" s="157">
        <f>ROUND('Allocation = % of Margin'!R45,5)</f>
        <v>-2.96E-3</v>
      </c>
      <c r="H53" s="157">
        <f>ROUND('Allocation = % of Margin'!X45,5)</f>
        <v>-1.4999999999999999E-4</v>
      </c>
      <c r="I53" s="157"/>
      <c r="J53" s="564">
        <f>'WA Volumes &amp; Revenues'!F46</f>
        <v>792463</v>
      </c>
      <c r="K53" s="298">
        <f>'Rev Req Proof Yr1'!R53</f>
        <v>807846</v>
      </c>
      <c r="L53" s="299">
        <f>'Rev Req Proof Yr1'!S53</f>
        <v>0</v>
      </c>
      <c r="M53" s="300">
        <f>'Rev Req Proof Yr1'!T53</f>
        <v>0</v>
      </c>
      <c r="N53" s="301">
        <f>'Rev Req Proof Yr1'!U53</f>
        <v>0</v>
      </c>
      <c r="O53" s="157"/>
      <c r="P53" s="313">
        <f t="shared" si="62"/>
        <v>0</v>
      </c>
      <c r="Q53" s="309">
        <v>0</v>
      </c>
      <c r="R53" s="314">
        <v>0</v>
      </c>
      <c r="S53" s="157"/>
      <c r="T53" s="313">
        <f t="shared" ref="T53:T57" si="65">((F53)*K53)</f>
        <v>0</v>
      </c>
      <c r="U53" s="309">
        <v>0</v>
      </c>
      <c r="V53" s="314">
        <v>0</v>
      </c>
      <c r="W53" s="157"/>
      <c r="X53" s="313">
        <f t="shared" si="63"/>
        <v>-2391.2241599999998</v>
      </c>
      <c r="Y53" s="309">
        <v>0</v>
      </c>
      <c r="Z53" s="314">
        <v>0</v>
      </c>
      <c r="AA53" s="309"/>
      <c r="AB53" s="313">
        <f t="shared" si="9"/>
        <v>-121.17689999999999</v>
      </c>
      <c r="AC53" s="309">
        <v>0</v>
      </c>
      <c r="AD53" s="314">
        <v>0</v>
      </c>
      <c r="AE53" s="157"/>
      <c r="AF53" s="313">
        <f t="shared" si="64"/>
        <v>-2512.4010600000001</v>
      </c>
      <c r="AG53" s="309">
        <v>0</v>
      </c>
      <c r="AH53" s="314">
        <v>0</v>
      </c>
      <c r="AI53" s="309"/>
      <c r="AJ53" s="310"/>
      <c r="AK53" s="310"/>
      <c r="AL53" s="309"/>
    </row>
    <row r="54" spans="1:38" x14ac:dyDescent="0.2">
      <c r="A54" s="86">
        <f t="shared" si="5"/>
        <v>47</v>
      </c>
      <c r="B54" s="725"/>
      <c r="C54" s="726" t="s">
        <v>6</v>
      </c>
      <c r="D54" s="157"/>
      <c r="E54" s="157">
        <f>ROUND('Allocation = ¢ per Therm'!K49,5)</f>
        <v>0</v>
      </c>
      <c r="F54" s="157">
        <f>ROUND('Allocation = % of Margin'!O46,5)</f>
        <v>0</v>
      </c>
      <c r="G54" s="157">
        <f>ROUND('Allocation = % of Margin'!R46,5)</f>
        <v>-2.2699999999999999E-3</v>
      </c>
      <c r="H54" s="157">
        <f>ROUND('Allocation = % of Margin'!X46,5)</f>
        <v>-1.2E-4</v>
      </c>
      <c r="I54" s="157"/>
      <c r="J54" s="564">
        <f>'WA Volumes &amp; Revenues'!F47</f>
        <v>542281</v>
      </c>
      <c r="K54" s="298">
        <f>'Rev Req Proof Yr1'!R54</f>
        <v>583779</v>
      </c>
      <c r="L54" s="299">
        <f>'Rev Req Proof Yr1'!S54</f>
        <v>0</v>
      </c>
      <c r="M54" s="300">
        <f>'Rev Req Proof Yr1'!T54</f>
        <v>0</v>
      </c>
      <c r="N54" s="301">
        <f>'Rev Req Proof Yr1'!U54</f>
        <v>0</v>
      </c>
      <c r="O54" s="157"/>
      <c r="P54" s="313">
        <f t="shared" si="62"/>
        <v>0</v>
      </c>
      <c r="Q54" s="309">
        <v>0</v>
      </c>
      <c r="R54" s="314">
        <v>0</v>
      </c>
      <c r="S54" s="157"/>
      <c r="T54" s="313">
        <f t="shared" si="65"/>
        <v>0</v>
      </c>
      <c r="U54" s="309">
        <v>0</v>
      </c>
      <c r="V54" s="314">
        <v>0</v>
      </c>
      <c r="W54" s="157"/>
      <c r="X54" s="313">
        <f t="shared" si="63"/>
        <v>-1325.17833</v>
      </c>
      <c r="Y54" s="309">
        <v>0</v>
      </c>
      <c r="Z54" s="314">
        <v>0</v>
      </c>
      <c r="AA54" s="309"/>
      <c r="AB54" s="313">
        <f t="shared" si="9"/>
        <v>-70.053480000000008</v>
      </c>
      <c r="AC54" s="309">
        <v>0</v>
      </c>
      <c r="AD54" s="314">
        <v>0</v>
      </c>
      <c r="AE54" s="157"/>
      <c r="AF54" s="313">
        <f t="shared" si="64"/>
        <v>-1395.2318099999998</v>
      </c>
      <c r="AG54" s="309">
        <v>0</v>
      </c>
      <c r="AH54" s="314">
        <v>0</v>
      </c>
      <c r="AI54" s="309"/>
      <c r="AJ54" s="310"/>
      <c r="AK54" s="310"/>
      <c r="AL54" s="309"/>
    </row>
    <row r="55" spans="1:38" x14ac:dyDescent="0.2">
      <c r="A55" s="86">
        <f t="shared" si="5"/>
        <v>48</v>
      </c>
      <c r="B55" s="725"/>
      <c r="C55" s="726" t="s">
        <v>7</v>
      </c>
      <c r="D55" s="157"/>
      <c r="E55" s="157">
        <f>ROUND('Allocation = ¢ per Therm'!K50,5)</f>
        <v>0</v>
      </c>
      <c r="F55" s="157">
        <f>ROUND('Allocation = % of Margin'!O47,5)</f>
        <v>0</v>
      </c>
      <c r="G55" s="157">
        <f>ROUND('Allocation = % of Margin'!R47,5)</f>
        <v>-1.82E-3</v>
      </c>
      <c r="H55" s="157">
        <f>ROUND('Allocation = % of Margin'!X47,5)</f>
        <v>-9.0000000000000006E-5</v>
      </c>
      <c r="I55" s="157"/>
      <c r="J55" s="564">
        <f>'WA Volumes &amp; Revenues'!F48</f>
        <v>537117</v>
      </c>
      <c r="K55" s="298">
        <f>'Rev Req Proof Yr1'!R55</f>
        <v>598933</v>
      </c>
      <c r="L55" s="299">
        <f>'Rev Req Proof Yr1'!S55</f>
        <v>0</v>
      </c>
      <c r="M55" s="300">
        <f>'Rev Req Proof Yr1'!T55</f>
        <v>0</v>
      </c>
      <c r="N55" s="301">
        <f>'Rev Req Proof Yr1'!U55</f>
        <v>0</v>
      </c>
      <c r="O55" s="157"/>
      <c r="P55" s="313">
        <f t="shared" si="62"/>
        <v>0</v>
      </c>
      <c r="Q55" s="309">
        <v>0</v>
      </c>
      <c r="R55" s="314">
        <v>0</v>
      </c>
      <c r="S55" s="157"/>
      <c r="T55" s="313">
        <f t="shared" si="65"/>
        <v>0</v>
      </c>
      <c r="U55" s="309">
        <v>0</v>
      </c>
      <c r="V55" s="314">
        <v>0</v>
      </c>
      <c r="W55" s="157"/>
      <c r="X55" s="313">
        <f t="shared" si="63"/>
        <v>-1090.0580600000001</v>
      </c>
      <c r="Y55" s="309">
        <v>0</v>
      </c>
      <c r="Z55" s="314">
        <v>0</v>
      </c>
      <c r="AA55" s="309"/>
      <c r="AB55" s="313">
        <f t="shared" si="9"/>
        <v>-53.903970000000001</v>
      </c>
      <c r="AC55" s="309">
        <v>0</v>
      </c>
      <c r="AD55" s="314">
        <v>0</v>
      </c>
      <c r="AE55" s="157"/>
      <c r="AF55" s="313">
        <f t="shared" si="64"/>
        <v>-1143.9620299999999</v>
      </c>
      <c r="AG55" s="309">
        <v>0</v>
      </c>
      <c r="AH55" s="314">
        <v>0</v>
      </c>
      <c r="AI55" s="309"/>
      <c r="AJ55" s="310"/>
      <c r="AK55" s="310"/>
      <c r="AL55" s="309"/>
    </row>
    <row r="56" spans="1:38" x14ac:dyDescent="0.2">
      <c r="A56" s="86">
        <f t="shared" si="5"/>
        <v>49</v>
      </c>
      <c r="B56" s="725"/>
      <c r="C56" s="726" t="s">
        <v>8</v>
      </c>
      <c r="D56" s="157"/>
      <c r="E56" s="157">
        <f>ROUND('Allocation = ¢ per Therm'!K51,5)</f>
        <v>0</v>
      </c>
      <c r="F56" s="157">
        <f>ROUND('Allocation = % of Margin'!O48,5)</f>
        <v>0</v>
      </c>
      <c r="G56" s="157">
        <f>ROUND('Allocation = % of Margin'!R48,5)</f>
        <v>-1.2099999999999999E-3</v>
      </c>
      <c r="H56" s="157">
        <f>ROUND('Allocation = % of Margin'!X48,5)</f>
        <v>-6.0000000000000002E-5</v>
      </c>
      <c r="I56" s="157"/>
      <c r="J56" s="564">
        <f>'WA Volumes &amp; Revenues'!F49</f>
        <v>0</v>
      </c>
      <c r="K56" s="298">
        <f>'Rev Req Proof Yr1'!R56</f>
        <v>0</v>
      </c>
      <c r="L56" s="299">
        <f>'Rev Req Proof Yr1'!S56</f>
        <v>0</v>
      </c>
      <c r="M56" s="300">
        <f>'Rev Req Proof Yr1'!T56</f>
        <v>0</v>
      </c>
      <c r="N56" s="301">
        <f>'Rev Req Proof Yr1'!U56</f>
        <v>0</v>
      </c>
      <c r="O56" s="157"/>
      <c r="P56" s="313">
        <f t="shared" si="62"/>
        <v>0</v>
      </c>
      <c r="Q56" s="309">
        <v>0</v>
      </c>
      <c r="R56" s="314">
        <v>0</v>
      </c>
      <c r="S56" s="157"/>
      <c r="T56" s="313">
        <f t="shared" si="65"/>
        <v>0</v>
      </c>
      <c r="U56" s="309">
        <v>0</v>
      </c>
      <c r="V56" s="314">
        <v>0</v>
      </c>
      <c r="W56" s="157"/>
      <c r="X56" s="313">
        <f t="shared" si="63"/>
        <v>0</v>
      </c>
      <c r="Y56" s="309">
        <v>0</v>
      </c>
      <c r="Z56" s="314">
        <v>0</v>
      </c>
      <c r="AA56" s="309"/>
      <c r="AB56" s="313">
        <f t="shared" si="9"/>
        <v>0</v>
      </c>
      <c r="AC56" s="309">
        <v>0</v>
      </c>
      <c r="AD56" s="314">
        <v>0</v>
      </c>
      <c r="AE56" s="157"/>
      <c r="AF56" s="313">
        <f t="shared" si="64"/>
        <v>0</v>
      </c>
      <c r="AG56" s="309">
        <v>0</v>
      </c>
      <c r="AH56" s="314">
        <v>0</v>
      </c>
      <c r="AI56" s="309"/>
      <c r="AJ56" s="310"/>
      <c r="AK56" s="310"/>
      <c r="AL56" s="309"/>
    </row>
    <row r="57" spans="1:38" x14ac:dyDescent="0.2">
      <c r="A57" s="86">
        <f t="shared" si="5"/>
        <v>50</v>
      </c>
      <c r="B57" s="725"/>
      <c r="C57" s="726" t="s">
        <v>9</v>
      </c>
      <c r="D57" s="157"/>
      <c r="E57" s="157">
        <f>ROUND('Allocation = ¢ per Therm'!K52,5)</f>
        <v>0</v>
      </c>
      <c r="F57" s="157">
        <f>ROUND('Allocation = % of Margin'!O49,5)</f>
        <v>0</v>
      </c>
      <c r="G57" s="157">
        <f>ROUND('Allocation = % of Margin'!R49,5)</f>
        <v>-4.4999999999999999E-4</v>
      </c>
      <c r="H57" s="157">
        <f>ROUND('Allocation = % of Margin'!X49,5)</f>
        <v>-2.0000000000000002E-5</v>
      </c>
      <c r="I57" s="157"/>
      <c r="J57" s="564">
        <f>'WA Volumes &amp; Revenues'!F50</f>
        <v>0</v>
      </c>
      <c r="K57" s="298">
        <f>'Rev Req Proof Yr1'!R57</f>
        <v>0</v>
      </c>
      <c r="L57" s="299">
        <f>'Rev Req Proof Yr1'!S57</f>
        <v>0</v>
      </c>
      <c r="M57" s="300">
        <f>'Rev Req Proof Yr1'!T57</f>
        <v>0</v>
      </c>
      <c r="N57" s="301">
        <f>'Rev Req Proof Yr1'!U57</f>
        <v>0</v>
      </c>
      <c r="O57" s="157"/>
      <c r="P57" s="313">
        <f t="shared" si="62"/>
        <v>0</v>
      </c>
      <c r="Q57" s="309">
        <v>0</v>
      </c>
      <c r="R57" s="314">
        <v>0</v>
      </c>
      <c r="S57" s="157"/>
      <c r="T57" s="313">
        <f t="shared" si="65"/>
        <v>0</v>
      </c>
      <c r="U57" s="309">
        <v>0</v>
      </c>
      <c r="V57" s="314">
        <v>0</v>
      </c>
      <c r="W57" s="157"/>
      <c r="X57" s="313">
        <f t="shared" si="63"/>
        <v>0</v>
      </c>
      <c r="Y57" s="309">
        <v>0</v>
      </c>
      <c r="Z57" s="314">
        <v>0</v>
      </c>
      <c r="AA57" s="309"/>
      <c r="AB57" s="313">
        <f t="shared" si="9"/>
        <v>0</v>
      </c>
      <c r="AC57" s="309">
        <v>0</v>
      </c>
      <c r="AD57" s="314">
        <v>0</v>
      </c>
      <c r="AE57" s="157"/>
      <c r="AF57" s="313">
        <f t="shared" si="64"/>
        <v>0</v>
      </c>
      <c r="AG57" s="309">
        <v>0</v>
      </c>
      <c r="AH57" s="314">
        <v>0</v>
      </c>
      <c r="AI57" s="309"/>
      <c r="AJ57" s="318"/>
      <c r="AK57" s="310"/>
      <c r="AL57" s="309"/>
    </row>
    <row r="58" spans="1:38" x14ac:dyDescent="0.2">
      <c r="A58" s="86">
        <f t="shared" si="5"/>
        <v>51</v>
      </c>
      <c r="B58" s="723"/>
      <c r="C58" s="742" t="s">
        <v>78</v>
      </c>
      <c r="D58" s="153"/>
      <c r="E58" s="153"/>
      <c r="F58" s="153"/>
      <c r="G58" s="810"/>
      <c r="H58" s="810"/>
      <c r="I58" s="153"/>
      <c r="J58" s="564"/>
      <c r="K58" s="298"/>
      <c r="L58" s="299"/>
      <c r="M58" s="300"/>
      <c r="N58" s="301"/>
      <c r="O58" s="157"/>
      <c r="P58" s="315">
        <f>SUM(P52:P57)</f>
        <v>0</v>
      </c>
      <c r="Q58" s="316">
        <f>SUM(Q52:Q57)</f>
        <v>0</v>
      </c>
      <c r="R58" s="317">
        <f>SUM(R52:R57)</f>
        <v>0</v>
      </c>
      <c r="S58" s="157"/>
      <c r="T58" s="315">
        <f>SUM(T52:T57)</f>
        <v>0</v>
      </c>
      <c r="U58" s="316">
        <f>SUM(U52:U57)</f>
        <v>0</v>
      </c>
      <c r="V58" s="317">
        <f>SUM(V52:V57)</f>
        <v>0</v>
      </c>
      <c r="W58" s="157"/>
      <c r="X58" s="315">
        <f>SUM(X52:X57)</f>
        <v>-6395.26055</v>
      </c>
      <c r="Y58" s="316">
        <f>SUM(Y52:Y57)</f>
        <v>0</v>
      </c>
      <c r="Z58" s="317">
        <f>SUM(Z52:Z57)</f>
        <v>0</v>
      </c>
      <c r="AA58" s="328"/>
      <c r="AB58" s="315">
        <f>SUM(AB52:AB57)</f>
        <v>-326.73435000000001</v>
      </c>
      <c r="AC58" s="316">
        <f>SUM(AC52:AC57)</f>
        <v>0</v>
      </c>
      <c r="AD58" s="317">
        <f>SUM(AD52:AD57)</f>
        <v>0</v>
      </c>
      <c r="AE58" s="157"/>
      <c r="AF58" s="315">
        <f>SUM(AF52:AF57)</f>
        <v>-6721.9948999999988</v>
      </c>
      <c r="AG58" s="316">
        <f>SUM(AG52:AG57)</f>
        <v>0</v>
      </c>
      <c r="AH58" s="317">
        <f>SUM(AH52:AH57)</f>
        <v>0</v>
      </c>
      <c r="AI58" s="309"/>
      <c r="AJ58" s="310"/>
      <c r="AK58" s="310"/>
      <c r="AL58" s="309"/>
    </row>
    <row r="59" spans="1:38" x14ac:dyDescent="0.2">
      <c r="A59" s="86">
        <f t="shared" si="5"/>
        <v>52</v>
      </c>
      <c r="B59" s="725" t="str">
        <f>'Rev Req Proof Yr1'!B59</f>
        <v>42I Firm Transpt</v>
      </c>
      <c r="C59" s="726" t="s">
        <v>4</v>
      </c>
      <c r="D59" s="157"/>
      <c r="E59" s="157">
        <f>ROUND('Allocation = ¢ per Therm'!K53,5)</f>
        <v>0</v>
      </c>
      <c r="F59" s="157">
        <f>ROUND('Allocation = % of Margin'!O50,5)</f>
        <v>0</v>
      </c>
      <c r="G59" s="157">
        <f>ROUND('Allocation = % of Margin'!R50,5)</f>
        <v>-3.3600000000000001E-3</v>
      </c>
      <c r="H59" s="157">
        <f>ROUND('Allocation = % of Margin'!X50,5)</f>
        <v>-1.7000000000000001E-4</v>
      </c>
      <c r="I59" s="157"/>
      <c r="J59" s="564">
        <f>'WA Volumes &amp; Revenues'!F51</f>
        <v>901597</v>
      </c>
      <c r="K59" s="298">
        <f>'Rev Req Proof Yr1'!R59</f>
        <v>924395</v>
      </c>
      <c r="L59" s="299">
        <f>'Rev Req Proof Yr1'!S59</f>
        <v>26810</v>
      </c>
      <c r="M59" s="300">
        <f>'Rev Req Proof Yr1'!T59</f>
        <v>8.9166666666666661</v>
      </c>
      <c r="N59" s="301">
        <f>'Rev Req Proof Yr1'!U59</f>
        <v>63374</v>
      </c>
      <c r="O59" s="157"/>
      <c r="P59" s="313">
        <f t="shared" ref="P59:P64" si="66">((E59)*K59)</f>
        <v>0</v>
      </c>
      <c r="Q59" s="309">
        <v>0</v>
      </c>
      <c r="R59" s="314">
        <v>0</v>
      </c>
      <c r="S59" s="157"/>
      <c r="T59" s="313">
        <f>((F59)*K59)</f>
        <v>0</v>
      </c>
      <c r="U59" s="309">
        <v>0</v>
      </c>
      <c r="V59" s="314">
        <v>0</v>
      </c>
      <c r="W59" s="157"/>
      <c r="X59" s="313">
        <f t="shared" ref="X59:X64" si="67">((G59)*K59)</f>
        <v>-3105.9672</v>
      </c>
      <c r="Y59" s="309">
        <v>0</v>
      </c>
      <c r="Z59" s="314">
        <v>0</v>
      </c>
      <c r="AA59" s="309"/>
      <c r="AB59" s="313">
        <f t="shared" si="9"/>
        <v>-157.14715000000001</v>
      </c>
      <c r="AC59" s="309">
        <v>0</v>
      </c>
      <c r="AD59" s="314">
        <v>0</v>
      </c>
      <c r="AE59" s="157"/>
      <c r="AF59" s="313">
        <f t="shared" ref="AF59:AF64" si="68">((E59+F59+G59+H59)*K59)</f>
        <v>-3263.1143500000003</v>
      </c>
      <c r="AG59" s="309">
        <v>0</v>
      </c>
      <c r="AH59" s="314">
        <v>0</v>
      </c>
      <c r="AI59" s="309"/>
      <c r="AJ59" s="310"/>
      <c r="AK59" s="310"/>
      <c r="AL59" s="309"/>
    </row>
    <row r="60" spans="1:38" x14ac:dyDescent="0.2">
      <c r="A60" s="86">
        <f t="shared" si="5"/>
        <v>53</v>
      </c>
      <c r="B60" s="725"/>
      <c r="C60" s="726" t="s">
        <v>5</v>
      </c>
      <c r="D60" s="157"/>
      <c r="E60" s="157">
        <f>ROUND('Allocation = ¢ per Therm'!K54,5)</f>
        <v>0</v>
      </c>
      <c r="F60" s="157">
        <f>ROUND('Allocation = % of Margin'!O51,5)</f>
        <v>0</v>
      </c>
      <c r="G60" s="157">
        <f>ROUND('Allocation = % of Margin'!R51,5)</f>
        <v>-3.0000000000000001E-3</v>
      </c>
      <c r="H60" s="157">
        <f>ROUND('Allocation = % of Margin'!X51,5)</f>
        <v>-1.4999999999999999E-4</v>
      </c>
      <c r="I60" s="157"/>
      <c r="J60" s="564">
        <f>'WA Volumes &amp; Revenues'!F52</f>
        <v>1041722</v>
      </c>
      <c r="K60" s="298">
        <f>'Rev Req Proof Yr1'!R60</f>
        <v>1036796</v>
      </c>
      <c r="L60" s="299">
        <f>'Rev Req Proof Yr1'!S60</f>
        <v>0</v>
      </c>
      <c r="M60" s="300">
        <f>'Rev Req Proof Yr1'!T60</f>
        <v>0</v>
      </c>
      <c r="N60" s="301">
        <f>'Rev Req Proof Yr1'!U60</f>
        <v>0</v>
      </c>
      <c r="O60" s="157"/>
      <c r="P60" s="313">
        <f t="shared" si="66"/>
        <v>0</v>
      </c>
      <c r="Q60" s="309">
        <v>0</v>
      </c>
      <c r="R60" s="314">
        <v>0</v>
      </c>
      <c r="S60" s="157"/>
      <c r="T60" s="313">
        <f t="shared" ref="T60:T64" si="69">((F60)*K60)</f>
        <v>0</v>
      </c>
      <c r="U60" s="309">
        <v>0</v>
      </c>
      <c r="V60" s="314">
        <v>0</v>
      </c>
      <c r="W60" s="157"/>
      <c r="X60" s="313">
        <f t="shared" si="67"/>
        <v>-3110.3879999999999</v>
      </c>
      <c r="Y60" s="309">
        <v>0</v>
      </c>
      <c r="Z60" s="314">
        <v>0</v>
      </c>
      <c r="AA60" s="309"/>
      <c r="AB60" s="313">
        <f t="shared" si="9"/>
        <v>-155.51939999999999</v>
      </c>
      <c r="AC60" s="309">
        <v>0</v>
      </c>
      <c r="AD60" s="314">
        <v>0</v>
      </c>
      <c r="AE60" s="157"/>
      <c r="AF60" s="313">
        <f t="shared" si="68"/>
        <v>-3265.9074000000001</v>
      </c>
      <c r="AG60" s="309">
        <v>0</v>
      </c>
      <c r="AH60" s="314">
        <v>0</v>
      </c>
      <c r="AI60" s="309"/>
      <c r="AJ60" s="310"/>
      <c r="AK60" s="310"/>
      <c r="AL60" s="309"/>
    </row>
    <row r="61" spans="1:38" x14ac:dyDescent="0.2">
      <c r="A61" s="86">
        <f t="shared" si="5"/>
        <v>54</v>
      </c>
      <c r="B61" s="725"/>
      <c r="C61" s="726" t="s">
        <v>6</v>
      </c>
      <c r="D61" s="157"/>
      <c r="E61" s="157">
        <f>ROUND('Allocation = ¢ per Therm'!K55,5)</f>
        <v>0</v>
      </c>
      <c r="F61" s="157">
        <f>ROUND('Allocation = % of Margin'!O52,5)</f>
        <v>0</v>
      </c>
      <c r="G61" s="157">
        <f>ROUND('Allocation = % of Margin'!R52,5)</f>
        <v>-2.3E-3</v>
      </c>
      <c r="H61" s="157">
        <f>ROUND('Allocation = % of Margin'!X52,5)</f>
        <v>-1.2E-4</v>
      </c>
      <c r="I61" s="157"/>
      <c r="J61" s="564">
        <f>'WA Volumes &amp; Revenues'!F53</f>
        <v>957215</v>
      </c>
      <c r="K61" s="298">
        <f>'Rev Req Proof Yr1'!R61</f>
        <v>937215</v>
      </c>
      <c r="L61" s="299">
        <f>'Rev Req Proof Yr1'!S61</f>
        <v>0</v>
      </c>
      <c r="M61" s="300">
        <f>'Rev Req Proof Yr1'!T61</f>
        <v>0</v>
      </c>
      <c r="N61" s="301">
        <f>'Rev Req Proof Yr1'!U61</f>
        <v>0</v>
      </c>
      <c r="O61" s="157"/>
      <c r="P61" s="313">
        <f t="shared" si="66"/>
        <v>0</v>
      </c>
      <c r="Q61" s="309">
        <v>0</v>
      </c>
      <c r="R61" s="314">
        <v>0</v>
      </c>
      <c r="S61" s="157"/>
      <c r="T61" s="313">
        <f t="shared" si="69"/>
        <v>0</v>
      </c>
      <c r="U61" s="309">
        <v>0</v>
      </c>
      <c r="V61" s="314">
        <v>0</v>
      </c>
      <c r="W61" s="157"/>
      <c r="X61" s="313">
        <f t="shared" si="67"/>
        <v>-2155.5945000000002</v>
      </c>
      <c r="Y61" s="309">
        <v>0</v>
      </c>
      <c r="Z61" s="314">
        <v>0</v>
      </c>
      <c r="AA61" s="309"/>
      <c r="AB61" s="313">
        <f t="shared" si="9"/>
        <v>-112.4658</v>
      </c>
      <c r="AC61" s="309">
        <v>0</v>
      </c>
      <c r="AD61" s="314">
        <v>0</v>
      </c>
      <c r="AE61" s="157"/>
      <c r="AF61" s="313">
        <f t="shared" si="68"/>
        <v>-2268.0602999999996</v>
      </c>
      <c r="AG61" s="309">
        <v>0</v>
      </c>
      <c r="AH61" s="314">
        <v>0</v>
      </c>
      <c r="AI61" s="309"/>
      <c r="AJ61" s="310"/>
      <c r="AK61" s="310"/>
      <c r="AL61" s="309"/>
    </row>
    <row r="62" spans="1:38" x14ac:dyDescent="0.2">
      <c r="A62" s="86">
        <f t="shared" si="5"/>
        <v>55</v>
      </c>
      <c r="B62" s="725"/>
      <c r="C62" s="726" t="s">
        <v>7</v>
      </c>
      <c r="D62" s="157"/>
      <c r="E62" s="157">
        <f>ROUND('Allocation = ¢ per Therm'!K56,5)</f>
        <v>0</v>
      </c>
      <c r="F62" s="157">
        <f>ROUND('Allocation = % of Margin'!O53,5)</f>
        <v>0</v>
      </c>
      <c r="G62" s="157">
        <f>ROUND('Allocation = % of Margin'!R53,5)</f>
        <v>-1.8400000000000001E-3</v>
      </c>
      <c r="H62" s="157">
        <f>ROUND('Allocation = % of Margin'!X53,5)</f>
        <v>-9.0000000000000006E-5</v>
      </c>
      <c r="I62" s="157"/>
      <c r="J62" s="564">
        <f>'WA Volumes &amp; Revenues'!F54</f>
        <v>2490044</v>
      </c>
      <c r="K62" s="298">
        <f>'Rev Req Proof Yr1'!R62</f>
        <v>2390318</v>
      </c>
      <c r="L62" s="299">
        <f>'Rev Req Proof Yr1'!S62</f>
        <v>0</v>
      </c>
      <c r="M62" s="300">
        <f>'Rev Req Proof Yr1'!T62</f>
        <v>0</v>
      </c>
      <c r="N62" s="301">
        <f>'Rev Req Proof Yr1'!U62</f>
        <v>0</v>
      </c>
      <c r="O62" s="157"/>
      <c r="P62" s="313">
        <f t="shared" si="66"/>
        <v>0</v>
      </c>
      <c r="Q62" s="309">
        <v>0</v>
      </c>
      <c r="R62" s="314">
        <v>0</v>
      </c>
      <c r="S62" s="157"/>
      <c r="T62" s="313">
        <f t="shared" si="69"/>
        <v>0</v>
      </c>
      <c r="U62" s="309">
        <v>0</v>
      </c>
      <c r="V62" s="314">
        <v>0</v>
      </c>
      <c r="W62" s="157"/>
      <c r="X62" s="313">
        <f t="shared" si="67"/>
        <v>-4398.1851200000001</v>
      </c>
      <c r="Y62" s="309">
        <v>0</v>
      </c>
      <c r="Z62" s="314">
        <v>0</v>
      </c>
      <c r="AA62" s="309"/>
      <c r="AB62" s="313">
        <f t="shared" si="9"/>
        <v>-215.12862000000001</v>
      </c>
      <c r="AC62" s="309">
        <v>0</v>
      </c>
      <c r="AD62" s="314">
        <v>0</v>
      </c>
      <c r="AE62" s="157"/>
      <c r="AF62" s="313">
        <f t="shared" si="68"/>
        <v>-4613.3137400000005</v>
      </c>
      <c r="AG62" s="309">
        <v>0</v>
      </c>
      <c r="AH62" s="314">
        <v>0</v>
      </c>
      <c r="AI62" s="309"/>
      <c r="AJ62" s="310"/>
      <c r="AK62" s="310"/>
      <c r="AL62" s="309"/>
    </row>
    <row r="63" spans="1:38" x14ac:dyDescent="0.2">
      <c r="A63" s="86">
        <f t="shared" si="5"/>
        <v>56</v>
      </c>
      <c r="B63" s="725"/>
      <c r="C63" s="726" t="s">
        <v>8</v>
      </c>
      <c r="D63" s="157"/>
      <c r="E63" s="157">
        <f>ROUND('Allocation = ¢ per Therm'!K57,5)</f>
        <v>0</v>
      </c>
      <c r="F63" s="157">
        <f>ROUND('Allocation = % of Margin'!O54,5)</f>
        <v>0</v>
      </c>
      <c r="G63" s="157">
        <f>ROUND('Allocation = % of Margin'!R54,5)</f>
        <v>-1.23E-3</v>
      </c>
      <c r="H63" s="157">
        <f>ROUND('Allocation = % of Margin'!X54,5)</f>
        <v>-6.0000000000000002E-5</v>
      </c>
      <c r="I63" s="157"/>
      <c r="J63" s="564">
        <f>'WA Volumes &amp; Revenues'!F55</f>
        <v>1426372</v>
      </c>
      <c r="K63" s="298">
        <f>'Rev Req Proof Yr1'!R63</f>
        <v>1492257</v>
      </c>
      <c r="L63" s="299">
        <f>'Rev Req Proof Yr1'!S63</f>
        <v>0</v>
      </c>
      <c r="M63" s="300">
        <f>'Rev Req Proof Yr1'!T63</f>
        <v>0</v>
      </c>
      <c r="N63" s="301">
        <f>'Rev Req Proof Yr1'!U63</f>
        <v>0</v>
      </c>
      <c r="O63" s="157"/>
      <c r="P63" s="313">
        <f t="shared" si="66"/>
        <v>0</v>
      </c>
      <c r="Q63" s="309">
        <v>0</v>
      </c>
      <c r="R63" s="314">
        <v>0</v>
      </c>
      <c r="S63" s="157"/>
      <c r="T63" s="313">
        <f t="shared" si="69"/>
        <v>0</v>
      </c>
      <c r="U63" s="309">
        <v>0</v>
      </c>
      <c r="V63" s="314">
        <v>0</v>
      </c>
      <c r="W63" s="157"/>
      <c r="X63" s="313">
        <f t="shared" si="67"/>
        <v>-1835.4761100000001</v>
      </c>
      <c r="Y63" s="309">
        <v>0</v>
      </c>
      <c r="Z63" s="314">
        <v>0</v>
      </c>
      <c r="AA63" s="309"/>
      <c r="AB63" s="313">
        <f t="shared" si="9"/>
        <v>-89.535420000000002</v>
      </c>
      <c r="AC63" s="309">
        <v>0</v>
      </c>
      <c r="AD63" s="314">
        <v>0</v>
      </c>
      <c r="AE63" s="157"/>
      <c r="AF63" s="313">
        <f t="shared" si="68"/>
        <v>-1925.0115299999998</v>
      </c>
      <c r="AG63" s="309">
        <v>0</v>
      </c>
      <c r="AH63" s="314">
        <v>0</v>
      </c>
      <c r="AI63" s="309"/>
      <c r="AJ63" s="310"/>
      <c r="AK63" s="310"/>
      <c r="AL63" s="309"/>
    </row>
    <row r="64" spans="1:38" x14ac:dyDescent="0.2">
      <c r="A64" s="86">
        <f t="shared" si="5"/>
        <v>57</v>
      </c>
      <c r="B64" s="725"/>
      <c r="C64" s="726" t="s">
        <v>9</v>
      </c>
      <c r="D64" s="157"/>
      <c r="E64" s="157">
        <f>ROUND('Allocation = ¢ per Therm'!K58,5)</f>
        <v>0</v>
      </c>
      <c r="F64" s="157">
        <f>ROUND('Allocation = % of Margin'!O55,5)</f>
        <v>0</v>
      </c>
      <c r="G64" s="157">
        <f>ROUND('Allocation = % of Margin'!R55,5)</f>
        <v>-4.6000000000000001E-4</v>
      </c>
      <c r="H64" s="157">
        <f>ROUND('Allocation = % of Margin'!X55,5)</f>
        <v>-2.0000000000000002E-5</v>
      </c>
      <c r="I64" s="157"/>
      <c r="J64" s="564">
        <f>'WA Volumes &amp; Revenues'!F56</f>
        <v>0</v>
      </c>
      <c r="K64" s="298">
        <f>'Rev Req Proof Yr1'!R64</f>
        <v>0</v>
      </c>
      <c r="L64" s="299">
        <f>'Rev Req Proof Yr1'!S64</f>
        <v>0</v>
      </c>
      <c r="M64" s="300">
        <f>'Rev Req Proof Yr1'!T64</f>
        <v>0</v>
      </c>
      <c r="N64" s="301">
        <f>'Rev Req Proof Yr1'!U64</f>
        <v>0</v>
      </c>
      <c r="O64" s="157"/>
      <c r="P64" s="313">
        <f t="shared" si="66"/>
        <v>0</v>
      </c>
      <c r="Q64" s="309">
        <v>0</v>
      </c>
      <c r="R64" s="314">
        <v>0</v>
      </c>
      <c r="S64" s="157"/>
      <c r="T64" s="313">
        <f t="shared" si="69"/>
        <v>0</v>
      </c>
      <c r="U64" s="309">
        <v>0</v>
      </c>
      <c r="V64" s="314">
        <v>0</v>
      </c>
      <c r="W64" s="157"/>
      <c r="X64" s="313">
        <f t="shared" si="67"/>
        <v>0</v>
      </c>
      <c r="Y64" s="309">
        <v>0</v>
      </c>
      <c r="Z64" s="314">
        <v>0</v>
      </c>
      <c r="AA64" s="309"/>
      <c r="AB64" s="313">
        <f t="shared" si="9"/>
        <v>0</v>
      </c>
      <c r="AC64" s="309">
        <v>0</v>
      </c>
      <c r="AD64" s="314">
        <v>0</v>
      </c>
      <c r="AE64" s="157"/>
      <c r="AF64" s="313">
        <f t="shared" si="68"/>
        <v>0</v>
      </c>
      <c r="AG64" s="309">
        <v>0</v>
      </c>
      <c r="AH64" s="314">
        <v>0</v>
      </c>
      <c r="AI64" s="309"/>
      <c r="AJ64" s="310"/>
      <c r="AK64" s="310"/>
      <c r="AL64" s="309"/>
    </row>
    <row r="65" spans="1:38" x14ac:dyDescent="0.2">
      <c r="A65" s="86">
        <f t="shared" si="5"/>
        <v>58</v>
      </c>
      <c r="B65" s="723"/>
      <c r="C65" s="742" t="s">
        <v>78</v>
      </c>
      <c r="D65" s="153"/>
      <c r="E65" s="153"/>
      <c r="F65" s="153"/>
      <c r="G65" s="810"/>
      <c r="H65" s="810"/>
      <c r="I65" s="153"/>
      <c r="J65" s="564"/>
      <c r="K65" s="298"/>
      <c r="L65" s="299"/>
      <c r="M65" s="300"/>
      <c r="N65" s="301"/>
      <c r="O65" s="157"/>
      <c r="P65" s="315">
        <f>SUM(P59:P64)</f>
        <v>0</v>
      </c>
      <c r="Q65" s="316">
        <f>SUM(Q59:Q64)</f>
        <v>0</v>
      </c>
      <c r="R65" s="317">
        <f>SUM(R59:R64)</f>
        <v>0</v>
      </c>
      <c r="S65" s="157"/>
      <c r="T65" s="315">
        <f>SUM(T59:T64)</f>
        <v>0</v>
      </c>
      <c r="U65" s="316">
        <f>SUM(U59:U64)</f>
        <v>0</v>
      </c>
      <c r="V65" s="317">
        <f>SUM(V59:V64)</f>
        <v>0</v>
      </c>
      <c r="W65" s="157"/>
      <c r="X65" s="315">
        <f>SUM(X59:X64)</f>
        <v>-14605.610930000001</v>
      </c>
      <c r="Y65" s="316">
        <f>SUM(Y59:Y64)</f>
        <v>0</v>
      </c>
      <c r="Z65" s="317">
        <f>SUM(Z59:Z64)</f>
        <v>0</v>
      </c>
      <c r="AA65" s="328"/>
      <c r="AB65" s="315">
        <f>SUM(AB59:AB64)</f>
        <v>-729.79639000000009</v>
      </c>
      <c r="AC65" s="316">
        <f>SUM(AC59:AC64)</f>
        <v>0</v>
      </c>
      <c r="AD65" s="317">
        <f>SUM(AD59:AD64)</f>
        <v>0</v>
      </c>
      <c r="AE65" s="157"/>
      <c r="AF65" s="315">
        <f>SUM(AF59:AF64)</f>
        <v>-15335.407319999998</v>
      </c>
      <c r="AG65" s="316">
        <f>SUM(AG59:AG64)</f>
        <v>0</v>
      </c>
      <c r="AH65" s="317">
        <f>SUM(AH59:AH64)</f>
        <v>0</v>
      </c>
      <c r="AI65" s="309"/>
      <c r="AJ65" s="310"/>
      <c r="AK65" s="310"/>
      <c r="AL65" s="309"/>
    </row>
    <row r="66" spans="1:38" x14ac:dyDescent="0.2">
      <c r="A66" s="86">
        <f t="shared" si="5"/>
        <v>59</v>
      </c>
      <c r="B66" s="725" t="str">
        <f>'Rev Req Proof Yr1'!B66</f>
        <v>42C Interr Sales</v>
      </c>
      <c r="C66" s="726" t="s">
        <v>4</v>
      </c>
      <c r="D66" s="157"/>
      <c r="E66" s="157">
        <f>ROUND('Allocation = ¢ per Therm'!K59,5)</f>
        <v>0</v>
      </c>
      <c r="F66" s="157">
        <f>ROUND('Allocation = % of Margin'!O56,5)</f>
        <v>-6.3E-3</v>
      </c>
      <c r="G66" s="157">
        <f>ROUND('Allocation = % of Margin'!R56,5)</f>
        <v>-3.48E-3</v>
      </c>
      <c r="H66" s="157">
        <f>ROUND('Allocation = % of Margin'!X56,5)</f>
        <v>-1.8000000000000001E-4</v>
      </c>
      <c r="I66" s="157"/>
      <c r="J66" s="564">
        <f>'WA Volumes &amp; Revenues'!F57</f>
        <v>239999</v>
      </c>
      <c r="K66" s="298">
        <f>'Rev Req Proof Yr1'!R66</f>
        <v>240000</v>
      </c>
      <c r="L66" s="299">
        <f>'Rev Req Proof Yr1'!S66</f>
        <v>4620</v>
      </c>
      <c r="M66" s="300">
        <f>'Rev Req Proof Yr1'!T66</f>
        <v>2</v>
      </c>
      <c r="N66" s="301">
        <f>'Rev Req Proof Yr1'!U66</f>
        <v>39322</v>
      </c>
      <c r="O66" s="157"/>
      <c r="P66" s="313">
        <f t="shared" ref="P66:P71" si="70">((E66)*K66)</f>
        <v>0</v>
      </c>
      <c r="Q66" s="309">
        <v>0</v>
      </c>
      <c r="R66" s="314">
        <v>0</v>
      </c>
      <c r="S66" s="157"/>
      <c r="T66" s="313">
        <f>((F66)*K66)</f>
        <v>-1512</v>
      </c>
      <c r="U66" s="309">
        <v>0</v>
      </c>
      <c r="V66" s="314">
        <v>0</v>
      </c>
      <c r="W66" s="157"/>
      <c r="X66" s="313">
        <f t="shared" ref="X66:X71" si="71">((G66)*K66)</f>
        <v>-835.2</v>
      </c>
      <c r="Y66" s="309">
        <v>0</v>
      </c>
      <c r="Z66" s="314">
        <v>0</v>
      </c>
      <c r="AA66" s="309"/>
      <c r="AB66" s="313">
        <f t="shared" si="9"/>
        <v>-43.2</v>
      </c>
      <c r="AC66" s="309">
        <v>0</v>
      </c>
      <c r="AD66" s="314">
        <v>0</v>
      </c>
      <c r="AE66" s="157"/>
      <c r="AF66" s="313">
        <f t="shared" ref="AF66:AF71" si="72">((E66+F66+G66+H66)*K66)</f>
        <v>-2390.4</v>
      </c>
      <c r="AG66" s="309">
        <v>0</v>
      </c>
      <c r="AH66" s="314">
        <v>0</v>
      </c>
      <c r="AI66" s="309"/>
      <c r="AJ66" s="310"/>
      <c r="AK66" s="310"/>
      <c r="AL66" s="309"/>
    </row>
    <row r="67" spans="1:38" x14ac:dyDescent="0.2">
      <c r="A67" s="86">
        <f t="shared" si="5"/>
        <v>60</v>
      </c>
      <c r="B67" s="725"/>
      <c r="C67" s="726" t="s">
        <v>5</v>
      </c>
      <c r="D67" s="157"/>
      <c r="E67" s="157">
        <f>ROUND('Allocation = ¢ per Therm'!K60,5)</f>
        <v>0</v>
      </c>
      <c r="F67" s="157">
        <f>ROUND('Allocation = % of Margin'!O57,5)</f>
        <v>-5.64E-3</v>
      </c>
      <c r="G67" s="157">
        <f>ROUND('Allocation = % of Margin'!R57,5)</f>
        <v>-3.1199999999999999E-3</v>
      </c>
      <c r="H67" s="157">
        <f>ROUND('Allocation = % of Margin'!X57,5)</f>
        <v>-1.6000000000000001E-4</v>
      </c>
      <c r="I67" s="157"/>
      <c r="J67" s="564">
        <f>'WA Volumes &amp; Revenues'!F58</f>
        <v>454151</v>
      </c>
      <c r="K67" s="298">
        <f>'Rev Req Proof Yr1'!R67</f>
        <v>467511</v>
      </c>
      <c r="L67" s="299">
        <f>'Rev Req Proof Yr1'!S67</f>
        <v>0</v>
      </c>
      <c r="M67" s="300">
        <f>'Rev Req Proof Yr1'!T67</f>
        <v>0</v>
      </c>
      <c r="N67" s="301">
        <f>'Rev Req Proof Yr1'!U67</f>
        <v>0</v>
      </c>
      <c r="O67" s="157"/>
      <c r="P67" s="313">
        <f t="shared" si="70"/>
        <v>0</v>
      </c>
      <c r="Q67" s="309">
        <v>0</v>
      </c>
      <c r="R67" s="314">
        <v>0</v>
      </c>
      <c r="S67" s="157"/>
      <c r="T67" s="313">
        <f t="shared" ref="T67:T71" si="73">((F67)*K67)</f>
        <v>-2636.7620400000001</v>
      </c>
      <c r="U67" s="309">
        <v>0</v>
      </c>
      <c r="V67" s="314">
        <v>0</v>
      </c>
      <c r="W67" s="157"/>
      <c r="X67" s="313">
        <f t="shared" si="71"/>
        <v>-1458.6343199999999</v>
      </c>
      <c r="Y67" s="309">
        <v>0</v>
      </c>
      <c r="Z67" s="314">
        <v>0</v>
      </c>
      <c r="AA67" s="309"/>
      <c r="AB67" s="313">
        <f t="shared" si="9"/>
        <v>-74.801760000000002</v>
      </c>
      <c r="AC67" s="309">
        <v>0</v>
      </c>
      <c r="AD67" s="314">
        <v>0</v>
      </c>
      <c r="AE67" s="157"/>
      <c r="AF67" s="313">
        <f t="shared" si="72"/>
        <v>-4170.19812</v>
      </c>
      <c r="AG67" s="309">
        <v>0</v>
      </c>
      <c r="AH67" s="314">
        <v>0</v>
      </c>
      <c r="AI67" s="309"/>
      <c r="AJ67" s="310"/>
      <c r="AK67" s="310"/>
      <c r="AL67" s="309"/>
    </row>
    <row r="68" spans="1:38" x14ac:dyDescent="0.2">
      <c r="A68" s="86">
        <f t="shared" si="5"/>
        <v>61</v>
      </c>
      <c r="B68" s="725"/>
      <c r="C68" s="726" t="s">
        <v>6</v>
      </c>
      <c r="D68" s="157"/>
      <c r="E68" s="157">
        <f>ROUND('Allocation = ¢ per Therm'!K61,5)</f>
        <v>0</v>
      </c>
      <c r="F68" s="157">
        <f>ROUND('Allocation = % of Margin'!O58,5)</f>
        <v>-4.3200000000000001E-3</v>
      </c>
      <c r="G68" s="157">
        <f>ROUND('Allocation = % of Margin'!R58,5)</f>
        <v>-2.3900000000000002E-3</v>
      </c>
      <c r="H68" s="157">
        <f>ROUND('Allocation = % of Margin'!X58,5)</f>
        <v>-1.2E-4</v>
      </c>
      <c r="I68" s="157"/>
      <c r="J68" s="564">
        <f>'WA Volumes &amp; Revenues'!F59</f>
        <v>230285</v>
      </c>
      <c r="K68" s="298">
        <f>'Rev Req Proof Yr1'!R68</f>
        <v>218004</v>
      </c>
      <c r="L68" s="299">
        <f>'Rev Req Proof Yr1'!S68</f>
        <v>0</v>
      </c>
      <c r="M68" s="300">
        <f>'Rev Req Proof Yr1'!T68</f>
        <v>0</v>
      </c>
      <c r="N68" s="301">
        <f>'Rev Req Proof Yr1'!U68</f>
        <v>0</v>
      </c>
      <c r="O68" s="157"/>
      <c r="P68" s="313">
        <f t="shared" si="70"/>
        <v>0</v>
      </c>
      <c r="Q68" s="309">
        <v>0</v>
      </c>
      <c r="R68" s="314">
        <v>0</v>
      </c>
      <c r="S68" s="157"/>
      <c r="T68" s="313">
        <f t="shared" si="73"/>
        <v>-941.77728000000002</v>
      </c>
      <c r="U68" s="309">
        <v>0</v>
      </c>
      <c r="V68" s="314">
        <v>0</v>
      </c>
      <c r="W68" s="157"/>
      <c r="X68" s="313">
        <f t="shared" si="71"/>
        <v>-521.02956000000006</v>
      </c>
      <c r="Y68" s="309">
        <v>0</v>
      </c>
      <c r="Z68" s="314">
        <v>0</v>
      </c>
      <c r="AA68" s="309"/>
      <c r="AB68" s="313">
        <f t="shared" si="9"/>
        <v>-26.16048</v>
      </c>
      <c r="AC68" s="309">
        <v>0</v>
      </c>
      <c r="AD68" s="314">
        <v>0</v>
      </c>
      <c r="AE68" s="157"/>
      <c r="AF68" s="313">
        <f t="shared" si="72"/>
        <v>-1488.9673200000002</v>
      </c>
      <c r="AG68" s="309">
        <v>0</v>
      </c>
      <c r="AH68" s="314">
        <v>0</v>
      </c>
      <c r="AI68" s="309"/>
      <c r="AJ68" s="310"/>
      <c r="AK68" s="310"/>
      <c r="AL68" s="309"/>
    </row>
    <row r="69" spans="1:38" x14ac:dyDescent="0.2">
      <c r="A69" s="86">
        <f t="shared" si="5"/>
        <v>62</v>
      </c>
      <c r="B69" s="725"/>
      <c r="C69" s="726" t="s">
        <v>7</v>
      </c>
      <c r="D69" s="157"/>
      <c r="E69" s="157">
        <f>ROUND('Allocation = ¢ per Therm'!K62,5)</f>
        <v>0</v>
      </c>
      <c r="F69" s="157">
        <f>ROUND('Allocation = % of Margin'!O59,5)</f>
        <v>-3.46E-3</v>
      </c>
      <c r="G69" s="157">
        <f>ROUND('Allocation = % of Margin'!R59,5)</f>
        <v>-1.91E-3</v>
      </c>
      <c r="H69" s="157">
        <f>ROUND('Allocation = % of Margin'!X59,5)</f>
        <v>-1E-4</v>
      </c>
      <c r="I69" s="157"/>
      <c r="J69" s="564">
        <f>'WA Volumes &amp; Revenues'!F60</f>
        <v>26942</v>
      </c>
      <c r="K69" s="298">
        <f>'Rev Req Proof Yr1'!R69</f>
        <v>18208</v>
      </c>
      <c r="L69" s="299">
        <f>'Rev Req Proof Yr1'!S69</f>
        <v>0</v>
      </c>
      <c r="M69" s="300">
        <f>'Rev Req Proof Yr1'!T69</f>
        <v>0</v>
      </c>
      <c r="N69" s="301">
        <f>'Rev Req Proof Yr1'!U69</f>
        <v>0</v>
      </c>
      <c r="O69" s="157"/>
      <c r="P69" s="313">
        <f t="shared" si="70"/>
        <v>0</v>
      </c>
      <c r="Q69" s="309">
        <v>0</v>
      </c>
      <c r="R69" s="314">
        <v>0</v>
      </c>
      <c r="S69" s="157"/>
      <c r="T69" s="313">
        <f t="shared" si="73"/>
        <v>-62.999679999999998</v>
      </c>
      <c r="U69" s="309">
        <v>0</v>
      </c>
      <c r="V69" s="314">
        <v>0</v>
      </c>
      <c r="W69" s="157"/>
      <c r="X69" s="313">
        <f t="shared" si="71"/>
        <v>-34.777279999999998</v>
      </c>
      <c r="Y69" s="309">
        <v>0</v>
      </c>
      <c r="Z69" s="314">
        <v>0</v>
      </c>
      <c r="AA69" s="309"/>
      <c r="AB69" s="313">
        <f t="shared" si="9"/>
        <v>-1.8208000000000002</v>
      </c>
      <c r="AC69" s="309">
        <v>0</v>
      </c>
      <c r="AD69" s="314">
        <v>0</v>
      </c>
      <c r="AE69" s="157"/>
      <c r="AF69" s="313">
        <f t="shared" si="72"/>
        <v>-99.597759999999994</v>
      </c>
      <c r="AG69" s="309">
        <v>0</v>
      </c>
      <c r="AH69" s="314">
        <v>0</v>
      </c>
      <c r="AI69" s="309"/>
      <c r="AJ69" s="310"/>
      <c r="AK69" s="310"/>
      <c r="AL69" s="309"/>
    </row>
    <row r="70" spans="1:38" x14ac:dyDescent="0.2">
      <c r="A70" s="86">
        <f t="shared" si="5"/>
        <v>63</v>
      </c>
      <c r="B70" s="725"/>
      <c r="C70" s="726" t="s">
        <v>8</v>
      </c>
      <c r="D70" s="157"/>
      <c r="E70" s="157">
        <f>ROUND('Allocation = ¢ per Therm'!K63,5)</f>
        <v>0</v>
      </c>
      <c r="F70" s="157">
        <f>ROUND('Allocation = % of Margin'!O60,5)</f>
        <v>-2.31E-3</v>
      </c>
      <c r="G70" s="157">
        <f>ROUND('Allocation = % of Margin'!R60,5)</f>
        <v>-1.2700000000000001E-3</v>
      </c>
      <c r="H70" s="157">
        <f>ROUND('Allocation = % of Margin'!X60,5)</f>
        <v>-6.0000000000000002E-5</v>
      </c>
      <c r="I70" s="157"/>
      <c r="J70" s="564">
        <f>'WA Volumes &amp; Revenues'!F61</f>
        <v>0</v>
      </c>
      <c r="K70" s="298">
        <f>'Rev Req Proof Yr1'!R70</f>
        <v>0</v>
      </c>
      <c r="L70" s="299">
        <f>'Rev Req Proof Yr1'!S70</f>
        <v>0</v>
      </c>
      <c r="M70" s="300">
        <f>'Rev Req Proof Yr1'!T70</f>
        <v>0</v>
      </c>
      <c r="N70" s="301">
        <f>'Rev Req Proof Yr1'!U70</f>
        <v>0</v>
      </c>
      <c r="O70" s="157"/>
      <c r="P70" s="313">
        <f t="shared" si="70"/>
        <v>0</v>
      </c>
      <c r="Q70" s="309">
        <v>0</v>
      </c>
      <c r="R70" s="314">
        <v>0</v>
      </c>
      <c r="S70" s="157"/>
      <c r="T70" s="313">
        <f t="shared" si="73"/>
        <v>0</v>
      </c>
      <c r="U70" s="309">
        <v>0</v>
      </c>
      <c r="V70" s="314">
        <v>0</v>
      </c>
      <c r="W70" s="157"/>
      <c r="X70" s="313">
        <f t="shared" si="71"/>
        <v>0</v>
      </c>
      <c r="Y70" s="309">
        <v>0</v>
      </c>
      <c r="Z70" s="314">
        <v>0</v>
      </c>
      <c r="AA70" s="309"/>
      <c r="AB70" s="313">
        <f t="shared" si="9"/>
        <v>0</v>
      </c>
      <c r="AC70" s="309">
        <v>0</v>
      </c>
      <c r="AD70" s="314">
        <v>0</v>
      </c>
      <c r="AE70" s="157"/>
      <c r="AF70" s="313">
        <f t="shared" si="72"/>
        <v>0</v>
      </c>
      <c r="AG70" s="309">
        <v>0</v>
      </c>
      <c r="AH70" s="314">
        <v>0</v>
      </c>
      <c r="AI70" s="309"/>
      <c r="AJ70" s="310"/>
      <c r="AK70" s="310"/>
      <c r="AL70" s="309"/>
    </row>
    <row r="71" spans="1:38" x14ac:dyDescent="0.2">
      <c r="A71" s="86">
        <f t="shared" si="5"/>
        <v>64</v>
      </c>
      <c r="B71" s="725"/>
      <c r="C71" s="726" t="s">
        <v>9</v>
      </c>
      <c r="D71" s="157"/>
      <c r="E71" s="157">
        <f>ROUND('Allocation = ¢ per Therm'!K64,5)</f>
        <v>0</v>
      </c>
      <c r="F71" s="157">
        <f>ROUND('Allocation = % of Margin'!O61,5)</f>
        <v>-8.7000000000000001E-4</v>
      </c>
      <c r="G71" s="157">
        <f>ROUND('Allocation = % of Margin'!R61,5)</f>
        <v>-4.8000000000000001E-4</v>
      </c>
      <c r="H71" s="157">
        <f>ROUND('Allocation = % of Margin'!X61,5)</f>
        <v>-2.0000000000000002E-5</v>
      </c>
      <c r="I71" s="157"/>
      <c r="J71" s="564">
        <f>'WA Volumes &amp; Revenues'!F62</f>
        <v>0</v>
      </c>
      <c r="K71" s="298">
        <f>'Rev Req Proof Yr1'!R71</f>
        <v>0</v>
      </c>
      <c r="L71" s="299">
        <f>'Rev Req Proof Yr1'!S71</f>
        <v>0</v>
      </c>
      <c r="M71" s="300">
        <f>'Rev Req Proof Yr1'!T71</f>
        <v>0</v>
      </c>
      <c r="N71" s="301">
        <f>'Rev Req Proof Yr1'!U71</f>
        <v>0</v>
      </c>
      <c r="O71" s="157"/>
      <c r="P71" s="313">
        <f t="shared" si="70"/>
        <v>0</v>
      </c>
      <c r="Q71" s="309">
        <v>0</v>
      </c>
      <c r="R71" s="314">
        <v>0</v>
      </c>
      <c r="S71" s="157"/>
      <c r="T71" s="313">
        <f t="shared" si="73"/>
        <v>0</v>
      </c>
      <c r="U71" s="309">
        <v>0</v>
      </c>
      <c r="V71" s="314">
        <v>0</v>
      </c>
      <c r="W71" s="157"/>
      <c r="X71" s="313">
        <f t="shared" si="71"/>
        <v>0</v>
      </c>
      <c r="Y71" s="309">
        <v>0</v>
      </c>
      <c r="Z71" s="314">
        <v>0</v>
      </c>
      <c r="AA71" s="309"/>
      <c r="AB71" s="313">
        <f t="shared" si="9"/>
        <v>0</v>
      </c>
      <c r="AC71" s="309">
        <v>0</v>
      </c>
      <c r="AD71" s="314">
        <v>0</v>
      </c>
      <c r="AE71" s="157"/>
      <c r="AF71" s="313">
        <f t="shared" si="72"/>
        <v>0</v>
      </c>
      <c r="AG71" s="309">
        <v>0</v>
      </c>
      <c r="AH71" s="314">
        <v>0</v>
      </c>
      <c r="AI71" s="309"/>
      <c r="AJ71" s="310"/>
      <c r="AK71" s="310"/>
      <c r="AL71" s="309"/>
    </row>
    <row r="72" spans="1:38" x14ac:dyDescent="0.2">
      <c r="A72" s="86">
        <f t="shared" si="5"/>
        <v>65</v>
      </c>
      <c r="B72" s="723"/>
      <c r="C72" s="742" t="s">
        <v>78</v>
      </c>
      <c r="D72" s="153"/>
      <c r="E72" s="153"/>
      <c r="F72" s="153"/>
      <c r="G72" s="810"/>
      <c r="H72" s="810"/>
      <c r="I72" s="153"/>
      <c r="J72" s="564"/>
      <c r="K72" s="298"/>
      <c r="L72" s="299"/>
      <c r="M72" s="300"/>
      <c r="N72" s="301"/>
      <c r="O72" s="157"/>
      <c r="P72" s="315">
        <f>SUM(P66:P71)</f>
        <v>0</v>
      </c>
      <c r="Q72" s="316">
        <f>SUM(Q66:Q71)</f>
        <v>0</v>
      </c>
      <c r="R72" s="317">
        <f>SUM(R66:R71)</f>
        <v>0</v>
      </c>
      <c r="S72" s="157"/>
      <c r="T72" s="315">
        <f>SUM(T66:T71)</f>
        <v>-5153.5389999999998</v>
      </c>
      <c r="U72" s="316">
        <f>SUM(U66:U71)</f>
        <v>0</v>
      </c>
      <c r="V72" s="317">
        <f>SUM(V66:V71)</f>
        <v>0</v>
      </c>
      <c r="W72" s="157"/>
      <c r="X72" s="315">
        <f>SUM(X66:X71)</f>
        <v>-2849.6411599999997</v>
      </c>
      <c r="Y72" s="316">
        <f>SUM(Y66:Y71)</f>
        <v>0</v>
      </c>
      <c r="Z72" s="317">
        <f>SUM(Z66:Z71)</f>
        <v>0</v>
      </c>
      <c r="AA72" s="328"/>
      <c r="AB72" s="315">
        <f>SUM(AB66:AB71)</f>
        <v>-145.98303999999999</v>
      </c>
      <c r="AC72" s="316">
        <f>SUM(AC66:AC71)</f>
        <v>0</v>
      </c>
      <c r="AD72" s="317">
        <f>SUM(AD66:AD71)</f>
        <v>0</v>
      </c>
      <c r="AE72" s="157"/>
      <c r="AF72" s="315">
        <f>SUM(AF66:AF71)</f>
        <v>-8149.1632</v>
      </c>
      <c r="AG72" s="316">
        <f>SUM(AG66:AG71)</f>
        <v>0</v>
      </c>
      <c r="AH72" s="317">
        <f>SUM(AH66:AH71)</f>
        <v>0</v>
      </c>
      <c r="AI72" s="309"/>
      <c r="AJ72" s="319"/>
      <c r="AK72" s="310"/>
      <c r="AL72" s="309"/>
    </row>
    <row r="73" spans="1:38" x14ac:dyDescent="0.2">
      <c r="A73" s="86">
        <f t="shared" si="5"/>
        <v>66</v>
      </c>
      <c r="B73" s="725" t="str">
        <f>'Rev Req Proof Yr1'!B73</f>
        <v>42I Interr Sales</v>
      </c>
      <c r="C73" s="726" t="s">
        <v>4</v>
      </c>
      <c r="D73" s="157"/>
      <c r="E73" s="157">
        <f>ROUND('Allocation = ¢ per Therm'!K65,5)</f>
        <v>0</v>
      </c>
      <c r="F73" s="157">
        <f>ROUND('Allocation = % of Margin'!O62,5)</f>
        <v>0</v>
      </c>
      <c r="G73" s="157">
        <f>ROUND('Allocation = % of Margin'!R62,5)</f>
        <v>-4.7999999999999996E-3</v>
      </c>
      <c r="H73" s="157">
        <f>ROUND('Allocation = % of Margin'!X62,5)</f>
        <v>-2.4000000000000001E-4</v>
      </c>
      <c r="I73" s="157"/>
      <c r="J73" s="564">
        <f>'WA Volumes &amp; Revenues'!F63</f>
        <v>160966</v>
      </c>
      <c r="K73" s="298">
        <f>'Rev Req Proof Yr1'!R73</f>
        <v>156740</v>
      </c>
      <c r="L73" s="299">
        <f>'Rev Req Proof Yr1'!S73</f>
        <v>2934</v>
      </c>
      <c r="M73" s="300">
        <f>'Rev Req Proof Yr1'!T73</f>
        <v>1.9166666666666701</v>
      </c>
      <c r="N73" s="301">
        <f>'Rev Req Proof Yr1'!U73</f>
        <v>13758</v>
      </c>
      <c r="O73" s="157"/>
      <c r="P73" s="313">
        <f t="shared" ref="P73:P78" si="74">((E73)*K73)</f>
        <v>0</v>
      </c>
      <c r="Q73" s="309">
        <v>0</v>
      </c>
      <c r="R73" s="314">
        <v>0</v>
      </c>
      <c r="S73" s="157"/>
      <c r="T73" s="313">
        <f>((F73)*K73)</f>
        <v>0</v>
      </c>
      <c r="U73" s="309">
        <v>0</v>
      </c>
      <c r="V73" s="314">
        <v>0</v>
      </c>
      <c r="W73" s="157"/>
      <c r="X73" s="313">
        <f t="shared" ref="X73:X78" si="75">((G73)*K73)</f>
        <v>-752.35199999999998</v>
      </c>
      <c r="Y73" s="309">
        <v>0</v>
      </c>
      <c r="Z73" s="314">
        <v>0</v>
      </c>
      <c r="AA73" s="309"/>
      <c r="AB73" s="313">
        <f t="shared" si="9"/>
        <v>-37.617600000000003</v>
      </c>
      <c r="AC73" s="309">
        <v>0</v>
      </c>
      <c r="AD73" s="314">
        <v>0</v>
      </c>
      <c r="AE73" s="157"/>
      <c r="AF73" s="313">
        <f t="shared" ref="AF73:AF78" si="76">((E73+F73+G73+H73)*K73)</f>
        <v>-789.9695999999999</v>
      </c>
      <c r="AG73" s="309">
        <v>0</v>
      </c>
      <c r="AH73" s="314">
        <v>0</v>
      </c>
      <c r="AI73" s="309"/>
      <c r="AJ73" s="310"/>
      <c r="AK73" s="310"/>
      <c r="AL73" s="309"/>
    </row>
    <row r="74" spans="1:38" x14ac:dyDescent="0.2">
      <c r="A74" s="86">
        <f t="shared" ref="A74:A102" si="77">+A73+1</f>
        <v>67</v>
      </c>
      <c r="B74" s="725"/>
      <c r="C74" s="726" t="s">
        <v>5</v>
      </c>
      <c r="D74" s="157"/>
      <c r="E74" s="157">
        <f>ROUND('Allocation = ¢ per Therm'!K66,5)</f>
        <v>0</v>
      </c>
      <c r="F74" s="157">
        <f>ROUND('Allocation = % of Margin'!O63,5)</f>
        <v>0</v>
      </c>
      <c r="G74" s="157">
        <f>ROUND('Allocation = % of Margin'!R63,5)</f>
        <v>-4.3E-3</v>
      </c>
      <c r="H74" s="157">
        <f>ROUND('Allocation = % of Margin'!X63,5)</f>
        <v>-2.2000000000000001E-4</v>
      </c>
      <c r="I74" s="157"/>
      <c r="J74" s="564">
        <f>'WA Volumes &amp; Revenues'!F64</f>
        <v>145741</v>
      </c>
      <c r="K74" s="298">
        <f>'Rev Req Proof Yr1'!R74</f>
        <v>159690</v>
      </c>
      <c r="L74" s="299">
        <f>'Rev Req Proof Yr1'!S74</f>
        <v>0</v>
      </c>
      <c r="M74" s="300">
        <f>'Rev Req Proof Yr1'!T74</f>
        <v>0</v>
      </c>
      <c r="N74" s="301">
        <f>'Rev Req Proof Yr1'!U74</f>
        <v>0</v>
      </c>
      <c r="O74" s="157"/>
      <c r="P74" s="313">
        <f t="shared" si="74"/>
        <v>0</v>
      </c>
      <c r="Q74" s="309">
        <v>0</v>
      </c>
      <c r="R74" s="314">
        <v>0</v>
      </c>
      <c r="S74" s="157"/>
      <c r="T74" s="313">
        <f t="shared" ref="T74:T78" si="78">((F74)*K74)</f>
        <v>0</v>
      </c>
      <c r="U74" s="309">
        <v>0</v>
      </c>
      <c r="V74" s="314">
        <v>0</v>
      </c>
      <c r="W74" s="157"/>
      <c r="X74" s="313">
        <f t="shared" si="75"/>
        <v>-686.66700000000003</v>
      </c>
      <c r="Y74" s="309">
        <v>0</v>
      </c>
      <c r="Z74" s="314">
        <v>0</v>
      </c>
      <c r="AA74" s="309"/>
      <c r="AB74" s="313">
        <f t="shared" si="9"/>
        <v>-35.131799999999998</v>
      </c>
      <c r="AC74" s="309">
        <v>0</v>
      </c>
      <c r="AD74" s="314">
        <v>0</v>
      </c>
      <c r="AE74" s="157"/>
      <c r="AF74" s="313">
        <f t="shared" si="76"/>
        <v>-721.79879999999991</v>
      </c>
      <c r="AG74" s="309">
        <v>0</v>
      </c>
      <c r="AH74" s="314">
        <v>0</v>
      </c>
      <c r="AI74" s="309"/>
      <c r="AJ74" s="310"/>
      <c r="AK74" s="310"/>
      <c r="AL74" s="309"/>
    </row>
    <row r="75" spans="1:38" x14ac:dyDescent="0.2">
      <c r="A75" s="86">
        <f t="shared" si="77"/>
        <v>68</v>
      </c>
      <c r="B75" s="725"/>
      <c r="C75" s="726" t="s">
        <v>6</v>
      </c>
      <c r="D75" s="157"/>
      <c r="E75" s="157">
        <f>ROUND('Allocation = ¢ per Therm'!K67,5)</f>
        <v>0</v>
      </c>
      <c r="F75" s="157">
        <f>ROUND('Allocation = % of Margin'!O64,5)</f>
        <v>0</v>
      </c>
      <c r="G75" s="157">
        <f>ROUND('Allocation = % of Margin'!R64,5)</f>
        <v>-3.3E-3</v>
      </c>
      <c r="H75" s="157">
        <f>ROUND('Allocation = % of Margin'!X64,5)</f>
        <v>-1.7000000000000001E-4</v>
      </c>
      <c r="I75" s="157"/>
      <c r="J75" s="564">
        <f>'WA Volumes &amp; Revenues'!F65</f>
        <v>0</v>
      </c>
      <c r="K75" s="298">
        <f>'Rev Req Proof Yr1'!R75</f>
        <v>0</v>
      </c>
      <c r="L75" s="299">
        <f>'Rev Req Proof Yr1'!S75</f>
        <v>0</v>
      </c>
      <c r="M75" s="300">
        <f>'Rev Req Proof Yr1'!T75</f>
        <v>0</v>
      </c>
      <c r="N75" s="301">
        <f>'Rev Req Proof Yr1'!U75</f>
        <v>0</v>
      </c>
      <c r="O75" s="157"/>
      <c r="P75" s="313">
        <f t="shared" si="74"/>
        <v>0</v>
      </c>
      <c r="Q75" s="309">
        <v>0</v>
      </c>
      <c r="R75" s="314">
        <v>0</v>
      </c>
      <c r="S75" s="157"/>
      <c r="T75" s="313">
        <f t="shared" si="78"/>
        <v>0</v>
      </c>
      <c r="U75" s="309">
        <v>0</v>
      </c>
      <c r="V75" s="314">
        <v>0</v>
      </c>
      <c r="W75" s="157"/>
      <c r="X75" s="313">
        <f t="shared" si="75"/>
        <v>0</v>
      </c>
      <c r="Y75" s="309">
        <v>0</v>
      </c>
      <c r="Z75" s="314">
        <v>0</v>
      </c>
      <c r="AA75" s="309"/>
      <c r="AB75" s="313">
        <f t="shared" si="9"/>
        <v>0</v>
      </c>
      <c r="AC75" s="309">
        <v>0</v>
      </c>
      <c r="AD75" s="314">
        <v>0</v>
      </c>
      <c r="AE75" s="157"/>
      <c r="AF75" s="313">
        <f t="shared" si="76"/>
        <v>0</v>
      </c>
      <c r="AG75" s="309">
        <v>0</v>
      </c>
      <c r="AH75" s="314">
        <v>0</v>
      </c>
      <c r="AI75" s="309"/>
      <c r="AJ75" s="310"/>
      <c r="AK75" s="310"/>
      <c r="AL75" s="309"/>
    </row>
    <row r="76" spans="1:38" x14ac:dyDescent="0.2">
      <c r="A76" s="86">
        <f t="shared" si="77"/>
        <v>69</v>
      </c>
      <c r="B76" s="725"/>
      <c r="C76" s="726" t="s">
        <v>7</v>
      </c>
      <c r="D76" s="157"/>
      <c r="E76" s="157">
        <f>ROUND('Allocation = ¢ per Therm'!K68,5)</f>
        <v>0</v>
      </c>
      <c r="F76" s="157">
        <f>ROUND('Allocation = % of Margin'!O65,5)</f>
        <v>0</v>
      </c>
      <c r="G76" s="157">
        <f>ROUND('Allocation = % of Margin'!R65,5)</f>
        <v>-2.64E-3</v>
      </c>
      <c r="H76" s="157">
        <f>ROUND('Allocation = % of Margin'!X65,5)</f>
        <v>-1.2999999999999999E-4</v>
      </c>
      <c r="I76" s="157"/>
      <c r="J76" s="564">
        <f>'WA Volumes &amp; Revenues'!F66</f>
        <v>0</v>
      </c>
      <c r="K76" s="298">
        <f>'Rev Req Proof Yr1'!R76</f>
        <v>0</v>
      </c>
      <c r="L76" s="299">
        <f>'Rev Req Proof Yr1'!S76</f>
        <v>0</v>
      </c>
      <c r="M76" s="300">
        <f>'Rev Req Proof Yr1'!T76</f>
        <v>0</v>
      </c>
      <c r="N76" s="301">
        <f>'Rev Req Proof Yr1'!U76</f>
        <v>0</v>
      </c>
      <c r="O76" s="157"/>
      <c r="P76" s="313">
        <f t="shared" si="74"/>
        <v>0</v>
      </c>
      <c r="Q76" s="309">
        <v>0</v>
      </c>
      <c r="R76" s="314">
        <v>0</v>
      </c>
      <c r="S76" s="157"/>
      <c r="T76" s="313">
        <f t="shared" si="78"/>
        <v>0</v>
      </c>
      <c r="U76" s="309">
        <v>0</v>
      </c>
      <c r="V76" s="314">
        <v>0</v>
      </c>
      <c r="W76" s="157"/>
      <c r="X76" s="313">
        <f t="shared" si="75"/>
        <v>0</v>
      </c>
      <c r="Y76" s="309">
        <v>0</v>
      </c>
      <c r="Z76" s="314">
        <v>0</v>
      </c>
      <c r="AA76" s="309"/>
      <c r="AB76" s="313">
        <f t="shared" si="9"/>
        <v>0</v>
      </c>
      <c r="AC76" s="309">
        <v>0</v>
      </c>
      <c r="AD76" s="314">
        <v>0</v>
      </c>
      <c r="AE76" s="157"/>
      <c r="AF76" s="313">
        <f t="shared" si="76"/>
        <v>0</v>
      </c>
      <c r="AG76" s="309">
        <v>0</v>
      </c>
      <c r="AH76" s="314">
        <v>0</v>
      </c>
      <c r="AI76" s="309"/>
      <c r="AJ76" s="310"/>
      <c r="AK76" s="310"/>
      <c r="AL76" s="309"/>
    </row>
    <row r="77" spans="1:38" x14ac:dyDescent="0.2">
      <c r="A77" s="86">
        <f t="shared" si="77"/>
        <v>70</v>
      </c>
      <c r="B77" s="725"/>
      <c r="C77" s="726" t="s">
        <v>8</v>
      </c>
      <c r="D77" s="157"/>
      <c r="E77" s="157">
        <f>ROUND('Allocation = ¢ per Therm'!K69,5)</f>
        <v>0</v>
      </c>
      <c r="F77" s="157">
        <f>ROUND('Allocation = % of Margin'!O66,5)</f>
        <v>0</v>
      </c>
      <c r="G77" s="157">
        <f>ROUND('Allocation = % of Margin'!R66,5)</f>
        <v>-1.7600000000000001E-3</v>
      </c>
      <c r="H77" s="157">
        <f>ROUND('Allocation = % of Margin'!X66,5)</f>
        <v>-9.0000000000000006E-5</v>
      </c>
      <c r="I77" s="157"/>
      <c r="J77" s="564">
        <f>'WA Volumes &amp; Revenues'!F67</f>
        <v>0</v>
      </c>
      <c r="K77" s="298">
        <f>'Rev Req Proof Yr1'!R77</f>
        <v>0</v>
      </c>
      <c r="L77" s="299">
        <f>'Rev Req Proof Yr1'!S77</f>
        <v>0</v>
      </c>
      <c r="M77" s="300">
        <f>'Rev Req Proof Yr1'!T77</f>
        <v>0</v>
      </c>
      <c r="N77" s="301">
        <f>'Rev Req Proof Yr1'!U77</f>
        <v>0</v>
      </c>
      <c r="O77" s="157"/>
      <c r="P77" s="313">
        <f t="shared" si="74"/>
        <v>0</v>
      </c>
      <c r="Q77" s="309">
        <v>0</v>
      </c>
      <c r="R77" s="314">
        <v>0</v>
      </c>
      <c r="S77" s="157"/>
      <c r="T77" s="313">
        <f t="shared" si="78"/>
        <v>0</v>
      </c>
      <c r="U77" s="309">
        <v>0</v>
      </c>
      <c r="V77" s="314">
        <v>0</v>
      </c>
      <c r="W77" s="157"/>
      <c r="X77" s="313">
        <f t="shared" si="75"/>
        <v>0</v>
      </c>
      <c r="Y77" s="309">
        <v>0</v>
      </c>
      <c r="Z77" s="314">
        <v>0</v>
      </c>
      <c r="AA77" s="309"/>
      <c r="AB77" s="313">
        <f t="shared" si="9"/>
        <v>0</v>
      </c>
      <c r="AC77" s="309">
        <v>0</v>
      </c>
      <c r="AD77" s="314">
        <v>0</v>
      </c>
      <c r="AE77" s="157"/>
      <c r="AF77" s="313">
        <f t="shared" si="76"/>
        <v>0</v>
      </c>
      <c r="AG77" s="309">
        <v>0</v>
      </c>
      <c r="AH77" s="314">
        <v>0</v>
      </c>
      <c r="AI77" s="309"/>
      <c r="AJ77" s="310"/>
      <c r="AK77" s="310"/>
      <c r="AL77" s="309"/>
    </row>
    <row r="78" spans="1:38" x14ac:dyDescent="0.2">
      <c r="A78" s="86">
        <f t="shared" si="77"/>
        <v>71</v>
      </c>
      <c r="B78" s="725"/>
      <c r="C78" s="726" t="s">
        <v>9</v>
      </c>
      <c r="D78" s="157"/>
      <c r="E78" s="157">
        <f>ROUND('Allocation = ¢ per Therm'!K70,5)</f>
        <v>0</v>
      </c>
      <c r="F78" s="157">
        <f>ROUND('Allocation = % of Margin'!O67,5)</f>
        <v>0</v>
      </c>
      <c r="G78" s="157">
        <f>ROUND('Allocation = % of Margin'!R67,5)</f>
        <v>-6.6E-4</v>
      </c>
      <c r="H78" s="157">
        <f>ROUND('Allocation = % of Margin'!X67,5)</f>
        <v>-3.0000000000000001E-5</v>
      </c>
      <c r="I78" s="157"/>
      <c r="J78" s="564">
        <f>'WA Volumes &amp; Revenues'!F68</f>
        <v>0</v>
      </c>
      <c r="K78" s="298">
        <f>'Rev Req Proof Yr1'!R78</f>
        <v>0</v>
      </c>
      <c r="L78" s="299">
        <f>'Rev Req Proof Yr1'!S78</f>
        <v>0</v>
      </c>
      <c r="M78" s="300">
        <f>'Rev Req Proof Yr1'!T78</f>
        <v>0</v>
      </c>
      <c r="N78" s="301">
        <f>'Rev Req Proof Yr1'!U78</f>
        <v>0</v>
      </c>
      <c r="O78" s="157"/>
      <c r="P78" s="313">
        <f t="shared" si="74"/>
        <v>0</v>
      </c>
      <c r="Q78" s="309">
        <v>0</v>
      </c>
      <c r="R78" s="314">
        <v>0</v>
      </c>
      <c r="S78" s="157"/>
      <c r="T78" s="313">
        <f t="shared" si="78"/>
        <v>0</v>
      </c>
      <c r="U78" s="309">
        <v>0</v>
      </c>
      <c r="V78" s="314">
        <v>0</v>
      </c>
      <c r="W78" s="157"/>
      <c r="X78" s="313">
        <f t="shared" si="75"/>
        <v>0</v>
      </c>
      <c r="Y78" s="309">
        <v>0</v>
      </c>
      <c r="Z78" s="314">
        <v>0</v>
      </c>
      <c r="AA78" s="309"/>
      <c r="AB78" s="313">
        <f t="shared" si="9"/>
        <v>0</v>
      </c>
      <c r="AC78" s="309">
        <v>0</v>
      </c>
      <c r="AD78" s="314">
        <v>0</v>
      </c>
      <c r="AE78" s="157"/>
      <c r="AF78" s="313">
        <f t="shared" si="76"/>
        <v>0</v>
      </c>
      <c r="AG78" s="309">
        <v>0</v>
      </c>
      <c r="AH78" s="314">
        <v>0</v>
      </c>
      <c r="AI78" s="309"/>
      <c r="AJ78" s="310"/>
      <c r="AK78" s="310"/>
      <c r="AL78" s="309"/>
    </row>
    <row r="79" spans="1:38" x14ac:dyDescent="0.2">
      <c r="A79" s="86">
        <f t="shared" si="77"/>
        <v>72</v>
      </c>
      <c r="B79" s="723"/>
      <c r="C79" s="742" t="s">
        <v>78</v>
      </c>
      <c r="D79" s="153"/>
      <c r="E79" s="153"/>
      <c r="F79" s="153"/>
      <c r="G79" s="810"/>
      <c r="H79" s="810"/>
      <c r="I79" s="153"/>
      <c r="J79" s="564"/>
      <c r="K79" s="298"/>
      <c r="L79" s="299"/>
      <c r="M79" s="300"/>
      <c r="N79" s="301"/>
      <c r="O79" s="157"/>
      <c r="P79" s="315">
        <f>SUM(P73:P78)</f>
        <v>0</v>
      </c>
      <c r="Q79" s="316">
        <f>SUM(Q73:Q78)</f>
        <v>0</v>
      </c>
      <c r="R79" s="317">
        <f>SUM(R73:R78)</f>
        <v>0</v>
      </c>
      <c r="S79" s="157"/>
      <c r="T79" s="315">
        <f>SUM(T73:T78)</f>
        <v>0</v>
      </c>
      <c r="U79" s="316">
        <f>SUM(U73:U78)</f>
        <v>0</v>
      </c>
      <c r="V79" s="317">
        <f>SUM(V73:V78)</f>
        <v>0</v>
      </c>
      <c r="W79" s="157"/>
      <c r="X79" s="315">
        <f>SUM(X73:X78)</f>
        <v>-1439.019</v>
      </c>
      <c r="Y79" s="316">
        <f>SUM(Y73:Y78)</f>
        <v>0</v>
      </c>
      <c r="Z79" s="317">
        <f>SUM(Z73:Z78)</f>
        <v>0</v>
      </c>
      <c r="AA79" s="328"/>
      <c r="AB79" s="315">
        <f>SUM(AB73:AB78)</f>
        <v>-72.749400000000009</v>
      </c>
      <c r="AC79" s="316">
        <f>SUM(AC73:AC78)</f>
        <v>0</v>
      </c>
      <c r="AD79" s="317">
        <f>SUM(AD73:AD78)</f>
        <v>0</v>
      </c>
      <c r="AE79" s="157"/>
      <c r="AF79" s="315">
        <f>SUM(AF73:AF78)</f>
        <v>-1511.7683999999999</v>
      </c>
      <c r="AG79" s="316">
        <f>SUM(AG73:AG78)</f>
        <v>0</v>
      </c>
      <c r="AH79" s="317">
        <f>SUM(AH73:AH78)</f>
        <v>0</v>
      </c>
      <c r="AI79" s="309"/>
      <c r="AJ79" s="310"/>
      <c r="AK79" s="310"/>
      <c r="AL79" s="309"/>
    </row>
    <row r="80" spans="1:38" x14ac:dyDescent="0.2">
      <c r="A80" s="86">
        <f t="shared" si="77"/>
        <v>73</v>
      </c>
      <c r="B80" s="725" t="str">
        <f>'Avg Bill by RS'!B73</f>
        <v>42I Interr Sales</v>
      </c>
      <c r="C80" s="726" t="s">
        <v>4</v>
      </c>
      <c r="D80" s="162"/>
      <c r="E80" s="157">
        <f>ROUND('Allocation = ¢ per Therm'!K71,5)</f>
        <v>0</v>
      </c>
      <c r="F80" s="157">
        <f>ROUND('Allocation = % of Margin'!O68,5)</f>
        <v>0</v>
      </c>
      <c r="G80" s="157">
        <f>ROUND('Allocation = % of Margin'!R68,5)</f>
        <v>-2.3800000000000002E-3</v>
      </c>
      <c r="H80" s="157">
        <f>ROUND('Allocation = % of Margin'!X68,5)</f>
        <v>-1.2E-4</v>
      </c>
      <c r="I80" s="162"/>
      <c r="J80" s="564">
        <f>'WA Volumes &amp; Revenues'!F69</f>
        <v>0</v>
      </c>
      <c r="K80" s="298">
        <f>'Rev Req Proof Yr1'!R80</f>
        <v>0</v>
      </c>
      <c r="L80" s="299">
        <f>'Rev Req Proof Yr1'!S80</f>
        <v>0</v>
      </c>
      <c r="M80" s="300">
        <f>'Rev Req Proof Yr1'!T80</f>
        <v>0</v>
      </c>
      <c r="N80" s="301">
        <f>'Rev Req Proof Yr1'!U80</f>
        <v>0</v>
      </c>
      <c r="O80" s="162"/>
      <c r="P80" s="313">
        <f t="shared" ref="P80:P85" si="79">((E80)*K80)</f>
        <v>0</v>
      </c>
      <c r="Q80" s="309">
        <v>0</v>
      </c>
      <c r="R80" s="314">
        <v>0</v>
      </c>
      <c r="S80" s="162"/>
      <c r="T80" s="313">
        <f>((F80)*K80)</f>
        <v>0</v>
      </c>
      <c r="U80" s="309">
        <v>0</v>
      </c>
      <c r="V80" s="314">
        <v>0</v>
      </c>
      <c r="W80" s="162"/>
      <c r="X80" s="313">
        <f t="shared" ref="X80:X85" si="80">((G80)*K80)</f>
        <v>0</v>
      </c>
      <c r="Y80" s="309">
        <v>0</v>
      </c>
      <c r="Z80" s="314">
        <v>0</v>
      </c>
      <c r="AA80" s="309"/>
      <c r="AB80" s="313">
        <f t="shared" si="9"/>
        <v>0</v>
      </c>
      <c r="AC80" s="309">
        <v>0</v>
      </c>
      <c r="AD80" s="314">
        <v>0</v>
      </c>
      <c r="AE80" s="162"/>
      <c r="AF80" s="313">
        <f t="shared" ref="AF80:AF85" si="81">((E80+F80+G80+H80)*K80)</f>
        <v>0</v>
      </c>
      <c r="AG80" s="309">
        <v>0</v>
      </c>
      <c r="AH80" s="314">
        <v>0</v>
      </c>
      <c r="AI80" s="320"/>
      <c r="AJ80" s="310"/>
      <c r="AK80" s="310"/>
      <c r="AL80" s="320"/>
    </row>
    <row r="81" spans="1:38" x14ac:dyDescent="0.2">
      <c r="A81" s="86">
        <f t="shared" si="77"/>
        <v>74</v>
      </c>
      <c r="B81" s="725"/>
      <c r="C81" s="726" t="s">
        <v>5</v>
      </c>
      <c r="D81" s="162"/>
      <c r="E81" s="157">
        <f>ROUND('Allocation = ¢ per Therm'!K72,5)</f>
        <v>0</v>
      </c>
      <c r="F81" s="157">
        <f>ROUND('Allocation = % of Margin'!O69,5)</f>
        <v>0</v>
      </c>
      <c r="G81" s="157">
        <f>ROUND('Allocation = % of Margin'!R69,5)</f>
        <v>-2.1299999999999999E-3</v>
      </c>
      <c r="H81" s="157">
        <f>ROUND('Allocation = % of Margin'!X69,5)</f>
        <v>-1.1E-4</v>
      </c>
      <c r="I81" s="162"/>
      <c r="J81" s="564">
        <f>'WA Volumes &amp; Revenues'!F70</f>
        <v>0</v>
      </c>
      <c r="K81" s="298">
        <f>'Rev Req Proof Yr1'!R81</f>
        <v>0</v>
      </c>
      <c r="L81" s="299">
        <f>'Rev Req Proof Yr1'!S81</f>
        <v>0</v>
      </c>
      <c r="M81" s="300">
        <f>'Rev Req Proof Yr1'!T81</f>
        <v>0</v>
      </c>
      <c r="N81" s="301">
        <f>'Rev Req Proof Yr1'!U81</f>
        <v>0</v>
      </c>
      <c r="O81" s="162"/>
      <c r="P81" s="313">
        <f t="shared" si="79"/>
        <v>0</v>
      </c>
      <c r="Q81" s="309">
        <v>0</v>
      </c>
      <c r="R81" s="314">
        <v>0</v>
      </c>
      <c r="S81" s="162"/>
      <c r="T81" s="313">
        <f t="shared" ref="T81:T85" si="82">((F81)*K81)</f>
        <v>0</v>
      </c>
      <c r="U81" s="309">
        <v>0</v>
      </c>
      <c r="V81" s="314">
        <v>0</v>
      </c>
      <c r="W81" s="162"/>
      <c r="X81" s="313">
        <f t="shared" si="80"/>
        <v>0</v>
      </c>
      <c r="Y81" s="309">
        <v>0</v>
      </c>
      <c r="Z81" s="314">
        <v>0</v>
      </c>
      <c r="AA81" s="309"/>
      <c r="AB81" s="313">
        <f t="shared" ref="AB81:AB85" si="83">((H81)*K81)</f>
        <v>0</v>
      </c>
      <c r="AC81" s="309">
        <v>0</v>
      </c>
      <c r="AD81" s="314">
        <v>0</v>
      </c>
      <c r="AE81" s="162"/>
      <c r="AF81" s="313">
        <f t="shared" si="81"/>
        <v>0</v>
      </c>
      <c r="AG81" s="309">
        <v>0</v>
      </c>
      <c r="AH81" s="314">
        <v>0</v>
      </c>
      <c r="AI81" s="320"/>
      <c r="AJ81" s="310"/>
      <c r="AK81" s="156"/>
      <c r="AL81" s="320"/>
    </row>
    <row r="82" spans="1:38" x14ac:dyDescent="0.2">
      <c r="A82" s="86">
        <f t="shared" si="77"/>
        <v>75</v>
      </c>
      <c r="B82" s="725"/>
      <c r="C82" s="726" t="s">
        <v>6</v>
      </c>
      <c r="D82" s="162"/>
      <c r="E82" s="157">
        <f>ROUND('Allocation = ¢ per Therm'!K73,5)</f>
        <v>0</v>
      </c>
      <c r="F82" s="157">
        <f>ROUND('Allocation = % of Margin'!O70,5)</f>
        <v>0</v>
      </c>
      <c r="G82" s="157">
        <f>ROUND('Allocation = % of Margin'!R70,5)</f>
        <v>-1.6299999999999999E-3</v>
      </c>
      <c r="H82" s="157">
        <f>ROUND('Allocation = % of Margin'!X70,5)</f>
        <v>-8.0000000000000007E-5</v>
      </c>
      <c r="I82" s="162"/>
      <c r="J82" s="564">
        <f>'WA Volumes &amp; Revenues'!F71</f>
        <v>0</v>
      </c>
      <c r="K82" s="298">
        <f>'Rev Req Proof Yr1'!R82</f>
        <v>0</v>
      </c>
      <c r="L82" s="299">
        <f>'Rev Req Proof Yr1'!S82</f>
        <v>0</v>
      </c>
      <c r="M82" s="300">
        <f>'Rev Req Proof Yr1'!T82</f>
        <v>0</v>
      </c>
      <c r="N82" s="301">
        <f>'Rev Req Proof Yr1'!U82</f>
        <v>0</v>
      </c>
      <c r="O82" s="162"/>
      <c r="P82" s="313">
        <f t="shared" si="79"/>
        <v>0</v>
      </c>
      <c r="Q82" s="309">
        <v>0</v>
      </c>
      <c r="R82" s="314">
        <v>0</v>
      </c>
      <c r="S82" s="162"/>
      <c r="T82" s="313">
        <f t="shared" si="82"/>
        <v>0</v>
      </c>
      <c r="U82" s="309">
        <v>0</v>
      </c>
      <c r="V82" s="314">
        <v>0</v>
      </c>
      <c r="W82" s="162"/>
      <c r="X82" s="313">
        <f t="shared" si="80"/>
        <v>0</v>
      </c>
      <c r="Y82" s="309">
        <v>0</v>
      </c>
      <c r="Z82" s="314">
        <v>0</v>
      </c>
      <c r="AA82" s="309"/>
      <c r="AB82" s="313">
        <f t="shared" si="83"/>
        <v>0</v>
      </c>
      <c r="AC82" s="309">
        <v>0</v>
      </c>
      <c r="AD82" s="314">
        <v>0</v>
      </c>
      <c r="AE82" s="162"/>
      <c r="AF82" s="313">
        <f t="shared" si="81"/>
        <v>0</v>
      </c>
      <c r="AG82" s="309">
        <v>0</v>
      </c>
      <c r="AH82" s="314">
        <v>0</v>
      </c>
      <c r="AI82" s="320"/>
      <c r="AJ82" s="310"/>
      <c r="AK82" s="156"/>
      <c r="AL82" s="320"/>
    </row>
    <row r="83" spans="1:38" x14ac:dyDescent="0.2">
      <c r="A83" s="86">
        <f t="shared" si="77"/>
        <v>76</v>
      </c>
      <c r="B83" s="725"/>
      <c r="C83" s="726" t="s">
        <v>7</v>
      </c>
      <c r="D83" s="162"/>
      <c r="E83" s="157">
        <f>ROUND('Allocation = ¢ per Therm'!K74,5)</f>
        <v>0</v>
      </c>
      <c r="F83" s="157">
        <f>ROUND('Allocation = % of Margin'!O71,5)</f>
        <v>0</v>
      </c>
      <c r="G83" s="157">
        <f>ROUND('Allocation = % of Margin'!R71,5)</f>
        <v>-1.31E-3</v>
      </c>
      <c r="H83" s="157">
        <f>ROUND('Allocation = % of Margin'!X71,5)</f>
        <v>-6.9999999999999994E-5</v>
      </c>
      <c r="I83" s="162"/>
      <c r="J83" s="564">
        <f>'WA Volumes &amp; Revenues'!F72</f>
        <v>0</v>
      </c>
      <c r="K83" s="298">
        <f>'Rev Req Proof Yr1'!R83</f>
        <v>0</v>
      </c>
      <c r="L83" s="299">
        <f>'Rev Req Proof Yr1'!S83</f>
        <v>0</v>
      </c>
      <c r="M83" s="300">
        <f>'Rev Req Proof Yr1'!T83</f>
        <v>0</v>
      </c>
      <c r="N83" s="301">
        <f>'Rev Req Proof Yr1'!U83</f>
        <v>0</v>
      </c>
      <c r="O83" s="162"/>
      <c r="P83" s="313">
        <f t="shared" si="79"/>
        <v>0</v>
      </c>
      <c r="Q83" s="309">
        <v>0</v>
      </c>
      <c r="R83" s="314">
        <v>0</v>
      </c>
      <c r="S83" s="162"/>
      <c r="T83" s="313">
        <f t="shared" si="82"/>
        <v>0</v>
      </c>
      <c r="U83" s="309">
        <v>0</v>
      </c>
      <c r="V83" s="314">
        <v>0</v>
      </c>
      <c r="W83" s="162"/>
      <c r="X83" s="313">
        <f t="shared" si="80"/>
        <v>0</v>
      </c>
      <c r="Y83" s="309">
        <v>0</v>
      </c>
      <c r="Z83" s="314">
        <v>0</v>
      </c>
      <c r="AA83" s="309"/>
      <c r="AB83" s="313">
        <f t="shared" si="83"/>
        <v>0</v>
      </c>
      <c r="AC83" s="309">
        <v>0</v>
      </c>
      <c r="AD83" s="314">
        <v>0</v>
      </c>
      <c r="AE83" s="162"/>
      <c r="AF83" s="313">
        <f t="shared" si="81"/>
        <v>0</v>
      </c>
      <c r="AG83" s="309">
        <v>0</v>
      </c>
      <c r="AH83" s="314">
        <v>0</v>
      </c>
      <c r="AI83" s="320"/>
      <c r="AJ83" s="310"/>
      <c r="AK83" s="156"/>
      <c r="AL83" s="320"/>
    </row>
    <row r="84" spans="1:38" x14ac:dyDescent="0.2">
      <c r="A84" s="86">
        <f t="shared" si="77"/>
        <v>77</v>
      </c>
      <c r="B84" s="725"/>
      <c r="C84" s="726" t="s">
        <v>8</v>
      </c>
      <c r="D84" s="162"/>
      <c r="E84" s="157">
        <f>ROUND('Allocation = ¢ per Therm'!K75,5)</f>
        <v>0</v>
      </c>
      <c r="F84" s="157">
        <f>ROUND('Allocation = % of Margin'!O72,5)</f>
        <v>0</v>
      </c>
      <c r="G84" s="157">
        <f>ROUND('Allocation = % of Margin'!R72,5)</f>
        <v>-8.7000000000000001E-4</v>
      </c>
      <c r="H84" s="157">
        <f>ROUND('Allocation = % of Margin'!X72,5)</f>
        <v>-4.0000000000000003E-5</v>
      </c>
      <c r="I84" s="162"/>
      <c r="J84" s="564">
        <f>'WA Volumes &amp; Revenues'!F73</f>
        <v>0</v>
      </c>
      <c r="K84" s="298">
        <f>'Rev Req Proof Yr1'!R84</f>
        <v>0</v>
      </c>
      <c r="L84" s="299">
        <f>'Rev Req Proof Yr1'!S84</f>
        <v>0</v>
      </c>
      <c r="M84" s="300">
        <f>'Rev Req Proof Yr1'!T84</f>
        <v>0</v>
      </c>
      <c r="N84" s="301">
        <f>'Rev Req Proof Yr1'!U84</f>
        <v>0</v>
      </c>
      <c r="O84" s="162"/>
      <c r="P84" s="313">
        <f t="shared" si="79"/>
        <v>0</v>
      </c>
      <c r="Q84" s="309">
        <v>0</v>
      </c>
      <c r="R84" s="314">
        <v>0</v>
      </c>
      <c r="S84" s="162"/>
      <c r="T84" s="313">
        <f t="shared" si="82"/>
        <v>0</v>
      </c>
      <c r="U84" s="309">
        <v>0</v>
      </c>
      <c r="V84" s="314">
        <v>0</v>
      </c>
      <c r="W84" s="162"/>
      <c r="X84" s="313">
        <f t="shared" si="80"/>
        <v>0</v>
      </c>
      <c r="Y84" s="309">
        <v>0</v>
      </c>
      <c r="Z84" s="314">
        <v>0</v>
      </c>
      <c r="AA84" s="309"/>
      <c r="AB84" s="313">
        <f t="shared" si="83"/>
        <v>0</v>
      </c>
      <c r="AC84" s="309">
        <v>0</v>
      </c>
      <c r="AD84" s="314">
        <v>0</v>
      </c>
      <c r="AE84" s="162"/>
      <c r="AF84" s="313">
        <f t="shared" si="81"/>
        <v>0</v>
      </c>
      <c r="AG84" s="309">
        <v>0</v>
      </c>
      <c r="AH84" s="314">
        <v>0</v>
      </c>
      <c r="AI84" s="320"/>
      <c r="AJ84" s="310"/>
      <c r="AK84" s="154"/>
      <c r="AL84" s="320"/>
    </row>
    <row r="85" spans="1:38" x14ac:dyDescent="0.2">
      <c r="A85" s="86">
        <f t="shared" si="77"/>
        <v>78</v>
      </c>
      <c r="B85" s="725"/>
      <c r="C85" s="726" t="s">
        <v>9</v>
      </c>
      <c r="D85" s="162"/>
      <c r="E85" s="157">
        <f>ROUND('Allocation = ¢ per Therm'!K76,5)</f>
        <v>0</v>
      </c>
      <c r="F85" s="157">
        <f>ROUND('Allocation = % of Margin'!O73,5)</f>
        <v>0</v>
      </c>
      <c r="G85" s="157">
        <f>ROUND('Allocation = % of Margin'!R73,5)</f>
        <v>-3.3E-4</v>
      </c>
      <c r="H85" s="157">
        <f>ROUND('Allocation = % of Margin'!X73,5)</f>
        <v>-2.0000000000000002E-5</v>
      </c>
      <c r="I85" s="162"/>
      <c r="J85" s="564">
        <f>'WA Volumes &amp; Revenues'!F74</f>
        <v>0</v>
      </c>
      <c r="K85" s="298">
        <f>'Rev Req Proof Yr1'!R85</f>
        <v>0</v>
      </c>
      <c r="L85" s="299">
        <f>'Rev Req Proof Yr1'!S85</f>
        <v>0</v>
      </c>
      <c r="M85" s="300">
        <f>'Rev Req Proof Yr1'!T85</f>
        <v>0</v>
      </c>
      <c r="N85" s="301">
        <f>'Rev Req Proof Yr1'!U85</f>
        <v>0</v>
      </c>
      <c r="O85" s="162"/>
      <c r="P85" s="313">
        <f t="shared" si="79"/>
        <v>0</v>
      </c>
      <c r="Q85" s="309">
        <v>0</v>
      </c>
      <c r="R85" s="314">
        <v>0</v>
      </c>
      <c r="S85" s="162"/>
      <c r="T85" s="313">
        <f t="shared" si="82"/>
        <v>0</v>
      </c>
      <c r="U85" s="309">
        <v>0</v>
      </c>
      <c r="V85" s="314">
        <v>0</v>
      </c>
      <c r="W85" s="162"/>
      <c r="X85" s="313">
        <f t="shared" si="80"/>
        <v>0</v>
      </c>
      <c r="Y85" s="309">
        <v>0</v>
      </c>
      <c r="Z85" s="314">
        <v>0</v>
      </c>
      <c r="AA85" s="309"/>
      <c r="AB85" s="313">
        <f t="shared" si="83"/>
        <v>0</v>
      </c>
      <c r="AC85" s="309">
        <v>0</v>
      </c>
      <c r="AD85" s="314">
        <v>0</v>
      </c>
      <c r="AE85" s="162"/>
      <c r="AF85" s="313">
        <f t="shared" si="81"/>
        <v>0</v>
      </c>
      <c r="AG85" s="309">
        <v>0</v>
      </c>
      <c r="AH85" s="314">
        <v>0</v>
      </c>
      <c r="AI85" s="320"/>
      <c r="AJ85" s="310"/>
      <c r="AK85" s="154"/>
      <c r="AL85" s="320"/>
    </row>
    <row r="86" spans="1:38" x14ac:dyDescent="0.2">
      <c r="A86" s="86">
        <f t="shared" si="77"/>
        <v>79</v>
      </c>
      <c r="B86" s="723"/>
      <c r="C86" s="742" t="s">
        <v>78</v>
      </c>
      <c r="D86" s="163"/>
      <c r="E86" s="153"/>
      <c r="F86" s="153"/>
      <c r="G86" s="810"/>
      <c r="H86" s="810"/>
      <c r="I86" s="163"/>
      <c r="J86" s="563"/>
      <c r="K86" s="298"/>
      <c r="L86" s="157"/>
      <c r="M86" s="157"/>
      <c r="N86" s="158"/>
      <c r="O86" s="162"/>
      <c r="P86" s="315">
        <f>SUM(P80:P85)</f>
        <v>0</v>
      </c>
      <c r="Q86" s="316">
        <f>SUM(Q80:Q85)</f>
        <v>0</v>
      </c>
      <c r="R86" s="317">
        <f>SUM(R80:R85)</f>
        <v>0</v>
      </c>
      <c r="S86" s="162"/>
      <c r="T86" s="315">
        <f>SUM(T80:T85)</f>
        <v>0</v>
      </c>
      <c r="U86" s="316">
        <f>SUM(U80:U85)</f>
        <v>0</v>
      </c>
      <c r="V86" s="317">
        <f>SUM(V80:V85)</f>
        <v>0</v>
      </c>
      <c r="W86" s="162"/>
      <c r="X86" s="315">
        <f>SUM(X80:X85)</f>
        <v>0</v>
      </c>
      <c r="Y86" s="316">
        <f>SUM(Y80:Y85)</f>
        <v>0</v>
      </c>
      <c r="Z86" s="317">
        <f>SUM(Z80:Z85)</f>
        <v>0</v>
      </c>
      <c r="AA86" s="328"/>
      <c r="AB86" s="315">
        <f>SUM(AB80:AB85)</f>
        <v>0</v>
      </c>
      <c r="AC86" s="316">
        <f>SUM(AC80:AC85)</f>
        <v>0</v>
      </c>
      <c r="AD86" s="317">
        <f>SUM(AD80:AD85)</f>
        <v>0</v>
      </c>
      <c r="AE86" s="162"/>
      <c r="AF86" s="315">
        <f>SUM(AF80:AF85)</f>
        <v>0</v>
      </c>
      <c r="AG86" s="316">
        <f>SUM(AG80:AG85)</f>
        <v>0</v>
      </c>
      <c r="AH86" s="317">
        <f>SUM(AH80:AH85)</f>
        <v>0</v>
      </c>
      <c r="AI86" s="320"/>
      <c r="AJ86" s="310"/>
      <c r="AK86" s="154"/>
      <c r="AL86" s="320"/>
    </row>
    <row r="87" spans="1:38" x14ac:dyDescent="0.2">
      <c r="A87" s="86">
        <f t="shared" si="77"/>
        <v>80</v>
      </c>
      <c r="B87" s="725" t="str">
        <f>'Avg Bill by RS'!B80</f>
        <v>42C Inter Transpt</v>
      </c>
      <c r="C87" s="726" t="s">
        <v>4</v>
      </c>
      <c r="D87" s="162"/>
      <c r="E87" s="157">
        <f>ROUND('Allocation = ¢ per Therm'!K77,5)</f>
        <v>0</v>
      </c>
      <c r="F87" s="157">
        <f>ROUND('Allocation = % of Margin'!O74,5)</f>
        <v>0</v>
      </c>
      <c r="G87" s="157">
        <f>ROUND('Allocation = % of Margin'!R74,5)</f>
        <v>-2.82E-3</v>
      </c>
      <c r="H87" s="157">
        <f>ROUND('Allocation = % of Margin'!X74,5)</f>
        <v>-1.3999999999999999E-4</v>
      </c>
      <c r="I87" s="162"/>
      <c r="J87" s="564">
        <f>'WA Volumes &amp; Revenues'!F75</f>
        <v>861932</v>
      </c>
      <c r="K87" s="298">
        <f>'Rev Req Proof Yr1'!R87</f>
        <v>844078</v>
      </c>
      <c r="L87" s="299">
        <f>'Rev Req Proof Yr1'!S87</f>
        <v>0</v>
      </c>
      <c r="M87" s="300">
        <f>'Rev Req Proof Yr1'!T87</f>
        <v>7</v>
      </c>
      <c r="N87" s="301">
        <f>'Rev Req Proof Yr1'!U87</f>
        <v>95634</v>
      </c>
      <c r="O87" s="162"/>
      <c r="P87" s="313">
        <f t="shared" ref="P87:P92" si="84">((E87)*K87)</f>
        <v>0</v>
      </c>
      <c r="Q87" s="309">
        <v>0</v>
      </c>
      <c r="R87" s="314">
        <v>0</v>
      </c>
      <c r="S87" s="162"/>
      <c r="T87" s="313">
        <f>((F87)*K87)</f>
        <v>0</v>
      </c>
      <c r="U87" s="309">
        <v>0</v>
      </c>
      <c r="V87" s="314">
        <v>0</v>
      </c>
      <c r="W87" s="162"/>
      <c r="X87" s="313">
        <f t="shared" ref="X87:X92" si="85">((G87)*K87)</f>
        <v>-2380.2999599999998</v>
      </c>
      <c r="Y87" s="309">
        <v>0</v>
      </c>
      <c r="Z87" s="314">
        <v>0</v>
      </c>
      <c r="AA87" s="309"/>
      <c r="AB87" s="313">
        <f t="shared" ref="AB87:AB96" si="86">((H87)*K87)</f>
        <v>-118.17092</v>
      </c>
      <c r="AC87" s="309">
        <v>0</v>
      </c>
      <c r="AD87" s="314">
        <v>0</v>
      </c>
      <c r="AE87" s="162"/>
      <c r="AF87" s="313">
        <f t="shared" ref="AF87:AF92" si="87">((E87+F87+G87+H87)*K87)</f>
        <v>-2498.4708799999999</v>
      </c>
      <c r="AG87" s="309">
        <v>0</v>
      </c>
      <c r="AH87" s="314">
        <v>0</v>
      </c>
      <c r="AI87" s="320"/>
      <c r="AJ87" s="310"/>
      <c r="AK87" s="310"/>
      <c r="AL87" s="320"/>
    </row>
    <row r="88" spans="1:38" x14ac:dyDescent="0.2">
      <c r="A88" s="86">
        <f t="shared" si="77"/>
        <v>81</v>
      </c>
      <c r="B88" s="725"/>
      <c r="C88" s="726" t="s">
        <v>5</v>
      </c>
      <c r="D88" s="162"/>
      <c r="E88" s="157">
        <f>ROUND('Allocation = ¢ per Therm'!K78,5)</f>
        <v>0</v>
      </c>
      <c r="F88" s="157">
        <f>ROUND('Allocation = % of Margin'!O75,5)</f>
        <v>0</v>
      </c>
      <c r="G88" s="157">
        <f>ROUND('Allocation = % of Margin'!R75,5)</f>
        <v>-2.5300000000000001E-3</v>
      </c>
      <c r="H88" s="157">
        <f>ROUND('Allocation = % of Margin'!X75,5)</f>
        <v>-1.2999999999999999E-4</v>
      </c>
      <c r="I88" s="162"/>
      <c r="J88" s="564">
        <f>'WA Volumes &amp; Revenues'!F76</f>
        <v>1453508</v>
      </c>
      <c r="K88" s="298">
        <f>'Rev Req Proof Yr1'!R88</f>
        <v>1445175</v>
      </c>
      <c r="L88" s="299">
        <f>'Rev Req Proof Yr1'!S88</f>
        <v>0</v>
      </c>
      <c r="M88" s="300">
        <f>'Rev Req Proof Yr1'!T88</f>
        <v>0</v>
      </c>
      <c r="N88" s="301">
        <f>'Rev Req Proof Yr1'!U88</f>
        <v>0</v>
      </c>
      <c r="O88" s="162"/>
      <c r="P88" s="313">
        <f t="shared" si="84"/>
        <v>0</v>
      </c>
      <c r="Q88" s="309">
        <v>0</v>
      </c>
      <c r="R88" s="314">
        <v>0</v>
      </c>
      <c r="S88" s="162"/>
      <c r="T88" s="313">
        <f t="shared" ref="T88:T92" si="88">((F88)*K88)</f>
        <v>0</v>
      </c>
      <c r="U88" s="309">
        <v>0</v>
      </c>
      <c r="V88" s="314">
        <v>0</v>
      </c>
      <c r="W88" s="162"/>
      <c r="X88" s="313">
        <f t="shared" si="85"/>
        <v>-3656.2927500000001</v>
      </c>
      <c r="Y88" s="309">
        <v>0</v>
      </c>
      <c r="Z88" s="314">
        <v>0</v>
      </c>
      <c r="AA88" s="309"/>
      <c r="AB88" s="313">
        <f t="shared" si="86"/>
        <v>-187.87275</v>
      </c>
      <c r="AC88" s="309">
        <v>0</v>
      </c>
      <c r="AD88" s="314">
        <v>0</v>
      </c>
      <c r="AE88" s="162"/>
      <c r="AF88" s="313">
        <f t="shared" si="87"/>
        <v>-3844.1655000000001</v>
      </c>
      <c r="AG88" s="309">
        <v>0</v>
      </c>
      <c r="AH88" s="314">
        <v>0</v>
      </c>
      <c r="AI88" s="320"/>
      <c r="AJ88" s="310"/>
      <c r="AK88" s="156"/>
      <c r="AL88" s="320"/>
    </row>
    <row r="89" spans="1:38" x14ac:dyDescent="0.2">
      <c r="A89" s="86">
        <f t="shared" si="77"/>
        <v>82</v>
      </c>
      <c r="B89" s="725"/>
      <c r="C89" s="726" t="s">
        <v>6</v>
      </c>
      <c r="D89" s="162"/>
      <c r="E89" s="157">
        <f>ROUND('Allocation = ¢ per Therm'!K79,5)</f>
        <v>0</v>
      </c>
      <c r="F89" s="157">
        <f>ROUND('Allocation = % of Margin'!O76,5)</f>
        <v>0</v>
      </c>
      <c r="G89" s="157">
        <f>ROUND('Allocation = % of Margin'!R76,5)</f>
        <v>-1.9400000000000001E-3</v>
      </c>
      <c r="H89" s="157">
        <f>ROUND('Allocation = % of Margin'!X76,5)</f>
        <v>-1E-4</v>
      </c>
      <c r="I89" s="162"/>
      <c r="J89" s="564">
        <f>'WA Volumes &amp; Revenues'!F77</f>
        <v>976710</v>
      </c>
      <c r="K89" s="298">
        <f>'Rev Req Proof Yr1'!R89</f>
        <v>1034978</v>
      </c>
      <c r="L89" s="299">
        <f>'Rev Req Proof Yr1'!S89</f>
        <v>0</v>
      </c>
      <c r="M89" s="300">
        <f>'Rev Req Proof Yr1'!T89</f>
        <v>0</v>
      </c>
      <c r="N89" s="301">
        <f>'Rev Req Proof Yr1'!U89</f>
        <v>0</v>
      </c>
      <c r="O89" s="162"/>
      <c r="P89" s="313">
        <f t="shared" si="84"/>
        <v>0</v>
      </c>
      <c r="Q89" s="309">
        <v>0</v>
      </c>
      <c r="R89" s="314">
        <v>0</v>
      </c>
      <c r="S89" s="162"/>
      <c r="T89" s="313">
        <f t="shared" si="88"/>
        <v>0</v>
      </c>
      <c r="U89" s="309">
        <v>0</v>
      </c>
      <c r="V89" s="314">
        <v>0</v>
      </c>
      <c r="W89" s="162"/>
      <c r="X89" s="313">
        <f t="shared" si="85"/>
        <v>-2007.8573200000001</v>
      </c>
      <c r="Y89" s="309">
        <v>0</v>
      </c>
      <c r="Z89" s="314">
        <v>0</v>
      </c>
      <c r="AA89" s="309"/>
      <c r="AB89" s="313">
        <f t="shared" si="86"/>
        <v>-103.4978</v>
      </c>
      <c r="AC89" s="309">
        <v>0</v>
      </c>
      <c r="AD89" s="314">
        <v>0</v>
      </c>
      <c r="AE89" s="162"/>
      <c r="AF89" s="313">
        <f t="shared" si="87"/>
        <v>-2111.3551200000002</v>
      </c>
      <c r="AG89" s="309">
        <v>0</v>
      </c>
      <c r="AH89" s="314">
        <v>0</v>
      </c>
      <c r="AI89" s="320"/>
      <c r="AJ89" s="310"/>
      <c r="AK89" s="156"/>
      <c r="AL89" s="320"/>
    </row>
    <row r="90" spans="1:38" x14ac:dyDescent="0.2">
      <c r="A90" s="86">
        <f t="shared" si="77"/>
        <v>83</v>
      </c>
      <c r="B90" s="725"/>
      <c r="C90" s="726" t="s">
        <v>7</v>
      </c>
      <c r="D90" s="162"/>
      <c r="E90" s="157">
        <f>ROUND('Allocation = ¢ per Therm'!K80,5)</f>
        <v>0</v>
      </c>
      <c r="F90" s="157">
        <f>ROUND('Allocation = % of Margin'!O77,5)</f>
        <v>0</v>
      </c>
      <c r="G90" s="157">
        <f>ROUND('Allocation = % of Margin'!R77,5)</f>
        <v>-1.5499999999999999E-3</v>
      </c>
      <c r="H90" s="157">
        <f>ROUND('Allocation = % of Margin'!X77,5)</f>
        <v>-8.0000000000000007E-5</v>
      </c>
      <c r="I90" s="162"/>
      <c r="J90" s="564">
        <f>'WA Volumes &amp; Revenues'!F78</f>
        <v>3078834</v>
      </c>
      <c r="K90" s="298">
        <f>'Rev Req Proof Yr1'!R90</f>
        <v>3359916</v>
      </c>
      <c r="L90" s="299">
        <f>'Rev Req Proof Yr1'!S90</f>
        <v>0</v>
      </c>
      <c r="M90" s="300">
        <f>'Rev Req Proof Yr1'!T90</f>
        <v>0</v>
      </c>
      <c r="N90" s="301">
        <f>'Rev Req Proof Yr1'!U90</f>
        <v>0</v>
      </c>
      <c r="O90" s="162"/>
      <c r="P90" s="313">
        <f t="shared" si="84"/>
        <v>0</v>
      </c>
      <c r="Q90" s="309">
        <v>0</v>
      </c>
      <c r="R90" s="314">
        <v>0</v>
      </c>
      <c r="S90" s="162"/>
      <c r="T90" s="313">
        <f t="shared" si="88"/>
        <v>0</v>
      </c>
      <c r="U90" s="309">
        <v>0</v>
      </c>
      <c r="V90" s="314">
        <v>0</v>
      </c>
      <c r="W90" s="162"/>
      <c r="X90" s="313">
        <f t="shared" si="85"/>
        <v>-5207.8697999999995</v>
      </c>
      <c r="Y90" s="309">
        <v>0</v>
      </c>
      <c r="Z90" s="314">
        <v>0</v>
      </c>
      <c r="AA90" s="309"/>
      <c r="AB90" s="313">
        <f t="shared" si="86"/>
        <v>-268.79328000000004</v>
      </c>
      <c r="AC90" s="309">
        <v>0</v>
      </c>
      <c r="AD90" s="314">
        <v>0</v>
      </c>
      <c r="AE90" s="162"/>
      <c r="AF90" s="313">
        <f t="shared" si="87"/>
        <v>-5476.6630799999994</v>
      </c>
      <c r="AG90" s="309">
        <v>0</v>
      </c>
      <c r="AH90" s="314">
        <v>0</v>
      </c>
      <c r="AI90" s="320"/>
      <c r="AJ90" s="310"/>
      <c r="AK90" s="156"/>
      <c r="AL90" s="320"/>
    </row>
    <row r="91" spans="1:38" x14ac:dyDescent="0.2">
      <c r="A91" s="86">
        <f t="shared" si="77"/>
        <v>84</v>
      </c>
      <c r="B91" s="725"/>
      <c r="C91" s="726" t="s">
        <v>8</v>
      </c>
      <c r="D91" s="162"/>
      <c r="E91" s="157">
        <f>ROUND('Allocation = ¢ per Therm'!K81,5)</f>
        <v>0</v>
      </c>
      <c r="F91" s="157">
        <f>ROUND('Allocation = % of Margin'!O78,5)</f>
        <v>0</v>
      </c>
      <c r="G91" s="157">
        <f>ROUND('Allocation = % of Margin'!R78,5)</f>
        <v>-1.0300000000000001E-3</v>
      </c>
      <c r="H91" s="157">
        <f>ROUND('Allocation = % of Margin'!X78,5)</f>
        <v>-5.0000000000000002E-5</v>
      </c>
      <c r="I91" s="162"/>
      <c r="J91" s="564">
        <f>'WA Volumes &amp; Revenues'!F79</f>
        <v>1269411</v>
      </c>
      <c r="K91" s="298">
        <f>'Rev Req Proof Yr1'!R91</f>
        <v>1349120</v>
      </c>
      <c r="L91" s="299">
        <f>'Rev Req Proof Yr1'!S91</f>
        <v>0</v>
      </c>
      <c r="M91" s="300">
        <f>'Rev Req Proof Yr1'!T91</f>
        <v>0</v>
      </c>
      <c r="N91" s="301">
        <f>'Rev Req Proof Yr1'!U91</f>
        <v>0</v>
      </c>
      <c r="O91" s="162"/>
      <c r="P91" s="313">
        <f t="shared" si="84"/>
        <v>0</v>
      </c>
      <c r="Q91" s="309">
        <v>0</v>
      </c>
      <c r="R91" s="314">
        <v>0</v>
      </c>
      <c r="S91" s="162"/>
      <c r="T91" s="313">
        <f t="shared" si="88"/>
        <v>0</v>
      </c>
      <c r="U91" s="309">
        <v>0</v>
      </c>
      <c r="V91" s="314">
        <v>0</v>
      </c>
      <c r="W91" s="162"/>
      <c r="X91" s="313">
        <f t="shared" si="85"/>
        <v>-1389.5936000000002</v>
      </c>
      <c r="Y91" s="309">
        <v>0</v>
      </c>
      <c r="Z91" s="314">
        <v>0</v>
      </c>
      <c r="AA91" s="309"/>
      <c r="AB91" s="313">
        <f t="shared" si="86"/>
        <v>-67.456000000000003</v>
      </c>
      <c r="AC91" s="309">
        <v>0</v>
      </c>
      <c r="AD91" s="314">
        <v>0</v>
      </c>
      <c r="AE91" s="162"/>
      <c r="AF91" s="313">
        <f t="shared" si="87"/>
        <v>-1457.0496000000001</v>
      </c>
      <c r="AG91" s="309">
        <v>0</v>
      </c>
      <c r="AH91" s="314">
        <v>0</v>
      </c>
      <c r="AI91" s="320"/>
      <c r="AJ91" s="310"/>
      <c r="AK91" s="154"/>
      <c r="AL91" s="320"/>
    </row>
    <row r="92" spans="1:38" x14ac:dyDescent="0.2">
      <c r="A92" s="86">
        <f t="shared" si="77"/>
        <v>85</v>
      </c>
      <c r="B92" s="725"/>
      <c r="C92" s="726" t="s">
        <v>9</v>
      </c>
      <c r="D92" s="162"/>
      <c r="E92" s="157">
        <f>ROUND('Allocation = ¢ per Therm'!K82,5)</f>
        <v>0</v>
      </c>
      <c r="F92" s="157">
        <f>ROUND('Allocation = % of Margin'!O79,5)</f>
        <v>0</v>
      </c>
      <c r="G92" s="157">
        <f>ROUND('Allocation = % of Margin'!R79,5)</f>
        <v>-3.8999999999999999E-4</v>
      </c>
      <c r="H92" s="157">
        <f>ROUND('Allocation = % of Margin'!X79,5)</f>
        <v>-2.0000000000000002E-5</v>
      </c>
      <c r="I92" s="162"/>
      <c r="J92" s="564">
        <f>'WA Volumes &amp; Revenues'!F80</f>
        <v>0</v>
      </c>
      <c r="K92" s="298">
        <f>'Rev Req Proof Yr1'!R92</f>
        <v>0</v>
      </c>
      <c r="L92" s="299">
        <f>'Rev Req Proof Yr1'!S92</f>
        <v>0</v>
      </c>
      <c r="M92" s="300">
        <f>'Rev Req Proof Yr1'!T92</f>
        <v>0</v>
      </c>
      <c r="N92" s="301">
        <f>'Rev Req Proof Yr1'!U92</f>
        <v>0</v>
      </c>
      <c r="O92" s="162"/>
      <c r="P92" s="313">
        <f t="shared" si="84"/>
        <v>0</v>
      </c>
      <c r="Q92" s="309">
        <v>0</v>
      </c>
      <c r="R92" s="314">
        <v>0</v>
      </c>
      <c r="S92" s="162"/>
      <c r="T92" s="313">
        <f t="shared" si="88"/>
        <v>0</v>
      </c>
      <c r="U92" s="309">
        <v>0</v>
      </c>
      <c r="V92" s="314">
        <v>0</v>
      </c>
      <c r="W92" s="162"/>
      <c r="X92" s="313">
        <f t="shared" si="85"/>
        <v>0</v>
      </c>
      <c r="Y92" s="309">
        <v>0</v>
      </c>
      <c r="Z92" s="314">
        <v>0</v>
      </c>
      <c r="AA92" s="309"/>
      <c r="AB92" s="313">
        <f t="shared" si="86"/>
        <v>0</v>
      </c>
      <c r="AC92" s="309">
        <v>0</v>
      </c>
      <c r="AD92" s="314">
        <v>0</v>
      </c>
      <c r="AE92" s="162"/>
      <c r="AF92" s="313">
        <f t="shared" si="87"/>
        <v>0</v>
      </c>
      <c r="AG92" s="309">
        <v>0</v>
      </c>
      <c r="AH92" s="314">
        <v>0</v>
      </c>
      <c r="AI92" s="320"/>
      <c r="AJ92" s="310"/>
      <c r="AK92" s="154"/>
      <c r="AL92" s="320"/>
    </row>
    <row r="93" spans="1:38" x14ac:dyDescent="0.2">
      <c r="A93" s="86">
        <f t="shared" si="77"/>
        <v>86</v>
      </c>
      <c r="B93" s="723"/>
      <c r="C93" s="742" t="s">
        <v>78</v>
      </c>
      <c r="D93" s="163"/>
      <c r="E93" s="153"/>
      <c r="F93" s="153"/>
      <c r="G93" s="810"/>
      <c r="H93" s="810"/>
      <c r="I93" s="163"/>
      <c r="J93" s="563"/>
      <c r="K93" s="298"/>
      <c r="L93" s="157"/>
      <c r="M93" s="157"/>
      <c r="N93" s="158"/>
      <c r="O93" s="162"/>
      <c r="P93" s="315">
        <f>SUM(P87:P92)</f>
        <v>0</v>
      </c>
      <c r="Q93" s="316">
        <f>SUM(Q87:Q92)</f>
        <v>0</v>
      </c>
      <c r="R93" s="317">
        <f>SUM(R87:R92)</f>
        <v>0</v>
      </c>
      <c r="S93" s="162"/>
      <c r="T93" s="315">
        <f>SUM(T87:T92)</f>
        <v>0</v>
      </c>
      <c r="U93" s="316">
        <f>SUM(U87:U92)</f>
        <v>0</v>
      </c>
      <c r="V93" s="317">
        <f>SUM(V87:V92)</f>
        <v>0</v>
      </c>
      <c r="W93" s="162"/>
      <c r="X93" s="315">
        <f>SUM(X87:X92)</f>
        <v>-14641.913430000001</v>
      </c>
      <c r="Y93" s="316">
        <f>SUM(Y87:Y92)</f>
        <v>0</v>
      </c>
      <c r="Z93" s="317">
        <f>SUM(Z87:Z92)</f>
        <v>0</v>
      </c>
      <c r="AA93" s="328"/>
      <c r="AB93" s="315">
        <f>SUM(AB87:AB92)</f>
        <v>-745.79075</v>
      </c>
      <c r="AC93" s="316">
        <f>SUM(AC87:AC92)</f>
        <v>0</v>
      </c>
      <c r="AD93" s="317">
        <f>SUM(AD87:AD92)</f>
        <v>0</v>
      </c>
      <c r="AE93" s="162"/>
      <c r="AF93" s="315">
        <f>SUM(AF87:AF92)</f>
        <v>-15387.704179999999</v>
      </c>
      <c r="AG93" s="316">
        <f>SUM(AG87:AG92)</f>
        <v>0</v>
      </c>
      <c r="AH93" s="317">
        <f>SUM(AH87:AH92)</f>
        <v>0</v>
      </c>
      <c r="AI93" s="320"/>
      <c r="AJ93" s="310"/>
      <c r="AK93" s="154"/>
      <c r="AL93" s="320"/>
    </row>
    <row r="94" spans="1:38" x14ac:dyDescent="0.2">
      <c r="A94" s="86">
        <f t="shared" si="77"/>
        <v>87</v>
      </c>
      <c r="B94" s="723" t="str">
        <f>'Avg Bill by RS'!B94</f>
        <v>43 Firm Transpt</v>
      </c>
      <c r="C94" s="723" t="str">
        <f>'Avg Bill by RS'!C94</f>
        <v>n/a</v>
      </c>
      <c r="D94" s="162"/>
      <c r="E94" s="164">
        <f>ROUND('Allocation = ¢ per Therm'!K83,5)</f>
        <v>0</v>
      </c>
      <c r="F94" s="164">
        <f>ROUND('Allocation = % of Margin'!O80,5)</f>
        <v>0</v>
      </c>
      <c r="G94" s="164">
        <f>ROUND('Allocation = % of Margin'!R80,5)</f>
        <v>0</v>
      </c>
      <c r="H94" s="164">
        <f>ROUND('Allocation = % of Margin'!X80,5)</f>
        <v>0</v>
      </c>
      <c r="I94" s="162"/>
      <c r="J94" s="564">
        <f>'WA Volumes &amp; Revenues'!F81</f>
        <v>0</v>
      </c>
      <c r="K94" s="298">
        <f>'Rev Req Proof Yr1'!R94</f>
        <v>0</v>
      </c>
      <c r="L94" s="299">
        <f>'Rev Req Proof Yr1'!S94</f>
        <v>0</v>
      </c>
      <c r="M94" s="300">
        <f>'Rev Req Proof Yr1'!T94</f>
        <v>0</v>
      </c>
      <c r="N94" s="301">
        <f>'Rev Req Proof Yr1'!U94</f>
        <v>0</v>
      </c>
      <c r="O94" s="162"/>
      <c r="P94" s="306">
        <f t="shared" ref="P94:P96" si="89">((E94)*K94)</f>
        <v>0</v>
      </c>
      <c r="Q94" s="307">
        <v>0</v>
      </c>
      <c r="R94" s="308">
        <v>0</v>
      </c>
      <c r="S94" s="162"/>
      <c r="T94" s="306">
        <f>((F94)*J94)</f>
        <v>0</v>
      </c>
      <c r="U94" s="307">
        <v>0</v>
      </c>
      <c r="V94" s="308">
        <v>0</v>
      </c>
      <c r="W94" s="162"/>
      <c r="X94" s="306">
        <f t="shared" ref="X94:X96" si="90">((G94)*K94)</f>
        <v>0</v>
      </c>
      <c r="Y94" s="307">
        <v>0</v>
      </c>
      <c r="Z94" s="308">
        <v>0</v>
      </c>
      <c r="AA94" s="309"/>
      <c r="AB94" s="306">
        <f t="shared" si="86"/>
        <v>0</v>
      </c>
      <c r="AC94" s="307">
        <v>0</v>
      </c>
      <c r="AD94" s="308">
        <v>0</v>
      </c>
      <c r="AE94" s="162"/>
      <c r="AF94" s="306">
        <f t="shared" ref="AF94:AF96" si="91">((E94+F94+G94+H94)*K94)</f>
        <v>0</v>
      </c>
      <c r="AG94" s="307">
        <v>0</v>
      </c>
      <c r="AH94" s="308">
        <v>0</v>
      </c>
      <c r="AI94" s="320"/>
      <c r="AJ94" s="154"/>
      <c r="AK94" s="154"/>
      <c r="AL94" s="320"/>
    </row>
    <row r="95" spans="1:38" x14ac:dyDescent="0.2">
      <c r="A95" s="86">
        <f t="shared" si="77"/>
        <v>88</v>
      </c>
      <c r="B95" s="723" t="str">
        <f>'Avg Bill by RS'!B95</f>
        <v>43 Interr Transpt</v>
      </c>
      <c r="C95" s="723" t="str">
        <f>'Avg Bill by RS'!C95</f>
        <v>n/a</v>
      </c>
      <c r="D95" s="162"/>
      <c r="E95" s="164">
        <f>ROUND('Allocation = ¢ per Therm'!K84,5)</f>
        <v>0</v>
      </c>
      <c r="F95" s="164">
        <f>ROUND('Allocation = % of Margin'!O81,5)</f>
        <v>0</v>
      </c>
      <c r="G95" s="164">
        <f>ROUND('Allocation = % of Margin'!R81,5)</f>
        <v>0</v>
      </c>
      <c r="H95" s="164">
        <f>ROUND('Allocation = % of Margin'!X81,5)</f>
        <v>0</v>
      </c>
      <c r="I95" s="164"/>
      <c r="J95" s="564">
        <f>'WA Volumes &amp; Revenues'!F82</f>
        <v>0</v>
      </c>
      <c r="K95" s="298">
        <f>'Rev Req Proof Yr1'!R95</f>
        <v>0</v>
      </c>
      <c r="L95" s="299">
        <f>'Rev Req Proof Yr1'!S95</f>
        <v>0</v>
      </c>
      <c r="M95" s="300">
        <f>'Rev Req Proof Yr1'!T95</f>
        <v>0</v>
      </c>
      <c r="N95" s="301">
        <f>'Rev Req Proof Yr1'!U95</f>
        <v>0</v>
      </c>
      <c r="O95" s="162"/>
      <c r="P95" s="322">
        <f t="shared" si="89"/>
        <v>0</v>
      </c>
      <c r="Q95" s="321">
        <v>0</v>
      </c>
      <c r="R95" s="323">
        <v>0</v>
      </c>
      <c r="S95" s="162"/>
      <c r="T95" s="322">
        <f>((F95)*J95)</f>
        <v>0</v>
      </c>
      <c r="U95" s="321">
        <v>0</v>
      </c>
      <c r="V95" s="323">
        <v>0</v>
      </c>
      <c r="W95" s="162"/>
      <c r="X95" s="322">
        <f t="shared" si="90"/>
        <v>0</v>
      </c>
      <c r="Y95" s="321">
        <v>0</v>
      </c>
      <c r="Z95" s="323">
        <v>0</v>
      </c>
      <c r="AA95" s="320"/>
      <c r="AB95" s="322">
        <f t="shared" si="86"/>
        <v>0</v>
      </c>
      <c r="AC95" s="321">
        <v>0</v>
      </c>
      <c r="AD95" s="323">
        <v>0</v>
      </c>
      <c r="AE95" s="162"/>
      <c r="AF95" s="322">
        <f t="shared" si="91"/>
        <v>0</v>
      </c>
      <c r="AG95" s="321">
        <v>0</v>
      </c>
      <c r="AH95" s="323">
        <v>0</v>
      </c>
      <c r="AI95" s="320"/>
      <c r="AJ95" s="154"/>
      <c r="AK95" s="154"/>
      <c r="AL95" s="320"/>
    </row>
    <row r="96" spans="1:38" ht="13.5" thickBot="1" x14ac:dyDescent="0.25">
      <c r="A96" s="86">
        <f t="shared" si="77"/>
        <v>89</v>
      </c>
      <c r="B96" s="779" t="str">
        <f>'Avg Bill by RS'!B96</f>
        <v>Special Contract</v>
      </c>
      <c r="C96" s="779" t="str">
        <f>'Avg Bill by RS'!C96</f>
        <v>n/a</v>
      </c>
      <c r="D96" s="166"/>
      <c r="E96" s="166">
        <f>ROUND('Allocation = ¢ per Therm'!K85,5)</f>
        <v>0</v>
      </c>
      <c r="F96" s="166">
        <f>ROUND('Allocation = % of Margin'!O82,5)</f>
        <v>0</v>
      </c>
      <c r="G96" s="166">
        <f>ROUND('Allocation = % of Margin'!R82,5)</f>
        <v>0</v>
      </c>
      <c r="H96" s="166">
        <f>ROUND('Allocation = % of Margin'!X82,5)</f>
        <v>0</v>
      </c>
      <c r="I96" s="782"/>
      <c r="J96" s="809">
        <f>'WA Volumes &amp; Revenues'!F83</f>
        <v>0</v>
      </c>
      <c r="K96" s="806">
        <f>'Rev Req Proof Yr1'!R96</f>
        <v>2895114</v>
      </c>
      <c r="L96" s="805">
        <f>'Rev Req Proof Yr1'!S96</f>
        <v>0</v>
      </c>
      <c r="M96" s="801">
        <f>'Rev Req Proof Yr1'!T96</f>
        <v>1</v>
      </c>
      <c r="N96" s="802">
        <f>'Rev Req Proof Yr1'!U96</f>
        <v>241259.5</v>
      </c>
      <c r="O96" s="162"/>
      <c r="P96" s="324">
        <f t="shared" si="89"/>
        <v>0</v>
      </c>
      <c r="Q96" s="325">
        <v>0</v>
      </c>
      <c r="R96" s="326">
        <v>0</v>
      </c>
      <c r="S96" s="162"/>
      <c r="T96" s="324">
        <f>((F96)*J96)</f>
        <v>0</v>
      </c>
      <c r="U96" s="325">
        <v>0</v>
      </c>
      <c r="V96" s="326">
        <v>0</v>
      </c>
      <c r="W96" s="162"/>
      <c r="X96" s="324">
        <f t="shared" si="90"/>
        <v>0</v>
      </c>
      <c r="Y96" s="325">
        <v>0</v>
      </c>
      <c r="Z96" s="326">
        <v>0</v>
      </c>
      <c r="AA96" s="320"/>
      <c r="AB96" s="324">
        <f t="shared" si="86"/>
        <v>0</v>
      </c>
      <c r="AC96" s="325">
        <v>0</v>
      </c>
      <c r="AD96" s="326">
        <v>0</v>
      </c>
      <c r="AE96" s="162"/>
      <c r="AF96" s="597">
        <f t="shared" si="91"/>
        <v>0</v>
      </c>
      <c r="AG96" s="598">
        <v>0</v>
      </c>
      <c r="AH96" s="599">
        <v>0</v>
      </c>
      <c r="AI96" s="320"/>
      <c r="AJ96" s="162"/>
      <c r="AK96" s="162"/>
      <c r="AL96" s="320"/>
    </row>
    <row r="97" spans="1:38" x14ac:dyDescent="0.2">
      <c r="A97" s="86">
        <f t="shared" si="77"/>
        <v>90</v>
      </c>
    </row>
    <row r="98" spans="1:38" x14ac:dyDescent="0.2">
      <c r="A98" s="86">
        <f t="shared" si="77"/>
        <v>91</v>
      </c>
      <c r="B98" s="168" t="s">
        <v>58</v>
      </c>
    </row>
    <row r="99" spans="1:38" x14ac:dyDescent="0.2">
      <c r="A99" s="86">
        <f t="shared" si="77"/>
        <v>92</v>
      </c>
      <c r="B99" s="797" t="s">
        <v>59</v>
      </c>
      <c r="C99" s="765"/>
      <c r="D99" s="765"/>
      <c r="E99" s="798"/>
      <c r="F99" s="798"/>
      <c r="G99" s="798"/>
      <c r="H99" s="798"/>
      <c r="I99" s="798"/>
      <c r="J99" s="798"/>
      <c r="K99" s="798"/>
      <c r="L99" s="798"/>
      <c r="M99" s="798"/>
      <c r="N99" s="798"/>
      <c r="O99" s="798"/>
      <c r="P99" s="798"/>
      <c r="Q99" s="798"/>
      <c r="R99" s="798"/>
      <c r="S99" s="798"/>
      <c r="T99" s="798"/>
      <c r="U99" s="798"/>
      <c r="V99" s="798"/>
      <c r="W99" s="798"/>
      <c r="X99" s="798"/>
      <c r="Y99" s="798"/>
      <c r="Z99" s="798"/>
      <c r="AA99" s="798"/>
      <c r="AB99" s="798"/>
      <c r="AC99" s="798"/>
      <c r="AD99" s="798"/>
      <c r="AE99" s="798"/>
      <c r="AF99" s="798"/>
      <c r="AG99" s="798"/>
      <c r="AH99" s="798"/>
      <c r="AI99" s="799"/>
      <c r="AL99" s="55"/>
    </row>
    <row r="100" spans="1:38" x14ac:dyDescent="0.2">
      <c r="A100" s="86">
        <f t="shared" si="77"/>
        <v>93</v>
      </c>
      <c r="B100" s="169"/>
      <c r="J100" s="327"/>
      <c r="K100" s="327"/>
      <c r="L100" s="327"/>
      <c r="M100" s="327"/>
    </row>
    <row r="101" spans="1:38" x14ac:dyDescent="0.2">
      <c r="A101" s="86">
        <f t="shared" si="77"/>
        <v>94</v>
      </c>
      <c r="B101" s="797" t="s">
        <v>14</v>
      </c>
      <c r="C101" s="765"/>
      <c r="D101" s="765"/>
      <c r="E101" s="765"/>
      <c r="F101" s="765"/>
      <c r="G101" s="765"/>
      <c r="H101" s="765"/>
      <c r="I101" s="765"/>
      <c r="J101" s="765"/>
      <c r="K101" s="765"/>
      <c r="L101" s="765"/>
      <c r="M101" s="765"/>
      <c r="N101" s="765"/>
      <c r="O101" s="765"/>
      <c r="P101" s="765"/>
      <c r="Q101" s="765"/>
      <c r="R101" s="765"/>
      <c r="S101" s="765"/>
      <c r="T101" s="765"/>
      <c r="U101" s="765"/>
      <c r="V101" s="765"/>
      <c r="W101" s="765"/>
      <c r="X101" s="765"/>
      <c r="Y101" s="765"/>
      <c r="Z101" s="765"/>
      <c r="AA101" s="765"/>
      <c r="AB101" s="765"/>
      <c r="AC101" s="765"/>
      <c r="AD101" s="765"/>
      <c r="AE101" s="765"/>
      <c r="AF101" s="765"/>
      <c r="AG101" s="765"/>
      <c r="AH101" s="765"/>
      <c r="AI101" s="800"/>
      <c r="AL101" s="55"/>
    </row>
    <row r="102" spans="1:38" x14ac:dyDescent="0.2">
      <c r="A102" s="86">
        <f t="shared" si="77"/>
        <v>95</v>
      </c>
      <c r="B102" s="797" t="s">
        <v>60</v>
      </c>
      <c r="C102" s="765"/>
      <c r="D102" s="765"/>
      <c r="E102" s="765"/>
      <c r="F102" s="765"/>
      <c r="G102" s="765"/>
      <c r="H102" s="765"/>
      <c r="I102" s="765"/>
      <c r="J102" s="765"/>
      <c r="K102" s="765"/>
      <c r="L102" s="765"/>
      <c r="M102" s="765"/>
      <c r="N102" s="765"/>
      <c r="O102" s="765"/>
      <c r="P102" s="765"/>
      <c r="Q102" s="765"/>
      <c r="R102" s="765"/>
      <c r="S102" s="765"/>
      <c r="T102" s="765"/>
      <c r="U102" s="765"/>
      <c r="V102" s="765"/>
      <c r="W102" s="765"/>
      <c r="X102" s="765"/>
      <c r="Y102" s="765"/>
      <c r="Z102" s="765"/>
      <c r="AA102" s="765"/>
      <c r="AB102" s="765"/>
      <c r="AC102" s="765"/>
      <c r="AD102" s="765"/>
      <c r="AE102" s="765"/>
      <c r="AF102" s="765"/>
      <c r="AG102" s="765"/>
      <c r="AH102" s="765"/>
      <c r="AI102" s="800"/>
      <c r="AL102" s="55"/>
    </row>
    <row r="103" spans="1:38" x14ac:dyDescent="0.2">
      <c r="A103" s="86"/>
      <c r="B103" s="169"/>
    </row>
    <row r="104" spans="1:38" x14ac:dyDescent="0.2">
      <c r="A104" s="86"/>
      <c r="B104" s="169"/>
    </row>
    <row r="105" spans="1:38" x14ac:dyDescent="0.2">
      <c r="A105" s="86"/>
      <c r="B105" s="169"/>
    </row>
  </sheetData>
  <customSheetViews>
    <customSheetView guid="{80646397-1CEF-4A79-B348-594AB32B8020}">
      <pane xSplit="8" ySplit="14" topLeftCell="AC15" activePane="bottomRight" state="frozen"/>
      <selection pane="bottomRight" activeCell="AK29" sqref="AK29"/>
      <pageMargins left="0.5" right="0.5" top="0.5" bottom="0.5" header="0.25" footer="0.25"/>
      <printOptions horizontalCentered="1"/>
      <pageSetup scale="51" orientation="landscape" r:id="rId1"/>
      <headerFooter alignWithMargins="0">
        <oddHeader>&amp;RUG 388 - NW Natural/2500
Wyman/WP02</oddHeader>
        <oddFooter xml:space="preserve">&amp;C&amp;F &amp;D &amp;T
&amp;A </oddFooter>
      </headerFooter>
    </customSheetView>
    <customSheetView guid="{37B35166-7378-4B00-BB4E-9E442A0D870E}">
      <pane xSplit="8" ySplit="14" topLeftCell="AC15" activePane="bottomRight" state="frozen"/>
      <selection pane="bottomRight" activeCell="AK29" sqref="AK29"/>
      <pageMargins left="0.5" right="0.5" top="0.5" bottom="0.5" header="0.25" footer="0.25"/>
      <printOptions horizontalCentered="1"/>
      <pageSetup scale="51" orientation="landscape" r:id="rId2"/>
      <headerFooter alignWithMargins="0">
        <oddHeader>&amp;RUG 388 - NW Natural/2500
Wyman/WP02</oddHeader>
        <oddFooter xml:space="preserve">&amp;C&amp;F &amp;D &amp;T
&amp;A </oddFooter>
      </headerFooter>
    </customSheetView>
  </customSheetViews>
  <mergeCells count="8">
    <mergeCell ref="AJ14:AL14"/>
    <mergeCell ref="AJ2:AK2"/>
    <mergeCell ref="K7:N7"/>
    <mergeCell ref="AF10:AH10"/>
    <mergeCell ref="X10:Z10"/>
    <mergeCell ref="T10:V10"/>
    <mergeCell ref="P10:R10"/>
    <mergeCell ref="AB10:AD10"/>
  </mergeCells>
  <printOptions horizontalCentered="1"/>
  <pageMargins left="0.5" right="0.5" top="0.5" bottom="0.5" header="0.25" footer="0.25"/>
  <pageSetup scale="51" orientation="landscape" r:id="rId3"/>
  <headerFooter alignWithMargins="0">
    <oddHeader>&amp;RExh. RJW-3 Wyman WP1</oddHeader>
    <oddFooter xml:space="preserve">&amp;C&amp;F &amp;D &amp;T
&amp;A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2020-12-18T08:00:00+00:00</OpenedDate>
    <SignificantOrder xmlns="dc463f71-b30c-4ab2-9473-d307f9d35888">false</SignificantOrder>
    <Date1 xmlns="dc463f71-b30c-4ab2-9473-d307f9d35888">2020-12-18T08:00:00+00:00</Date1>
    <IsDocumentOrder xmlns="dc463f71-b30c-4ab2-9473-d307f9d35888">false</IsDocumentOrder>
    <IsHighlyConfidential xmlns="dc463f71-b30c-4ab2-9473-d307f9d35888">false</IsHighlyConfidential>
    <CaseCompanyNames xmlns="dc463f71-b30c-4ab2-9473-d307f9d35888">Northwest Natural Gas Company</CaseCompanyNames>
    <Nickname xmlns="http://schemas.microsoft.com/sharepoint/v3" xsi:nil="true"/>
    <DocketNumber xmlns="dc463f71-b30c-4ab2-9473-d307f9d35888">200994</DocketNumber>
    <DelegatedOrder xmlns="dc463f71-b30c-4ab2-9473-d307f9d35888">false</DelegatedOrder>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EEC80525953A745BD9B79DC421B8604" ma:contentTypeVersion="52" ma:contentTypeDescription="" ma:contentTypeScope="" ma:versionID="661ebdd58a449a96898bb3f3afaf286a">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9af6b0a9aa2de783aac4f3d36dbacc3c"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015f1b76-b32e-440f-80a7-f0ca4d8a872c" ContentTypeId="0x0101006E56B4D1795A2E4DB2F0B01679ED314A" PreviousValue="true"/>
</file>

<file path=customXml/itemProps1.xml><?xml version="1.0" encoding="utf-8"?>
<ds:datastoreItem xmlns:ds="http://schemas.openxmlformats.org/officeDocument/2006/customXml" ds:itemID="{48894FB1-5DAF-4D23-A5D1-721DDD182922}">
  <ds:schemaRefs>
    <ds:schemaRef ds:uri="http://schemas.openxmlformats.org/package/2006/metadata/core-properties"/>
    <ds:schemaRef ds:uri="http://schemas.microsoft.com/office/2006/documentManagement/types"/>
    <ds:schemaRef ds:uri="http://schemas.microsoft.com/office/2006/metadata/properties"/>
    <ds:schemaRef ds:uri="http://purl.org/dc/elements/1.1/"/>
    <ds:schemaRef ds:uri="http://www.w3.org/XML/1998/namespace"/>
    <ds:schemaRef ds:uri="http://purl.org/dc/dcmitype/"/>
    <ds:schemaRef ds:uri="http://schemas.microsoft.com/office/infopath/2007/PartnerControls"/>
    <ds:schemaRef ds:uri="http://purl.org/dc/terms/"/>
  </ds:schemaRefs>
</ds:datastoreItem>
</file>

<file path=customXml/itemProps2.xml><?xml version="1.0" encoding="utf-8"?>
<ds:datastoreItem xmlns:ds="http://schemas.openxmlformats.org/officeDocument/2006/customXml" ds:itemID="{5FF424F5-265D-4887-BCEF-AB11BBD86E7F}">
  <ds:schemaRefs>
    <ds:schemaRef ds:uri="http://schemas.microsoft.com/sharepoint/v3/contenttype/forms"/>
  </ds:schemaRefs>
</ds:datastoreItem>
</file>

<file path=customXml/itemProps3.xml><?xml version="1.0" encoding="utf-8"?>
<ds:datastoreItem xmlns:ds="http://schemas.openxmlformats.org/officeDocument/2006/customXml" ds:itemID="{7852511A-D526-4AE5-A697-F8B56B885F11}"/>
</file>

<file path=customXml/itemProps4.xml><?xml version="1.0" encoding="utf-8"?>
<ds:datastoreItem xmlns:ds="http://schemas.openxmlformats.org/officeDocument/2006/customXml" ds:itemID="{CEA239F2-0EAD-47E1-BC66-3C1315D2134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4</vt:i4>
      </vt:variant>
    </vt:vector>
  </HeadingPairs>
  <TitlesOfParts>
    <vt:vector size="25" baseType="lpstr">
      <vt:lpstr>Index</vt:lpstr>
      <vt:lpstr>WA Volumes &amp; Revenues</vt:lpstr>
      <vt:lpstr>Rate Spread Proposal</vt:lpstr>
      <vt:lpstr>Allocation = ¢ per Therm</vt:lpstr>
      <vt:lpstr>Allocation = % of Margin</vt:lpstr>
      <vt:lpstr>Allocation = % of Revenue</vt:lpstr>
      <vt:lpstr>Rev Req Proof Yr1</vt:lpstr>
      <vt:lpstr>Rev Req Proof Yr2</vt:lpstr>
      <vt:lpstr>Temps Proof</vt:lpstr>
      <vt:lpstr>Combined Items Proof Yr1</vt:lpstr>
      <vt:lpstr>Combined Items Proof Yr2</vt:lpstr>
      <vt:lpstr>Rates in Detail</vt:lpstr>
      <vt:lpstr>Rates in summary</vt:lpstr>
      <vt:lpstr>Avg Bill by RS</vt:lpstr>
      <vt:lpstr>Rate Impacts - Rev Req ONLY</vt:lpstr>
      <vt:lpstr>Rate Impacts - COMBINED</vt:lpstr>
      <vt:lpstr>Proposed Rates - COMBINED</vt:lpstr>
      <vt:lpstr>Exh. RJW-3 RR</vt:lpstr>
      <vt:lpstr>Exh. RJW-3 Combined</vt:lpstr>
      <vt:lpstr>Exh. RJW-4 RR</vt:lpstr>
      <vt:lpstr>Exh. RJW-4 Combined</vt:lpstr>
      <vt:lpstr>'Exh. RJW-3 Combined'!Print_Area</vt:lpstr>
      <vt:lpstr>'Exh. RJW-3 RR'!Print_Area</vt:lpstr>
      <vt:lpstr>'Rate Impacts - COMBINED'!Print_Area</vt:lpstr>
      <vt:lpstr>'Rate Impacts - Rev Req ONLY'!Print_Area</vt:lpstr>
    </vt:vector>
  </TitlesOfParts>
  <Company>NW Natural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NCS</dc:creator>
  <cp:lastModifiedBy>Lee-Pella, Erica N.</cp:lastModifiedBy>
  <cp:lastPrinted>2020-12-17T23:47:56Z</cp:lastPrinted>
  <dcterms:created xsi:type="dcterms:W3CDTF">2005-11-10T23:09:08Z</dcterms:created>
  <dcterms:modified xsi:type="dcterms:W3CDTF">2020-12-17T23:48:01Z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0x0101006E56B4D1795A2E4DB2F0B01679ED314A008EEC80525953A745BD9B79DC421B8604</vt:lpwstr>
  </property>
  <property fmtid="{D5CDD505-2E9C-101B-9397-08002B2CF9AE}" pid="3" name="TAX" linkTarget="PROP_TAX">
    <vt:lpwstr>#REF!</vt:lpwstr>
  </property>
  <property fmtid="{D5CDD505-2E9C-101B-9397-08002B2CF9AE}" pid="4" name="_docset_NoMedatataSyncRequired">
    <vt:lpwstr>False</vt:lpwstr>
  </property>
  <property fmtid="{D5CDD505-2E9C-101B-9397-08002B2CF9AE}" pid="5" name="IsEFSEC">
    <vt:bool>false</vt:bool>
  </property>
</Properties>
</file>